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DieseArbeitsmappe" defaultThemeVersion="124226"/>
  <mc:AlternateContent xmlns:mc="http://schemas.openxmlformats.org/markup-compatibility/2006">
    <mc:Choice Requires="x15">
      <x15ac:absPath xmlns:x15ac="http://schemas.microsoft.com/office/spreadsheetml/2010/11/ac" url="V:\SG 22-LQE\LQE\KITA\2025\Datenblätter 2025\aktuell - Version (2024-09-09)\"/>
    </mc:Choice>
  </mc:AlternateContent>
  <workbookProtection workbookAlgorithmName="SHA-512" workbookHashValue="q1+IB2O6xH8xgwXbhmm3NwXlyk5xpIjraJRPyEAQpr0Bh4p6WokaquGzuhkjpqYUr/0J60DSLmzU87u1z2F76Q==" workbookSaltValue="R0En4PrKQeezJOoEGJy+hA==" workbookSpinCount="100000" lockStructure="1"/>
  <bookViews>
    <workbookView xWindow="-105" yWindow="5310" windowWidth="23145" windowHeight="3195" tabRatio="908"/>
  </bookViews>
  <sheets>
    <sheet name="Grundlagen" sheetId="34" r:id="rId1"/>
    <sheet name="Belegung" sheetId="35" r:id="rId2"/>
    <sheet name="päd Personal" sheetId="36" r:id="rId3"/>
    <sheet name="techn Personal" sheetId="37" r:id="rId4"/>
    <sheet name="Kostenplan" sheetId="38" r:id="rId5"/>
    <sheet name="INTERN Personalstunden" sheetId="39" state="hidden" r:id="rId6"/>
    <sheet name="INTERN Kostenrechnung" sheetId="40" state="hidden" r:id="rId7"/>
    <sheet name="INTERN Personal- und Sachkosten" sheetId="41" state="hidden" r:id="rId8"/>
    <sheet name="Platzkosten" sheetId="42" state="hidden" r:id="rId9"/>
    <sheet name="Zusatzplatzkosten" sheetId="43" state="hidden" r:id="rId10"/>
    <sheet name="päd.Personal - Leitung" sheetId="1" r:id="rId11"/>
    <sheet name="päd.Personal - Erzieher" sheetId="2" r:id="rId12"/>
    <sheet name="päd.Personal - Hilfskraft" sheetId="4" r:id="rId13"/>
    <sheet name="päd.Personal - ATZ aktiv,passiv" sheetId="13" state="hidden" r:id="rId14"/>
    <sheet name="päd.Personal - Auszubildende" sheetId="20" r:id="rId15"/>
    <sheet name="päd.Personal - Praktikant" sheetId="5" r:id="rId16"/>
    <sheet name="päd.Personal - unentgeltlich" sheetId="23" r:id="rId17"/>
    <sheet name="päd.Personal - BFD, FSJ" sheetId="19" r:id="rId18"/>
    <sheet name="päd.Personal - Heilpäd.FK" sheetId="14" r:id="rId19"/>
    <sheet name="päd.Personal - sonst.geringfüg." sheetId="15" r:id="rId20"/>
    <sheet name="päd.Personal - § 23" sheetId="21" r:id="rId21"/>
    <sheet name="techn.Personal - Hausmeister" sheetId="6" r:id="rId22"/>
    <sheet name="techn.Personal - Reinigungskr." sheetId="7" r:id="rId23"/>
    <sheet name="techn.Personal - Wirtschaftskr." sheetId="8" r:id="rId24"/>
    <sheet name="techn.Personal - sonst.gering" sheetId="17" r:id="rId25"/>
    <sheet name="freigegeben (sonstiges)" sheetId="22" r:id="rId26"/>
  </sheets>
  <definedNames>
    <definedName name="_xlnm._FilterDatabase" localSheetId="0" hidden="1">Grundlagen!$G$55:$G$56</definedName>
    <definedName name="_xlnm._FilterDatabase" localSheetId="4" hidden="1">Kostenplan!$A$109:$J$111</definedName>
    <definedName name="Anlage">Grundlagen!$P$3:$P$6</definedName>
    <definedName name="beantragt">Grundlagen!$G$55:$G$56</definedName>
    <definedName name="_xlnm.Print_Titles" localSheetId="1">Belegung!$1:$6</definedName>
    <definedName name="_xlnm.Print_Titles" localSheetId="6">'INTERN Kostenrechnung'!$5:$7</definedName>
    <definedName name="_xlnm.Print_Titles" localSheetId="4">Kostenplan!$1:$12</definedName>
    <definedName name="_xlnm.Print_Titles" localSheetId="2">'päd Personal'!$1:$13</definedName>
    <definedName name="_xlnm.Print_Titles" localSheetId="3">'techn Personal'!$1:$13</definedName>
  </definedNames>
  <calcPr calcId="162913"/>
</workbook>
</file>

<file path=xl/calcChain.xml><?xml version="1.0" encoding="utf-8"?>
<calcChain xmlns="http://schemas.openxmlformats.org/spreadsheetml/2006/main">
  <c r="O381" i="4" l="1"/>
  <c r="L381" i="4"/>
  <c r="J381" i="4"/>
  <c r="O380" i="4"/>
  <c r="O379" i="4"/>
  <c r="M379" i="4"/>
  <c r="O333" i="4"/>
  <c r="L333" i="4"/>
  <c r="J333" i="4"/>
  <c r="O332" i="4"/>
  <c r="O331" i="4"/>
  <c r="M331" i="4"/>
  <c r="O285" i="4"/>
  <c r="L285" i="4"/>
  <c r="J285" i="4"/>
  <c r="O284" i="4"/>
  <c r="O283" i="4"/>
  <c r="M283" i="4"/>
  <c r="O237" i="4"/>
  <c r="L237" i="4"/>
  <c r="J237" i="4"/>
  <c r="O236" i="4"/>
  <c r="O235" i="4"/>
  <c r="M235" i="4"/>
  <c r="O189" i="4"/>
  <c r="L189" i="4"/>
  <c r="J189" i="4"/>
  <c r="O188" i="4"/>
  <c r="O187" i="4"/>
  <c r="M187" i="4"/>
  <c r="O141" i="4"/>
  <c r="L141" i="4"/>
  <c r="J141" i="4"/>
  <c r="O140" i="4"/>
  <c r="O139" i="4"/>
  <c r="M139" i="4"/>
  <c r="O93" i="4"/>
  <c r="L93" i="4"/>
  <c r="J93" i="4"/>
  <c r="O92" i="4"/>
  <c r="O91" i="4"/>
  <c r="M91" i="4"/>
  <c r="O1677" i="2"/>
  <c r="L1677" i="2"/>
  <c r="J1677" i="2"/>
  <c r="P1677" i="2" s="1"/>
  <c r="O1676" i="2"/>
  <c r="P1676" i="2" s="1"/>
  <c r="O1675" i="2"/>
  <c r="M1675" i="2"/>
  <c r="P1675" i="2" s="1"/>
  <c r="O1629" i="2"/>
  <c r="L1629" i="2"/>
  <c r="J1629" i="2"/>
  <c r="P1629" i="2" s="1"/>
  <c r="O1628" i="2"/>
  <c r="P1628" i="2" s="1"/>
  <c r="O1627" i="2"/>
  <c r="M1627" i="2"/>
  <c r="P1627" i="2" s="1"/>
  <c r="O1581" i="2"/>
  <c r="L1581" i="2"/>
  <c r="J1581" i="2"/>
  <c r="P1581" i="2" s="1"/>
  <c r="O1580" i="2"/>
  <c r="P1580" i="2" s="1"/>
  <c r="O1579" i="2"/>
  <c r="M1579" i="2"/>
  <c r="P1579" i="2" s="1"/>
  <c r="O1533" i="2"/>
  <c r="L1533" i="2"/>
  <c r="J1533" i="2"/>
  <c r="P1533" i="2" s="1"/>
  <c r="O1532" i="2"/>
  <c r="P1532" i="2" s="1"/>
  <c r="O1531" i="2"/>
  <c r="M1531" i="2"/>
  <c r="P1531" i="2" s="1"/>
  <c r="O1485" i="2"/>
  <c r="L1485" i="2"/>
  <c r="J1485" i="2"/>
  <c r="P1485" i="2" s="1"/>
  <c r="O1484" i="2"/>
  <c r="P1484" i="2" s="1"/>
  <c r="O1483" i="2"/>
  <c r="M1483" i="2"/>
  <c r="P1483" i="2" s="1"/>
  <c r="P1437" i="2"/>
  <c r="O1437" i="2"/>
  <c r="L1437" i="2"/>
  <c r="J1437" i="2"/>
  <c r="P1436" i="2"/>
  <c r="O1436" i="2"/>
  <c r="O1435" i="2"/>
  <c r="M1435" i="2"/>
  <c r="P1435" i="2" s="1"/>
  <c r="O1389" i="2"/>
  <c r="L1389" i="2"/>
  <c r="J1389" i="2"/>
  <c r="P1389" i="2" s="1"/>
  <c r="O1388" i="2"/>
  <c r="P1388" i="2" s="1"/>
  <c r="O1387" i="2"/>
  <c r="M1387" i="2"/>
  <c r="P1387" i="2" s="1"/>
  <c r="O1341" i="2"/>
  <c r="L1341" i="2"/>
  <c r="J1341" i="2"/>
  <c r="P1341" i="2" s="1"/>
  <c r="O1340" i="2"/>
  <c r="P1340" i="2" s="1"/>
  <c r="O1339" i="2"/>
  <c r="M1339" i="2"/>
  <c r="P1339" i="2" s="1"/>
  <c r="O1293" i="2"/>
  <c r="L1293" i="2"/>
  <c r="J1293" i="2"/>
  <c r="P1293" i="2" s="1"/>
  <c r="O1292" i="2"/>
  <c r="P1292" i="2" s="1"/>
  <c r="O1291" i="2"/>
  <c r="M1291" i="2"/>
  <c r="P1291" i="2" s="1"/>
  <c r="O1245" i="2"/>
  <c r="L1245" i="2"/>
  <c r="J1245" i="2"/>
  <c r="P1245" i="2" s="1"/>
  <c r="O1244" i="2"/>
  <c r="P1244" i="2" s="1"/>
  <c r="O1243" i="2"/>
  <c r="M1243" i="2"/>
  <c r="P1243" i="2" s="1"/>
  <c r="O1197" i="2"/>
  <c r="L1197" i="2"/>
  <c r="J1197" i="2"/>
  <c r="P1197" i="2" s="1"/>
  <c r="O1196" i="2"/>
  <c r="P1196" i="2" s="1"/>
  <c r="O1195" i="2"/>
  <c r="M1195" i="2"/>
  <c r="P1195" i="2" s="1"/>
  <c r="P1149" i="2"/>
  <c r="O1149" i="2"/>
  <c r="L1149" i="2"/>
  <c r="J1149" i="2"/>
  <c r="O1148" i="2"/>
  <c r="P1148" i="2" s="1"/>
  <c r="O1147" i="2"/>
  <c r="M1147" i="2"/>
  <c r="P1147" i="2" s="1"/>
  <c r="O1101" i="2"/>
  <c r="L1101" i="2"/>
  <c r="J1101" i="2"/>
  <c r="P1101" i="2" s="1"/>
  <c r="O1100" i="2"/>
  <c r="P1100" i="2" s="1"/>
  <c r="O1099" i="2"/>
  <c r="M1099" i="2"/>
  <c r="P1099" i="2" s="1"/>
  <c r="O1053" i="2"/>
  <c r="L1053" i="2"/>
  <c r="J1053" i="2"/>
  <c r="P1053" i="2" s="1"/>
  <c r="O1052" i="2"/>
  <c r="P1052" i="2" s="1"/>
  <c r="O1051" i="2"/>
  <c r="M1051" i="2"/>
  <c r="P1051" i="2" s="1"/>
  <c r="O1005" i="2"/>
  <c r="L1005" i="2"/>
  <c r="J1005" i="2"/>
  <c r="P1005" i="2" s="1"/>
  <c r="O1004" i="2"/>
  <c r="P1004" i="2" s="1"/>
  <c r="O1003" i="2"/>
  <c r="M1003" i="2"/>
  <c r="P1003" i="2" s="1"/>
  <c r="O957" i="2"/>
  <c r="L957" i="2"/>
  <c r="J957" i="2"/>
  <c r="P957" i="2" s="1"/>
  <c r="O956" i="2"/>
  <c r="P956" i="2" s="1"/>
  <c r="O955" i="2"/>
  <c r="M955" i="2"/>
  <c r="P955" i="2" s="1"/>
  <c r="O909" i="2"/>
  <c r="L909" i="2"/>
  <c r="J909" i="2"/>
  <c r="P909" i="2" s="1"/>
  <c r="O908" i="2"/>
  <c r="P908" i="2" s="1"/>
  <c r="O907" i="2"/>
  <c r="M907" i="2"/>
  <c r="P907" i="2" s="1"/>
  <c r="O861" i="2"/>
  <c r="L861" i="2"/>
  <c r="J861" i="2"/>
  <c r="P861" i="2" s="1"/>
  <c r="O860" i="2"/>
  <c r="P860" i="2" s="1"/>
  <c r="O859" i="2"/>
  <c r="M859" i="2"/>
  <c r="P859" i="2" s="1"/>
  <c r="O813" i="2"/>
  <c r="L813" i="2"/>
  <c r="J813" i="2"/>
  <c r="P813" i="2" s="1"/>
  <c r="O812" i="2"/>
  <c r="P812" i="2" s="1"/>
  <c r="O811" i="2"/>
  <c r="M811" i="2"/>
  <c r="P811" i="2" s="1"/>
  <c r="O765" i="2"/>
  <c r="L765" i="2"/>
  <c r="J765" i="2"/>
  <c r="P765" i="2" s="1"/>
  <c r="O764" i="2"/>
  <c r="P764" i="2" s="1"/>
  <c r="O763" i="2"/>
  <c r="M763" i="2"/>
  <c r="P763" i="2" s="1"/>
  <c r="O717" i="2"/>
  <c r="L717" i="2"/>
  <c r="J717" i="2"/>
  <c r="P717" i="2" s="1"/>
  <c r="O716" i="2"/>
  <c r="P716" i="2" s="1"/>
  <c r="O715" i="2"/>
  <c r="M715" i="2"/>
  <c r="P715" i="2" s="1"/>
  <c r="O669" i="2"/>
  <c r="L669" i="2"/>
  <c r="J669" i="2"/>
  <c r="P669" i="2" s="1"/>
  <c r="O668" i="2"/>
  <c r="P668" i="2" s="1"/>
  <c r="O667" i="2"/>
  <c r="M667" i="2"/>
  <c r="P667" i="2" s="1"/>
  <c r="O621" i="2"/>
  <c r="L621" i="2"/>
  <c r="J621" i="2"/>
  <c r="P621" i="2" s="1"/>
  <c r="O620" i="2"/>
  <c r="P620" i="2" s="1"/>
  <c r="O619" i="2"/>
  <c r="M619" i="2"/>
  <c r="P619" i="2" s="1"/>
  <c r="O573" i="2"/>
  <c r="L573" i="2"/>
  <c r="J573" i="2"/>
  <c r="P573" i="2" s="1"/>
  <c r="O572" i="2"/>
  <c r="P572" i="2" s="1"/>
  <c r="O571" i="2"/>
  <c r="M571" i="2"/>
  <c r="P571" i="2" s="1"/>
  <c r="O525" i="2"/>
  <c r="L525" i="2"/>
  <c r="J525" i="2"/>
  <c r="P525" i="2" s="1"/>
  <c r="O524" i="2"/>
  <c r="P524" i="2" s="1"/>
  <c r="O523" i="2"/>
  <c r="M523" i="2"/>
  <c r="P523" i="2" s="1"/>
  <c r="O477" i="2"/>
  <c r="L477" i="2"/>
  <c r="J477" i="2"/>
  <c r="P477" i="2" s="1"/>
  <c r="O476" i="2"/>
  <c r="P476" i="2" s="1"/>
  <c r="O475" i="2"/>
  <c r="M475" i="2"/>
  <c r="P475" i="2" s="1"/>
  <c r="O429" i="2"/>
  <c r="L429" i="2"/>
  <c r="J429" i="2"/>
  <c r="P429" i="2" s="1"/>
  <c r="O428" i="2"/>
  <c r="P428" i="2" s="1"/>
  <c r="O427" i="2"/>
  <c r="M427" i="2"/>
  <c r="P427" i="2" s="1"/>
  <c r="O381" i="2"/>
  <c r="L381" i="2"/>
  <c r="J381" i="2"/>
  <c r="P381" i="2" s="1"/>
  <c r="O380" i="2"/>
  <c r="P380" i="2" s="1"/>
  <c r="O379" i="2"/>
  <c r="M379" i="2"/>
  <c r="P379" i="2" s="1"/>
  <c r="O333" i="2"/>
  <c r="L333" i="2"/>
  <c r="J333" i="2"/>
  <c r="P333" i="2" s="1"/>
  <c r="O332" i="2"/>
  <c r="P332" i="2" s="1"/>
  <c r="O331" i="2"/>
  <c r="M331" i="2"/>
  <c r="P331" i="2" s="1"/>
  <c r="O285" i="2"/>
  <c r="L285" i="2"/>
  <c r="J285" i="2"/>
  <c r="P285" i="2" s="1"/>
  <c r="O284" i="2"/>
  <c r="P284" i="2" s="1"/>
  <c r="O283" i="2"/>
  <c r="M283" i="2"/>
  <c r="P283" i="2" s="1"/>
  <c r="O237" i="2"/>
  <c r="L237" i="2"/>
  <c r="J237" i="2"/>
  <c r="P237" i="2" s="1"/>
  <c r="P236" i="2"/>
  <c r="O236" i="2"/>
  <c r="O235" i="2"/>
  <c r="M235" i="2"/>
  <c r="P235" i="2" s="1"/>
  <c r="O189" i="2"/>
  <c r="L189" i="2"/>
  <c r="J189" i="2"/>
  <c r="P189" i="2" s="1"/>
  <c r="O188" i="2"/>
  <c r="P188" i="2" s="1"/>
  <c r="O187" i="2"/>
  <c r="M187" i="2"/>
  <c r="P187" i="2" s="1"/>
  <c r="K33" i="17" l="1"/>
  <c r="E20" i="2" l="1"/>
  <c r="O22" i="1" l="1"/>
  <c r="O21" i="1"/>
  <c r="M1448" i="2" l="1"/>
  <c r="I76" i="1"/>
  <c r="K143" i="2"/>
  <c r="K95" i="2"/>
  <c r="K143" i="17" l="1"/>
  <c r="K95" i="17"/>
  <c r="P45" i="17"/>
  <c r="E260" i="8"/>
  <c r="E164" i="6" l="1"/>
  <c r="J190" i="19" l="1"/>
  <c r="J142" i="19"/>
  <c r="J94" i="19"/>
  <c r="M152" i="2" l="1"/>
  <c r="R163" i="2" s="1"/>
  <c r="A117" i="2"/>
  <c r="A116" i="2"/>
  <c r="A69" i="2"/>
  <c r="A68" i="2"/>
  <c r="J66" i="2" l="1"/>
  <c r="B113" i="1"/>
  <c r="B112" i="1"/>
  <c r="B111" i="1"/>
  <c r="B65" i="1"/>
  <c r="B17" i="1"/>
  <c r="B16" i="1"/>
  <c r="G113" i="17" l="1"/>
  <c r="G112" i="17"/>
  <c r="J111" i="17"/>
  <c r="G111" i="17"/>
  <c r="J110" i="17"/>
  <c r="I110" i="17"/>
  <c r="G65" i="17"/>
  <c r="G64" i="17"/>
  <c r="J63" i="17"/>
  <c r="G63" i="17"/>
  <c r="J62" i="17"/>
  <c r="I62" i="17"/>
  <c r="G17" i="17"/>
  <c r="G16" i="17"/>
  <c r="G15" i="17"/>
  <c r="J111" i="15"/>
  <c r="J110" i="15"/>
  <c r="I110" i="15"/>
  <c r="J63" i="15"/>
  <c r="J62" i="15"/>
  <c r="I62" i="15"/>
  <c r="G113" i="15"/>
  <c r="G112" i="15"/>
  <c r="G111" i="15"/>
  <c r="G65" i="15"/>
  <c r="G64" i="15"/>
  <c r="G63" i="15"/>
  <c r="G17" i="15"/>
  <c r="G16" i="15"/>
  <c r="G15" i="15"/>
  <c r="H124" i="2" l="1"/>
  <c r="E124" i="2"/>
  <c r="D124" i="2"/>
  <c r="D117" i="2"/>
  <c r="D116" i="2"/>
  <c r="D69" i="2"/>
  <c r="D68" i="2"/>
  <c r="O124" i="2"/>
  <c r="M124" i="2"/>
  <c r="L124" i="2"/>
  <c r="P102" i="1"/>
  <c r="M76" i="2"/>
  <c r="L76" i="2"/>
  <c r="H76" i="2"/>
  <c r="E76" i="2"/>
  <c r="D76" i="2"/>
  <c r="E28" i="2"/>
  <c r="D28" i="2"/>
  <c r="L28" i="2"/>
  <c r="M28" i="2"/>
  <c r="H28" i="2"/>
  <c r="N75" i="13" l="1"/>
  <c r="I75" i="13"/>
  <c r="N123" i="13"/>
  <c r="I123" i="13"/>
  <c r="N171" i="13"/>
  <c r="I171" i="13"/>
  <c r="N219" i="13"/>
  <c r="I219" i="13"/>
  <c r="N267" i="13"/>
  <c r="I267" i="13"/>
  <c r="K95" i="20"/>
  <c r="K143" i="20"/>
  <c r="K191" i="20"/>
  <c r="K190" i="5"/>
  <c r="K142" i="5"/>
  <c r="K94" i="5"/>
  <c r="K143" i="21"/>
  <c r="K95" i="21"/>
  <c r="K143" i="15"/>
  <c r="K95" i="15"/>
  <c r="B20" i="6"/>
  <c r="I555" i="7"/>
  <c r="I507" i="7"/>
  <c r="I459" i="7"/>
  <c r="I411" i="8"/>
  <c r="I363" i="8"/>
  <c r="I315" i="8"/>
  <c r="N219" i="6"/>
  <c r="I219" i="6"/>
  <c r="I315" i="6"/>
  <c r="I267" i="6"/>
  <c r="N267" i="6"/>
  <c r="N315" i="6"/>
  <c r="N555" i="7"/>
  <c r="N507" i="7"/>
  <c r="N459" i="7"/>
  <c r="N411" i="8"/>
  <c r="N363" i="8"/>
  <c r="N315" i="8"/>
  <c r="B20" i="7"/>
  <c r="P45" i="8"/>
  <c r="H62" i="37"/>
  <c r="A424" i="8"/>
  <c r="O401" i="8" s="1"/>
  <c r="A423" i="8"/>
  <c r="A422" i="8"/>
  <c r="C422" i="8" s="1"/>
  <c r="C421" i="8"/>
  <c r="A421" i="8"/>
  <c r="O398" i="8" s="1"/>
  <c r="C420" i="8"/>
  <c r="A420" i="8"/>
  <c r="O397" i="8" s="1"/>
  <c r="A419" i="8"/>
  <c r="C419" i="8" s="1"/>
  <c r="A418" i="8"/>
  <c r="O395" i="8" s="1"/>
  <c r="A417" i="8"/>
  <c r="C417" i="8" s="1"/>
  <c r="A416" i="8"/>
  <c r="O393" i="8" s="1"/>
  <c r="C415" i="8"/>
  <c r="A415" i="8"/>
  <c r="C414" i="8"/>
  <c r="A414" i="8"/>
  <c r="A413" i="8"/>
  <c r="C413" i="8" s="1"/>
  <c r="L412" i="8"/>
  <c r="K412" i="8"/>
  <c r="J412" i="8"/>
  <c r="L411" i="8"/>
  <c r="K411" i="8"/>
  <c r="J411" i="8"/>
  <c r="H411" i="8"/>
  <c r="F410" i="8"/>
  <c r="P406" i="8"/>
  <c r="O406" i="8"/>
  <c r="P405" i="8"/>
  <c r="O405" i="8"/>
  <c r="O404" i="8"/>
  <c r="Q402" i="8" s="1"/>
  <c r="R410" i="8" s="1"/>
  <c r="I401" i="8"/>
  <c r="B401" i="8"/>
  <c r="O400" i="8"/>
  <c r="I400" i="8"/>
  <c r="B400" i="8"/>
  <c r="O399" i="8"/>
  <c r="I399" i="8"/>
  <c r="B399" i="8"/>
  <c r="I398" i="8"/>
  <c r="A398" i="8"/>
  <c r="N397" i="8"/>
  <c r="O396" i="8"/>
  <c r="O392" i="8"/>
  <c r="M392" i="8"/>
  <c r="P390" i="8" s="1"/>
  <c r="O391" i="8"/>
  <c r="O390" i="8"/>
  <c r="O389" i="8"/>
  <c r="H61" i="37"/>
  <c r="A376" i="8"/>
  <c r="A375" i="8"/>
  <c r="A374" i="8"/>
  <c r="C374" i="8" s="1"/>
  <c r="A373" i="8"/>
  <c r="C373" i="8" s="1"/>
  <c r="A372" i="8"/>
  <c r="O349" i="8" s="1"/>
  <c r="C371" i="8"/>
  <c r="A371" i="8"/>
  <c r="A370" i="8"/>
  <c r="O347" i="8" s="1"/>
  <c r="C369" i="8"/>
  <c r="A369" i="8"/>
  <c r="A368" i="8"/>
  <c r="O345" i="8" s="1"/>
  <c r="C367" i="8"/>
  <c r="A367" i="8"/>
  <c r="A366" i="8"/>
  <c r="C366" i="8" s="1"/>
  <c r="A365" i="8"/>
  <c r="O342" i="8" s="1"/>
  <c r="L364" i="8"/>
  <c r="K364" i="8"/>
  <c r="J364" i="8"/>
  <c r="L363" i="8"/>
  <c r="K363" i="8"/>
  <c r="J363" i="8"/>
  <c r="H363" i="8"/>
  <c r="F362" i="8"/>
  <c r="P358" i="8"/>
  <c r="O358" i="8"/>
  <c r="P357" i="8"/>
  <c r="O357" i="8"/>
  <c r="O356" i="8"/>
  <c r="Q358" i="8" s="1"/>
  <c r="O353" i="8"/>
  <c r="I353" i="8"/>
  <c r="B353" i="8"/>
  <c r="O352" i="8"/>
  <c r="I352" i="8"/>
  <c r="B352" i="8"/>
  <c r="O351" i="8"/>
  <c r="I351" i="8"/>
  <c r="B351" i="8"/>
  <c r="I350" i="8"/>
  <c r="A350" i="8"/>
  <c r="N349" i="8"/>
  <c r="O348" i="8"/>
  <c r="O346" i="8"/>
  <c r="O344" i="8"/>
  <c r="M344" i="8"/>
  <c r="P342" i="8" s="1"/>
  <c r="O343" i="8"/>
  <c r="O341" i="8"/>
  <c r="H56" i="37"/>
  <c r="A328" i="8"/>
  <c r="O305" i="8" s="1"/>
  <c r="A327" i="8"/>
  <c r="O304" i="8" s="1"/>
  <c r="A326" i="8"/>
  <c r="C326" i="8" s="1"/>
  <c r="A325" i="8"/>
  <c r="C325" i="8" s="1"/>
  <c r="A324" i="8"/>
  <c r="C324" i="8" s="1"/>
  <c r="A323" i="8"/>
  <c r="C323" i="8" s="1"/>
  <c r="A322" i="8"/>
  <c r="O299" i="8" s="1"/>
  <c r="A321" i="8"/>
  <c r="O298" i="8" s="1"/>
  <c r="A320" i="8"/>
  <c r="C320" i="8" s="1"/>
  <c r="A319" i="8"/>
  <c r="C319" i="8" s="1"/>
  <c r="A318" i="8"/>
  <c r="O295" i="8" s="1"/>
  <c r="A317" i="8"/>
  <c r="O294" i="8" s="1"/>
  <c r="L316" i="8"/>
  <c r="K316" i="8"/>
  <c r="J316" i="8"/>
  <c r="L315" i="8"/>
  <c r="K315" i="8"/>
  <c r="J315" i="8"/>
  <c r="H315" i="8"/>
  <c r="F314" i="8"/>
  <c r="P310" i="8"/>
  <c r="O310" i="8"/>
  <c r="P309" i="8"/>
  <c r="O309" i="8"/>
  <c r="O308" i="8"/>
  <c r="Q310" i="8" s="1"/>
  <c r="I305" i="8"/>
  <c r="B305" i="8"/>
  <c r="I304" i="8"/>
  <c r="B304" i="8"/>
  <c r="I303" i="8"/>
  <c r="B303" i="8"/>
  <c r="O302" i="8"/>
  <c r="I302" i="8"/>
  <c r="N301" i="8"/>
  <c r="M296" i="8"/>
  <c r="P294" i="8" s="1"/>
  <c r="O293" i="8"/>
  <c r="H55" i="37"/>
  <c r="C416" i="8" l="1"/>
  <c r="O394" i="8"/>
  <c r="O350" i="8"/>
  <c r="C365" i="8"/>
  <c r="C418" i="8"/>
  <c r="O300" i="8"/>
  <c r="Q406" i="8"/>
  <c r="Q306" i="8"/>
  <c r="R314" i="8" s="1"/>
  <c r="Q354" i="8"/>
  <c r="R362" i="8" s="1"/>
  <c r="P343" i="8"/>
  <c r="P344" i="8" s="1"/>
  <c r="P391" i="8"/>
  <c r="C368" i="8"/>
  <c r="C370" i="8"/>
  <c r="C372" i="8"/>
  <c r="O296" i="8"/>
  <c r="C317" i="8"/>
  <c r="O297" i="8"/>
  <c r="C318" i="8"/>
  <c r="A302" i="8"/>
  <c r="C321" i="8"/>
  <c r="C322" i="8"/>
  <c r="O301" i="8"/>
  <c r="O303" i="8"/>
  <c r="P295" i="8"/>
  <c r="A280" i="8"/>
  <c r="O257" i="8" s="1"/>
  <c r="A279" i="8"/>
  <c r="O256" i="8" s="1"/>
  <c r="A278" i="8"/>
  <c r="C278" i="8" s="1"/>
  <c r="A277" i="8"/>
  <c r="C277" i="8" s="1"/>
  <c r="A276" i="8"/>
  <c r="C276" i="8" s="1"/>
  <c r="A275" i="8"/>
  <c r="C275" i="8" s="1"/>
  <c r="A274" i="8"/>
  <c r="O251" i="8" s="1"/>
  <c r="A273" i="8"/>
  <c r="C273" i="8" s="1"/>
  <c r="A272" i="8"/>
  <c r="C272" i="8" s="1"/>
  <c r="A271" i="8"/>
  <c r="O248" i="8" s="1"/>
  <c r="A270" i="8"/>
  <c r="C270" i="8" s="1"/>
  <c r="A269" i="8"/>
  <c r="C269" i="8" s="1"/>
  <c r="L268" i="8"/>
  <c r="K268" i="8"/>
  <c r="J268" i="8"/>
  <c r="L267" i="8"/>
  <c r="K267" i="8"/>
  <c r="J267" i="8"/>
  <c r="H267" i="8"/>
  <c r="F266" i="8"/>
  <c r="Q262" i="8"/>
  <c r="P262" i="8"/>
  <c r="O262" i="8"/>
  <c r="P261" i="8"/>
  <c r="O261" i="8"/>
  <c r="O260" i="8"/>
  <c r="Q258" i="8" s="1"/>
  <c r="R266" i="8" s="1"/>
  <c r="I257" i="8"/>
  <c r="B257" i="8"/>
  <c r="I256" i="8"/>
  <c r="B256" i="8"/>
  <c r="I255" i="8"/>
  <c r="B255" i="8"/>
  <c r="I254" i="8"/>
  <c r="N253" i="8"/>
  <c r="M248" i="8"/>
  <c r="P246" i="8" s="1"/>
  <c r="O245" i="8"/>
  <c r="H45" i="37"/>
  <c r="A568" i="7"/>
  <c r="A567" i="7"/>
  <c r="A566" i="7"/>
  <c r="C566" i="7" s="1"/>
  <c r="C565" i="7"/>
  <c r="A565" i="7"/>
  <c r="A564" i="7"/>
  <c r="C564" i="7" s="1"/>
  <c r="A563" i="7"/>
  <c r="O540" i="7" s="1"/>
  <c r="A562" i="7"/>
  <c r="C562" i="7" s="1"/>
  <c r="A561" i="7"/>
  <c r="C561" i="7" s="1"/>
  <c r="A560" i="7"/>
  <c r="C560" i="7" s="1"/>
  <c r="C559" i="7"/>
  <c r="A559" i="7"/>
  <c r="A558" i="7"/>
  <c r="C558" i="7" s="1"/>
  <c r="A557" i="7"/>
  <c r="A542" i="7" s="1"/>
  <c r="L556" i="7"/>
  <c r="K556" i="7"/>
  <c r="J556" i="7"/>
  <c r="L555" i="7"/>
  <c r="K555" i="7"/>
  <c r="J555" i="7"/>
  <c r="H555" i="7"/>
  <c r="F554" i="7"/>
  <c r="P550" i="7"/>
  <c r="O550" i="7"/>
  <c r="P549" i="7"/>
  <c r="O549" i="7"/>
  <c r="O548" i="7"/>
  <c r="Q550" i="7" s="1"/>
  <c r="O545" i="7"/>
  <c r="I545" i="7"/>
  <c r="B545" i="7"/>
  <c r="O544" i="7"/>
  <c r="I544" i="7"/>
  <c r="B544" i="7"/>
  <c r="O543" i="7"/>
  <c r="I543" i="7"/>
  <c r="B543" i="7"/>
  <c r="O542" i="7"/>
  <c r="I542" i="7"/>
  <c r="N541" i="7"/>
  <c r="O539" i="7"/>
  <c r="O538" i="7"/>
  <c r="O537" i="7"/>
  <c r="O536" i="7"/>
  <c r="M536" i="7"/>
  <c r="P534" i="7" s="1"/>
  <c r="O535" i="7"/>
  <c r="O533" i="7"/>
  <c r="H44" i="37"/>
  <c r="A520" i="7"/>
  <c r="A519" i="7"/>
  <c r="A518" i="7"/>
  <c r="C518" i="7" s="1"/>
  <c r="A517" i="7"/>
  <c r="C517" i="7" s="1"/>
  <c r="A516" i="7"/>
  <c r="O493" i="7" s="1"/>
  <c r="A515" i="7"/>
  <c r="O492" i="7" s="1"/>
  <c r="A514" i="7"/>
  <c r="C514" i="7" s="1"/>
  <c r="A513" i="7"/>
  <c r="C513" i="7" s="1"/>
  <c r="A512" i="7"/>
  <c r="C512" i="7" s="1"/>
  <c r="A511" i="7"/>
  <c r="C511" i="7" s="1"/>
  <c r="A510" i="7"/>
  <c r="C510" i="7" s="1"/>
  <c r="A509" i="7"/>
  <c r="A494" i="7" s="1"/>
  <c r="L508" i="7"/>
  <c r="K508" i="7"/>
  <c r="J508" i="7"/>
  <c r="L507" i="7"/>
  <c r="K507" i="7"/>
  <c r="J507" i="7"/>
  <c r="H507" i="7"/>
  <c r="F506" i="7"/>
  <c r="P502" i="7"/>
  <c r="O502" i="7"/>
  <c r="P501" i="7"/>
  <c r="O501" i="7"/>
  <c r="O500" i="7"/>
  <c r="Q502" i="7" s="1"/>
  <c r="O497" i="7"/>
  <c r="I497" i="7"/>
  <c r="B497" i="7"/>
  <c r="O496" i="7"/>
  <c r="I496" i="7"/>
  <c r="B496" i="7"/>
  <c r="I495" i="7"/>
  <c r="B495" i="7"/>
  <c r="O494" i="7"/>
  <c r="I494" i="7"/>
  <c r="N493" i="7"/>
  <c r="O491" i="7"/>
  <c r="O490" i="7"/>
  <c r="O488" i="7"/>
  <c r="M488" i="7"/>
  <c r="O485" i="7"/>
  <c r="H40" i="37"/>
  <c r="A472" i="7"/>
  <c r="O449" i="7" s="1"/>
  <c r="A471" i="7"/>
  <c r="O448" i="7" s="1"/>
  <c r="A470" i="7"/>
  <c r="C470" i="7" s="1"/>
  <c r="A469" i="7"/>
  <c r="C469" i="7" s="1"/>
  <c r="A468" i="7"/>
  <c r="C468" i="7" s="1"/>
  <c r="A467" i="7"/>
  <c r="O444" i="7" s="1"/>
  <c r="A466" i="7"/>
  <c r="C466" i="7" s="1"/>
  <c r="A465" i="7"/>
  <c r="O442" i="7" s="1"/>
  <c r="A464" i="7"/>
  <c r="C464" i="7" s="1"/>
  <c r="A463" i="7"/>
  <c r="C463" i="7" s="1"/>
  <c r="A462" i="7"/>
  <c r="C462" i="7" s="1"/>
  <c r="A461" i="7"/>
  <c r="C461" i="7" s="1"/>
  <c r="L460" i="7"/>
  <c r="K460" i="7"/>
  <c r="J460" i="7"/>
  <c r="L459" i="7"/>
  <c r="K459" i="7"/>
  <c r="J459" i="7"/>
  <c r="H459" i="7"/>
  <c r="F458" i="7"/>
  <c r="P454" i="7"/>
  <c r="O454" i="7"/>
  <c r="P453" i="7"/>
  <c r="O453" i="7"/>
  <c r="O452" i="7"/>
  <c r="Q454" i="7" s="1"/>
  <c r="I449" i="7"/>
  <c r="B449" i="7"/>
  <c r="I448" i="7"/>
  <c r="B448" i="7"/>
  <c r="I447" i="7"/>
  <c r="B447" i="7"/>
  <c r="I446" i="7"/>
  <c r="N445" i="7"/>
  <c r="M440" i="7"/>
  <c r="P438" i="7" s="1"/>
  <c r="O437" i="7"/>
  <c r="H39" i="37"/>
  <c r="G39" i="37"/>
  <c r="E39" i="37"/>
  <c r="D39" i="37"/>
  <c r="C39" i="37"/>
  <c r="B39" i="37"/>
  <c r="A424" i="7"/>
  <c r="O401" i="7" s="1"/>
  <c r="A423" i="7"/>
  <c r="O400" i="7" s="1"/>
  <c r="A422" i="7"/>
  <c r="O399" i="7" s="1"/>
  <c r="A421" i="7"/>
  <c r="C421" i="7" s="1"/>
  <c r="A420" i="7"/>
  <c r="C420" i="7" s="1"/>
  <c r="A419" i="7"/>
  <c r="O396" i="7" s="1"/>
  <c r="A418" i="7"/>
  <c r="C418" i="7" s="1"/>
  <c r="A417" i="7"/>
  <c r="C417" i="7" s="1"/>
  <c r="A416" i="7"/>
  <c r="C416" i="7" s="1"/>
  <c r="A415" i="7"/>
  <c r="O392" i="7" s="1"/>
  <c r="A414" i="7"/>
  <c r="O391" i="7" s="1"/>
  <c r="A413" i="7"/>
  <c r="C413" i="7" s="1"/>
  <c r="L412" i="7"/>
  <c r="K412" i="7"/>
  <c r="J412" i="7"/>
  <c r="L411" i="7"/>
  <c r="K411" i="7"/>
  <c r="J411" i="7"/>
  <c r="H411" i="7"/>
  <c r="F410" i="7"/>
  <c r="Q406" i="7"/>
  <c r="P406" i="7"/>
  <c r="O406" i="7"/>
  <c r="P405" i="7"/>
  <c r="O405" i="7"/>
  <c r="O404" i="7"/>
  <c r="Q402" i="7" s="1"/>
  <c r="R410" i="7" s="1"/>
  <c r="I401" i="7"/>
  <c r="B401" i="7"/>
  <c r="I400" i="7"/>
  <c r="B400" i="7"/>
  <c r="I399" i="7"/>
  <c r="B399" i="7"/>
  <c r="I398" i="7"/>
  <c r="N397" i="7"/>
  <c r="M392" i="7"/>
  <c r="O389" i="7"/>
  <c r="H26" i="37"/>
  <c r="A328" i="6"/>
  <c r="O305" i="6" s="1"/>
  <c r="A327" i="6"/>
  <c r="A326" i="6"/>
  <c r="C326" i="6" s="1"/>
  <c r="A325" i="6"/>
  <c r="C325" i="6" s="1"/>
  <c r="A324" i="6"/>
  <c r="C324" i="6" s="1"/>
  <c r="A323" i="6"/>
  <c r="C323" i="6" s="1"/>
  <c r="A322" i="6"/>
  <c r="O299" i="6" s="1"/>
  <c r="A321" i="6"/>
  <c r="C321" i="6" s="1"/>
  <c r="A320" i="6"/>
  <c r="O297" i="6" s="1"/>
  <c r="C319" i="6"/>
  <c r="A319" i="6"/>
  <c r="A318" i="6"/>
  <c r="C318" i="6" s="1"/>
  <c r="A317" i="6"/>
  <c r="C317" i="6" s="1"/>
  <c r="L316" i="6"/>
  <c r="K316" i="6"/>
  <c r="J316" i="6"/>
  <c r="L315" i="6"/>
  <c r="K315" i="6"/>
  <c r="J315" i="6"/>
  <c r="H315" i="6"/>
  <c r="F314" i="6"/>
  <c r="P310" i="6"/>
  <c r="O310" i="6"/>
  <c r="P309" i="6"/>
  <c r="O309" i="6"/>
  <c r="O308" i="6"/>
  <c r="Q306" i="6" s="1"/>
  <c r="R314" i="6" s="1"/>
  <c r="I305" i="6"/>
  <c r="B305" i="6"/>
  <c r="O304" i="6"/>
  <c r="I304" i="6"/>
  <c r="B304" i="6"/>
  <c r="O303" i="6"/>
  <c r="I303" i="6"/>
  <c r="B303" i="6"/>
  <c r="O302" i="6"/>
  <c r="I302" i="6"/>
  <c r="N301" i="6"/>
  <c r="O300" i="6"/>
  <c r="O298" i="6"/>
  <c r="O296" i="6"/>
  <c r="M296" i="6"/>
  <c r="P294" i="6" s="1"/>
  <c r="O295" i="6"/>
  <c r="O293" i="6"/>
  <c r="H25" i="37"/>
  <c r="A280" i="6"/>
  <c r="A279" i="6"/>
  <c r="A278" i="6"/>
  <c r="C278" i="6" s="1"/>
  <c r="A277" i="6"/>
  <c r="C277" i="6" s="1"/>
  <c r="C276" i="6"/>
  <c r="A276" i="6"/>
  <c r="A275" i="6"/>
  <c r="C275" i="6" s="1"/>
  <c r="A274" i="6"/>
  <c r="O251" i="6" s="1"/>
  <c r="A273" i="6"/>
  <c r="C273" i="6" s="1"/>
  <c r="A272" i="6"/>
  <c r="C272" i="6" s="1"/>
  <c r="A271" i="6"/>
  <c r="O248" i="6" s="1"/>
  <c r="C270" i="6"/>
  <c r="A270" i="6"/>
  <c r="A269" i="6"/>
  <c r="C269" i="6" s="1"/>
  <c r="L268" i="6"/>
  <c r="K268" i="6"/>
  <c r="J268" i="6"/>
  <c r="L267" i="6"/>
  <c r="K267" i="6"/>
  <c r="J267" i="6"/>
  <c r="H267" i="6"/>
  <c r="F266" i="6"/>
  <c r="P262" i="6"/>
  <c r="O262" i="6"/>
  <c r="P261" i="6"/>
  <c r="O261" i="6"/>
  <c r="O260" i="6"/>
  <c r="Q258" i="6" s="1"/>
  <c r="R266" i="6" s="1"/>
  <c r="O257" i="6"/>
  <c r="I257" i="6"/>
  <c r="B257" i="6"/>
  <c r="O256" i="6"/>
  <c r="I256" i="6"/>
  <c r="B256" i="6"/>
  <c r="O255" i="6"/>
  <c r="I255" i="6"/>
  <c r="B255" i="6"/>
  <c r="I254" i="6"/>
  <c r="A254" i="6"/>
  <c r="O253" i="6"/>
  <c r="N253" i="6"/>
  <c r="O252" i="6"/>
  <c r="O250" i="6"/>
  <c r="O249" i="6"/>
  <c r="M248" i="6"/>
  <c r="P246" i="6" s="1"/>
  <c r="O247" i="6"/>
  <c r="O246" i="6"/>
  <c r="O245" i="6"/>
  <c r="H20" i="37"/>
  <c r="A232" i="6"/>
  <c r="O209" i="6" s="1"/>
  <c r="A231" i="6"/>
  <c r="A230" i="6"/>
  <c r="C230" i="6" s="1"/>
  <c r="A229" i="6"/>
  <c r="C229" i="6" s="1"/>
  <c r="A228" i="6"/>
  <c r="C228" i="6" s="1"/>
  <c r="A227" i="6"/>
  <c r="C227" i="6" s="1"/>
  <c r="A226" i="6"/>
  <c r="O203" i="6" s="1"/>
  <c r="A225" i="6"/>
  <c r="O202" i="6" s="1"/>
  <c r="A224" i="6"/>
  <c r="C224" i="6" s="1"/>
  <c r="A223" i="6"/>
  <c r="C223" i="6" s="1"/>
  <c r="A222" i="6"/>
  <c r="C222" i="6" s="1"/>
  <c r="A221" i="6"/>
  <c r="A206" i="6" s="1"/>
  <c r="L220" i="6"/>
  <c r="K220" i="6"/>
  <c r="J220" i="6"/>
  <c r="L219" i="6"/>
  <c r="K219" i="6"/>
  <c r="J219" i="6"/>
  <c r="H219" i="6"/>
  <c r="F218" i="6"/>
  <c r="P214" i="6"/>
  <c r="O214" i="6"/>
  <c r="P213" i="6"/>
  <c r="O213" i="6"/>
  <c r="O212" i="6"/>
  <c r="Q210" i="6" s="1"/>
  <c r="R218" i="6" s="1"/>
  <c r="I209" i="6"/>
  <c r="B209" i="6"/>
  <c r="O208" i="6"/>
  <c r="I208" i="6"/>
  <c r="B208" i="6"/>
  <c r="I207" i="6"/>
  <c r="B207" i="6"/>
  <c r="I206" i="6"/>
  <c r="N205" i="6"/>
  <c r="M200" i="6"/>
  <c r="P198" i="6" s="1"/>
  <c r="O199" i="6"/>
  <c r="O197" i="6"/>
  <c r="H19" i="37"/>
  <c r="G19" i="37"/>
  <c r="E19" i="37"/>
  <c r="D19" i="37"/>
  <c r="C19" i="37"/>
  <c r="B19" i="37"/>
  <c r="A184" i="6"/>
  <c r="O161" i="6" s="1"/>
  <c r="A183" i="6"/>
  <c r="O160" i="6" s="1"/>
  <c r="A182" i="6"/>
  <c r="C182" i="6" s="1"/>
  <c r="A181" i="6"/>
  <c r="C181" i="6" s="1"/>
  <c r="A180" i="6"/>
  <c r="C180" i="6" s="1"/>
  <c r="A179" i="6"/>
  <c r="C179" i="6" s="1"/>
  <c r="A178" i="6"/>
  <c r="C178" i="6" s="1"/>
  <c r="A177" i="6"/>
  <c r="O154" i="6" s="1"/>
  <c r="A176" i="6"/>
  <c r="C176" i="6" s="1"/>
  <c r="A175" i="6"/>
  <c r="O152" i="6" s="1"/>
  <c r="A174" i="6"/>
  <c r="C174" i="6" s="1"/>
  <c r="A173" i="6"/>
  <c r="A158" i="6" s="1"/>
  <c r="L172" i="6"/>
  <c r="K172" i="6"/>
  <c r="J172" i="6"/>
  <c r="L171" i="6"/>
  <c r="K171" i="6"/>
  <c r="J171" i="6"/>
  <c r="H171" i="6"/>
  <c r="F170" i="6"/>
  <c r="P166" i="6"/>
  <c r="O166" i="6"/>
  <c r="P165" i="6"/>
  <c r="O165" i="6"/>
  <c r="O164" i="6"/>
  <c r="Q166" i="6" s="1"/>
  <c r="I161" i="6"/>
  <c r="B161" i="6"/>
  <c r="I160" i="6"/>
  <c r="B160" i="6"/>
  <c r="I159" i="6"/>
  <c r="B159" i="6"/>
  <c r="I158" i="6"/>
  <c r="N157" i="6"/>
  <c r="M152" i="6"/>
  <c r="O149" i="6"/>
  <c r="Q450" i="7" l="1"/>
  <c r="R458" i="7" s="1"/>
  <c r="Q546" i="7"/>
  <c r="R554" i="7" s="1"/>
  <c r="Q310" i="6"/>
  <c r="Q214" i="6"/>
  <c r="O534" i="7"/>
  <c r="C271" i="6"/>
  <c r="O486" i="7"/>
  <c r="C557" i="7"/>
  <c r="C563" i="7"/>
  <c r="O487" i="7"/>
  <c r="A302" i="6"/>
  <c r="O495" i="7"/>
  <c r="O489" i="7"/>
  <c r="C515" i="7"/>
  <c r="O204" i="6"/>
  <c r="O294" i="6"/>
  <c r="C509" i="7"/>
  <c r="O254" i="6"/>
  <c r="O541" i="7"/>
  <c r="C516" i="7"/>
  <c r="C274" i="6"/>
  <c r="O439" i="7"/>
  <c r="Q262" i="6"/>
  <c r="Q498" i="7"/>
  <c r="R506" i="7" s="1"/>
  <c r="P392" i="8"/>
  <c r="P345" i="8"/>
  <c r="O252" i="8"/>
  <c r="P296" i="8"/>
  <c r="O250" i="8"/>
  <c r="C271" i="8"/>
  <c r="O254" i="8"/>
  <c r="O255" i="8"/>
  <c r="O246" i="8"/>
  <c r="O247" i="8"/>
  <c r="A254" i="8"/>
  <c r="P247" i="8"/>
  <c r="O249" i="8"/>
  <c r="O253" i="8"/>
  <c r="C274" i="8"/>
  <c r="P535" i="7"/>
  <c r="P486" i="7"/>
  <c r="O445" i="7"/>
  <c r="O394" i="7"/>
  <c r="O443" i="7"/>
  <c r="C465" i="7"/>
  <c r="O438" i="7"/>
  <c r="A446" i="7"/>
  <c r="C467" i="7"/>
  <c r="O440" i="7"/>
  <c r="O446" i="7"/>
  <c r="O441" i="7"/>
  <c r="O447" i="7"/>
  <c r="P439" i="7"/>
  <c r="O398" i="7"/>
  <c r="O395" i="7"/>
  <c r="O397" i="7"/>
  <c r="A398" i="7"/>
  <c r="C419" i="7"/>
  <c r="O390" i="7"/>
  <c r="C414" i="7"/>
  <c r="C415" i="7"/>
  <c r="O393" i="7"/>
  <c r="C422" i="7"/>
  <c r="P390" i="7"/>
  <c r="C320" i="6"/>
  <c r="C322" i="6"/>
  <c r="P295" i="6"/>
  <c r="O301" i="6"/>
  <c r="P247" i="6"/>
  <c r="O201" i="6"/>
  <c r="O206" i="6"/>
  <c r="O205" i="6"/>
  <c r="O207" i="6"/>
  <c r="O200" i="6"/>
  <c r="C225" i="6"/>
  <c r="C226" i="6"/>
  <c r="C221" i="6"/>
  <c r="O198" i="6"/>
  <c r="P199" i="6"/>
  <c r="O156" i="6"/>
  <c r="O155" i="6"/>
  <c r="O150" i="6"/>
  <c r="O159" i="6"/>
  <c r="P150" i="6"/>
  <c r="O158" i="6"/>
  <c r="O151" i="6"/>
  <c r="C173" i="6"/>
  <c r="C175" i="6"/>
  <c r="C177" i="6"/>
  <c r="O153" i="6"/>
  <c r="O157" i="6"/>
  <c r="Q162" i="6"/>
  <c r="R170" i="6" s="1"/>
  <c r="P393" i="8" l="1"/>
  <c r="P346" i="8"/>
  <c r="P297" i="8"/>
  <c r="P248" i="8"/>
  <c r="P536" i="7"/>
  <c r="P487" i="7"/>
  <c r="P440" i="7"/>
  <c r="P391" i="7"/>
  <c r="P296" i="6"/>
  <c r="P248" i="6"/>
  <c r="P200" i="6"/>
  <c r="P151" i="6"/>
  <c r="P394" i="8" l="1"/>
  <c r="P347" i="8"/>
  <c r="P298" i="8"/>
  <c r="P249" i="8"/>
  <c r="P537" i="7"/>
  <c r="P488" i="7"/>
  <c r="P441" i="7"/>
  <c r="P392" i="7"/>
  <c r="P297" i="6"/>
  <c r="P249" i="6"/>
  <c r="P201" i="6"/>
  <c r="P152" i="6"/>
  <c r="I116" i="36"/>
  <c r="A280" i="13"/>
  <c r="A279" i="13"/>
  <c r="A278" i="13"/>
  <c r="C278" i="13" s="1"/>
  <c r="A277" i="13"/>
  <c r="C277" i="13" s="1"/>
  <c r="A276" i="13"/>
  <c r="C276" i="13" s="1"/>
  <c r="A275" i="13"/>
  <c r="C275" i="13" s="1"/>
  <c r="A274" i="13"/>
  <c r="C274" i="13" s="1"/>
  <c r="A273" i="13"/>
  <c r="C273" i="13" s="1"/>
  <c r="A272" i="13"/>
  <c r="C272" i="13" s="1"/>
  <c r="A271" i="13"/>
  <c r="C271" i="13" s="1"/>
  <c r="A270" i="13"/>
  <c r="C270" i="13" s="1"/>
  <c r="A269" i="13"/>
  <c r="C269" i="13" s="1"/>
  <c r="L268" i="13"/>
  <c r="K268" i="13"/>
  <c r="J268" i="13"/>
  <c r="L267" i="13"/>
  <c r="K267" i="13"/>
  <c r="J267" i="13"/>
  <c r="H267" i="13"/>
  <c r="R266" i="13"/>
  <c r="F266" i="13"/>
  <c r="Q262" i="13"/>
  <c r="P262" i="13"/>
  <c r="O262" i="13"/>
  <c r="P261" i="13"/>
  <c r="O261" i="13"/>
  <c r="O260" i="13"/>
  <c r="Q258" i="13"/>
  <c r="O257" i="13"/>
  <c r="I257" i="13"/>
  <c r="B257" i="13"/>
  <c r="O256" i="13"/>
  <c r="I256" i="13"/>
  <c r="B256" i="13"/>
  <c r="O255" i="13"/>
  <c r="I255" i="13"/>
  <c r="B255" i="13"/>
  <c r="I254" i="13"/>
  <c r="A254" i="13"/>
  <c r="O253" i="13"/>
  <c r="N253" i="13"/>
  <c r="O252" i="13"/>
  <c r="O251" i="13"/>
  <c r="O250" i="13"/>
  <c r="O248" i="13"/>
  <c r="M248" i="13"/>
  <c r="P246" i="13" s="1"/>
  <c r="O246" i="13"/>
  <c r="O245" i="13"/>
  <c r="I115" i="36"/>
  <c r="A232" i="13"/>
  <c r="A231" i="13"/>
  <c r="O208" i="13" s="1"/>
  <c r="A230" i="13"/>
  <c r="C230" i="13" s="1"/>
  <c r="A229" i="13"/>
  <c r="A228" i="13"/>
  <c r="C228" i="13" s="1"/>
  <c r="A227" i="13"/>
  <c r="C227" i="13" s="1"/>
  <c r="A226" i="13"/>
  <c r="C226" i="13" s="1"/>
  <c r="A225" i="13"/>
  <c r="A224" i="13"/>
  <c r="C224" i="13" s="1"/>
  <c r="A223" i="13"/>
  <c r="C223" i="13" s="1"/>
  <c r="A222" i="13"/>
  <c r="C222" i="13" s="1"/>
  <c r="A221" i="13"/>
  <c r="L220" i="13"/>
  <c r="K220" i="13"/>
  <c r="J220" i="13"/>
  <c r="L219" i="13"/>
  <c r="K219" i="13"/>
  <c r="J219" i="13"/>
  <c r="H219" i="13"/>
  <c r="F218" i="13"/>
  <c r="P214" i="13"/>
  <c r="O214" i="13"/>
  <c r="P213" i="13"/>
  <c r="O213" i="13"/>
  <c r="O212" i="13"/>
  <c r="Q214" i="13" s="1"/>
  <c r="O209" i="13"/>
  <c r="I209" i="13"/>
  <c r="B209" i="13"/>
  <c r="I208" i="13"/>
  <c r="B208" i="13"/>
  <c r="O207" i="13"/>
  <c r="I207" i="13"/>
  <c r="B207" i="13"/>
  <c r="I206" i="13"/>
  <c r="N205" i="13"/>
  <c r="O200" i="13"/>
  <c r="M200" i="13"/>
  <c r="O199" i="13"/>
  <c r="O198" i="13"/>
  <c r="O197" i="13"/>
  <c r="I114" i="36"/>
  <c r="Q166" i="13"/>
  <c r="Q162" i="13"/>
  <c r="R170" i="13" s="1"/>
  <c r="L172" i="13"/>
  <c r="K172" i="13"/>
  <c r="J172" i="13"/>
  <c r="L171" i="13"/>
  <c r="K171" i="13"/>
  <c r="J171" i="13"/>
  <c r="H171" i="13"/>
  <c r="F170" i="13"/>
  <c r="P166" i="13"/>
  <c r="O166" i="13"/>
  <c r="P165" i="13"/>
  <c r="O165" i="13"/>
  <c r="O164" i="13"/>
  <c r="I161" i="13"/>
  <c r="B161" i="13"/>
  <c r="I160" i="13"/>
  <c r="B160" i="13"/>
  <c r="I159" i="13"/>
  <c r="B159" i="13"/>
  <c r="I158" i="13"/>
  <c r="N157" i="13"/>
  <c r="M152" i="13"/>
  <c r="P150" i="13" s="1"/>
  <c r="O149" i="13"/>
  <c r="A175" i="13"/>
  <c r="A176" i="13"/>
  <c r="C176" i="13" s="1"/>
  <c r="A177" i="13"/>
  <c r="A178" i="13"/>
  <c r="A179" i="13"/>
  <c r="A180" i="13"/>
  <c r="A174" i="13"/>
  <c r="C174" i="13" s="1"/>
  <c r="I109" i="36"/>
  <c r="A136" i="13"/>
  <c r="O113" i="13" s="1"/>
  <c r="A135" i="13"/>
  <c r="O112" i="13" s="1"/>
  <c r="A134" i="13"/>
  <c r="C134" i="13" s="1"/>
  <c r="A133" i="13"/>
  <c r="C133" i="13" s="1"/>
  <c r="A132" i="13"/>
  <c r="C132" i="13" s="1"/>
  <c r="A131" i="13"/>
  <c r="C131" i="13" s="1"/>
  <c r="A130" i="13"/>
  <c r="C130" i="13" s="1"/>
  <c r="A129" i="13"/>
  <c r="A128" i="13"/>
  <c r="C128" i="13" s="1"/>
  <c r="A127" i="13"/>
  <c r="A126" i="13"/>
  <c r="C126" i="13" s="1"/>
  <c r="A125" i="13"/>
  <c r="L124" i="13"/>
  <c r="K124" i="13"/>
  <c r="J124" i="13"/>
  <c r="L123" i="13"/>
  <c r="K123" i="13"/>
  <c r="J123" i="13"/>
  <c r="H123" i="13"/>
  <c r="F122" i="13"/>
  <c r="P118" i="13"/>
  <c r="O118" i="13"/>
  <c r="P117" i="13"/>
  <c r="O117" i="13"/>
  <c r="O116" i="13"/>
  <c r="Q118" i="13" s="1"/>
  <c r="I113" i="13"/>
  <c r="B113" i="13"/>
  <c r="I112" i="13"/>
  <c r="B112" i="13"/>
  <c r="I111" i="13"/>
  <c r="B111" i="13"/>
  <c r="I110" i="13"/>
  <c r="N109" i="13"/>
  <c r="M104" i="13"/>
  <c r="O101" i="13"/>
  <c r="I108" i="36"/>
  <c r="A88" i="13"/>
  <c r="O65" i="13" s="1"/>
  <c r="A87" i="13"/>
  <c r="O64" i="13" s="1"/>
  <c r="A86" i="13"/>
  <c r="C86" i="13" s="1"/>
  <c r="A85" i="13"/>
  <c r="C85" i="13" s="1"/>
  <c r="A84" i="13"/>
  <c r="C84" i="13" s="1"/>
  <c r="A83" i="13"/>
  <c r="A82" i="13"/>
  <c r="A81" i="13"/>
  <c r="C81" i="13" s="1"/>
  <c r="A80" i="13"/>
  <c r="C80" i="13" s="1"/>
  <c r="A79" i="13"/>
  <c r="C79" i="13" s="1"/>
  <c r="A78" i="13"/>
  <c r="C78" i="13" s="1"/>
  <c r="A77" i="13"/>
  <c r="C77" i="13" s="1"/>
  <c r="L76" i="13"/>
  <c r="K76" i="13"/>
  <c r="J76" i="13"/>
  <c r="L75" i="13"/>
  <c r="K75" i="13"/>
  <c r="J75" i="13"/>
  <c r="H75" i="13"/>
  <c r="F74" i="13"/>
  <c r="P70" i="13"/>
  <c r="O70" i="13"/>
  <c r="P69" i="13"/>
  <c r="O69" i="13"/>
  <c r="O68" i="13"/>
  <c r="Q70" i="13" s="1"/>
  <c r="I65" i="13"/>
  <c r="B65" i="13"/>
  <c r="I64" i="13"/>
  <c r="B64" i="13"/>
  <c r="I63" i="13"/>
  <c r="B63" i="13"/>
  <c r="I62" i="13"/>
  <c r="N61" i="13"/>
  <c r="M56" i="13"/>
  <c r="P54" i="13" s="1"/>
  <c r="O53" i="13"/>
  <c r="P22" i="13"/>
  <c r="O22" i="13"/>
  <c r="R24" i="13" s="1"/>
  <c r="P21" i="13"/>
  <c r="O21" i="13"/>
  <c r="R23" i="13" s="1"/>
  <c r="O20" i="13"/>
  <c r="Q18" i="13" s="1"/>
  <c r="R26" i="13" s="1"/>
  <c r="B21" i="13"/>
  <c r="B20" i="13"/>
  <c r="F26" i="13"/>
  <c r="L28" i="13"/>
  <c r="K28" i="13"/>
  <c r="J28" i="13"/>
  <c r="I15" i="13"/>
  <c r="I16" i="13"/>
  <c r="I17" i="13"/>
  <c r="I14" i="13"/>
  <c r="G69" i="37"/>
  <c r="E69" i="37"/>
  <c r="D69" i="37"/>
  <c r="C69" i="37"/>
  <c r="B69" i="37"/>
  <c r="A136" i="17"/>
  <c r="A135" i="17"/>
  <c r="O112" i="17" s="1"/>
  <c r="A134" i="17"/>
  <c r="O111" i="17" s="1"/>
  <c r="A133" i="17"/>
  <c r="O110" i="17" s="1"/>
  <c r="A132" i="17"/>
  <c r="A131" i="17"/>
  <c r="O108" i="17" s="1"/>
  <c r="A130" i="17"/>
  <c r="O107" i="17" s="1"/>
  <c r="A129" i="17"/>
  <c r="O106" i="17" s="1"/>
  <c r="A128" i="17"/>
  <c r="A127" i="17"/>
  <c r="A126" i="17"/>
  <c r="O103" i="17" s="1"/>
  <c r="A125" i="17"/>
  <c r="F122" i="17"/>
  <c r="B117" i="17"/>
  <c r="B116" i="17"/>
  <c r="O113" i="17"/>
  <c r="A110" i="17"/>
  <c r="O109" i="17"/>
  <c r="O105" i="17"/>
  <c r="O104" i="17"/>
  <c r="M104" i="17"/>
  <c r="G110" i="17" s="1"/>
  <c r="O102" i="17"/>
  <c r="O101" i="17"/>
  <c r="G68" i="37"/>
  <c r="E68" i="37"/>
  <c r="D68" i="37"/>
  <c r="C68" i="37"/>
  <c r="B68" i="37"/>
  <c r="A88" i="17"/>
  <c r="O65" i="17" s="1"/>
  <c r="A87" i="17"/>
  <c r="O64" i="17" s="1"/>
  <c r="A86" i="17"/>
  <c r="O63" i="17" s="1"/>
  <c r="A85" i="17"/>
  <c r="A84" i="17"/>
  <c r="A83" i="17"/>
  <c r="O60" i="17" s="1"/>
  <c r="A82" i="17"/>
  <c r="O59" i="17" s="1"/>
  <c r="A81" i="17"/>
  <c r="A80" i="17"/>
  <c r="A79" i="17"/>
  <c r="A78" i="17"/>
  <c r="O55" i="17" s="1"/>
  <c r="A77" i="17"/>
  <c r="A62" i="17" s="1"/>
  <c r="F74" i="17"/>
  <c r="B69" i="17"/>
  <c r="B68" i="17"/>
  <c r="O62" i="17"/>
  <c r="O61" i="17"/>
  <c r="O58" i="17"/>
  <c r="O57" i="17"/>
  <c r="O56" i="17"/>
  <c r="M56" i="17"/>
  <c r="O54" i="17"/>
  <c r="O53" i="17"/>
  <c r="A40" i="17"/>
  <c r="O17" i="17" s="1"/>
  <c r="A39" i="17"/>
  <c r="O16" i="17" s="1"/>
  <c r="A38" i="17"/>
  <c r="O15" i="17" s="1"/>
  <c r="A37" i="17"/>
  <c r="O14" i="17" s="1"/>
  <c r="A36" i="17"/>
  <c r="O13" i="17" s="1"/>
  <c r="A35" i="17"/>
  <c r="O12" i="17" s="1"/>
  <c r="A34" i="17"/>
  <c r="O11" i="17" s="1"/>
  <c r="A33" i="17"/>
  <c r="O10" i="17" s="1"/>
  <c r="A32" i="17"/>
  <c r="O9" i="17" s="1"/>
  <c r="A31" i="17"/>
  <c r="O8" i="17" s="1"/>
  <c r="A30" i="17"/>
  <c r="O7" i="17" s="1"/>
  <c r="A29" i="17"/>
  <c r="A14" i="17" s="1"/>
  <c r="F26" i="17"/>
  <c r="B21" i="17"/>
  <c r="B20" i="17"/>
  <c r="M8" i="17"/>
  <c r="G14" i="17" s="1"/>
  <c r="O5" i="17"/>
  <c r="H54" i="37"/>
  <c r="H53" i="37"/>
  <c r="S239" i="8"/>
  <c r="R239" i="8"/>
  <c r="K239" i="8"/>
  <c r="R238" i="8"/>
  <c r="R237" i="8"/>
  <c r="S236" i="8"/>
  <c r="R236" i="8"/>
  <c r="N220" i="8"/>
  <c r="K220" i="8"/>
  <c r="J220" i="8"/>
  <c r="I220" i="8"/>
  <c r="N219" i="8"/>
  <c r="K219" i="8"/>
  <c r="J219" i="8"/>
  <c r="I219" i="8"/>
  <c r="H219" i="8"/>
  <c r="F218" i="8"/>
  <c r="P214" i="8"/>
  <c r="O214" i="8"/>
  <c r="P213" i="8"/>
  <c r="O213" i="8"/>
  <c r="I213" i="8"/>
  <c r="H213" i="8"/>
  <c r="G213" i="8"/>
  <c r="O212" i="8"/>
  <c r="Q210" i="8" s="1"/>
  <c r="R218" i="8" s="1"/>
  <c r="B209" i="8"/>
  <c r="B208" i="8"/>
  <c r="B207" i="8"/>
  <c r="I206" i="8"/>
  <c r="A206" i="8"/>
  <c r="N205" i="8"/>
  <c r="M200" i="8"/>
  <c r="P198" i="8" s="1"/>
  <c r="O197" i="8"/>
  <c r="A232" i="8" s="1"/>
  <c r="S191" i="8"/>
  <c r="R191" i="8"/>
  <c r="K191" i="8"/>
  <c r="R190" i="8"/>
  <c r="R189" i="8"/>
  <c r="S188" i="8"/>
  <c r="R188" i="8"/>
  <c r="N172" i="8"/>
  <c r="K172" i="8"/>
  <c r="J172" i="8"/>
  <c r="I172" i="8"/>
  <c r="N171" i="8"/>
  <c r="K171" i="8"/>
  <c r="J171" i="8"/>
  <c r="I171" i="8"/>
  <c r="H171" i="8"/>
  <c r="F170" i="8"/>
  <c r="P166" i="8"/>
  <c r="O166" i="8"/>
  <c r="P165" i="8"/>
  <c r="O165" i="8"/>
  <c r="I165" i="8"/>
  <c r="H165" i="8"/>
  <c r="G165" i="8"/>
  <c r="O164" i="8"/>
  <c r="Q162" i="8" s="1"/>
  <c r="R170" i="8" s="1"/>
  <c r="B161" i="8"/>
  <c r="B160" i="8"/>
  <c r="B159" i="8"/>
  <c r="I158" i="8"/>
  <c r="A158" i="8"/>
  <c r="N157" i="8"/>
  <c r="M152" i="8"/>
  <c r="P150" i="8" s="1"/>
  <c r="O149" i="8"/>
  <c r="A184" i="8" s="1"/>
  <c r="H52" i="37"/>
  <c r="S143" i="8"/>
  <c r="R143" i="8"/>
  <c r="K143" i="8"/>
  <c r="R142" i="8"/>
  <c r="R141" i="8"/>
  <c r="S140" i="8"/>
  <c r="R140" i="8"/>
  <c r="N124" i="8"/>
  <c r="K124" i="8"/>
  <c r="J124" i="8"/>
  <c r="I124" i="8"/>
  <c r="N123" i="8"/>
  <c r="K123" i="8"/>
  <c r="J123" i="8"/>
  <c r="I123" i="8"/>
  <c r="H123" i="8"/>
  <c r="F122" i="8"/>
  <c r="P118" i="8"/>
  <c r="O118" i="8"/>
  <c r="P117" i="8"/>
  <c r="O117" i="8"/>
  <c r="I117" i="8"/>
  <c r="H117" i="8"/>
  <c r="G117" i="8"/>
  <c r="O116" i="8"/>
  <c r="Q114" i="8" s="1"/>
  <c r="R122" i="8" s="1"/>
  <c r="B113" i="8"/>
  <c r="B112" i="8"/>
  <c r="B111" i="8"/>
  <c r="I110" i="8"/>
  <c r="A110" i="8"/>
  <c r="N109" i="8"/>
  <c r="M104" i="8"/>
  <c r="P102" i="8" s="1"/>
  <c r="O101" i="8"/>
  <c r="A136" i="8" s="1"/>
  <c r="H51" i="37"/>
  <c r="S95" i="8"/>
  <c r="R95" i="8"/>
  <c r="K95" i="8"/>
  <c r="R94" i="8"/>
  <c r="R93" i="8"/>
  <c r="S92" i="8"/>
  <c r="R92" i="8"/>
  <c r="N76" i="8"/>
  <c r="K76" i="8"/>
  <c r="J76" i="8"/>
  <c r="I76" i="8"/>
  <c r="N75" i="8"/>
  <c r="K75" i="8"/>
  <c r="J75" i="8"/>
  <c r="I75" i="8"/>
  <c r="H75" i="8"/>
  <c r="F74" i="8"/>
  <c r="P70" i="8"/>
  <c r="O70" i="8"/>
  <c r="P69" i="8"/>
  <c r="O69" i="8"/>
  <c r="H69" i="8"/>
  <c r="I69" i="8" s="1"/>
  <c r="G69" i="8"/>
  <c r="O68" i="8"/>
  <c r="Q66" i="8" s="1"/>
  <c r="R74" i="8" s="1"/>
  <c r="B65" i="8"/>
  <c r="B64" i="8"/>
  <c r="B63" i="8"/>
  <c r="I62" i="8"/>
  <c r="A62" i="8"/>
  <c r="N61" i="8"/>
  <c r="M56" i="8"/>
  <c r="P54" i="8" s="1"/>
  <c r="O53" i="8"/>
  <c r="A86" i="8" s="1"/>
  <c r="H50" i="37"/>
  <c r="S47" i="8"/>
  <c r="R47" i="8"/>
  <c r="R46" i="8"/>
  <c r="R45" i="8"/>
  <c r="S44" i="8"/>
  <c r="R44" i="8"/>
  <c r="N28" i="8"/>
  <c r="K28" i="8"/>
  <c r="J28" i="8"/>
  <c r="I28" i="8"/>
  <c r="N27" i="8"/>
  <c r="K27" i="8"/>
  <c r="J27" i="8"/>
  <c r="I27" i="8"/>
  <c r="H27" i="8"/>
  <c r="F26" i="8"/>
  <c r="P22" i="8"/>
  <c r="O22" i="8"/>
  <c r="P21" i="8"/>
  <c r="O21" i="8"/>
  <c r="H21" i="8"/>
  <c r="I21" i="8" s="1"/>
  <c r="G21" i="8"/>
  <c r="B21" i="8"/>
  <c r="O20" i="8"/>
  <c r="Q22" i="8" s="1"/>
  <c r="B20" i="8"/>
  <c r="B17" i="8"/>
  <c r="B16" i="8"/>
  <c r="B15" i="8"/>
  <c r="I14" i="8"/>
  <c r="A14" i="8"/>
  <c r="N13" i="8"/>
  <c r="M8" i="8"/>
  <c r="P6" i="8" s="1"/>
  <c r="O5" i="8"/>
  <c r="A39" i="8" s="1"/>
  <c r="O249" i="13" l="1"/>
  <c r="B260" i="8"/>
  <c r="B68" i="8"/>
  <c r="B356" i="8"/>
  <c r="B116" i="8"/>
  <c r="B404" i="8"/>
  <c r="B164" i="8"/>
  <c r="B212" i="8"/>
  <c r="B308" i="8"/>
  <c r="A110" i="13"/>
  <c r="C125" i="13"/>
  <c r="O206" i="13"/>
  <c r="C229" i="13"/>
  <c r="O104" i="13"/>
  <c r="C127" i="13"/>
  <c r="O157" i="13"/>
  <c r="C180" i="13"/>
  <c r="O156" i="13"/>
  <c r="C179" i="13"/>
  <c r="O203" i="13"/>
  <c r="O106" i="13"/>
  <c r="C129" i="13"/>
  <c r="O155" i="13"/>
  <c r="C178" i="13"/>
  <c r="O204" i="13"/>
  <c r="A206" i="13"/>
  <c r="C221" i="13"/>
  <c r="O59" i="13"/>
  <c r="C82" i="13"/>
  <c r="O154" i="13"/>
  <c r="C177" i="13"/>
  <c r="B68" i="13"/>
  <c r="B212" i="13"/>
  <c r="B116" i="13"/>
  <c r="B260" i="13"/>
  <c r="B164" i="13"/>
  <c r="O60" i="13"/>
  <c r="C83" i="13"/>
  <c r="O254" i="13"/>
  <c r="B261" i="13"/>
  <c r="B69" i="13"/>
  <c r="B213" i="13"/>
  <c r="B117" i="13"/>
  <c r="B165" i="13"/>
  <c r="O152" i="13"/>
  <c r="C175" i="13"/>
  <c r="O247" i="13"/>
  <c r="B69" i="8"/>
  <c r="B357" i="8"/>
  <c r="B213" i="8"/>
  <c r="B117" i="8"/>
  <c r="B405" i="8"/>
  <c r="B261" i="8"/>
  <c r="B165" i="8"/>
  <c r="B309" i="8"/>
  <c r="O202" i="13"/>
  <c r="C225" i="13"/>
  <c r="P54" i="17"/>
  <c r="B77" i="17" s="1"/>
  <c r="E77" i="17" s="1"/>
  <c r="G62" i="17"/>
  <c r="F269" i="13"/>
  <c r="P151" i="13"/>
  <c r="F173" i="13"/>
  <c r="F77" i="13"/>
  <c r="R264" i="13"/>
  <c r="S269" i="13" s="1"/>
  <c r="R216" i="13"/>
  <c r="R312" i="8"/>
  <c r="S321" i="8" s="1"/>
  <c r="R408" i="8"/>
  <c r="S417" i="8" s="1"/>
  <c r="R360" i="8"/>
  <c r="S370" i="8" s="1"/>
  <c r="R263" i="13"/>
  <c r="R269" i="13" s="1"/>
  <c r="R215" i="13"/>
  <c r="R311" i="8"/>
  <c r="R320" i="8" s="1"/>
  <c r="R407" i="8"/>
  <c r="R417" i="8" s="1"/>
  <c r="R359" i="8"/>
  <c r="R370" i="8" s="1"/>
  <c r="Q18" i="8"/>
  <c r="R26" i="8" s="1"/>
  <c r="P395" i="8"/>
  <c r="P348" i="8"/>
  <c r="P299" i="8"/>
  <c r="R23" i="8"/>
  <c r="R29" i="8" s="1"/>
  <c r="R263" i="8"/>
  <c r="R272" i="8" s="1"/>
  <c r="R24" i="8"/>
  <c r="S29" i="8" s="1"/>
  <c r="R264" i="8"/>
  <c r="S272" i="8" s="1"/>
  <c r="P250" i="8"/>
  <c r="I208" i="8"/>
  <c r="I212" i="8"/>
  <c r="I207" i="8"/>
  <c r="I113" i="8"/>
  <c r="I116" i="8"/>
  <c r="I164" i="8"/>
  <c r="A231" i="8"/>
  <c r="O208" i="8" s="1"/>
  <c r="I160" i="8"/>
  <c r="R215" i="8"/>
  <c r="R221" i="8" s="1"/>
  <c r="A221" i="8"/>
  <c r="C221" i="8" s="1"/>
  <c r="R216" i="8"/>
  <c r="S221" i="8" s="1"/>
  <c r="A222" i="8"/>
  <c r="C222" i="8" s="1"/>
  <c r="A225" i="8"/>
  <c r="O202" i="8" s="1"/>
  <c r="A228" i="8"/>
  <c r="O205" i="8" s="1"/>
  <c r="R168" i="8"/>
  <c r="S173" i="8" s="1"/>
  <c r="I159" i="8"/>
  <c r="R167" i="8"/>
  <c r="I209" i="8"/>
  <c r="I161" i="8"/>
  <c r="P538" i="7"/>
  <c r="P489" i="7"/>
  <c r="P442" i="7"/>
  <c r="P393" i="7"/>
  <c r="P298" i="6"/>
  <c r="P250" i="6"/>
  <c r="P202" i="6"/>
  <c r="P153" i="6"/>
  <c r="P247" i="13"/>
  <c r="P198" i="13"/>
  <c r="O201" i="13"/>
  <c r="O205" i="13"/>
  <c r="Q210" i="13"/>
  <c r="R218" i="13" s="1"/>
  <c r="O153" i="13"/>
  <c r="O151" i="13"/>
  <c r="R167" i="13"/>
  <c r="R168" i="13"/>
  <c r="O102" i="13"/>
  <c r="O103" i="13"/>
  <c r="Q66" i="13"/>
  <c r="R74" i="13" s="1"/>
  <c r="O108" i="13"/>
  <c r="O107" i="13"/>
  <c r="O111" i="13"/>
  <c r="O110" i="13"/>
  <c r="A62" i="13"/>
  <c r="O62" i="13"/>
  <c r="R119" i="13"/>
  <c r="O54" i="13"/>
  <c r="O109" i="13"/>
  <c r="R120" i="13"/>
  <c r="P102" i="13"/>
  <c r="O105" i="13"/>
  <c r="Q114" i="13"/>
  <c r="R122" i="13" s="1"/>
  <c r="O56" i="13"/>
  <c r="O58" i="13"/>
  <c r="O55" i="13"/>
  <c r="O63" i="13"/>
  <c r="R71" i="13"/>
  <c r="R72" i="13"/>
  <c r="S77" i="13" s="1"/>
  <c r="O57" i="13"/>
  <c r="O61" i="13"/>
  <c r="P55" i="13"/>
  <c r="Q22" i="13"/>
  <c r="P102" i="17"/>
  <c r="B125" i="17" s="1"/>
  <c r="O6" i="17"/>
  <c r="P6" i="17"/>
  <c r="B29" i="17" s="1"/>
  <c r="O209" i="8"/>
  <c r="P199" i="8"/>
  <c r="Q214" i="8"/>
  <c r="A224" i="8"/>
  <c r="A227" i="8"/>
  <c r="A230" i="8"/>
  <c r="A223" i="8"/>
  <c r="A226" i="8"/>
  <c r="A229" i="8"/>
  <c r="O161" i="8"/>
  <c r="Q166" i="8"/>
  <c r="A174" i="8"/>
  <c r="A177" i="8"/>
  <c r="A180" i="8"/>
  <c r="A183" i="8"/>
  <c r="P151" i="8"/>
  <c r="A173" i="8"/>
  <c r="A176" i="8"/>
  <c r="A179" i="8"/>
  <c r="A182" i="8"/>
  <c r="A175" i="8"/>
  <c r="A178" i="8"/>
  <c r="A181" i="8"/>
  <c r="I63" i="8"/>
  <c r="I111" i="8"/>
  <c r="I112" i="8"/>
  <c r="I65" i="8"/>
  <c r="R120" i="8"/>
  <c r="S125" i="8" s="1"/>
  <c r="R119" i="8"/>
  <c r="I20" i="8"/>
  <c r="O113" i="8"/>
  <c r="A132" i="8"/>
  <c r="P103" i="8"/>
  <c r="A125" i="8"/>
  <c r="A128" i="8"/>
  <c r="A131" i="8"/>
  <c r="A134" i="8"/>
  <c r="Q118" i="8"/>
  <c r="A126" i="8"/>
  <c r="A129" i="8"/>
  <c r="A135" i="8"/>
  <c r="A127" i="8"/>
  <c r="A130" i="8"/>
  <c r="A133" i="8"/>
  <c r="I15" i="8"/>
  <c r="A29" i="8"/>
  <c r="O6" i="8" s="1"/>
  <c r="R71" i="8"/>
  <c r="R77" i="8" s="1"/>
  <c r="R72" i="8"/>
  <c r="S77" i="8" s="1"/>
  <c r="I68" i="8"/>
  <c r="I64" i="8"/>
  <c r="O63" i="8"/>
  <c r="C86" i="8"/>
  <c r="Q70" i="8"/>
  <c r="A78" i="8"/>
  <c r="A81" i="8"/>
  <c r="A84" i="8"/>
  <c r="A87" i="8"/>
  <c r="P55" i="8"/>
  <c r="A77" i="8"/>
  <c r="A79" i="8"/>
  <c r="A82" i="8"/>
  <c r="A85" i="8"/>
  <c r="A88" i="8"/>
  <c r="A80" i="8"/>
  <c r="A83" i="8"/>
  <c r="I16" i="8"/>
  <c r="A35" i="8"/>
  <c r="I17" i="8"/>
  <c r="A32" i="8"/>
  <c r="O9" i="8" s="1"/>
  <c r="A38" i="8"/>
  <c r="O15" i="8" s="1"/>
  <c r="O16" i="8"/>
  <c r="P7" i="8"/>
  <c r="A31" i="8"/>
  <c r="A34" i="8"/>
  <c r="A37" i="8"/>
  <c r="A40" i="8"/>
  <c r="A30" i="8"/>
  <c r="A33" i="8"/>
  <c r="A36" i="8"/>
  <c r="H38" i="37"/>
  <c r="H37" i="37"/>
  <c r="S383" i="7"/>
  <c r="R383" i="7"/>
  <c r="K383" i="7"/>
  <c r="R382" i="7"/>
  <c r="R381" i="7"/>
  <c r="S380" i="7"/>
  <c r="R380" i="7"/>
  <c r="N364" i="7"/>
  <c r="K364" i="7"/>
  <c r="J364" i="7"/>
  <c r="I364" i="7"/>
  <c r="N363" i="7"/>
  <c r="K363" i="7"/>
  <c r="J363" i="7"/>
  <c r="I363" i="7"/>
  <c r="H363" i="7"/>
  <c r="F362" i="7"/>
  <c r="P358" i="7"/>
  <c r="O358" i="7"/>
  <c r="P357" i="7"/>
  <c r="O357" i="7"/>
  <c r="I357" i="7"/>
  <c r="H357" i="7"/>
  <c r="G357" i="7"/>
  <c r="O356" i="7"/>
  <c r="Q354" i="7" s="1"/>
  <c r="R362" i="7" s="1"/>
  <c r="B353" i="7"/>
  <c r="B352" i="7"/>
  <c r="B351" i="7"/>
  <c r="I350" i="7"/>
  <c r="A350" i="7"/>
  <c r="N349" i="7"/>
  <c r="M344" i="7"/>
  <c r="O341" i="7"/>
  <c r="A376" i="7" s="1"/>
  <c r="S335" i="7"/>
  <c r="R335" i="7"/>
  <c r="K335" i="7"/>
  <c r="R334" i="7"/>
  <c r="R333" i="7"/>
  <c r="S332" i="7"/>
  <c r="R332" i="7"/>
  <c r="N316" i="7"/>
  <c r="K316" i="7"/>
  <c r="J316" i="7"/>
  <c r="I316" i="7"/>
  <c r="N315" i="7"/>
  <c r="K315" i="7"/>
  <c r="J315" i="7"/>
  <c r="I315" i="7"/>
  <c r="H315" i="7"/>
  <c r="F314" i="7"/>
  <c r="P310" i="7"/>
  <c r="O310" i="7"/>
  <c r="P309" i="7"/>
  <c r="O309" i="7"/>
  <c r="I309" i="7"/>
  <c r="H309" i="7"/>
  <c r="G309" i="7"/>
  <c r="O308" i="7"/>
  <c r="Q310" i="7" s="1"/>
  <c r="B305" i="7"/>
  <c r="B304" i="7"/>
  <c r="B303" i="7"/>
  <c r="I302" i="7"/>
  <c r="A302" i="7"/>
  <c r="N301" i="7"/>
  <c r="M296" i="7"/>
  <c r="P294" i="7" s="1"/>
  <c r="P295" i="7" s="1"/>
  <c r="O293" i="7"/>
  <c r="A323" i="7" s="1"/>
  <c r="H36" i="37"/>
  <c r="S287" i="7"/>
  <c r="R287" i="7"/>
  <c r="K287" i="7"/>
  <c r="R286" i="7"/>
  <c r="R285" i="7"/>
  <c r="S284" i="7"/>
  <c r="R284" i="7"/>
  <c r="N268" i="7"/>
  <c r="K268" i="7"/>
  <c r="J268" i="7"/>
  <c r="I268" i="7"/>
  <c r="N267" i="7"/>
  <c r="K267" i="7"/>
  <c r="J267" i="7"/>
  <c r="I267" i="7"/>
  <c r="H267" i="7"/>
  <c r="F266" i="7"/>
  <c r="P262" i="7"/>
  <c r="O262" i="7"/>
  <c r="P261" i="7"/>
  <c r="O261" i="7"/>
  <c r="I261" i="7"/>
  <c r="H261" i="7"/>
  <c r="G261" i="7"/>
  <c r="O260" i="7"/>
  <c r="Q258" i="7" s="1"/>
  <c r="R266" i="7" s="1"/>
  <c r="B257" i="7"/>
  <c r="B256" i="7"/>
  <c r="B255" i="7"/>
  <c r="I254" i="7"/>
  <c r="A254" i="7"/>
  <c r="N253" i="7"/>
  <c r="M248" i="7"/>
  <c r="O245" i="7"/>
  <c r="A272" i="7" s="1"/>
  <c r="H35" i="37"/>
  <c r="S239" i="7"/>
  <c r="R239" i="7"/>
  <c r="K239" i="7"/>
  <c r="R238" i="7"/>
  <c r="R237" i="7"/>
  <c r="S236" i="7"/>
  <c r="R236" i="7"/>
  <c r="N220" i="7"/>
  <c r="K220" i="7"/>
  <c r="J220" i="7"/>
  <c r="I220" i="7"/>
  <c r="N219" i="7"/>
  <c r="K219" i="7"/>
  <c r="J219" i="7"/>
  <c r="I219" i="7"/>
  <c r="H219" i="7"/>
  <c r="F218" i="7"/>
  <c r="P214" i="7"/>
  <c r="O214" i="7"/>
  <c r="P213" i="7"/>
  <c r="O213" i="7"/>
  <c r="I213" i="7"/>
  <c r="H213" i="7"/>
  <c r="G213" i="7"/>
  <c r="O212" i="7"/>
  <c r="Q210" i="7" s="1"/>
  <c r="R218" i="7" s="1"/>
  <c r="B209" i="7"/>
  <c r="B208" i="7"/>
  <c r="B207" i="7"/>
  <c r="I206" i="7"/>
  <c r="A206" i="7"/>
  <c r="N205" i="7"/>
  <c r="M200" i="7"/>
  <c r="P198" i="7" s="1"/>
  <c r="O197" i="7"/>
  <c r="A232" i="7" s="1"/>
  <c r="H34" i="37"/>
  <c r="S191" i="7"/>
  <c r="R191" i="7"/>
  <c r="K191" i="7"/>
  <c r="R190" i="7"/>
  <c r="R189" i="7"/>
  <c r="S188" i="7"/>
  <c r="R188" i="7"/>
  <c r="N172" i="7"/>
  <c r="K172" i="7"/>
  <c r="J172" i="7"/>
  <c r="I172" i="7"/>
  <c r="N171" i="7"/>
  <c r="K171" i="7"/>
  <c r="J171" i="7"/>
  <c r="I171" i="7"/>
  <c r="H171" i="7"/>
  <c r="F170" i="7"/>
  <c r="P166" i="7"/>
  <c r="O166" i="7"/>
  <c r="P165" i="7"/>
  <c r="O165" i="7"/>
  <c r="I165" i="7"/>
  <c r="H165" i="7"/>
  <c r="G165" i="7"/>
  <c r="O164" i="7"/>
  <c r="Q162" i="7" s="1"/>
  <c r="R170" i="7" s="1"/>
  <c r="B161" i="7"/>
  <c r="B160" i="7"/>
  <c r="B159" i="7"/>
  <c r="I158" i="7"/>
  <c r="A158" i="7"/>
  <c r="N157" i="7"/>
  <c r="M152" i="7"/>
  <c r="P150" i="7" s="1"/>
  <c r="O149" i="7"/>
  <c r="A184" i="7" s="1"/>
  <c r="H33" i="37"/>
  <c r="S143" i="7"/>
  <c r="R143" i="7"/>
  <c r="K143" i="7"/>
  <c r="R142" i="7"/>
  <c r="R141" i="7"/>
  <c r="S140" i="7"/>
  <c r="R140" i="7"/>
  <c r="N124" i="7"/>
  <c r="K124" i="7"/>
  <c r="J124" i="7"/>
  <c r="I124" i="7"/>
  <c r="N123" i="7"/>
  <c r="K123" i="7"/>
  <c r="J123" i="7"/>
  <c r="I123" i="7"/>
  <c r="H123" i="7"/>
  <c r="F122" i="7"/>
  <c r="P118" i="7"/>
  <c r="O118" i="7"/>
  <c r="P117" i="7"/>
  <c r="O117" i="7"/>
  <c r="H117" i="7"/>
  <c r="I117" i="7" s="1"/>
  <c r="G117" i="7"/>
  <c r="O116" i="7"/>
  <c r="Q114" i="7" s="1"/>
  <c r="R122" i="7" s="1"/>
  <c r="B113" i="7"/>
  <c r="B112" i="7"/>
  <c r="B111" i="7"/>
  <c r="I110" i="7"/>
  <c r="A110" i="7"/>
  <c r="N109" i="7"/>
  <c r="M104" i="7"/>
  <c r="P102" i="7" s="1"/>
  <c r="O101" i="7"/>
  <c r="A129" i="7" s="1"/>
  <c r="H32" i="37"/>
  <c r="S95" i="7"/>
  <c r="R95" i="7"/>
  <c r="K95" i="7"/>
  <c r="R94" i="7"/>
  <c r="R93" i="7"/>
  <c r="S92" i="7"/>
  <c r="R92" i="7"/>
  <c r="N76" i="7"/>
  <c r="K76" i="7"/>
  <c r="J76" i="7"/>
  <c r="I76" i="7"/>
  <c r="N75" i="7"/>
  <c r="K75" i="7"/>
  <c r="J75" i="7"/>
  <c r="I75" i="7"/>
  <c r="H75" i="7"/>
  <c r="F74" i="7"/>
  <c r="P70" i="7"/>
  <c r="O70" i="7"/>
  <c r="P69" i="7"/>
  <c r="O69" i="7"/>
  <c r="I69" i="7"/>
  <c r="H69" i="7"/>
  <c r="G69" i="7"/>
  <c r="O68" i="7"/>
  <c r="Q66" i="7" s="1"/>
  <c r="R74" i="7" s="1"/>
  <c r="B65" i="7"/>
  <c r="B64" i="7"/>
  <c r="I62" i="7"/>
  <c r="A62" i="7"/>
  <c r="N61" i="7"/>
  <c r="M56" i="7"/>
  <c r="P54" i="7" s="1"/>
  <c r="O53" i="7"/>
  <c r="A88" i="7" s="1"/>
  <c r="H31" i="37"/>
  <c r="P45" i="7"/>
  <c r="S47" i="7"/>
  <c r="R47" i="7"/>
  <c r="R46" i="7"/>
  <c r="R45" i="7"/>
  <c r="S44" i="7"/>
  <c r="R44" i="7"/>
  <c r="N28" i="7"/>
  <c r="K28" i="7"/>
  <c r="J28" i="7"/>
  <c r="I28" i="7"/>
  <c r="N27" i="7"/>
  <c r="K27" i="7"/>
  <c r="J27" i="7"/>
  <c r="I27" i="7"/>
  <c r="H27" i="7"/>
  <c r="F26" i="7"/>
  <c r="P22" i="7"/>
  <c r="O22" i="7"/>
  <c r="P21" i="7"/>
  <c r="O21" i="7"/>
  <c r="I21" i="7"/>
  <c r="H21" i="7"/>
  <c r="G21" i="7"/>
  <c r="B21" i="7"/>
  <c r="O20" i="7"/>
  <c r="Q22" i="7" s="1"/>
  <c r="Q18" i="7"/>
  <c r="R26" i="7" s="1"/>
  <c r="B17" i="7"/>
  <c r="B16" i="7"/>
  <c r="B15" i="7"/>
  <c r="I14" i="7"/>
  <c r="A14" i="7"/>
  <c r="N13" i="7"/>
  <c r="M8" i="7"/>
  <c r="O5" i="7"/>
  <c r="A40" i="7" s="1"/>
  <c r="H18" i="37"/>
  <c r="S143" i="6"/>
  <c r="R143" i="6"/>
  <c r="K143" i="6"/>
  <c r="R142" i="6"/>
  <c r="R141" i="6"/>
  <c r="S140" i="6"/>
  <c r="R140" i="6"/>
  <c r="N124" i="6"/>
  <c r="K124" i="6"/>
  <c r="J124" i="6"/>
  <c r="I124" i="6"/>
  <c r="N123" i="6"/>
  <c r="K123" i="6"/>
  <c r="J123" i="6"/>
  <c r="I123" i="6"/>
  <c r="H123" i="6"/>
  <c r="F122" i="6"/>
  <c r="P118" i="6"/>
  <c r="O118" i="6"/>
  <c r="P117" i="6"/>
  <c r="O117" i="6"/>
  <c r="I117" i="6"/>
  <c r="H117" i="6"/>
  <c r="G117" i="6"/>
  <c r="O116" i="6"/>
  <c r="Q114" i="6" s="1"/>
  <c r="R122" i="6" s="1"/>
  <c r="B113" i="6"/>
  <c r="B112" i="6"/>
  <c r="B111" i="6"/>
  <c r="I110" i="6"/>
  <c r="A110" i="6"/>
  <c r="N109" i="6"/>
  <c r="M104" i="6"/>
  <c r="P102" i="6" s="1"/>
  <c r="O101" i="6"/>
  <c r="A136" i="6" s="1"/>
  <c r="K95" i="6"/>
  <c r="H17" i="37"/>
  <c r="S95" i="6"/>
  <c r="R95" i="6"/>
  <c r="R94" i="6"/>
  <c r="R93" i="6"/>
  <c r="S92" i="6"/>
  <c r="R92" i="6"/>
  <c r="N76" i="6"/>
  <c r="K76" i="6"/>
  <c r="J76" i="6"/>
  <c r="I76" i="6"/>
  <c r="N75" i="6"/>
  <c r="K75" i="6"/>
  <c r="J75" i="6"/>
  <c r="I75" i="6"/>
  <c r="H75" i="6"/>
  <c r="F74" i="6"/>
  <c r="P70" i="6"/>
  <c r="O70" i="6"/>
  <c r="P69" i="6"/>
  <c r="O69" i="6"/>
  <c r="I69" i="6"/>
  <c r="H69" i="6"/>
  <c r="G69" i="6"/>
  <c r="O68" i="6"/>
  <c r="Q70" i="6" s="1"/>
  <c r="Q66" i="6"/>
  <c r="R74" i="6" s="1"/>
  <c r="B65" i="6"/>
  <c r="B64" i="6"/>
  <c r="B63" i="6"/>
  <c r="I62" i="6"/>
  <c r="A62" i="6"/>
  <c r="N61" i="6"/>
  <c r="M56" i="6"/>
  <c r="P54" i="6" s="1"/>
  <c r="O53" i="6"/>
  <c r="A87" i="6" s="1"/>
  <c r="O64" i="6" s="1"/>
  <c r="P45" i="6"/>
  <c r="S47" i="6"/>
  <c r="R47" i="6"/>
  <c r="R46" i="6"/>
  <c r="R45" i="6"/>
  <c r="S44" i="6"/>
  <c r="R44" i="6"/>
  <c r="N28" i="6"/>
  <c r="K28" i="6"/>
  <c r="J28" i="6"/>
  <c r="I28" i="6"/>
  <c r="N27" i="6"/>
  <c r="K27" i="6"/>
  <c r="J27" i="6"/>
  <c r="I27" i="6"/>
  <c r="H27" i="6"/>
  <c r="F26" i="6"/>
  <c r="P22" i="6"/>
  <c r="O22" i="6"/>
  <c r="P21" i="6"/>
  <c r="O21" i="6"/>
  <c r="H21" i="6"/>
  <c r="I21" i="6" s="1"/>
  <c r="G21" i="6"/>
  <c r="B21" i="6"/>
  <c r="O20" i="6"/>
  <c r="Q18" i="6" s="1"/>
  <c r="R26" i="6" s="1"/>
  <c r="B17" i="6"/>
  <c r="B16" i="6"/>
  <c r="B15" i="6"/>
  <c r="I14" i="6"/>
  <c r="A14" i="6"/>
  <c r="N13" i="6"/>
  <c r="I149" i="36"/>
  <c r="S143" i="21"/>
  <c r="R143" i="21"/>
  <c r="R142" i="21"/>
  <c r="R141" i="21"/>
  <c r="S140" i="21"/>
  <c r="R140" i="21"/>
  <c r="N124" i="21"/>
  <c r="K124" i="21"/>
  <c r="J124" i="21"/>
  <c r="I124" i="21"/>
  <c r="N123" i="21"/>
  <c r="K123" i="21"/>
  <c r="J123" i="21"/>
  <c r="I123" i="21"/>
  <c r="H123" i="21"/>
  <c r="F122" i="21"/>
  <c r="P118" i="21"/>
  <c r="O118" i="21"/>
  <c r="P117" i="21"/>
  <c r="O117" i="21"/>
  <c r="H117" i="21"/>
  <c r="I117" i="21" s="1"/>
  <c r="G117" i="21"/>
  <c r="O116" i="21"/>
  <c r="Q118" i="21" s="1"/>
  <c r="Q114" i="21"/>
  <c r="R122" i="21" s="1"/>
  <c r="I113" i="21"/>
  <c r="B113" i="21"/>
  <c r="I112" i="21"/>
  <c r="B112" i="21"/>
  <c r="I111" i="21"/>
  <c r="B111" i="21"/>
  <c r="I110" i="21"/>
  <c r="A110" i="21"/>
  <c r="N109" i="21"/>
  <c r="M104" i="21"/>
  <c r="O101" i="21"/>
  <c r="A136" i="21" s="1"/>
  <c r="I148" i="36"/>
  <c r="S95" i="21"/>
  <c r="R95" i="21"/>
  <c r="R94" i="21"/>
  <c r="R93" i="21"/>
  <c r="S92" i="21"/>
  <c r="R92" i="21"/>
  <c r="N76" i="21"/>
  <c r="K76" i="21"/>
  <c r="J76" i="21"/>
  <c r="I76" i="21"/>
  <c r="N75" i="21"/>
  <c r="K75" i="21"/>
  <c r="J75" i="21"/>
  <c r="I75" i="21"/>
  <c r="H75" i="21"/>
  <c r="F74" i="21"/>
  <c r="P70" i="21"/>
  <c r="O70" i="21"/>
  <c r="P69" i="21"/>
  <c r="O69" i="21"/>
  <c r="I69" i="21"/>
  <c r="H69" i="21"/>
  <c r="G69" i="21"/>
  <c r="O68" i="21"/>
  <c r="Q66" i="21" s="1"/>
  <c r="R74" i="21" s="1"/>
  <c r="I68" i="21"/>
  <c r="I65" i="21"/>
  <c r="B65" i="21"/>
  <c r="I64" i="21"/>
  <c r="B64" i="21"/>
  <c r="I63" i="21"/>
  <c r="B63" i="21"/>
  <c r="I62" i="21"/>
  <c r="A62" i="21"/>
  <c r="N61" i="21"/>
  <c r="M56" i="21"/>
  <c r="P54" i="21" s="1"/>
  <c r="O53" i="21"/>
  <c r="I147" i="36"/>
  <c r="S47" i="21"/>
  <c r="R47" i="21"/>
  <c r="R46" i="21"/>
  <c r="R45" i="21"/>
  <c r="S44" i="21"/>
  <c r="R44" i="21"/>
  <c r="N28" i="21"/>
  <c r="K28" i="21"/>
  <c r="J28" i="21"/>
  <c r="I28" i="21"/>
  <c r="N27" i="21"/>
  <c r="K27" i="21"/>
  <c r="J27" i="21"/>
  <c r="I27" i="21"/>
  <c r="H27" i="21"/>
  <c r="F26" i="21"/>
  <c r="P22" i="21"/>
  <c r="O22" i="21"/>
  <c r="R24" i="21" s="1"/>
  <c r="P21" i="21"/>
  <c r="O21" i="21"/>
  <c r="R23" i="21" s="1"/>
  <c r="I21" i="21"/>
  <c r="H21" i="21"/>
  <c r="G21" i="21"/>
  <c r="B21" i="21"/>
  <c r="O20" i="21"/>
  <c r="Q22" i="21" s="1"/>
  <c r="B20" i="21"/>
  <c r="Q18" i="21"/>
  <c r="R26" i="21" s="1"/>
  <c r="B17" i="21"/>
  <c r="B16" i="21"/>
  <c r="B15" i="21"/>
  <c r="I14" i="21"/>
  <c r="A14" i="21"/>
  <c r="N13" i="21"/>
  <c r="M8" i="21"/>
  <c r="O5" i="21"/>
  <c r="A40" i="21" s="1"/>
  <c r="H142" i="36"/>
  <c r="F142" i="36"/>
  <c r="E142" i="36"/>
  <c r="D142" i="36"/>
  <c r="B142" i="36"/>
  <c r="A136" i="15"/>
  <c r="O113" i="15" s="1"/>
  <c r="A135" i="15"/>
  <c r="O112" i="15" s="1"/>
  <c r="A134" i="15"/>
  <c r="O111" i="15" s="1"/>
  <c r="A133" i="15"/>
  <c r="O110" i="15" s="1"/>
  <c r="A132" i="15"/>
  <c r="O109" i="15" s="1"/>
  <c r="A131" i="15"/>
  <c r="O108" i="15" s="1"/>
  <c r="A130" i="15"/>
  <c r="O107" i="15" s="1"/>
  <c r="A129" i="15"/>
  <c r="O106" i="15" s="1"/>
  <c r="A128" i="15"/>
  <c r="O105" i="15" s="1"/>
  <c r="A127" i="15"/>
  <c r="O104" i="15" s="1"/>
  <c r="A126" i="15"/>
  <c r="O103" i="15" s="1"/>
  <c r="A125" i="15"/>
  <c r="O102" i="15" s="1"/>
  <c r="F122" i="15"/>
  <c r="M104" i="15"/>
  <c r="G110" i="15" s="1"/>
  <c r="O101" i="15"/>
  <c r="A88" i="15"/>
  <c r="A87" i="15"/>
  <c r="O64" i="15" s="1"/>
  <c r="A86" i="15"/>
  <c r="O63" i="15" s="1"/>
  <c r="A85" i="15"/>
  <c r="O62" i="15" s="1"/>
  <c r="A84" i="15"/>
  <c r="O61" i="15" s="1"/>
  <c r="A83" i="15"/>
  <c r="O60" i="15" s="1"/>
  <c r="A82" i="15"/>
  <c r="O59" i="15" s="1"/>
  <c r="A81" i="15"/>
  <c r="O58" i="15" s="1"/>
  <c r="A80" i="15"/>
  <c r="A79" i="15"/>
  <c r="A78" i="15"/>
  <c r="O55" i="15" s="1"/>
  <c r="A77" i="15"/>
  <c r="O54" i="15" s="1"/>
  <c r="F74" i="15"/>
  <c r="O65" i="15"/>
  <c r="O57" i="15"/>
  <c r="O56" i="15"/>
  <c r="M56" i="15"/>
  <c r="G62" i="15" s="1"/>
  <c r="O53" i="15"/>
  <c r="B21" i="15"/>
  <c r="B20" i="15"/>
  <c r="B117" i="6" l="1"/>
  <c r="B165" i="6"/>
  <c r="B213" i="6"/>
  <c r="B261" i="6"/>
  <c r="B309" i="6"/>
  <c r="B69" i="6"/>
  <c r="S320" i="8"/>
  <c r="D77" i="17"/>
  <c r="B68" i="21"/>
  <c r="B116" i="21"/>
  <c r="S319" i="8"/>
  <c r="S317" i="8"/>
  <c r="B69" i="21"/>
  <c r="B117" i="21"/>
  <c r="B69" i="7"/>
  <c r="B117" i="7"/>
  <c r="B165" i="7"/>
  <c r="B213" i="7"/>
  <c r="B357" i="7"/>
  <c r="B501" i="7"/>
  <c r="B261" i="7"/>
  <c r="B309" i="7"/>
  <c r="B405" i="7"/>
  <c r="B453" i="7"/>
  <c r="B549" i="7"/>
  <c r="A110" i="15"/>
  <c r="N77" i="17"/>
  <c r="I116" i="21"/>
  <c r="F77" i="17"/>
  <c r="S318" i="8"/>
  <c r="R119" i="21"/>
  <c r="S270" i="13"/>
  <c r="K77" i="17"/>
  <c r="F29" i="17"/>
  <c r="N29" i="17"/>
  <c r="E29" i="17"/>
  <c r="L29" i="17" s="1"/>
  <c r="D29" i="17"/>
  <c r="F125" i="17"/>
  <c r="E125" i="17"/>
  <c r="D125" i="17"/>
  <c r="N125" i="17"/>
  <c r="K125" i="17"/>
  <c r="L125" i="17"/>
  <c r="L77" i="17"/>
  <c r="F270" i="13"/>
  <c r="F221" i="13"/>
  <c r="P152" i="13"/>
  <c r="F174" i="13"/>
  <c r="F125" i="13"/>
  <c r="F78" i="13"/>
  <c r="R72" i="21"/>
  <c r="S77" i="21" s="1"/>
  <c r="R120" i="21"/>
  <c r="S125" i="21" s="1"/>
  <c r="R321" i="8"/>
  <c r="R319" i="8"/>
  <c r="R71" i="21"/>
  <c r="R317" i="8"/>
  <c r="R318" i="8"/>
  <c r="R456" i="7"/>
  <c r="S464" i="7" s="1"/>
  <c r="R552" i="7"/>
  <c r="S561" i="7" s="1"/>
  <c r="R504" i="7"/>
  <c r="S512" i="7" s="1"/>
  <c r="R216" i="6"/>
  <c r="S224" i="6" s="1"/>
  <c r="R312" i="6"/>
  <c r="R264" i="6"/>
  <c r="S365" i="8"/>
  <c r="S366" i="8"/>
  <c r="S367" i="8"/>
  <c r="S368" i="8"/>
  <c r="S369" i="8"/>
  <c r="S413" i="8"/>
  <c r="S414" i="8"/>
  <c r="S415" i="8"/>
  <c r="S416" i="8"/>
  <c r="R455" i="7"/>
  <c r="R461" i="7" s="1"/>
  <c r="R551" i="7"/>
  <c r="R503" i="7"/>
  <c r="R512" i="7" s="1"/>
  <c r="R215" i="6"/>
  <c r="R224" i="6" s="1"/>
  <c r="R311" i="6"/>
  <c r="R321" i="6" s="1"/>
  <c r="R263" i="6"/>
  <c r="R365" i="8"/>
  <c r="R366" i="8"/>
  <c r="R367" i="8"/>
  <c r="R368" i="8"/>
  <c r="R369" i="8"/>
  <c r="R413" i="8"/>
  <c r="R414" i="8"/>
  <c r="R415" i="8"/>
  <c r="R416" i="8"/>
  <c r="B116" i="15"/>
  <c r="B68" i="15"/>
  <c r="B117" i="15"/>
  <c r="B69" i="15"/>
  <c r="P396" i="8"/>
  <c r="R418" i="8"/>
  <c r="S418" i="8"/>
  <c r="S371" i="8"/>
  <c r="R371" i="8"/>
  <c r="P349" i="8"/>
  <c r="R30" i="8"/>
  <c r="S322" i="8"/>
  <c r="P300" i="8"/>
  <c r="R322" i="8"/>
  <c r="S222" i="8"/>
  <c r="S269" i="8"/>
  <c r="S270" i="8"/>
  <c r="S271" i="8"/>
  <c r="R269" i="8"/>
  <c r="R270" i="8"/>
  <c r="R271" i="8"/>
  <c r="R174" i="8"/>
  <c r="S273" i="8"/>
  <c r="R273" i="8"/>
  <c r="P251" i="8"/>
  <c r="R173" i="8"/>
  <c r="S30" i="8"/>
  <c r="O198" i="8"/>
  <c r="C228" i="8"/>
  <c r="C225" i="8"/>
  <c r="S78" i="8"/>
  <c r="O199" i="8"/>
  <c r="S174" i="8"/>
  <c r="R126" i="8"/>
  <c r="R561" i="7"/>
  <c r="P539" i="7"/>
  <c r="P490" i="7"/>
  <c r="P443" i="7"/>
  <c r="I356" i="7"/>
  <c r="R23" i="7"/>
  <c r="R29" i="7" s="1"/>
  <c r="R407" i="7"/>
  <c r="R416" i="7" s="1"/>
  <c r="R24" i="7"/>
  <c r="S29" i="7" s="1"/>
  <c r="R408" i="7"/>
  <c r="S416" i="7" s="1"/>
  <c r="Q306" i="7"/>
  <c r="R314" i="7" s="1"/>
  <c r="P394" i="7"/>
  <c r="I351" i="7"/>
  <c r="A365" i="7"/>
  <c r="C365" i="7" s="1"/>
  <c r="R359" i="7"/>
  <c r="A371" i="7"/>
  <c r="C371" i="7" s="1"/>
  <c r="I255" i="7"/>
  <c r="I305" i="7"/>
  <c r="R311" i="7"/>
  <c r="R318" i="7" s="1"/>
  <c r="I353" i="7"/>
  <c r="A374" i="7"/>
  <c r="C374" i="7" s="1"/>
  <c r="I212" i="7"/>
  <c r="I260" i="7"/>
  <c r="I303" i="7"/>
  <c r="R360" i="7"/>
  <c r="A368" i="7"/>
  <c r="C368" i="7" s="1"/>
  <c r="I352" i="7"/>
  <c r="A318" i="7"/>
  <c r="C318" i="7" s="1"/>
  <c r="I257" i="7"/>
  <c r="I304" i="7"/>
  <c r="I308" i="7"/>
  <c r="R312" i="7"/>
  <c r="S317" i="7" s="1"/>
  <c r="P299" i="6"/>
  <c r="P251" i="6"/>
  <c r="P203" i="6"/>
  <c r="R23" i="6"/>
  <c r="R167" i="6"/>
  <c r="R176" i="6" s="1"/>
  <c r="R24" i="6"/>
  <c r="R168" i="6"/>
  <c r="P154" i="6"/>
  <c r="I20" i="6"/>
  <c r="I64" i="6"/>
  <c r="A129" i="6"/>
  <c r="O106" i="6" s="1"/>
  <c r="R71" i="6"/>
  <c r="R77" i="6" s="1"/>
  <c r="I111" i="6"/>
  <c r="I116" i="6"/>
  <c r="I112" i="6"/>
  <c r="R120" i="6"/>
  <c r="S125" i="6" s="1"/>
  <c r="A132" i="6"/>
  <c r="O109" i="6" s="1"/>
  <c r="I63" i="6"/>
  <c r="I17" i="6"/>
  <c r="I65" i="6"/>
  <c r="I113" i="6"/>
  <c r="A79" i="6"/>
  <c r="C79" i="6" s="1"/>
  <c r="R72" i="6"/>
  <c r="S77" i="6" s="1"/>
  <c r="A82" i="6"/>
  <c r="O59" i="6" s="1"/>
  <c r="A88" i="6"/>
  <c r="O65" i="6" s="1"/>
  <c r="A85" i="6"/>
  <c r="O62" i="6" s="1"/>
  <c r="R119" i="6"/>
  <c r="R125" i="6" s="1"/>
  <c r="A126" i="6"/>
  <c r="C126" i="6" s="1"/>
  <c r="A135" i="6"/>
  <c r="O112" i="6" s="1"/>
  <c r="I68" i="6"/>
  <c r="P248" i="13"/>
  <c r="R270" i="13"/>
  <c r="R221" i="13"/>
  <c r="S221" i="13"/>
  <c r="P199" i="13"/>
  <c r="S173" i="13"/>
  <c r="S174" i="13"/>
  <c r="S175" i="13"/>
  <c r="R173" i="13"/>
  <c r="R174" i="13"/>
  <c r="R175" i="13"/>
  <c r="R78" i="13"/>
  <c r="R77" i="13"/>
  <c r="P103" i="13"/>
  <c r="S125" i="13"/>
  <c r="R125" i="13"/>
  <c r="S78" i="13"/>
  <c r="P56" i="13"/>
  <c r="P103" i="17"/>
  <c r="B126" i="17" s="1"/>
  <c r="P55" i="17"/>
  <c r="B78" i="17" s="1"/>
  <c r="P7" i="17"/>
  <c r="B30" i="17" s="1"/>
  <c r="C227" i="8"/>
  <c r="O204" i="8"/>
  <c r="O206" i="8"/>
  <c r="C229" i="8"/>
  <c r="O200" i="8"/>
  <c r="C223" i="8"/>
  <c r="O203" i="8"/>
  <c r="C226" i="8"/>
  <c r="C224" i="8"/>
  <c r="O201" i="8"/>
  <c r="P200" i="8"/>
  <c r="R222" i="8"/>
  <c r="O207" i="8"/>
  <c r="C230" i="8"/>
  <c r="C179" i="8"/>
  <c r="O156" i="8"/>
  <c r="O154" i="8"/>
  <c r="C177" i="8"/>
  <c r="O151" i="8"/>
  <c r="C174" i="8"/>
  <c r="P152" i="8"/>
  <c r="O157" i="8"/>
  <c r="C180" i="8"/>
  <c r="O150" i="8"/>
  <c r="C173" i="8"/>
  <c r="O158" i="8"/>
  <c r="C181" i="8"/>
  <c r="O152" i="8"/>
  <c r="C175" i="8"/>
  <c r="C176" i="8"/>
  <c r="O153" i="8"/>
  <c r="O159" i="8"/>
  <c r="C182" i="8"/>
  <c r="O160" i="8"/>
  <c r="O155" i="8"/>
  <c r="C178" i="8"/>
  <c r="C29" i="8"/>
  <c r="R125" i="8"/>
  <c r="O112" i="8"/>
  <c r="C125" i="8"/>
  <c r="O102" i="8"/>
  <c r="S126" i="8"/>
  <c r="P104" i="8"/>
  <c r="O109" i="8"/>
  <c r="C132" i="8"/>
  <c r="O110" i="8"/>
  <c r="C133" i="8"/>
  <c r="C126" i="8"/>
  <c r="O103" i="8"/>
  <c r="C130" i="8"/>
  <c r="O107" i="8"/>
  <c r="O111" i="8"/>
  <c r="C134" i="8"/>
  <c r="C128" i="8"/>
  <c r="O105" i="8"/>
  <c r="O106" i="8"/>
  <c r="C129" i="8"/>
  <c r="C127" i="8"/>
  <c r="O104" i="8"/>
  <c r="O108" i="8"/>
  <c r="C131" i="8"/>
  <c r="C32" i="8"/>
  <c r="C77" i="8"/>
  <c r="O54" i="8"/>
  <c r="O64" i="8"/>
  <c r="O61" i="8"/>
  <c r="C84" i="8"/>
  <c r="C78" i="8"/>
  <c r="O55" i="8"/>
  <c r="C80" i="8"/>
  <c r="O57" i="8"/>
  <c r="O65" i="8"/>
  <c r="C83" i="8"/>
  <c r="O60" i="8"/>
  <c r="O62" i="8"/>
  <c r="C85" i="8"/>
  <c r="P56" i="8"/>
  <c r="R78" i="8"/>
  <c r="O59" i="8"/>
  <c r="C82" i="8"/>
  <c r="O58" i="8"/>
  <c r="C81" i="8"/>
  <c r="O56" i="8"/>
  <c r="C79" i="8"/>
  <c r="C38" i="8"/>
  <c r="C35" i="8"/>
  <c r="O12" i="8"/>
  <c r="O11" i="8"/>
  <c r="C34" i="8"/>
  <c r="C31" i="8"/>
  <c r="O8" i="8"/>
  <c r="O13" i="8"/>
  <c r="C36" i="8"/>
  <c r="P8" i="8"/>
  <c r="O10" i="8"/>
  <c r="C33" i="8"/>
  <c r="O17" i="8"/>
  <c r="O7" i="8"/>
  <c r="C30" i="8"/>
  <c r="O14" i="8"/>
  <c r="C37" i="8"/>
  <c r="O353" i="7"/>
  <c r="P342" i="7"/>
  <c r="Q358" i="7"/>
  <c r="A366" i="7"/>
  <c r="A369" i="7"/>
  <c r="A372" i="7"/>
  <c r="A375" i="7"/>
  <c r="A367" i="7"/>
  <c r="A370" i="7"/>
  <c r="A373" i="7"/>
  <c r="P296" i="7"/>
  <c r="P297" i="7" s="1"/>
  <c r="O300" i="7"/>
  <c r="C323" i="7"/>
  <c r="A324" i="7"/>
  <c r="A320" i="7"/>
  <c r="A328" i="7"/>
  <c r="A325" i="7"/>
  <c r="A322" i="7"/>
  <c r="A319" i="7"/>
  <c r="A321" i="7"/>
  <c r="A317" i="7"/>
  <c r="A326" i="7"/>
  <c r="A327" i="7"/>
  <c r="I209" i="7"/>
  <c r="I256" i="7"/>
  <c r="R263" i="7"/>
  <c r="R264" i="7"/>
  <c r="C272" i="7"/>
  <c r="O249" i="7"/>
  <c r="P246" i="7"/>
  <c r="Q262" i="7"/>
  <c r="A270" i="7"/>
  <c r="A273" i="7"/>
  <c r="A276" i="7"/>
  <c r="A279" i="7"/>
  <c r="A275" i="7"/>
  <c r="A278" i="7"/>
  <c r="A271" i="7"/>
  <c r="A274" i="7"/>
  <c r="A277" i="7"/>
  <c r="A280" i="7"/>
  <c r="A269" i="7"/>
  <c r="I164" i="7"/>
  <c r="A223" i="7"/>
  <c r="C223" i="7" s="1"/>
  <c r="A227" i="7"/>
  <c r="C227" i="7" s="1"/>
  <c r="I207" i="7"/>
  <c r="A224" i="7"/>
  <c r="C224" i="7" s="1"/>
  <c r="I208" i="7"/>
  <c r="A225" i="7"/>
  <c r="O202" i="7" s="1"/>
  <c r="A226" i="7"/>
  <c r="A230" i="7"/>
  <c r="O207" i="7" s="1"/>
  <c r="I159" i="7"/>
  <c r="A231" i="7"/>
  <c r="O208" i="7" s="1"/>
  <c r="A228" i="7"/>
  <c r="O205" i="7" s="1"/>
  <c r="R215" i="7"/>
  <c r="R221" i="7" s="1"/>
  <c r="A221" i="7"/>
  <c r="R216" i="7"/>
  <c r="A222" i="7"/>
  <c r="C222" i="7" s="1"/>
  <c r="O209" i="7"/>
  <c r="Q214" i="7"/>
  <c r="P199" i="7"/>
  <c r="A229" i="7"/>
  <c r="I161" i="7"/>
  <c r="A174" i="7"/>
  <c r="O151" i="7" s="1"/>
  <c r="I160" i="7"/>
  <c r="R167" i="7"/>
  <c r="R173" i="7" s="1"/>
  <c r="R168" i="7"/>
  <c r="A177" i="7"/>
  <c r="O154" i="7" s="1"/>
  <c r="A180" i="7"/>
  <c r="O157" i="7" s="1"/>
  <c r="A183" i="7"/>
  <c r="O160" i="7" s="1"/>
  <c r="O161" i="7"/>
  <c r="P151" i="7"/>
  <c r="A173" i="7"/>
  <c r="A176" i="7"/>
  <c r="A179" i="7"/>
  <c r="A182" i="7"/>
  <c r="Q166" i="7"/>
  <c r="A175" i="7"/>
  <c r="A178" i="7"/>
  <c r="A181" i="7"/>
  <c r="I112" i="7"/>
  <c r="I113" i="7"/>
  <c r="I111" i="7"/>
  <c r="R119" i="7"/>
  <c r="R125" i="7" s="1"/>
  <c r="A126" i="7"/>
  <c r="C126" i="7" s="1"/>
  <c r="I63" i="7"/>
  <c r="R120" i="7"/>
  <c r="S125" i="7" s="1"/>
  <c r="A135" i="7"/>
  <c r="O112" i="7" s="1"/>
  <c r="I116" i="7"/>
  <c r="O106" i="7"/>
  <c r="C129" i="7"/>
  <c r="A125" i="7"/>
  <c r="A128" i="7"/>
  <c r="A131" i="7"/>
  <c r="A134" i="7"/>
  <c r="Q118" i="7"/>
  <c r="P103" i="7"/>
  <c r="A132" i="7"/>
  <c r="A127" i="7"/>
  <c r="A130" i="7"/>
  <c r="A133" i="7"/>
  <c r="A136" i="7"/>
  <c r="I20" i="7"/>
  <c r="I64" i="7"/>
  <c r="I65" i="7"/>
  <c r="R71" i="7"/>
  <c r="R77" i="7" s="1"/>
  <c r="R72" i="7"/>
  <c r="I68" i="7"/>
  <c r="O65" i="7"/>
  <c r="Q70" i="7"/>
  <c r="A87" i="7"/>
  <c r="P55" i="7"/>
  <c r="A78" i="7"/>
  <c r="A77" i="7"/>
  <c r="A80" i="7"/>
  <c r="A83" i="7"/>
  <c r="A86" i="7"/>
  <c r="A81" i="7"/>
  <c r="A84" i="7"/>
  <c r="A79" i="7"/>
  <c r="A82" i="7"/>
  <c r="A85" i="7"/>
  <c r="I16" i="7"/>
  <c r="I15" i="7"/>
  <c r="I17" i="7"/>
  <c r="O17" i="7"/>
  <c r="P6" i="7"/>
  <c r="A30" i="7"/>
  <c r="A33" i="7"/>
  <c r="A36" i="7"/>
  <c r="A39" i="7"/>
  <c r="A29" i="7"/>
  <c r="A32" i="7"/>
  <c r="A35" i="7"/>
  <c r="A38" i="7"/>
  <c r="A31" i="7"/>
  <c r="A34" i="7"/>
  <c r="A37" i="7"/>
  <c r="O113" i="6"/>
  <c r="Q118" i="6"/>
  <c r="P103" i="6"/>
  <c r="A125" i="6"/>
  <c r="A128" i="6"/>
  <c r="A131" i="6"/>
  <c r="A134" i="6"/>
  <c r="A127" i="6"/>
  <c r="A130" i="6"/>
  <c r="A133" i="6"/>
  <c r="P55" i="6"/>
  <c r="A77" i="6"/>
  <c r="A80" i="6"/>
  <c r="A83" i="6"/>
  <c r="A86" i="6"/>
  <c r="A78" i="6"/>
  <c r="A81" i="6"/>
  <c r="A84" i="6"/>
  <c r="I15" i="6"/>
  <c r="I16" i="6"/>
  <c r="Q22" i="6"/>
  <c r="O113" i="21"/>
  <c r="P102" i="21"/>
  <c r="A126" i="21"/>
  <c r="A129" i="21"/>
  <c r="A132" i="21"/>
  <c r="A135" i="21"/>
  <c r="A125" i="21"/>
  <c r="A128" i="21"/>
  <c r="A131" i="21"/>
  <c r="A134" i="21"/>
  <c r="A127" i="21"/>
  <c r="A130" i="21"/>
  <c r="A133" i="21"/>
  <c r="A88" i="21"/>
  <c r="A85" i="21"/>
  <c r="A82" i="21"/>
  <c r="A79" i="21"/>
  <c r="A84" i="21"/>
  <c r="A78" i="21"/>
  <c r="A87" i="21"/>
  <c r="A81" i="21"/>
  <c r="A86" i="21"/>
  <c r="A83" i="21"/>
  <c r="A80" i="21"/>
  <c r="A77" i="21"/>
  <c r="P55" i="21"/>
  <c r="Q70" i="21"/>
  <c r="R77" i="21"/>
  <c r="I17" i="21"/>
  <c r="I15" i="21"/>
  <c r="I20" i="21"/>
  <c r="I16" i="21"/>
  <c r="O17" i="21"/>
  <c r="P6" i="21"/>
  <c r="A30" i="21"/>
  <c r="A33" i="21"/>
  <c r="A36" i="21"/>
  <c r="A39" i="21"/>
  <c r="A29" i="21"/>
  <c r="A32" i="21"/>
  <c r="A35" i="21"/>
  <c r="A38" i="21"/>
  <c r="A31" i="21"/>
  <c r="A34" i="21"/>
  <c r="A37" i="21"/>
  <c r="S29" i="21"/>
  <c r="P102" i="15"/>
  <c r="B125" i="15" s="1"/>
  <c r="A62" i="15"/>
  <c r="P54" i="15"/>
  <c r="B77" i="15" s="1"/>
  <c r="K29" i="17" l="1"/>
  <c r="R225" i="6"/>
  <c r="R465" i="7"/>
  <c r="S465" i="7"/>
  <c r="S463" i="7"/>
  <c r="S462" i="7"/>
  <c r="S78" i="21"/>
  <c r="S461" i="7"/>
  <c r="R222" i="6"/>
  <c r="R464" i="7"/>
  <c r="R462" i="7"/>
  <c r="F30" i="17"/>
  <c r="N30" i="17"/>
  <c r="D30" i="17"/>
  <c r="E30" i="17"/>
  <c r="D126" i="17"/>
  <c r="N126" i="17"/>
  <c r="F126" i="17"/>
  <c r="E126" i="17"/>
  <c r="K126" i="17"/>
  <c r="L126" i="17"/>
  <c r="N78" i="17"/>
  <c r="E78" i="17"/>
  <c r="K78" i="17" s="1"/>
  <c r="F78" i="17"/>
  <c r="D78" i="17"/>
  <c r="R78" i="21"/>
  <c r="F271" i="13"/>
  <c r="F222" i="13"/>
  <c r="P153" i="13"/>
  <c r="F175" i="13"/>
  <c r="F126" i="13"/>
  <c r="F79" i="13"/>
  <c r="D125" i="15"/>
  <c r="N125" i="15"/>
  <c r="F125" i="15"/>
  <c r="E125" i="15"/>
  <c r="F77" i="15"/>
  <c r="D77" i="15"/>
  <c r="N77" i="15"/>
  <c r="E77" i="15"/>
  <c r="S223" i="6"/>
  <c r="S221" i="6"/>
  <c r="S222" i="6"/>
  <c r="S225" i="6"/>
  <c r="R221" i="6"/>
  <c r="R463" i="7"/>
  <c r="R223" i="6"/>
  <c r="S269" i="6"/>
  <c r="S270" i="6"/>
  <c r="S271" i="6"/>
  <c r="S272" i="6"/>
  <c r="S317" i="6"/>
  <c r="S318" i="6"/>
  <c r="S319" i="6"/>
  <c r="S320" i="6"/>
  <c r="S273" i="6"/>
  <c r="S509" i="7"/>
  <c r="S510" i="7"/>
  <c r="S511" i="7"/>
  <c r="S321" i="6"/>
  <c r="S557" i="7"/>
  <c r="S558" i="7"/>
  <c r="S559" i="7"/>
  <c r="S560" i="7"/>
  <c r="R269" i="6"/>
  <c r="R270" i="6"/>
  <c r="R271" i="6"/>
  <c r="R272" i="6"/>
  <c r="R317" i="6"/>
  <c r="R318" i="6"/>
  <c r="R319" i="6"/>
  <c r="R320" i="6"/>
  <c r="R509" i="7"/>
  <c r="R510" i="7"/>
  <c r="R511" i="7"/>
  <c r="R273" i="6"/>
  <c r="R557" i="7"/>
  <c r="R558" i="7"/>
  <c r="R559" i="7"/>
  <c r="R560" i="7"/>
  <c r="P397" i="8"/>
  <c r="S419" i="8"/>
  <c r="R419" i="8"/>
  <c r="P350" i="8"/>
  <c r="R372" i="8"/>
  <c r="S372" i="8"/>
  <c r="R323" i="8"/>
  <c r="S323" i="8"/>
  <c r="P301" i="8"/>
  <c r="P252" i="8"/>
  <c r="S274" i="8"/>
  <c r="R274" i="8"/>
  <c r="P540" i="7"/>
  <c r="S562" i="7"/>
  <c r="R562" i="7"/>
  <c r="R513" i="7"/>
  <c r="S513" i="7"/>
  <c r="P491" i="7"/>
  <c r="S466" i="7"/>
  <c r="P444" i="7"/>
  <c r="R466" i="7"/>
  <c r="S413" i="7"/>
  <c r="S414" i="7"/>
  <c r="S415" i="7"/>
  <c r="R413" i="7"/>
  <c r="R414" i="7"/>
  <c r="R415" i="7"/>
  <c r="R417" i="7"/>
  <c r="P395" i="7"/>
  <c r="S417" i="7"/>
  <c r="S222" i="7"/>
  <c r="O348" i="7"/>
  <c r="R317" i="7"/>
  <c r="O342" i="7"/>
  <c r="O351" i="7"/>
  <c r="O345" i="7"/>
  <c r="S318" i="7"/>
  <c r="S320" i="7"/>
  <c r="R320" i="7"/>
  <c r="R319" i="7"/>
  <c r="S319" i="7"/>
  <c r="O204" i="7"/>
  <c r="S78" i="7"/>
  <c r="O295" i="7"/>
  <c r="C228" i="7"/>
  <c r="S174" i="7"/>
  <c r="S322" i="6"/>
  <c r="P300" i="6"/>
  <c r="R322" i="6"/>
  <c r="P252" i="6"/>
  <c r="R274" i="6"/>
  <c r="S274" i="6"/>
  <c r="P204" i="6"/>
  <c r="R226" i="6"/>
  <c r="S226" i="6"/>
  <c r="R78" i="6"/>
  <c r="S173" i="6"/>
  <c r="S174" i="6"/>
  <c r="S175" i="6"/>
  <c r="S176" i="6"/>
  <c r="C129" i="6"/>
  <c r="R173" i="6"/>
  <c r="R174" i="6"/>
  <c r="R175" i="6"/>
  <c r="R177" i="6"/>
  <c r="P155" i="6"/>
  <c r="S177" i="6"/>
  <c r="C82" i="6"/>
  <c r="C132" i="6"/>
  <c r="O56" i="6"/>
  <c r="O103" i="6"/>
  <c r="C85" i="6"/>
  <c r="P249" i="13"/>
  <c r="S271" i="13"/>
  <c r="R271" i="13"/>
  <c r="P200" i="13"/>
  <c r="S222" i="13"/>
  <c r="R222" i="13"/>
  <c r="P104" i="13"/>
  <c r="S126" i="13"/>
  <c r="R126" i="13"/>
  <c r="P57" i="13"/>
  <c r="S79" i="13"/>
  <c r="R79" i="13"/>
  <c r="P104" i="17"/>
  <c r="B127" i="17" s="1"/>
  <c r="P56" i="17"/>
  <c r="B79" i="17" s="1"/>
  <c r="P8" i="17"/>
  <c r="B31" i="17" s="1"/>
  <c r="P201" i="8"/>
  <c r="S223" i="8"/>
  <c r="R223" i="8"/>
  <c r="P153" i="8"/>
  <c r="S175" i="8"/>
  <c r="R175" i="8"/>
  <c r="S127" i="8"/>
  <c r="P105" i="8"/>
  <c r="R127" i="8"/>
  <c r="P57" i="8"/>
  <c r="S79" i="8"/>
  <c r="R79" i="8"/>
  <c r="S31" i="8"/>
  <c r="P9" i="8"/>
  <c r="R31" i="8"/>
  <c r="C370" i="7"/>
  <c r="O347" i="7"/>
  <c r="S365" i="7"/>
  <c r="P343" i="7"/>
  <c r="R365" i="7"/>
  <c r="O352" i="7"/>
  <c r="C366" i="7"/>
  <c r="O343" i="7"/>
  <c r="C373" i="7"/>
  <c r="O350" i="7"/>
  <c r="O344" i="7"/>
  <c r="C367" i="7"/>
  <c r="O349" i="7"/>
  <c r="C372" i="7"/>
  <c r="C369" i="7"/>
  <c r="O346" i="7"/>
  <c r="O294" i="7"/>
  <c r="C317" i="7"/>
  <c r="C320" i="7"/>
  <c r="O297" i="7"/>
  <c r="C319" i="7"/>
  <c r="O296" i="7"/>
  <c r="C322" i="7"/>
  <c r="O299" i="7"/>
  <c r="C324" i="7"/>
  <c r="O301" i="7"/>
  <c r="O302" i="7"/>
  <c r="C325" i="7"/>
  <c r="O305" i="7"/>
  <c r="O303" i="7"/>
  <c r="C326" i="7"/>
  <c r="P298" i="7"/>
  <c r="O298" i="7"/>
  <c r="C321" i="7"/>
  <c r="O304" i="7"/>
  <c r="O253" i="7"/>
  <c r="C276" i="7"/>
  <c r="C269" i="7"/>
  <c r="O246" i="7"/>
  <c r="O250" i="7"/>
  <c r="C273" i="7"/>
  <c r="C275" i="7"/>
  <c r="O252" i="7"/>
  <c r="O257" i="7"/>
  <c r="O251" i="7"/>
  <c r="C274" i="7"/>
  <c r="P247" i="7"/>
  <c r="C270" i="7"/>
  <c r="O247" i="7"/>
  <c r="O248" i="7"/>
  <c r="C271" i="7"/>
  <c r="O256" i="7"/>
  <c r="O255" i="7"/>
  <c r="C278" i="7"/>
  <c r="O254" i="7"/>
  <c r="C277" i="7"/>
  <c r="S269" i="7"/>
  <c r="R269" i="7"/>
  <c r="S173" i="7"/>
  <c r="O200" i="7"/>
  <c r="S221" i="7"/>
  <c r="O201" i="7"/>
  <c r="O199" i="7"/>
  <c r="C226" i="7"/>
  <c r="O203" i="7"/>
  <c r="C230" i="7"/>
  <c r="C221" i="7"/>
  <c r="O198" i="7"/>
  <c r="C225" i="7"/>
  <c r="C174" i="7"/>
  <c r="P200" i="7"/>
  <c r="R222" i="7"/>
  <c r="O206" i="7"/>
  <c r="C229" i="7"/>
  <c r="S126" i="7"/>
  <c r="C180" i="7"/>
  <c r="C177" i="7"/>
  <c r="R126" i="7"/>
  <c r="O159" i="7"/>
  <c r="C182" i="7"/>
  <c r="O155" i="7"/>
  <c r="C178" i="7"/>
  <c r="P152" i="7"/>
  <c r="C176" i="7"/>
  <c r="O153" i="7"/>
  <c r="C179" i="7"/>
  <c r="O156" i="7"/>
  <c r="O150" i="7"/>
  <c r="C173" i="7"/>
  <c r="O158" i="7"/>
  <c r="C181" i="7"/>
  <c r="O152" i="7"/>
  <c r="C175" i="7"/>
  <c r="R174" i="7"/>
  <c r="O103" i="7"/>
  <c r="C125" i="7"/>
  <c r="O102" i="7"/>
  <c r="O110" i="7"/>
  <c r="C133" i="7"/>
  <c r="C128" i="7"/>
  <c r="O105" i="7"/>
  <c r="O111" i="7"/>
  <c r="C134" i="7"/>
  <c r="O109" i="7"/>
  <c r="C132" i="7"/>
  <c r="O107" i="7"/>
  <c r="C130" i="7"/>
  <c r="O104" i="7"/>
  <c r="C127" i="7"/>
  <c r="O113" i="7"/>
  <c r="P104" i="7"/>
  <c r="C131" i="7"/>
  <c r="O108" i="7"/>
  <c r="R78" i="7"/>
  <c r="S77" i="7"/>
  <c r="O56" i="7"/>
  <c r="C79" i="7"/>
  <c r="C80" i="7"/>
  <c r="O57" i="7"/>
  <c r="C83" i="7"/>
  <c r="O60" i="7"/>
  <c r="O62" i="7"/>
  <c r="C85" i="7"/>
  <c r="O61" i="7"/>
  <c r="C84" i="7"/>
  <c r="C77" i="7"/>
  <c r="O54" i="7"/>
  <c r="O63" i="7"/>
  <c r="C86" i="7"/>
  <c r="O64" i="7"/>
  <c r="O58" i="7"/>
  <c r="C81" i="7"/>
  <c r="C78" i="7"/>
  <c r="O55" i="7"/>
  <c r="O59" i="7"/>
  <c r="C82" i="7"/>
  <c r="P56" i="7"/>
  <c r="O13" i="7"/>
  <c r="C36" i="7"/>
  <c r="C29" i="7"/>
  <c r="O6" i="7"/>
  <c r="O10" i="7"/>
  <c r="C33" i="7"/>
  <c r="C30" i="7"/>
  <c r="O7" i="7"/>
  <c r="P7" i="7"/>
  <c r="O14" i="7"/>
  <c r="C37" i="7"/>
  <c r="O15" i="7"/>
  <c r="C38" i="7"/>
  <c r="O11" i="7"/>
  <c r="C34" i="7"/>
  <c r="C35" i="7"/>
  <c r="O12" i="7"/>
  <c r="O8" i="7"/>
  <c r="C31" i="7"/>
  <c r="C32" i="7"/>
  <c r="O9" i="7"/>
  <c r="O16" i="7"/>
  <c r="P104" i="6"/>
  <c r="O107" i="6"/>
  <c r="C130" i="6"/>
  <c r="O102" i="6"/>
  <c r="C125" i="6"/>
  <c r="C128" i="6"/>
  <c r="O105" i="6"/>
  <c r="R126" i="6"/>
  <c r="C131" i="6"/>
  <c r="O108" i="6"/>
  <c r="S126" i="6"/>
  <c r="O110" i="6"/>
  <c r="C133" i="6"/>
  <c r="O104" i="6"/>
  <c r="C127" i="6"/>
  <c r="O111" i="6"/>
  <c r="C134" i="6"/>
  <c r="C86" i="6"/>
  <c r="O63" i="6"/>
  <c r="O60" i="6"/>
  <c r="C83" i="6"/>
  <c r="C84" i="6"/>
  <c r="O61" i="6"/>
  <c r="O58" i="6"/>
  <c r="C81" i="6"/>
  <c r="C78" i="6"/>
  <c r="O55" i="6"/>
  <c r="C80" i="6"/>
  <c r="O57" i="6"/>
  <c r="S78" i="6"/>
  <c r="P56" i="6"/>
  <c r="O54" i="6"/>
  <c r="C77" i="6"/>
  <c r="O111" i="21"/>
  <c r="C134" i="21"/>
  <c r="R125" i="21"/>
  <c r="P103" i="21"/>
  <c r="O109" i="21"/>
  <c r="C132" i="21"/>
  <c r="C126" i="21"/>
  <c r="O103" i="21"/>
  <c r="O106" i="21"/>
  <c r="C129" i="21"/>
  <c r="O108" i="21"/>
  <c r="C131" i="21"/>
  <c r="O110" i="21"/>
  <c r="C133" i="21"/>
  <c r="O105" i="21"/>
  <c r="C128" i="21"/>
  <c r="O107" i="21"/>
  <c r="C130" i="21"/>
  <c r="O112" i="21"/>
  <c r="O104" i="21"/>
  <c r="C127" i="21"/>
  <c r="O102" i="21"/>
  <c r="C125" i="21"/>
  <c r="O63" i="21"/>
  <c r="C86" i="21"/>
  <c r="O64" i="21"/>
  <c r="O54" i="21"/>
  <c r="C77" i="21"/>
  <c r="O60" i="21"/>
  <c r="C83" i="21"/>
  <c r="O58" i="21"/>
  <c r="C81" i="21"/>
  <c r="C78" i="21"/>
  <c r="O55" i="21"/>
  <c r="P56" i="21"/>
  <c r="C84" i="21"/>
  <c r="O61" i="21"/>
  <c r="C80" i="21"/>
  <c r="O57" i="21"/>
  <c r="O56" i="21"/>
  <c r="C79" i="21"/>
  <c r="O59" i="21"/>
  <c r="C82" i="21"/>
  <c r="O62" i="21"/>
  <c r="C85" i="21"/>
  <c r="O65" i="21"/>
  <c r="C33" i="21"/>
  <c r="O10" i="21"/>
  <c r="P7" i="21"/>
  <c r="O13" i="21"/>
  <c r="C36" i="21"/>
  <c r="C30" i="21"/>
  <c r="O7" i="21"/>
  <c r="O11" i="21"/>
  <c r="C34" i="21"/>
  <c r="C29" i="21"/>
  <c r="O6" i="21"/>
  <c r="O15" i="21"/>
  <c r="C38" i="21"/>
  <c r="C35" i="21"/>
  <c r="O12" i="21"/>
  <c r="O9" i="21"/>
  <c r="C32" i="21"/>
  <c r="O16" i="21"/>
  <c r="O14" i="21"/>
  <c r="C37" i="21"/>
  <c r="O8" i="21"/>
  <c r="C31" i="21"/>
  <c r="R29" i="21"/>
  <c r="P103" i="15"/>
  <c r="B126" i="15" s="1"/>
  <c r="P55" i="15"/>
  <c r="B78" i="15" s="1"/>
  <c r="L30" i="17" l="1"/>
  <c r="L78" i="17"/>
  <c r="D31" i="17"/>
  <c r="N31" i="17"/>
  <c r="F31" i="17"/>
  <c r="E31" i="17"/>
  <c r="K30" i="17"/>
  <c r="E127" i="17"/>
  <c r="F127" i="17"/>
  <c r="N127" i="17"/>
  <c r="D127" i="17"/>
  <c r="K127" i="17" s="1"/>
  <c r="E79" i="17"/>
  <c r="F79" i="17"/>
  <c r="D79" i="17"/>
  <c r="N79" i="17"/>
  <c r="F272" i="13"/>
  <c r="F223" i="13"/>
  <c r="P154" i="13"/>
  <c r="F176" i="13"/>
  <c r="S176" i="13"/>
  <c r="R176" i="13"/>
  <c r="F127" i="13"/>
  <c r="F80" i="13"/>
  <c r="L125" i="15"/>
  <c r="K125" i="15"/>
  <c r="N126" i="15"/>
  <c r="E126" i="15"/>
  <c r="D126" i="15"/>
  <c r="F126" i="15"/>
  <c r="L77" i="15"/>
  <c r="K77" i="15"/>
  <c r="F78" i="15"/>
  <c r="N78" i="15"/>
  <c r="D78" i="15"/>
  <c r="E78" i="15"/>
  <c r="P398" i="8"/>
  <c r="S420" i="8"/>
  <c r="R420" i="8"/>
  <c r="P351" i="8"/>
  <c r="R373" i="8"/>
  <c r="S373" i="8"/>
  <c r="S324" i="8"/>
  <c r="P302" i="8"/>
  <c r="R324" i="8"/>
  <c r="P253" i="8"/>
  <c r="S275" i="8"/>
  <c r="R275" i="8"/>
  <c r="P541" i="7"/>
  <c r="R563" i="7"/>
  <c r="S563" i="7"/>
  <c r="P492" i="7"/>
  <c r="S514" i="7"/>
  <c r="R514" i="7"/>
  <c r="P445" i="7"/>
  <c r="S467" i="7"/>
  <c r="R467" i="7"/>
  <c r="P396" i="7"/>
  <c r="S418" i="7"/>
  <c r="R418" i="7"/>
  <c r="R323" i="6"/>
  <c r="P301" i="6"/>
  <c r="S323" i="6"/>
  <c r="P253" i="6"/>
  <c r="S275" i="6"/>
  <c r="R275" i="6"/>
  <c r="P205" i="6"/>
  <c r="S227" i="6"/>
  <c r="R227" i="6"/>
  <c r="P156" i="6"/>
  <c r="S178" i="6"/>
  <c r="R178" i="6"/>
  <c r="P250" i="13"/>
  <c r="R272" i="13"/>
  <c r="S272" i="13"/>
  <c r="P201" i="13"/>
  <c r="S223" i="13"/>
  <c r="R223" i="13"/>
  <c r="S127" i="13"/>
  <c r="P105" i="13"/>
  <c r="R127" i="13"/>
  <c r="S80" i="13"/>
  <c r="P58" i="13"/>
  <c r="R80" i="13"/>
  <c r="P105" i="17"/>
  <c r="B128" i="17" s="1"/>
  <c r="P57" i="17"/>
  <c r="B80" i="17" s="1"/>
  <c r="P9" i="17"/>
  <c r="B32" i="17" s="1"/>
  <c r="P202" i="8"/>
  <c r="R224" i="8"/>
  <c r="S224" i="8"/>
  <c r="P154" i="8"/>
  <c r="R176" i="8"/>
  <c r="S176" i="8"/>
  <c r="P106" i="8"/>
  <c r="R128" i="8"/>
  <c r="S128" i="8"/>
  <c r="P58" i="8"/>
  <c r="S80" i="8"/>
  <c r="R80" i="8"/>
  <c r="P10" i="8"/>
  <c r="S32" i="8"/>
  <c r="R32" i="8"/>
  <c r="P344" i="7"/>
  <c r="S366" i="7"/>
  <c r="R366" i="7"/>
  <c r="P299" i="7"/>
  <c r="R321" i="7"/>
  <c r="S321" i="7"/>
  <c r="P248" i="7"/>
  <c r="S270" i="7"/>
  <c r="R270" i="7"/>
  <c r="P201" i="7"/>
  <c r="R223" i="7"/>
  <c r="S223" i="7"/>
  <c r="S175" i="7"/>
  <c r="P153" i="7"/>
  <c r="R175" i="7"/>
  <c r="P105" i="7"/>
  <c r="R127" i="7"/>
  <c r="S127" i="7"/>
  <c r="R79" i="7"/>
  <c r="P57" i="7"/>
  <c r="S79" i="7"/>
  <c r="P8" i="7"/>
  <c r="S30" i="7"/>
  <c r="R30" i="7"/>
  <c r="P105" i="6"/>
  <c r="R127" i="6"/>
  <c r="S127" i="6"/>
  <c r="P57" i="6"/>
  <c r="S79" i="6"/>
  <c r="R79" i="6"/>
  <c r="P104" i="21"/>
  <c r="R126" i="21"/>
  <c r="S126" i="21"/>
  <c r="P57" i="21"/>
  <c r="R79" i="21"/>
  <c r="S79" i="21"/>
  <c r="P8" i="21"/>
  <c r="S30" i="21"/>
  <c r="R30" i="21"/>
  <c r="P104" i="15"/>
  <c r="B127" i="15" s="1"/>
  <c r="P56" i="15"/>
  <c r="B79" i="15" s="1"/>
  <c r="L127" i="17" l="1"/>
  <c r="L31" i="17"/>
  <c r="N32" i="17"/>
  <c r="F32" i="17"/>
  <c r="E32" i="17"/>
  <c r="D32" i="17"/>
  <c r="K32" i="17" s="1"/>
  <c r="K31" i="17"/>
  <c r="N128" i="17"/>
  <c r="F128" i="17"/>
  <c r="E128" i="17"/>
  <c r="D128" i="17"/>
  <c r="L128" i="17" s="1"/>
  <c r="K79" i="17"/>
  <c r="L79" i="17"/>
  <c r="N80" i="17"/>
  <c r="D80" i="17"/>
  <c r="F80" i="17"/>
  <c r="E80" i="17"/>
  <c r="L80" i="17" s="1"/>
  <c r="F273" i="13"/>
  <c r="F224" i="13"/>
  <c r="P155" i="13"/>
  <c r="F177" i="13"/>
  <c r="R177" i="13"/>
  <c r="S177" i="13"/>
  <c r="F128" i="13"/>
  <c r="F81" i="13"/>
  <c r="F127" i="15"/>
  <c r="E127" i="15"/>
  <c r="N127" i="15"/>
  <c r="D127" i="15"/>
  <c r="K126" i="15"/>
  <c r="L126" i="15"/>
  <c r="L78" i="15"/>
  <c r="K78" i="15"/>
  <c r="F79" i="15"/>
  <c r="D79" i="15"/>
  <c r="N79" i="15"/>
  <c r="E79" i="15"/>
  <c r="P399" i="8"/>
  <c r="S421" i="8"/>
  <c r="R421" i="8"/>
  <c r="P352" i="8"/>
  <c r="R374" i="8"/>
  <c r="S374" i="8"/>
  <c r="S325" i="8"/>
  <c r="R325" i="8"/>
  <c r="P303" i="8"/>
  <c r="P254" i="8"/>
  <c r="S276" i="8"/>
  <c r="R276" i="8"/>
  <c r="P542" i="7"/>
  <c r="S564" i="7"/>
  <c r="R564" i="7"/>
  <c r="P493" i="7"/>
  <c r="R515" i="7"/>
  <c r="S515" i="7"/>
  <c r="S468" i="7"/>
  <c r="P446" i="7"/>
  <c r="R468" i="7"/>
  <c r="P397" i="7"/>
  <c r="R419" i="7"/>
  <c r="S419" i="7"/>
  <c r="S324" i="6"/>
  <c r="P302" i="6"/>
  <c r="R324" i="6"/>
  <c r="P254" i="6"/>
  <c r="R276" i="6"/>
  <c r="S276" i="6"/>
  <c r="P206" i="6"/>
  <c r="R228" i="6"/>
  <c r="S228" i="6"/>
  <c r="P157" i="6"/>
  <c r="R179" i="6"/>
  <c r="S179" i="6"/>
  <c r="S273" i="13"/>
  <c r="R273" i="13"/>
  <c r="P251" i="13"/>
  <c r="P202" i="13"/>
  <c r="R224" i="13"/>
  <c r="S224" i="13"/>
  <c r="P106" i="13"/>
  <c r="R128" i="13"/>
  <c r="S128" i="13"/>
  <c r="S81" i="13"/>
  <c r="P59" i="13"/>
  <c r="R81" i="13"/>
  <c r="P106" i="17"/>
  <c r="B129" i="17" s="1"/>
  <c r="P58" i="17"/>
  <c r="B81" i="17" s="1"/>
  <c r="P10" i="17"/>
  <c r="B33" i="17" s="1"/>
  <c r="P203" i="8"/>
  <c r="S225" i="8"/>
  <c r="R225" i="8"/>
  <c r="P155" i="8"/>
  <c r="S177" i="8"/>
  <c r="R177" i="8"/>
  <c r="P107" i="8"/>
  <c r="S129" i="8"/>
  <c r="R129" i="8"/>
  <c r="R81" i="8"/>
  <c r="P59" i="8"/>
  <c r="S81" i="8"/>
  <c r="P11" i="8"/>
  <c r="R33" i="8"/>
  <c r="S33" i="8"/>
  <c r="P345" i="7"/>
  <c r="S367" i="7"/>
  <c r="R367" i="7"/>
  <c r="S322" i="7"/>
  <c r="R322" i="7"/>
  <c r="P300" i="7"/>
  <c r="P249" i="7"/>
  <c r="S271" i="7"/>
  <c r="R271" i="7"/>
  <c r="P202" i="7"/>
  <c r="R224" i="7"/>
  <c r="S224" i="7"/>
  <c r="P154" i="7"/>
  <c r="S176" i="7"/>
  <c r="R176" i="7"/>
  <c r="P106" i="7"/>
  <c r="R128" i="7"/>
  <c r="S128" i="7"/>
  <c r="P58" i="7"/>
  <c r="R80" i="7"/>
  <c r="S80" i="7"/>
  <c r="P9" i="7"/>
  <c r="S31" i="7"/>
  <c r="R31" i="7"/>
  <c r="P106" i="6"/>
  <c r="S128" i="6"/>
  <c r="R128" i="6"/>
  <c r="P58" i="6"/>
  <c r="R80" i="6"/>
  <c r="S80" i="6"/>
  <c r="P105" i="21"/>
  <c r="S127" i="21"/>
  <c r="R127" i="21"/>
  <c r="P58" i="21"/>
  <c r="R80" i="21"/>
  <c r="S80" i="21"/>
  <c r="S31" i="21"/>
  <c r="P9" i="21"/>
  <c r="R31" i="21"/>
  <c r="P105" i="15"/>
  <c r="B128" i="15" s="1"/>
  <c r="P57" i="15"/>
  <c r="B80" i="15" s="1"/>
  <c r="L79" i="15" l="1"/>
  <c r="K128" i="17"/>
  <c r="L32" i="17"/>
  <c r="N33" i="17"/>
  <c r="E33" i="17"/>
  <c r="F33" i="17"/>
  <c r="D33" i="17"/>
  <c r="F129" i="17"/>
  <c r="D129" i="17"/>
  <c r="L129" i="17" s="1"/>
  <c r="N129" i="17"/>
  <c r="E129" i="17"/>
  <c r="K80" i="17"/>
  <c r="D81" i="17"/>
  <c r="E81" i="17"/>
  <c r="F81" i="17"/>
  <c r="N81" i="17"/>
  <c r="F274" i="13"/>
  <c r="F225" i="13"/>
  <c r="P156" i="13"/>
  <c r="F178" i="13"/>
  <c r="S178" i="13"/>
  <c r="R178" i="13"/>
  <c r="F129" i="13"/>
  <c r="F82" i="13"/>
  <c r="L127" i="15"/>
  <c r="K127" i="15"/>
  <c r="D128" i="15"/>
  <c r="F128" i="15"/>
  <c r="E128" i="15"/>
  <c r="L128" i="15" s="1"/>
  <c r="K128" i="15"/>
  <c r="N128" i="15"/>
  <c r="K79" i="15"/>
  <c r="D80" i="15"/>
  <c r="F80" i="15"/>
  <c r="E80" i="15"/>
  <c r="N80" i="15"/>
  <c r="P400" i="8"/>
  <c r="R422" i="8"/>
  <c r="S422" i="8"/>
  <c r="P353" i="8"/>
  <c r="S375" i="8"/>
  <c r="R375" i="8"/>
  <c r="P304" i="8"/>
  <c r="S326" i="8"/>
  <c r="R326" i="8"/>
  <c r="P255" i="8"/>
  <c r="S277" i="8"/>
  <c r="R277" i="8"/>
  <c r="P543" i="7"/>
  <c r="R565" i="7"/>
  <c r="S565" i="7"/>
  <c r="P494" i="7"/>
  <c r="R516" i="7"/>
  <c r="S516" i="7"/>
  <c r="S469" i="7"/>
  <c r="R469" i="7"/>
  <c r="P447" i="7"/>
  <c r="P398" i="7"/>
  <c r="S420" i="7"/>
  <c r="R420" i="7"/>
  <c r="R325" i="6"/>
  <c r="P303" i="6"/>
  <c r="S325" i="6"/>
  <c r="P255" i="6"/>
  <c r="S277" i="6"/>
  <c r="R277" i="6"/>
  <c r="P207" i="6"/>
  <c r="S229" i="6"/>
  <c r="R229" i="6"/>
  <c r="P158" i="6"/>
  <c r="S180" i="6"/>
  <c r="R180" i="6"/>
  <c r="P252" i="13"/>
  <c r="S274" i="13"/>
  <c r="R274" i="13"/>
  <c r="S225" i="13"/>
  <c r="P203" i="13"/>
  <c r="R225" i="13"/>
  <c r="S129" i="13"/>
  <c r="R129" i="13"/>
  <c r="P107" i="13"/>
  <c r="S82" i="13"/>
  <c r="P60" i="13"/>
  <c r="R82" i="13"/>
  <c r="P107" i="17"/>
  <c r="B130" i="17" s="1"/>
  <c r="P59" i="17"/>
  <c r="B82" i="17" s="1"/>
  <c r="P11" i="17"/>
  <c r="B34" i="17" s="1"/>
  <c r="P204" i="8"/>
  <c r="S226" i="8"/>
  <c r="R226" i="8"/>
  <c r="S178" i="8"/>
  <c r="P156" i="8"/>
  <c r="R178" i="8"/>
  <c r="S130" i="8"/>
  <c r="P108" i="8"/>
  <c r="R130" i="8"/>
  <c r="P60" i="8"/>
  <c r="R82" i="8"/>
  <c r="S82" i="8"/>
  <c r="P12" i="8"/>
  <c r="S34" i="8"/>
  <c r="R34" i="8"/>
  <c r="S368" i="7"/>
  <c r="P346" i="7"/>
  <c r="R368" i="7"/>
  <c r="P301" i="7"/>
  <c r="S323" i="7"/>
  <c r="R323" i="7"/>
  <c r="P250" i="7"/>
  <c r="S272" i="7"/>
  <c r="R272" i="7"/>
  <c r="R225" i="7"/>
  <c r="P203" i="7"/>
  <c r="S225" i="7"/>
  <c r="P155" i="7"/>
  <c r="R177" i="7"/>
  <c r="S177" i="7"/>
  <c r="P107" i="7"/>
  <c r="S129" i="7"/>
  <c r="R129" i="7"/>
  <c r="P59" i="7"/>
  <c r="S81" i="7"/>
  <c r="R81" i="7"/>
  <c r="P10" i="7"/>
  <c r="R32" i="7"/>
  <c r="S32" i="7"/>
  <c r="P107" i="6"/>
  <c r="S129" i="6"/>
  <c r="R129" i="6"/>
  <c r="P59" i="6"/>
  <c r="R81" i="6"/>
  <c r="S81" i="6"/>
  <c r="P106" i="21"/>
  <c r="R128" i="21"/>
  <c r="S128" i="21"/>
  <c r="P59" i="21"/>
  <c r="S81" i="21"/>
  <c r="R81" i="21"/>
  <c r="P10" i="21"/>
  <c r="R32" i="21"/>
  <c r="S32" i="21"/>
  <c r="P106" i="15"/>
  <c r="B129" i="15" s="1"/>
  <c r="P58" i="15"/>
  <c r="B81" i="15" s="1"/>
  <c r="L81" i="17" l="1"/>
  <c r="K81" i="17"/>
  <c r="L33" i="17"/>
  <c r="F34" i="17"/>
  <c r="N34" i="17"/>
  <c r="E34" i="17"/>
  <c r="D34" i="17"/>
  <c r="K34" i="17" s="1"/>
  <c r="K129" i="17"/>
  <c r="E130" i="17"/>
  <c r="F130" i="17"/>
  <c r="N130" i="17"/>
  <c r="D130" i="17"/>
  <c r="K130" i="17" s="1"/>
  <c r="N82" i="17"/>
  <c r="D82" i="17"/>
  <c r="E82" i="17"/>
  <c r="F82" i="17"/>
  <c r="L82" i="17" s="1"/>
  <c r="K82" i="17"/>
  <c r="F275" i="13"/>
  <c r="F226" i="13"/>
  <c r="P157" i="13"/>
  <c r="F179" i="13"/>
  <c r="S179" i="13"/>
  <c r="R179" i="13"/>
  <c r="F130" i="13"/>
  <c r="F83" i="13"/>
  <c r="N129" i="15"/>
  <c r="D129" i="15"/>
  <c r="F129" i="15"/>
  <c r="E129" i="15"/>
  <c r="K80" i="15"/>
  <c r="L80" i="15"/>
  <c r="N81" i="15"/>
  <c r="D81" i="15"/>
  <c r="F81" i="15"/>
  <c r="E81" i="15"/>
  <c r="P401" i="8"/>
  <c r="S423" i="8"/>
  <c r="R423" i="8"/>
  <c r="R376" i="8"/>
  <c r="S376" i="8"/>
  <c r="S327" i="8"/>
  <c r="R327" i="8"/>
  <c r="P305" i="8"/>
  <c r="P256" i="8"/>
  <c r="R278" i="8"/>
  <c r="S278" i="8"/>
  <c r="P544" i="7"/>
  <c r="R566" i="7"/>
  <c r="S566" i="7"/>
  <c r="P495" i="7"/>
  <c r="R517" i="7"/>
  <c r="S517" i="7"/>
  <c r="P448" i="7"/>
  <c r="S470" i="7"/>
  <c r="R470" i="7"/>
  <c r="R421" i="7"/>
  <c r="P399" i="7"/>
  <c r="S421" i="7"/>
  <c r="P304" i="6"/>
  <c r="S326" i="6"/>
  <c r="R326" i="6"/>
  <c r="P256" i="6"/>
  <c r="R278" i="6"/>
  <c r="S278" i="6"/>
  <c r="P208" i="6"/>
  <c r="R230" i="6"/>
  <c r="S230" i="6"/>
  <c r="P159" i="6"/>
  <c r="R181" i="6"/>
  <c r="S181" i="6"/>
  <c r="P253" i="13"/>
  <c r="S275" i="13"/>
  <c r="R275" i="13"/>
  <c r="P204" i="13"/>
  <c r="S226" i="13"/>
  <c r="R226" i="13"/>
  <c r="P108" i="13"/>
  <c r="R130" i="13"/>
  <c r="S130" i="13"/>
  <c r="P61" i="13"/>
  <c r="S83" i="13"/>
  <c r="R83" i="13"/>
  <c r="P108" i="17"/>
  <c r="B131" i="17" s="1"/>
  <c r="P60" i="17"/>
  <c r="B83" i="17" s="1"/>
  <c r="P12" i="17"/>
  <c r="B35" i="17" s="1"/>
  <c r="P205" i="8"/>
  <c r="S227" i="8"/>
  <c r="R227" i="8"/>
  <c r="P157" i="8"/>
  <c r="R179" i="8"/>
  <c r="S179" i="8"/>
  <c r="P109" i="8"/>
  <c r="R131" i="8"/>
  <c r="S131" i="8"/>
  <c r="P61" i="8"/>
  <c r="R83" i="8"/>
  <c r="S83" i="8"/>
  <c r="P13" i="8"/>
  <c r="S35" i="8"/>
  <c r="R35" i="8"/>
  <c r="R369" i="7"/>
  <c r="S369" i="7"/>
  <c r="P347" i="7"/>
  <c r="P302" i="7"/>
  <c r="S324" i="7"/>
  <c r="R324" i="7"/>
  <c r="P251" i="7"/>
  <c r="R273" i="7"/>
  <c r="S273" i="7"/>
  <c r="P204" i="7"/>
  <c r="R226" i="7"/>
  <c r="S226" i="7"/>
  <c r="R178" i="7"/>
  <c r="S178" i="7"/>
  <c r="P156" i="7"/>
  <c r="P108" i="7"/>
  <c r="R130" i="7"/>
  <c r="S130" i="7"/>
  <c r="P60" i="7"/>
  <c r="R82" i="7"/>
  <c r="S82" i="7"/>
  <c r="P11" i="7"/>
  <c r="R33" i="7"/>
  <c r="S33" i="7"/>
  <c r="P108" i="6"/>
  <c r="S130" i="6"/>
  <c r="R130" i="6"/>
  <c r="S82" i="6"/>
  <c r="P60" i="6"/>
  <c r="R82" i="6"/>
  <c r="P107" i="21"/>
  <c r="R129" i="21"/>
  <c r="S129" i="21"/>
  <c r="P60" i="21"/>
  <c r="R82" i="21"/>
  <c r="S82" i="21"/>
  <c r="S33" i="21"/>
  <c r="P11" i="21"/>
  <c r="R33" i="21"/>
  <c r="P107" i="15"/>
  <c r="B130" i="15" s="1"/>
  <c r="P59" i="15"/>
  <c r="B82" i="15" s="1"/>
  <c r="L130" i="17" l="1"/>
  <c r="L34" i="17"/>
  <c r="E35" i="17"/>
  <c r="D35" i="17"/>
  <c r="F35" i="17"/>
  <c r="N35" i="17"/>
  <c r="K35" i="17"/>
  <c r="L35" i="17"/>
  <c r="E131" i="17"/>
  <c r="F131" i="17"/>
  <c r="D131" i="17"/>
  <c r="N131" i="17"/>
  <c r="E83" i="17"/>
  <c r="F83" i="17"/>
  <c r="N83" i="17"/>
  <c r="D83" i="17"/>
  <c r="F276" i="13"/>
  <c r="F227" i="13"/>
  <c r="P158" i="13"/>
  <c r="F180" i="13"/>
  <c r="R180" i="13"/>
  <c r="S180" i="13"/>
  <c r="F131" i="13"/>
  <c r="F84" i="13"/>
  <c r="K129" i="15"/>
  <c r="L129" i="15"/>
  <c r="F130" i="15"/>
  <c r="E130" i="15"/>
  <c r="D130" i="15"/>
  <c r="L130" i="15" s="1"/>
  <c r="N130" i="15"/>
  <c r="K81" i="15"/>
  <c r="N82" i="15"/>
  <c r="E82" i="15"/>
  <c r="F82" i="15"/>
  <c r="D82" i="15"/>
  <c r="L81" i="15"/>
  <c r="S424" i="8"/>
  <c r="R424" i="8"/>
  <c r="S328" i="8"/>
  <c r="R328" i="8"/>
  <c r="S279" i="8"/>
  <c r="P257" i="8"/>
  <c r="R279" i="8"/>
  <c r="P545" i="7"/>
  <c r="R567" i="7"/>
  <c r="S567" i="7"/>
  <c r="P496" i="7"/>
  <c r="R518" i="7"/>
  <c r="S518" i="7"/>
  <c r="S471" i="7"/>
  <c r="P449" i="7"/>
  <c r="R471" i="7"/>
  <c r="P400" i="7"/>
  <c r="S422" i="7"/>
  <c r="R422" i="7"/>
  <c r="R327" i="6"/>
  <c r="P305" i="6"/>
  <c r="S327" i="6"/>
  <c r="P257" i="6"/>
  <c r="R279" i="6"/>
  <c r="S279" i="6"/>
  <c r="S231" i="6"/>
  <c r="P209" i="6"/>
  <c r="R231" i="6"/>
  <c r="P160" i="6"/>
  <c r="R182" i="6"/>
  <c r="S182" i="6"/>
  <c r="P254" i="13"/>
  <c r="S276" i="13"/>
  <c r="R276" i="13"/>
  <c r="P205" i="13"/>
  <c r="S227" i="13"/>
  <c r="R227" i="13"/>
  <c r="S131" i="13"/>
  <c r="P109" i="13"/>
  <c r="R131" i="13"/>
  <c r="S84" i="13"/>
  <c r="P62" i="13"/>
  <c r="R84" i="13"/>
  <c r="P109" i="17"/>
  <c r="B132" i="17" s="1"/>
  <c r="P61" i="17"/>
  <c r="B84" i="17" s="1"/>
  <c r="P13" i="17"/>
  <c r="B36" i="17" s="1"/>
  <c r="P206" i="8"/>
  <c r="S228" i="8"/>
  <c r="R228" i="8"/>
  <c r="P158" i="8"/>
  <c r="R180" i="8"/>
  <c r="S180" i="8"/>
  <c r="P110" i="8"/>
  <c r="S132" i="8"/>
  <c r="R132" i="8"/>
  <c r="R84" i="8"/>
  <c r="P62" i="8"/>
  <c r="S84" i="8"/>
  <c r="P14" i="8"/>
  <c r="S36" i="8"/>
  <c r="R36" i="8"/>
  <c r="P348" i="7"/>
  <c r="R370" i="7"/>
  <c r="S370" i="7"/>
  <c r="P303" i="7"/>
  <c r="S325" i="7"/>
  <c r="R325" i="7"/>
  <c r="P252" i="7"/>
  <c r="S274" i="7"/>
  <c r="R274" i="7"/>
  <c r="P205" i="7"/>
  <c r="R227" i="7"/>
  <c r="S227" i="7"/>
  <c r="P157" i="7"/>
  <c r="S179" i="7"/>
  <c r="R179" i="7"/>
  <c r="P109" i="7"/>
  <c r="S131" i="7"/>
  <c r="R131" i="7"/>
  <c r="P61" i="7"/>
  <c r="R83" i="7"/>
  <c r="S83" i="7"/>
  <c r="P12" i="7"/>
  <c r="S34" i="7"/>
  <c r="R34" i="7"/>
  <c r="P109" i="6"/>
  <c r="R131" i="6"/>
  <c r="S131" i="6"/>
  <c r="R83" i="6"/>
  <c r="P61" i="6"/>
  <c r="S83" i="6"/>
  <c r="P108" i="21"/>
  <c r="S130" i="21"/>
  <c r="R130" i="21"/>
  <c r="P61" i="21"/>
  <c r="R83" i="21"/>
  <c r="S83" i="21"/>
  <c r="S34" i="21"/>
  <c r="P12" i="21"/>
  <c r="R34" i="21"/>
  <c r="P108" i="15"/>
  <c r="B131" i="15" s="1"/>
  <c r="P60" i="15"/>
  <c r="B83" i="15" s="1"/>
  <c r="K83" i="17" l="1"/>
  <c r="N36" i="17"/>
  <c r="E36" i="17"/>
  <c r="D36" i="17"/>
  <c r="K36" i="17" s="1"/>
  <c r="F36" i="17"/>
  <c r="L131" i="17"/>
  <c r="K131" i="17"/>
  <c r="N132" i="17"/>
  <c r="D132" i="17"/>
  <c r="F132" i="17"/>
  <c r="E132" i="17"/>
  <c r="L132" i="17" s="1"/>
  <c r="N84" i="17"/>
  <c r="E84" i="17"/>
  <c r="D84" i="17"/>
  <c r="F84" i="17"/>
  <c r="L84" i="17"/>
  <c r="L83" i="17"/>
  <c r="F277" i="13"/>
  <c r="F228" i="13"/>
  <c r="P159" i="13"/>
  <c r="F181" i="13"/>
  <c r="R181" i="13"/>
  <c r="S181" i="13"/>
  <c r="F132" i="13"/>
  <c r="F85" i="13"/>
  <c r="D131" i="15"/>
  <c r="F131" i="15"/>
  <c r="N131" i="15"/>
  <c r="E131" i="15"/>
  <c r="K130" i="15"/>
  <c r="K82" i="15"/>
  <c r="E83" i="15"/>
  <c r="F83" i="15"/>
  <c r="D83" i="15"/>
  <c r="N83" i="15"/>
  <c r="L82" i="15"/>
  <c r="S280" i="8"/>
  <c r="R280" i="8"/>
  <c r="S568" i="7"/>
  <c r="R568" i="7"/>
  <c r="P497" i="7"/>
  <c r="R519" i="7"/>
  <c r="S519" i="7"/>
  <c r="S472" i="7"/>
  <c r="R472" i="7"/>
  <c r="R423" i="7"/>
  <c r="P401" i="7"/>
  <c r="S423" i="7"/>
  <c r="S328" i="6"/>
  <c r="R328" i="6"/>
  <c r="R280" i="6"/>
  <c r="S280" i="6"/>
  <c r="R232" i="6"/>
  <c r="S232" i="6"/>
  <c r="P161" i="6"/>
  <c r="R183" i="6"/>
  <c r="S183" i="6"/>
  <c r="S277" i="13"/>
  <c r="P255" i="13"/>
  <c r="R277" i="13"/>
  <c r="P206" i="13"/>
  <c r="R228" i="13"/>
  <c r="S228" i="13"/>
  <c r="P110" i="13"/>
  <c r="S132" i="13"/>
  <c r="R132" i="13"/>
  <c r="S85" i="13"/>
  <c r="P63" i="13"/>
  <c r="R85" i="13"/>
  <c r="P110" i="17"/>
  <c r="B133" i="17" s="1"/>
  <c r="P62" i="17"/>
  <c r="B85" i="17" s="1"/>
  <c r="P14" i="17"/>
  <c r="B37" i="17" s="1"/>
  <c r="S229" i="8"/>
  <c r="R229" i="8"/>
  <c r="P207" i="8"/>
  <c r="S181" i="8"/>
  <c r="P159" i="8"/>
  <c r="R181" i="8"/>
  <c r="R133" i="8"/>
  <c r="P111" i="8"/>
  <c r="S133" i="8"/>
  <c r="P63" i="8"/>
  <c r="R85" i="8"/>
  <c r="S85" i="8"/>
  <c r="P15" i="8"/>
  <c r="S37" i="8"/>
  <c r="R37" i="8"/>
  <c r="P349" i="7"/>
  <c r="S371" i="7"/>
  <c r="R371" i="7"/>
  <c r="P304" i="7"/>
  <c r="R326" i="7"/>
  <c r="S326" i="7"/>
  <c r="P253" i="7"/>
  <c r="S275" i="7"/>
  <c r="R275" i="7"/>
  <c r="R228" i="7"/>
  <c r="P206" i="7"/>
  <c r="S228" i="7"/>
  <c r="P158" i="7"/>
  <c r="S180" i="7"/>
  <c r="R180" i="7"/>
  <c r="P110" i="7"/>
  <c r="S132" i="7"/>
  <c r="R132" i="7"/>
  <c r="P62" i="7"/>
  <c r="R84" i="7"/>
  <c r="S84" i="7"/>
  <c r="P13" i="7"/>
  <c r="S35" i="7"/>
  <c r="R35" i="7"/>
  <c r="P110" i="6"/>
  <c r="R132" i="6"/>
  <c r="S132" i="6"/>
  <c r="P62" i="6"/>
  <c r="R84" i="6"/>
  <c r="S84" i="6"/>
  <c r="R131" i="21"/>
  <c r="P109" i="21"/>
  <c r="S131" i="21"/>
  <c r="P62" i="21"/>
  <c r="S84" i="21"/>
  <c r="R84" i="21"/>
  <c r="P13" i="21"/>
  <c r="R35" i="21"/>
  <c r="S35" i="21"/>
  <c r="P109" i="15"/>
  <c r="B132" i="15" s="1"/>
  <c r="P61" i="15"/>
  <c r="B84" i="15" s="1"/>
  <c r="L36" i="17" l="1"/>
  <c r="N37" i="17"/>
  <c r="D37" i="17"/>
  <c r="F37" i="17"/>
  <c r="E37" i="17"/>
  <c r="L37" i="17"/>
  <c r="K132" i="17"/>
  <c r="N133" i="17"/>
  <c r="F133" i="17"/>
  <c r="D133" i="17"/>
  <c r="L133" i="17" s="1"/>
  <c r="E133" i="17"/>
  <c r="K133" i="17" s="1"/>
  <c r="K84" i="17"/>
  <c r="N85" i="17"/>
  <c r="F85" i="17"/>
  <c r="E85" i="17"/>
  <c r="D85" i="17"/>
  <c r="L85" i="17" s="1"/>
  <c r="F278" i="13"/>
  <c r="F229" i="13"/>
  <c r="P160" i="13"/>
  <c r="F182" i="13"/>
  <c r="R182" i="13"/>
  <c r="S182" i="13"/>
  <c r="F133" i="13"/>
  <c r="F86" i="13"/>
  <c r="L131" i="15"/>
  <c r="K131" i="15"/>
  <c r="D132" i="15"/>
  <c r="N132" i="15"/>
  <c r="E132" i="15"/>
  <c r="F132" i="15"/>
  <c r="L83" i="15"/>
  <c r="K83" i="15"/>
  <c r="D84" i="15"/>
  <c r="E84" i="15"/>
  <c r="F84" i="15"/>
  <c r="N84" i="15"/>
  <c r="S520" i="7"/>
  <c r="R520" i="7"/>
  <c r="S424" i="7"/>
  <c r="R424" i="7"/>
  <c r="S184" i="6"/>
  <c r="R184" i="6"/>
  <c r="P256" i="13"/>
  <c r="S278" i="13"/>
  <c r="R278" i="13"/>
  <c r="R229" i="13"/>
  <c r="P207" i="13"/>
  <c r="S229" i="13"/>
  <c r="S133" i="13"/>
  <c r="P111" i="13"/>
  <c r="R133" i="13"/>
  <c r="P64" i="13"/>
  <c r="S86" i="13"/>
  <c r="R86" i="13"/>
  <c r="P111" i="17"/>
  <c r="B134" i="17" s="1"/>
  <c r="P63" i="17"/>
  <c r="B86" i="17" s="1"/>
  <c r="P15" i="17"/>
  <c r="B38" i="17" s="1"/>
  <c r="P208" i="8"/>
  <c r="S230" i="8"/>
  <c r="R230" i="8"/>
  <c r="P160" i="8"/>
  <c r="R182" i="8"/>
  <c r="S182" i="8"/>
  <c r="P112" i="8"/>
  <c r="R134" i="8"/>
  <c r="S134" i="8"/>
  <c r="P64" i="8"/>
  <c r="S86" i="8"/>
  <c r="R86" i="8"/>
  <c r="P16" i="8"/>
  <c r="R38" i="8"/>
  <c r="S38" i="8"/>
  <c r="R372" i="7"/>
  <c r="S372" i="7"/>
  <c r="P350" i="7"/>
  <c r="P305" i="7"/>
  <c r="S327" i="7"/>
  <c r="R327" i="7"/>
  <c r="P254" i="7"/>
  <c r="S276" i="7"/>
  <c r="R276" i="7"/>
  <c r="R229" i="7"/>
  <c r="P207" i="7"/>
  <c r="S229" i="7"/>
  <c r="R181" i="7"/>
  <c r="S181" i="7"/>
  <c r="P159" i="7"/>
  <c r="S133" i="7"/>
  <c r="R133" i="7"/>
  <c r="P111" i="7"/>
  <c r="R85" i="7"/>
  <c r="P63" i="7"/>
  <c r="S85" i="7"/>
  <c r="P14" i="7"/>
  <c r="R36" i="7"/>
  <c r="S36" i="7"/>
  <c r="R133" i="6"/>
  <c r="P111" i="6"/>
  <c r="S133" i="6"/>
  <c r="P63" i="6"/>
  <c r="S85" i="6"/>
  <c r="R85" i="6"/>
  <c r="P110" i="21"/>
  <c r="R132" i="21"/>
  <c r="S132" i="21"/>
  <c r="S85" i="21"/>
  <c r="R85" i="21"/>
  <c r="P63" i="21"/>
  <c r="S36" i="21"/>
  <c r="P14" i="21"/>
  <c r="R36" i="21"/>
  <c r="P110" i="15"/>
  <c r="B133" i="15" s="1"/>
  <c r="P62" i="15"/>
  <c r="B85" i="15" s="1"/>
  <c r="K84" i="15" l="1"/>
  <c r="L84" i="15"/>
  <c r="F38" i="17"/>
  <c r="E38" i="17"/>
  <c r="N38" i="17"/>
  <c r="D38" i="17"/>
  <c r="L38" i="17" s="1"/>
  <c r="K38" i="17"/>
  <c r="K37" i="17"/>
  <c r="E134" i="17"/>
  <c r="F134" i="17"/>
  <c r="D134" i="17"/>
  <c r="L134" i="17" s="1"/>
  <c r="N134" i="17"/>
  <c r="K85" i="17"/>
  <c r="N86" i="17"/>
  <c r="E86" i="17"/>
  <c r="D86" i="17"/>
  <c r="F86" i="17"/>
  <c r="L86" i="17" s="1"/>
  <c r="F279" i="13"/>
  <c r="F230" i="13"/>
  <c r="P161" i="13"/>
  <c r="F183" i="13"/>
  <c r="R183" i="13"/>
  <c r="S183" i="13"/>
  <c r="F134" i="13"/>
  <c r="F87" i="13"/>
  <c r="K132" i="15"/>
  <c r="F133" i="15"/>
  <c r="N133" i="15"/>
  <c r="E133" i="15"/>
  <c r="D133" i="15"/>
  <c r="L133" i="15"/>
  <c r="L132" i="15"/>
  <c r="F85" i="15"/>
  <c r="N85" i="15"/>
  <c r="D85" i="15"/>
  <c r="E85" i="15"/>
  <c r="P257" i="13"/>
  <c r="S279" i="13"/>
  <c r="R279" i="13"/>
  <c r="P208" i="13"/>
  <c r="R230" i="13"/>
  <c r="S230" i="13"/>
  <c r="P112" i="13"/>
  <c r="S134" i="13"/>
  <c r="R134" i="13"/>
  <c r="S87" i="13"/>
  <c r="P65" i="13"/>
  <c r="R87" i="13"/>
  <c r="P112" i="17"/>
  <c r="B135" i="17" s="1"/>
  <c r="P64" i="17"/>
  <c r="B87" i="17" s="1"/>
  <c r="P16" i="17"/>
  <c r="B39" i="17" s="1"/>
  <c r="P209" i="8"/>
  <c r="R231" i="8"/>
  <c r="S231" i="8"/>
  <c r="P161" i="8"/>
  <c r="R183" i="8"/>
  <c r="S183" i="8"/>
  <c r="S135" i="8"/>
  <c r="P113" i="8"/>
  <c r="R135" i="8"/>
  <c r="R87" i="8"/>
  <c r="P65" i="8"/>
  <c r="S87" i="8"/>
  <c r="P17" i="8"/>
  <c r="S39" i="8"/>
  <c r="R39" i="8"/>
  <c r="P351" i="7"/>
  <c r="S373" i="7"/>
  <c r="R373" i="7"/>
  <c r="S328" i="7"/>
  <c r="R328" i="7"/>
  <c r="S277" i="7"/>
  <c r="P255" i="7"/>
  <c r="R277" i="7"/>
  <c r="P208" i="7"/>
  <c r="R230" i="7"/>
  <c r="S230" i="7"/>
  <c r="P160" i="7"/>
  <c r="S182" i="7"/>
  <c r="R182" i="7"/>
  <c r="P112" i="7"/>
  <c r="R134" i="7"/>
  <c r="S134" i="7"/>
  <c r="P64" i="7"/>
  <c r="R86" i="7"/>
  <c r="S86" i="7"/>
  <c r="P15" i="7"/>
  <c r="R37" i="7"/>
  <c r="S37" i="7"/>
  <c r="P112" i="6"/>
  <c r="S134" i="6"/>
  <c r="R134" i="6"/>
  <c r="S86" i="6"/>
  <c r="P64" i="6"/>
  <c r="R86" i="6"/>
  <c r="P111" i="21"/>
  <c r="R133" i="21"/>
  <c r="S133" i="21"/>
  <c r="P64" i="21"/>
  <c r="R86" i="21"/>
  <c r="S86" i="21"/>
  <c r="S37" i="21"/>
  <c r="P15" i="21"/>
  <c r="R37" i="21"/>
  <c r="P111" i="15"/>
  <c r="B134" i="15" s="1"/>
  <c r="P63" i="15"/>
  <c r="B86" i="15" s="1"/>
  <c r="K134" i="17" l="1"/>
  <c r="F39" i="17"/>
  <c r="E39" i="17"/>
  <c r="D39" i="17"/>
  <c r="N39" i="17"/>
  <c r="L39" i="17"/>
  <c r="E135" i="17"/>
  <c r="F135" i="17"/>
  <c r="N135" i="17"/>
  <c r="D135" i="17"/>
  <c r="K135" i="17"/>
  <c r="L135" i="17"/>
  <c r="K86" i="17"/>
  <c r="E87" i="17"/>
  <c r="F87" i="17"/>
  <c r="N87" i="17"/>
  <c r="D87" i="17"/>
  <c r="F280" i="13"/>
  <c r="F231" i="13"/>
  <c r="F184" i="13"/>
  <c r="R184" i="13"/>
  <c r="S184" i="13"/>
  <c r="F135" i="13"/>
  <c r="F88" i="13"/>
  <c r="K133" i="15"/>
  <c r="D134" i="15"/>
  <c r="F134" i="15"/>
  <c r="E134" i="15"/>
  <c r="K134" i="15" s="1"/>
  <c r="L134" i="15"/>
  <c r="N134" i="15"/>
  <c r="D86" i="15"/>
  <c r="F86" i="15"/>
  <c r="E86" i="15"/>
  <c r="N86" i="15"/>
  <c r="K85" i="15"/>
  <c r="L85" i="15"/>
  <c r="R280" i="13"/>
  <c r="S280" i="13"/>
  <c r="P209" i="13"/>
  <c r="S231" i="13"/>
  <c r="R231" i="13"/>
  <c r="S135" i="13"/>
  <c r="P113" i="13"/>
  <c r="R135" i="13"/>
  <c r="S88" i="13"/>
  <c r="R88" i="13"/>
  <c r="P113" i="17"/>
  <c r="B136" i="17" s="1"/>
  <c r="P65" i="17"/>
  <c r="B88" i="17" s="1"/>
  <c r="P17" i="17"/>
  <c r="B40" i="17" s="1"/>
  <c r="R232" i="8"/>
  <c r="S232" i="8"/>
  <c r="S184" i="8"/>
  <c r="R184" i="8"/>
  <c r="S136" i="8"/>
  <c r="R136" i="8"/>
  <c r="R88" i="8"/>
  <c r="S88" i="8"/>
  <c r="S40" i="8"/>
  <c r="R40" i="8"/>
  <c r="P352" i="7"/>
  <c r="S374" i="7"/>
  <c r="R374" i="7"/>
  <c r="P256" i="7"/>
  <c r="R278" i="7"/>
  <c r="S278" i="7"/>
  <c r="R231" i="7"/>
  <c r="P209" i="7"/>
  <c r="S231" i="7"/>
  <c r="P161" i="7"/>
  <c r="S183" i="7"/>
  <c r="R183" i="7"/>
  <c r="P113" i="7"/>
  <c r="S135" i="7"/>
  <c r="R135" i="7"/>
  <c r="P65" i="7"/>
  <c r="S87" i="7"/>
  <c r="R87" i="7"/>
  <c r="P16" i="7"/>
  <c r="S38" i="7"/>
  <c r="R38" i="7"/>
  <c r="P113" i="6"/>
  <c r="R135" i="6"/>
  <c r="S135" i="6"/>
  <c r="P65" i="6"/>
  <c r="S87" i="6"/>
  <c r="R87" i="6"/>
  <c r="R134" i="21"/>
  <c r="P112" i="21"/>
  <c r="S134" i="21"/>
  <c r="P65" i="21"/>
  <c r="S87" i="21"/>
  <c r="R87" i="21"/>
  <c r="P16" i="21"/>
  <c r="R38" i="21"/>
  <c r="S38" i="21"/>
  <c r="P112" i="15"/>
  <c r="B135" i="15" s="1"/>
  <c r="P64" i="15"/>
  <c r="B87" i="15" s="1"/>
  <c r="K39" i="17" l="1"/>
  <c r="N40" i="17"/>
  <c r="N41" i="17" s="1"/>
  <c r="F40" i="17"/>
  <c r="F41" i="17" s="1"/>
  <c r="E40" i="17"/>
  <c r="E41" i="17" s="1"/>
  <c r="D40" i="17"/>
  <c r="D41" i="17" s="1"/>
  <c r="K40" i="17"/>
  <c r="L40" i="17"/>
  <c r="B41" i="17"/>
  <c r="N136" i="17"/>
  <c r="N137" i="17" s="1"/>
  <c r="F136" i="17"/>
  <c r="F137" i="17" s="1"/>
  <c r="E136" i="17"/>
  <c r="E137" i="17" s="1"/>
  <c r="D136" i="17"/>
  <c r="L136" i="17" s="1"/>
  <c r="B137" i="17"/>
  <c r="K87" i="17"/>
  <c r="N88" i="17"/>
  <c r="N89" i="17" s="1"/>
  <c r="F88" i="17"/>
  <c r="F89" i="17" s="1"/>
  <c r="E88" i="17"/>
  <c r="E89" i="17" s="1"/>
  <c r="D88" i="17"/>
  <c r="B89" i="17"/>
  <c r="L87" i="17"/>
  <c r="F281" i="13"/>
  <c r="F232" i="13"/>
  <c r="F185" i="13"/>
  <c r="F136" i="13"/>
  <c r="F89" i="13"/>
  <c r="N135" i="15"/>
  <c r="E135" i="15"/>
  <c r="D135" i="15"/>
  <c r="F135" i="15"/>
  <c r="L135" i="15"/>
  <c r="L86" i="15"/>
  <c r="K86" i="15"/>
  <c r="N87" i="15"/>
  <c r="E87" i="15"/>
  <c r="D87" i="15"/>
  <c r="F87" i="15"/>
  <c r="R232" i="13"/>
  <c r="S232" i="13"/>
  <c r="S136" i="13"/>
  <c r="R136" i="13"/>
  <c r="M107" i="17"/>
  <c r="M59" i="17"/>
  <c r="E68" i="17" s="1"/>
  <c r="P353" i="7"/>
  <c r="S375" i="7"/>
  <c r="R375" i="7"/>
  <c r="P257" i="7"/>
  <c r="S279" i="7"/>
  <c r="R279" i="7"/>
  <c r="R232" i="7"/>
  <c r="S232" i="7"/>
  <c r="S184" i="7"/>
  <c r="R184" i="7"/>
  <c r="R136" i="7"/>
  <c r="S136" i="7"/>
  <c r="R88" i="7"/>
  <c r="S88" i="7"/>
  <c r="P17" i="7"/>
  <c r="R39" i="7"/>
  <c r="S39" i="7"/>
  <c r="R136" i="6"/>
  <c r="S136" i="6"/>
  <c r="S88" i="6"/>
  <c r="R88" i="6"/>
  <c r="P113" i="21"/>
  <c r="R135" i="21"/>
  <c r="S135" i="21"/>
  <c r="R88" i="21"/>
  <c r="S88" i="21"/>
  <c r="S39" i="21"/>
  <c r="P17" i="21"/>
  <c r="R39" i="21"/>
  <c r="P113" i="15"/>
  <c r="B136" i="15" s="1"/>
  <c r="P65" i="15"/>
  <c r="B88" i="15" s="1"/>
  <c r="C38" i="17" l="1"/>
  <c r="C39" i="17"/>
  <c r="C33" i="17"/>
  <c r="C30" i="17"/>
  <c r="C29" i="17"/>
  <c r="C34" i="17"/>
  <c r="C35" i="17"/>
  <c r="C31" i="17"/>
  <c r="C37" i="17"/>
  <c r="C40" i="17"/>
  <c r="C32" i="17"/>
  <c r="C36" i="17"/>
  <c r="C125" i="17"/>
  <c r="C135" i="17"/>
  <c r="C127" i="17"/>
  <c r="C126" i="17"/>
  <c r="C130" i="17"/>
  <c r="C136" i="17"/>
  <c r="C134" i="17"/>
  <c r="C129" i="17"/>
  <c r="C132" i="17"/>
  <c r="C133" i="17"/>
  <c r="C131" i="17"/>
  <c r="C128" i="17"/>
  <c r="K136" i="17"/>
  <c r="D137" i="17"/>
  <c r="L88" i="17"/>
  <c r="C78" i="17"/>
  <c r="C81" i="17"/>
  <c r="C79" i="17"/>
  <c r="C86" i="17"/>
  <c r="C77" i="17"/>
  <c r="C84" i="17"/>
  <c r="C87" i="17"/>
  <c r="C88" i="17"/>
  <c r="C83" i="17"/>
  <c r="C80" i="17"/>
  <c r="C85" i="17"/>
  <c r="K88" i="17"/>
  <c r="D89" i="17"/>
  <c r="C82" i="17"/>
  <c r="F233" i="13"/>
  <c r="F137" i="13"/>
  <c r="D136" i="15"/>
  <c r="D137" i="15" s="1"/>
  <c r="E136" i="15"/>
  <c r="F136" i="15"/>
  <c r="F137" i="15" s="1"/>
  <c r="N136" i="15"/>
  <c r="N137" i="15" s="1"/>
  <c r="B137" i="15"/>
  <c r="K135" i="15"/>
  <c r="K87" i="15"/>
  <c r="L87" i="15"/>
  <c r="D88" i="15"/>
  <c r="F88" i="15"/>
  <c r="F89" i="15" s="1"/>
  <c r="E88" i="15"/>
  <c r="N88" i="15"/>
  <c r="N89" i="15" s="1"/>
  <c r="B89" i="15"/>
  <c r="P114" i="17"/>
  <c r="M108" i="17" s="1"/>
  <c r="E116" i="17"/>
  <c r="E117" i="17"/>
  <c r="P66" i="17"/>
  <c r="M60" i="17" s="1"/>
  <c r="M11" i="17"/>
  <c r="R376" i="7"/>
  <c r="S376" i="7"/>
  <c r="S280" i="7"/>
  <c r="R280" i="7"/>
  <c r="R40" i="7"/>
  <c r="S40" i="7"/>
  <c r="R136" i="21"/>
  <c r="S136" i="21"/>
  <c r="S40" i="21"/>
  <c r="R40" i="21"/>
  <c r="M59" i="15"/>
  <c r="O95" i="17" l="1"/>
  <c r="O94" i="17"/>
  <c r="O143" i="17"/>
  <c r="O142" i="17"/>
  <c r="P95" i="17"/>
  <c r="O92" i="17"/>
  <c r="P92" i="17" s="1"/>
  <c r="L93" i="17"/>
  <c r="O91" i="17"/>
  <c r="M91" i="17"/>
  <c r="P91" i="17" s="1"/>
  <c r="J93" i="17"/>
  <c r="P93" i="17" s="1"/>
  <c r="O93" i="17"/>
  <c r="M40" i="17"/>
  <c r="O40" i="17"/>
  <c r="I40" i="17"/>
  <c r="G40" i="17"/>
  <c r="H40" i="17"/>
  <c r="J40" i="17"/>
  <c r="J31" i="17"/>
  <c r="M31" i="17"/>
  <c r="G31" i="17"/>
  <c r="H31" i="17"/>
  <c r="O31" i="17"/>
  <c r="I31" i="17"/>
  <c r="H32" i="17"/>
  <c r="G32" i="17"/>
  <c r="M32" i="17"/>
  <c r="I32" i="17"/>
  <c r="O32" i="17"/>
  <c r="J32" i="17"/>
  <c r="M30" i="17"/>
  <c r="G30" i="17"/>
  <c r="J30" i="17"/>
  <c r="O30" i="17"/>
  <c r="H30" i="17"/>
  <c r="I30" i="17"/>
  <c r="C41" i="17"/>
  <c r="M29" i="17"/>
  <c r="J29" i="17"/>
  <c r="I29" i="17"/>
  <c r="O29" i="17"/>
  <c r="G29" i="17"/>
  <c r="H29" i="17"/>
  <c r="M33" i="17"/>
  <c r="H33" i="17"/>
  <c r="I33" i="17"/>
  <c r="O33" i="17"/>
  <c r="J33" i="17"/>
  <c r="G33" i="17"/>
  <c r="O37" i="17"/>
  <c r="H37" i="17"/>
  <c r="M37" i="17"/>
  <c r="G37" i="17"/>
  <c r="I37" i="17"/>
  <c r="J37" i="17"/>
  <c r="H35" i="17"/>
  <c r="M35" i="17"/>
  <c r="I35" i="17"/>
  <c r="G35" i="17"/>
  <c r="O35" i="17"/>
  <c r="J35" i="17"/>
  <c r="H34" i="17"/>
  <c r="G34" i="17"/>
  <c r="J34" i="17"/>
  <c r="O34" i="17"/>
  <c r="M34" i="17"/>
  <c r="I34" i="17"/>
  <c r="I39" i="17"/>
  <c r="O39" i="17"/>
  <c r="M39" i="17"/>
  <c r="G39" i="17"/>
  <c r="J39" i="17"/>
  <c r="H39" i="17"/>
  <c r="J38" i="17"/>
  <c r="I38" i="17"/>
  <c r="O38" i="17"/>
  <c r="H38" i="17"/>
  <c r="G38" i="17"/>
  <c r="M38" i="17"/>
  <c r="J36" i="17"/>
  <c r="G36" i="17"/>
  <c r="O36" i="17"/>
  <c r="H36" i="17"/>
  <c r="I36" i="17"/>
  <c r="M36" i="17"/>
  <c r="I131" i="17"/>
  <c r="H131" i="17"/>
  <c r="M131" i="17"/>
  <c r="J131" i="17"/>
  <c r="O131" i="17"/>
  <c r="G131" i="17"/>
  <c r="G132" i="17"/>
  <c r="O132" i="17"/>
  <c r="I132" i="17"/>
  <c r="J132" i="17"/>
  <c r="H132" i="17"/>
  <c r="M132" i="17"/>
  <c r="H136" i="17"/>
  <c r="G136" i="17"/>
  <c r="M136" i="17"/>
  <c r="O136" i="17"/>
  <c r="I136" i="17"/>
  <c r="J136" i="17"/>
  <c r="C137" i="17"/>
  <c r="G125" i="17"/>
  <c r="I125" i="17"/>
  <c r="H125" i="17"/>
  <c r="O125" i="17"/>
  <c r="M125" i="17"/>
  <c r="J125" i="17"/>
  <c r="I128" i="17"/>
  <c r="G128" i="17"/>
  <c r="J128" i="17"/>
  <c r="O128" i="17"/>
  <c r="H128" i="17"/>
  <c r="M128" i="17"/>
  <c r="I133" i="17"/>
  <c r="G133" i="17"/>
  <c r="M133" i="17"/>
  <c r="H133" i="17"/>
  <c r="O133" i="17"/>
  <c r="J133" i="17"/>
  <c r="O129" i="17"/>
  <c r="G129" i="17"/>
  <c r="H129" i="17"/>
  <c r="I129" i="17"/>
  <c r="M129" i="17"/>
  <c r="J129" i="17"/>
  <c r="H126" i="17"/>
  <c r="J126" i="17"/>
  <c r="M126" i="17"/>
  <c r="I126" i="17"/>
  <c r="G126" i="17"/>
  <c r="O126" i="17"/>
  <c r="M127" i="17"/>
  <c r="J127" i="17"/>
  <c r="H127" i="17"/>
  <c r="I127" i="17"/>
  <c r="O127" i="17"/>
  <c r="G127" i="17"/>
  <c r="L141" i="17"/>
  <c r="J141" i="17"/>
  <c r="P141" i="17" s="1"/>
  <c r="M139" i="17"/>
  <c r="O140" i="17"/>
  <c r="O139" i="17"/>
  <c r="P143" i="17"/>
  <c r="O141" i="17"/>
  <c r="J134" i="17"/>
  <c r="M134" i="17"/>
  <c r="H134" i="17"/>
  <c r="G134" i="17"/>
  <c r="O134" i="17"/>
  <c r="I134" i="17"/>
  <c r="H130" i="17"/>
  <c r="M130" i="17"/>
  <c r="I130" i="17"/>
  <c r="O130" i="17"/>
  <c r="G130" i="17"/>
  <c r="J130" i="17"/>
  <c r="O135" i="17"/>
  <c r="I135" i="17"/>
  <c r="H135" i="17"/>
  <c r="J135" i="17"/>
  <c r="M135" i="17"/>
  <c r="G135" i="17"/>
  <c r="P135" i="17" s="1"/>
  <c r="H80" i="17"/>
  <c r="M80" i="17"/>
  <c r="J80" i="17"/>
  <c r="G80" i="17"/>
  <c r="I80" i="17"/>
  <c r="O80" i="17"/>
  <c r="M88" i="17"/>
  <c r="J88" i="17"/>
  <c r="I88" i="17"/>
  <c r="O88" i="17"/>
  <c r="H88" i="17"/>
  <c r="G88" i="17"/>
  <c r="M85" i="17"/>
  <c r="I85" i="17"/>
  <c r="G85" i="17"/>
  <c r="H85" i="17"/>
  <c r="J85" i="17"/>
  <c r="O85" i="17"/>
  <c r="O87" i="17"/>
  <c r="G87" i="17"/>
  <c r="M87" i="17"/>
  <c r="H87" i="17"/>
  <c r="J87" i="17"/>
  <c r="I87" i="17"/>
  <c r="G79" i="17"/>
  <c r="M79" i="17"/>
  <c r="O79" i="17"/>
  <c r="H79" i="17"/>
  <c r="J79" i="17"/>
  <c r="I79" i="17"/>
  <c r="O83" i="17"/>
  <c r="H83" i="17"/>
  <c r="G83" i="17"/>
  <c r="I83" i="17"/>
  <c r="J83" i="17"/>
  <c r="M83" i="17"/>
  <c r="I84" i="17"/>
  <c r="G84" i="17"/>
  <c r="M84" i="17"/>
  <c r="H84" i="17"/>
  <c r="O84" i="17"/>
  <c r="J84" i="17"/>
  <c r="C89" i="17"/>
  <c r="O77" i="17"/>
  <c r="I77" i="17"/>
  <c r="G77" i="17"/>
  <c r="J77" i="17"/>
  <c r="H77" i="17"/>
  <c r="M77" i="17"/>
  <c r="I86" i="17"/>
  <c r="O86" i="17"/>
  <c r="G86" i="17"/>
  <c r="M86" i="17"/>
  <c r="H86" i="17"/>
  <c r="J86" i="17"/>
  <c r="M82" i="17"/>
  <c r="O82" i="17"/>
  <c r="I82" i="17"/>
  <c r="J82" i="17"/>
  <c r="G82" i="17"/>
  <c r="H82" i="17"/>
  <c r="I81" i="17"/>
  <c r="G81" i="17"/>
  <c r="O81" i="17"/>
  <c r="M81" i="17"/>
  <c r="J81" i="17"/>
  <c r="H81" i="17"/>
  <c r="O78" i="17"/>
  <c r="H78" i="17"/>
  <c r="M78" i="17"/>
  <c r="G78" i="17"/>
  <c r="J78" i="17"/>
  <c r="I78" i="17"/>
  <c r="L136" i="15"/>
  <c r="C128" i="15"/>
  <c r="C132" i="15"/>
  <c r="C125" i="15"/>
  <c r="C135" i="15"/>
  <c r="C126" i="15"/>
  <c r="C134" i="15"/>
  <c r="C127" i="15"/>
  <c r="C129" i="15"/>
  <c r="C136" i="15"/>
  <c r="C131" i="15"/>
  <c r="C133" i="15"/>
  <c r="K136" i="15"/>
  <c r="E137" i="15"/>
  <c r="C130" i="15"/>
  <c r="C85" i="15"/>
  <c r="C79" i="15"/>
  <c r="C81" i="15"/>
  <c r="C86" i="15"/>
  <c r="C83" i="15"/>
  <c r="C78" i="15"/>
  <c r="C84" i="15"/>
  <c r="C82" i="15"/>
  <c r="C80" i="15"/>
  <c r="C77" i="15"/>
  <c r="C88" i="15"/>
  <c r="L88" i="15"/>
  <c r="E89" i="15"/>
  <c r="K88" i="15"/>
  <c r="D89" i="15"/>
  <c r="C87" i="15"/>
  <c r="F69" i="37"/>
  <c r="E69" i="17"/>
  <c r="F68" i="37"/>
  <c r="O68" i="37"/>
  <c r="E21" i="17"/>
  <c r="P18" i="17"/>
  <c r="M12" i="17" s="1"/>
  <c r="E20" i="17"/>
  <c r="M107" i="15"/>
  <c r="E116" i="15" s="1"/>
  <c r="P66" i="15"/>
  <c r="M60" i="15" s="1"/>
  <c r="E68" i="15"/>
  <c r="O95" i="15" l="1"/>
  <c r="O94" i="15"/>
  <c r="P35" i="17"/>
  <c r="O69" i="37"/>
  <c r="P82" i="17"/>
  <c r="P38" i="17"/>
  <c r="P36" i="17"/>
  <c r="P31" i="17"/>
  <c r="P30" i="17"/>
  <c r="P29" i="17"/>
  <c r="G41" i="17"/>
  <c r="P40" i="17"/>
  <c r="P37" i="17"/>
  <c r="P47" i="17"/>
  <c r="P34" i="17"/>
  <c r="O41" i="17"/>
  <c r="P32" i="17"/>
  <c r="P33" i="17"/>
  <c r="H41" i="17"/>
  <c r="P39" i="17"/>
  <c r="P127" i="17"/>
  <c r="P126" i="17"/>
  <c r="P131" i="17"/>
  <c r="P133" i="17"/>
  <c r="P132" i="17"/>
  <c r="H137" i="17"/>
  <c r="P134" i="17"/>
  <c r="P125" i="17"/>
  <c r="G137" i="17"/>
  <c r="P142" i="17" s="1"/>
  <c r="P128" i="17"/>
  <c r="O137" i="17"/>
  <c r="P130" i="17"/>
  <c r="P136" i="17"/>
  <c r="P129" i="17"/>
  <c r="P88" i="17"/>
  <c r="P79" i="17"/>
  <c r="P78" i="17"/>
  <c r="G89" i="17"/>
  <c r="P94" i="17" s="1"/>
  <c r="P77" i="17"/>
  <c r="P83" i="17"/>
  <c r="P87" i="17"/>
  <c r="H89" i="17"/>
  <c r="O89" i="17"/>
  <c r="P86" i="17"/>
  <c r="P80" i="17"/>
  <c r="P81" i="17"/>
  <c r="P85" i="17"/>
  <c r="P84" i="17"/>
  <c r="M127" i="15"/>
  <c r="G127" i="15"/>
  <c r="I127" i="15"/>
  <c r="J127" i="15"/>
  <c r="O127" i="15"/>
  <c r="H127" i="15"/>
  <c r="H131" i="15"/>
  <c r="O131" i="15"/>
  <c r="I131" i="15"/>
  <c r="M131" i="15"/>
  <c r="G131" i="15"/>
  <c r="J131" i="15"/>
  <c r="I129" i="15"/>
  <c r="O129" i="15"/>
  <c r="G129" i="15"/>
  <c r="H129" i="15"/>
  <c r="M129" i="15"/>
  <c r="J129" i="15"/>
  <c r="G135" i="15"/>
  <c r="I135" i="15"/>
  <c r="H135" i="15"/>
  <c r="M135" i="15"/>
  <c r="J135" i="15"/>
  <c r="O135" i="15"/>
  <c r="O130" i="15"/>
  <c r="H130" i="15"/>
  <c r="J130" i="15"/>
  <c r="I130" i="15"/>
  <c r="M130" i="15"/>
  <c r="G130" i="15"/>
  <c r="O132" i="15"/>
  <c r="M132" i="15"/>
  <c r="I132" i="15"/>
  <c r="J132" i="15"/>
  <c r="G132" i="15"/>
  <c r="H132" i="15"/>
  <c r="G133" i="15"/>
  <c r="J133" i="15"/>
  <c r="O133" i="15"/>
  <c r="I133" i="15"/>
  <c r="H133" i="15"/>
  <c r="M133" i="15"/>
  <c r="M136" i="15"/>
  <c r="J136" i="15"/>
  <c r="H136" i="15"/>
  <c r="O136" i="15"/>
  <c r="I136" i="15"/>
  <c r="G136" i="15"/>
  <c r="O134" i="15"/>
  <c r="H134" i="15"/>
  <c r="G134" i="15"/>
  <c r="J134" i="15"/>
  <c r="I134" i="15"/>
  <c r="M134" i="15"/>
  <c r="H126" i="15"/>
  <c r="G126" i="15"/>
  <c r="I126" i="15"/>
  <c r="O126" i="15"/>
  <c r="M126" i="15"/>
  <c r="J126" i="15"/>
  <c r="C137" i="15"/>
  <c r="I125" i="15"/>
  <c r="M125" i="15"/>
  <c r="G125" i="15"/>
  <c r="J125" i="15"/>
  <c r="H125" i="15"/>
  <c r="O125" i="15"/>
  <c r="O128" i="15"/>
  <c r="H128" i="15"/>
  <c r="G128" i="15"/>
  <c r="I128" i="15"/>
  <c r="M128" i="15"/>
  <c r="J128" i="15"/>
  <c r="M82" i="15"/>
  <c r="O82" i="15"/>
  <c r="I82" i="15"/>
  <c r="J82" i="15"/>
  <c r="G82" i="15"/>
  <c r="H82" i="15"/>
  <c r="M88" i="15"/>
  <c r="I88" i="15"/>
  <c r="G88" i="15"/>
  <c r="O88" i="15"/>
  <c r="J88" i="15"/>
  <c r="H88" i="15"/>
  <c r="C89" i="15"/>
  <c r="M77" i="15"/>
  <c r="J77" i="15"/>
  <c r="H77" i="15"/>
  <c r="O77" i="15"/>
  <c r="G77" i="15"/>
  <c r="I77" i="15"/>
  <c r="I80" i="15"/>
  <c r="J80" i="15"/>
  <c r="G80" i="15"/>
  <c r="H80" i="15"/>
  <c r="M80" i="15"/>
  <c r="O80" i="15"/>
  <c r="J84" i="15"/>
  <c r="G84" i="15"/>
  <c r="H84" i="15"/>
  <c r="O84" i="15"/>
  <c r="I84" i="15"/>
  <c r="M84" i="15"/>
  <c r="O78" i="15"/>
  <c r="J78" i="15"/>
  <c r="H78" i="15"/>
  <c r="I78" i="15"/>
  <c r="M78" i="15"/>
  <c r="G78" i="15"/>
  <c r="J83" i="15"/>
  <c r="H83" i="15"/>
  <c r="G83" i="15"/>
  <c r="I83" i="15"/>
  <c r="O83" i="15"/>
  <c r="M83" i="15"/>
  <c r="O87" i="15"/>
  <c r="G87" i="15"/>
  <c r="I87" i="15"/>
  <c r="M87" i="15"/>
  <c r="J87" i="15"/>
  <c r="H87" i="15"/>
  <c r="G86" i="15"/>
  <c r="O86" i="15"/>
  <c r="I86" i="15"/>
  <c r="M86" i="15"/>
  <c r="H86" i="15"/>
  <c r="J86" i="15"/>
  <c r="G81" i="15"/>
  <c r="O81" i="15"/>
  <c r="J81" i="15"/>
  <c r="M81" i="15"/>
  <c r="H81" i="15"/>
  <c r="I81" i="15"/>
  <c r="O79" i="15"/>
  <c r="J79" i="15"/>
  <c r="H79" i="15"/>
  <c r="I79" i="15"/>
  <c r="G79" i="15"/>
  <c r="M79" i="15"/>
  <c r="M85" i="15"/>
  <c r="J85" i="15"/>
  <c r="O85" i="15"/>
  <c r="H85" i="15"/>
  <c r="G85" i="15"/>
  <c r="I85" i="15"/>
  <c r="F67" i="37"/>
  <c r="G141" i="36"/>
  <c r="O92" i="15"/>
  <c r="M91" i="15"/>
  <c r="O91" i="15"/>
  <c r="J93" i="15"/>
  <c r="P93" i="15" s="1"/>
  <c r="L93" i="15"/>
  <c r="O93" i="15"/>
  <c r="E117" i="15"/>
  <c r="P114" i="15"/>
  <c r="M108" i="15" s="1"/>
  <c r="E69" i="15"/>
  <c r="P95" i="15"/>
  <c r="O143" i="15" l="1"/>
  <c r="O142" i="15"/>
  <c r="G89" i="15"/>
  <c r="K68" i="37"/>
  <c r="P41" i="17"/>
  <c r="O67" i="37"/>
  <c r="P43" i="17"/>
  <c r="P46" i="17"/>
  <c r="P44" i="17"/>
  <c r="K69" i="37"/>
  <c r="P139" i="17"/>
  <c r="P140" i="17"/>
  <c r="P137" i="17"/>
  <c r="P89" i="17"/>
  <c r="P96" i="17" s="1"/>
  <c r="P141" i="36"/>
  <c r="H137" i="15"/>
  <c r="G137" i="15"/>
  <c r="O137" i="15"/>
  <c r="P82" i="15"/>
  <c r="P80" i="15"/>
  <c r="P87" i="15"/>
  <c r="P79" i="15"/>
  <c r="P77" i="15"/>
  <c r="P81" i="15"/>
  <c r="H89" i="15"/>
  <c r="O89" i="15"/>
  <c r="P88" i="15"/>
  <c r="P83" i="15"/>
  <c r="P84" i="15"/>
  <c r="P86" i="15"/>
  <c r="P85" i="15"/>
  <c r="P78" i="15"/>
  <c r="G142" i="36"/>
  <c r="O140" i="15"/>
  <c r="P140" i="15" s="1"/>
  <c r="O139" i="15"/>
  <c r="M139" i="15"/>
  <c r="P139" i="15" s="1"/>
  <c r="O141" i="15"/>
  <c r="P143" i="15"/>
  <c r="P142" i="36" s="1"/>
  <c r="L141" i="15"/>
  <c r="J141" i="15"/>
  <c r="P141" i="15" s="1"/>
  <c r="K67" i="37"/>
  <c r="P89" i="15" l="1"/>
  <c r="P48" i="17"/>
  <c r="M69" i="37"/>
  <c r="L69" i="37"/>
  <c r="P144" i="17"/>
  <c r="L142" i="36"/>
  <c r="L141" i="36"/>
  <c r="M142" i="36" l="1"/>
  <c r="P91" i="15"/>
  <c r="P92" i="15"/>
  <c r="M141" i="36" l="1"/>
  <c r="N141" i="36"/>
  <c r="H84" i="36" l="1"/>
  <c r="F84" i="36"/>
  <c r="E84" i="36"/>
  <c r="D84" i="36"/>
  <c r="B84" i="36"/>
  <c r="A184" i="19"/>
  <c r="A183" i="19"/>
  <c r="A182" i="19"/>
  <c r="A181" i="19"/>
  <c r="A180" i="19"/>
  <c r="N157" i="19" s="1"/>
  <c r="A179" i="19"/>
  <c r="A178" i="19"/>
  <c r="A177" i="19"/>
  <c r="A176" i="19"/>
  <c r="A175" i="19"/>
  <c r="N152" i="19" s="1"/>
  <c r="A174" i="19"/>
  <c r="N151" i="19" s="1"/>
  <c r="A173" i="19"/>
  <c r="N150" i="19" s="1"/>
  <c r="N161" i="19"/>
  <c r="N160" i="19"/>
  <c r="N159" i="19"/>
  <c r="N158" i="19"/>
  <c r="N156" i="19"/>
  <c r="N155" i="19"/>
  <c r="N154" i="19"/>
  <c r="N153" i="19"/>
  <c r="L152" i="19"/>
  <c r="N149" i="19"/>
  <c r="H83" i="36"/>
  <c r="F83" i="36"/>
  <c r="E83" i="36"/>
  <c r="D83" i="36"/>
  <c r="B83" i="36"/>
  <c r="A136" i="19"/>
  <c r="A135" i="19"/>
  <c r="A134" i="19"/>
  <c r="A133" i="19"/>
  <c r="N110" i="19" s="1"/>
  <c r="A132" i="19"/>
  <c r="N109" i="19" s="1"/>
  <c r="A131" i="19"/>
  <c r="N108" i="19" s="1"/>
  <c r="A130" i="19"/>
  <c r="N107" i="19" s="1"/>
  <c r="A129" i="19"/>
  <c r="N106" i="19" s="1"/>
  <c r="A128" i="19"/>
  <c r="N105" i="19" s="1"/>
  <c r="A127" i="19"/>
  <c r="N104" i="19" s="1"/>
  <c r="A126" i="19"/>
  <c r="N103" i="19" s="1"/>
  <c r="A125" i="19"/>
  <c r="N102" i="19" s="1"/>
  <c r="N113" i="19"/>
  <c r="N112" i="19"/>
  <c r="N111" i="19"/>
  <c r="L104" i="19"/>
  <c r="O102" i="19" s="1"/>
  <c r="O103" i="19" s="1"/>
  <c r="N101" i="19"/>
  <c r="A88" i="19"/>
  <c r="A87" i="19"/>
  <c r="A86" i="19"/>
  <c r="A85" i="19"/>
  <c r="N62" i="19" s="1"/>
  <c r="A84" i="19"/>
  <c r="N61" i="19" s="1"/>
  <c r="A83" i="19"/>
  <c r="A82" i="19"/>
  <c r="N59" i="19" s="1"/>
  <c r="A81" i="19"/>
  <c r="N58" i="19" s="1"/>
  <c r="A80" i="19"/>
  <c r="A79" i="19"/>
  <c r="N56" i="19" s="1"/>
  <c r="A78" i="19"/>
  <c r="N55" i="19" s="1"/>
  <c r="A77" i="19"/>
  <c r="N54" i="19" s="1"/>
  <c r="N65" i="19"/>
  <c r="N64" i="19"/>
  <c r="N63" i="19"/>
  <c r="N60" i="19"/>
  <c r="N57" i="19"/>
  <c r="L56" i="19"/>
  <c r="O54" i="19" s="1"/>
  <c r="O55" i="19" s="1"/>
  <c r="N53" i="19"/>
  <c r="A184" i="5"/>
  <c r="O161" i="5" s="1"/>
  <c r="A183" i="5"/>
  <c r="A182" i="5"/>
  <c r="O159" i="5" s="1"/>
  <c r="A181" i="5"/>
  <c r="C181" i="5" s="1"/>
  <c r="A180" i="5"/>
  <c r="C180" i="5" s="1"/>
  <c r="A179" i="5"/>
  <c r="O156" i="5" s="1"/>
  <c r="A178" i="5"/>
  <c r="O155" i="5" s="1"/>
  <c r="A177" i="5"/>
  <c r="C177" i="5" s="1"/>
  <c r="A176" i="5"/>
  <c r="C176" i="5" s="1"/>
  <c r="A175" i="5"/>
  <c r="O152" i="5" s="1"/>
  <c r="A174" i="5"/>
  <c r="C174" i="5" s="1"/>
  <c r="N172" i="5"/>
  <c r="K172" i="5"/>
  <c r="J172" i="5"/>
  <c r="I172" i="5"/>
  <c r="N171" i="5"/>
  <c r="K171" i="5"/>
  <c r="J171" i="5"/>
  <c r="I171" i="5"/>
  <c r="H171" i="5"/>
  <c r="F170" i="5"/>
  <c r="I161" i="5"/>
  <c r="B161" i="5"/>
  <c r="O160" i="5"/>
  <c r="I160" i="5"/>
  <c r="B160" i="5"/>
  <c r="I159" i="5"/>
  <c r="B159" i="5"/>
  <c r="O158" i="5"/>
  <c r="I158" i="5"/>
  <c r="O157" i="5"/>
  <c r="M152" i="5"/>
  <c r="P150" i="5" s="1"/>
  <c r="O151" i="5"/>
  <c r="O149" i="5"/>
  <c r="A173" i="5" s="1"/>
  <c r="O150" i="5" s="1"/>
  <c r="A136" i="5"/>
  <c r="A135" i="5"/>
  <c r="A134" i="5"/>
  <c r="O111" i="5" s="1"/>
  <c r="C133" i="5"/>
  <c r="A133" i="5"/>
  <c r="O110" i="5" s="1"/>
  <c r="A132" i="5"/>
  <c r="C132" i="5" s="1"/>
  <c r="A131" i="5"/>
  <c r="O108" i="5" s="1"/>
  <c r="A130" i="5"/>
  <c r="C130" i="5" s="1"/>
  <c r="A129" i="5"/>
  <c r="C129" i="5" s="1"/>
  <c r="A128" i="5"/>
  <c r="C128" i="5" s="1"/>
  <c r="A127" i="5"/>
  <c r="O104" i="5" s="1"/>
  <c r="A126" i="5"/>
  <c r="C126" i="5" s="1"/>
  <c r="N124" i="5"/>
  <c r="K124" i="5"/>
  <c r="J124" i="5"/>
  <c r="I124" i="5"/>
  <c r="N123" i="5"/>
  <c r="K123" i="5"/>
  <c r="J123" i="5"/>
  <c r="I123" i="5"/>
  <c r="H123" i="5"/>
  <c r="F122" i="5"/>
  <c r="O113" i="5"/>
  <c r="I113" i="5"/>
  <c r="B113" i="5"/>
  <c r="O112" i="5"/>
  <c r="I112" i="5"/>
  <c r="B112" i="5"/>
  <c r="I111" i="5"/>
  <c r="B111" i="5"/>
  <c r="I110" i="5"/>
  <c r="O107" i="5"/>
  <c r="O106" i="5"/>
  <c r="O105" i="5"/>
  <c r="M104" i="5"/>
  <c r="P102" i="5" s="1"/>
  <c r="P103" i="5" s="1"/>
  <c r="O101" i="5"/>
  <c r="A125" i="5" s="1"/>
  <c r="A110" i="5" s="1"/>
  <c r="A88" i="5"/>
  <c r="O65" i="5" s="1"/>
  <c r="A87" i="5"/>
  <c r="O64" i="5" s="1"/>
  <c r="A86" i="5"/>
  <c r="O63" i="5" s="1"/>
  <c r="A85" i="5"/>
  <c r="C85" i="5" s="1"/>
  <c r="A84" i="5"/>
  <c r="C84" i="5" s="1"/>
  <c r="A83" i="5"/>
  <c r="O60" i="5" s="1"/>
  <c r="A82" i="5"/>
  <c r="O59" i="5" s="1"/>
  <c r="A81" i="5"/>
  <c r="C81" i="5" s="1"/>
  <c r="A80" i="5"/>
  <c r="O57" i="5" s="1"/>
  <c r="A79" i="5"/>
  <c r="O56" i="5" s="1"/>
  <c r="A78" i="5"/>
  <c r="C78" i="5" s="1"/>
  <c r="N76" i="5"/>
  <c r="K76" i="5"/>
  <c r="J76" i="5"/>
  <c r="I76" i="5"/>
  <c r="N75" i="5"/>
  <c r="K75" i="5"/>
  <c r="J75" i="5"/>
  <c r="I75" i="5"/>
  <c r="H75" i="5"/>
  <c r="F74" i="5"/>
  <c r="I65" i="5"/>
  <c r="B65" i="5"/>
  <c r="I64" i="5"/>
  <c r="B64" i="5"/>
  <c r="I63" i="5"/>
  <c r="B63" i="5"/>
  <c r="O62" i="5"/>
  <c r="I62" i="5"/>
  <c r="M56" i="5"/>
  <c r="P54" i="5" s="1"/>
  <c r="P55" i="5" s="1"/>
  <c r="O53" i="5"/>
  <c r="A77" i="5" s="1"/>
  <c r="A40" i="5"/>
  <c r="O17" i="5" s="1"/>
  <c r="A39" i="5"/>
  <c r="O16" i="5" s="1"/>
  <c r="A38" i="5"/>
  <c r="O15" i="5" s="1"/>
  <c r="A37" i="5"/>
  <c r="C37" i="5" s="1"/>
  <c r="A36" i="5"/>
  <c r="O13" i="5" s="1"/>
  <c r="A35" i="5"/>
  <c r="O12" i="5" s="1"/>
  <c r="A34" i="5"/>
  <c r="C34" i="5" s="1"/>
  <c r="A33" i="5"/>
  <c r="C33" i="5" s="1"/>
  <c r="A32" i="5"/>
  <c r="O9" i="5" s="1"/>
  <c r="A31" i="5"/>
  <c r="C31" i="5" s="1"/>
  <c r="A30" i="5"/>
  <c r="C30" i="5" s="1"/>
  <c r="N28" i="5"/>
  <c r="K28" i="5"/>
  <c r="J28" i="5"/>
  <c r="I28" i="5"/>
  <c r="N27" i="5"/>
  <c r="K27" i="5"/>
  <c r="J27" i="5"/>
  <c r="I27" i="5"/>
  <c r="H27" i="5"/>
  <c r="F26" i="5"/>
  <c r="B21" i="5"/>
  <c r="B20" i="5"/>
  <c r="I17" i="5"/>
  <c r="B17" i="5"/>
  <c r="I16" i="5"/>
  <c r="B16" i="5"/>
  <c r="I15" i="5"/>
  <c r="B15" i="5"/>
  <c r="I14" i="5"/>
  <c r="M8" i="5"/>
  <c r="P6" i="5" s="1"/>
  <c r="P7" i="5" s="1"/>
  <c r="O5" i="5"/>
  <c r="A29" i="5" s="1"/>
  <c r="A184" i="20"/>
  <c r="A183" i="20"/>
  <c r="O160" i="20" s="1"/>
  <c r="A182" i="20"/>
  <c r="O159" i="20" s="1"/>
  <c r="A181" i="20"/>
  <c r="O158" i="20" s="1"/>
  <c r="A180" i="20"/>
  <c r="O157" i="20" s="1"/>
  <c r="A179" i="20"/>
  <c r="C179" i="20" s="1"/>
  <c r="A178" i="20"/>
  <c r="O155" i="20" s="1"/>
  <c r="A177" i="20"/>
  <c r="C177" i="20" s="1"/>
  <c r="A176" i="20"/>
  <c r="C176" i="20" s="1"/>
  <c r="A175" i="20"/>
  <c r="O152" i="20" s="1"/>
  <c r="A174" i="20"/>
  <c r="O151" i="20" s="1"/>
  <c r="N172" i="20"/>
  <c r="K172" i="20"/>
  <c r="J172" i="20"/>
  <c r="I172" i="20"/>
  <c r="N171" i="20"/>
  <c r="K171" i="20"/>
  <c r="J171" i="20"/>
  <c r="I171" i="20"/>
  <c r="H171" i="20"/>
  <c r="F170" i="20"/>
  <c r="O161" i="20"/>
  <c r="I161" i="20"/>
  <c r="B161" i="20"/>
  <c r="I160" i="20"/>
  <c r="B160" i="20"/>
  <c r="I159" i="20"/>
  <c r="B159" i="20"/>
  <c r="I158" i="20"/>
  <c r="O156" i="20"/>
  <c r="O154" i="20"/>
  <c r="O153" i="20"/>
  <c r="M152" i="20"/>
  <c r="P150" i="20" s="1"/>
  <c r="O149" i="20"/>
  <c r="A173" i="20" s="1"/>
  <c r="A136" i="20"/>
  <c r="O113" i="20" s="1"/>
  <c r="A135" i="20"/>
  <c r="A134" i="20"/>
  <c r="O111" i="20" s="1"/>
  <c r="A133" i="20"/>
  <c r="C133" i="20" s="1"/>
  <c r="A132" i="20"/>
  <c r="O109" i="20" s="1"/>
  <c r="A131" i="20"/>
  <c r="O108" i="20" s="1"/>
  <c r="A130" i="20"/>
  <c r="C130" i="20" s="1"/>
  <c r="A129" i="20"/>
  <c r="C128" i="20"/>
  <c r="A128" i="20"/>
  <c r="O105" i="20" s="1"/>
  <c r="A127" i="20"/>
  <c r="C127" i="20" s="1"/>
  <c r="A126" i="20"/>
  <c r="C126" i="20" s="1"/>
  <c r="N124" i="20"/>
  <c r="K124" i="20"/>
  <c r="J124" i="20"/>
  <c r="I124" i="20"/>
  <c r="N123" i="20"/>
  <c r="K123" i="20"/>
  <c r="J123" i="20"/>
  <c r="I123" i="20"/>
  <c r="H123" i="20"/>
  <c r="F122" i="20"/>
  <c r="I113" i="20"/>
  <c r="B113" i="20"/>
  <c r="O112" i="20"/>
  <c r="I112" i="20"/>
  <c r="B112" i="20"/>
  <c r="I111" i="20"/>
  <c r="B111" i="20"/>
  <c r="O110" i="20"/>
  <c r="I110" i="20"/>
  <c r="O107" i="20"/>
  <c r="M104" i="20"/>
  <c r="P102" i="20" s="1"/>
  <c r="P103" i="20" s="1"/>
  <c r="O101" i="20"/>
  <c r="A125" i="20" s="1"/>
  <c r="A88" i="20"/>
  <c r="O65" i="20" s="1"/>
  <c r="A87" i="20"/>
  <c r="O64" i="20" s="1"/>
  <c r="A86" i="20"/>
  <c r="O63" i="20" s="1"/>
  <c r="A85" i="20"/>
  <c r="C85" i="20" s="1"/>
  <c r="A84" i="20"/>
  <c r="O61" i="20" s="1"/>
  <c r="A83" i="20"/>
  <c r="C83" i="20" s="1"/>
  <c r="A82" i="20"/>
  <c r="C82" i="20" s="1"/>
  <c r="A81" i="20"/>
  <c r="C81" i="20" s="1"/>
  <c r="A80" i="20"/>
  <c r="O57" i="20" s="1"/>
  <c r="A79" i="20"/>
  <c r="C79" i="20" s="1"/>
  <c r="A78" i="20"/>
  <c r="C78" i="20" s="1"/>
  <c r="N76" i="20"/>
  <c r="K76" i="20"/>
  <c r="J76" i="20"/>
  <c r="I76" i="20"/>
  <c r="N75" i="20"/>
  <c r="K75" i="20"/>
  <c r="J75" i="20"/>
  <c r="I75" i="20"/>
  <c r="H75" i="20"/>
  <c r="F74" i="20"/>
  <c r="I65" i="20"/>
  <c r="B65" i="20"/>
  <c r="I64" i="20"/>
  <c r="B64" i="20"/>
  <c r="I63" i="20"/>
  <c r="B63" i="20"/>
  <c r="O62" i="20"/>
  <c r="I62" i="20"/>
  <c r="O60" i="20"/>
  <c r="M56" i="20"/>
  <c r="P54" i="20" s="1"/>
  <c r="O53" i="20"/>
  <c r="A77" i="20" s="1"/>
  <c r="I15" i="20"/>
  <c r="I16" i="20"/>
  <c r="I17" i="20"/>
  <c r="I14" i="20"/>
  <c r="N28" i="20"/>
  <c r="K28" i="20"/>
  <c r="J28" i="20"/>
  <c r="I28" i="20"/>
  <c r="N27" i="20"/>
  <c r="K27" i="20"/>
  <c r="J27" i="20"/>
  <c r="I27" i="20"/>
  <c r="H27" i="20"/>
  <c r="F26" i="20"/>
  <c r="B21" i="20"/>
  <c r="B20" i="20"/>
  <c r="I68" i="36"/>
  <c r="S383" i="4"/>
  <c r="R383" i="4"/>
  <c r="R382" i="4"/>
  <c r="R381" i="4"/>
  <c r="S380" i="4"/>
  <c r="R380" i="4"/>
  <c r="I356" i="4" s="1"/>
  <c r="N364" i="4"/>
  <c r="K364" i="4"/>
  <c r="J364" i="4"/>
  <c r="I364" i="4"/>
  <c r="N363" i="4"/>
  <c r="K363" i="4"/>
  <c r="J363" i="4"/>
  <c r="I363" i="4"/>
  <c r="H363" i="4"/>
  <c r="F362" i="4"/>
  <c r="P358" i="4"/>
  <c r="O358" i="4"/>
  <c r="P357" i="4"/>
  <c r="O357" i="4"/>
  <c r="I357" i="4"/>
  <c r="H357" i="4"/>
  <c r="G357" i="4"/>
  <c r="O356" i="4"/>
  <c r="Q354" i="4" s="1"/>
  <c r="R362" i="4" s="1"/>
  <c r="I353" i="4"/>
  <c r="B353" i="4"/>
  <c r="I352" i="4"/>
  <c r="B352" i="4"/>
  <c r="I351" i="4"/>
  <c r="B351" i="4"/>
  <c r="I350" i="4"/>
  <c r="A350" i="4"/>
  <c r="M344" i="4"/>
  <c r="O341" i="4"/>
  <c r="A376" i="4" s="1"/>
  <c r="I67" i="36"/>
  <c r="S335" i="4"/>
  <c r="R335" i="4"/>
  <c r="R334" i="4"/>
  <c r="R333" i="4"/>
  <c r="S332" i="4"/>
  <c r="R332" i="4"/>
  <c r="I308" i="4" s="1"/>
  <c r="N316" i="4"/>
  <c r="K316" i="4"/>
  <c r="J316" i="4"/>
  <c r="I316" i="4"/>
  <c r="N315" i="4"/>
  <c r="K315" i="4"/>
  <c r="J315" i="4"/>
  <c r="I315" i="4"/>
  <c r="H315" i="4"/>
  <c r="F314" i="4"/>
  <c r="P310" i="4"/>
  <c r="O310" i="4"/>
  <c r="P309" i="4"/>
  <c r="O309" i="4"/>
  <c r="I309" i="4"/>
  <c r="H309" i="4"/>
  <c r="G309" i="4"/>
  <c r="O308" i="4"/>
  <c r="Q306" i="4" s="1"/>
  <c r="R314" i="4" s="1"/>
  <c r="I305" i="4"/>
  <c r="B305" i="4"/>
  <c r="I304" i="4"/>
  <c r="B304" i="4"/>
  <c r="I303" i="4"/>
  <c r="B303" i="4"/>
  <c r="I302" i="4"/>
  <c r="A302" i="4"/>
  <c r="M296" i="4"/>
  <c r="O293" i="4"/>
  <c r="A328" i="4" s="1"/>
  <c r="I66" i="36"/>
  <c r="S287" i="4"/>
  <c r="R287" i="4"/>
  <c r="R286" i="4"/>
  <c r="R285" i="4"/>
  <c r="S284" i="4"/>
  <c r="R284" i="4"/>
  <c r="I260" i="4" s="1"/>
  <c r="N268" i="4"/>
  <c r="K268" i="4"/>
  <c r="J268" i="4"/>
  <c r="I268" i="4"/>
  <c r="N267" i="4"/>
  <c r="K267" i="4"/>
  <c r="J267" i="4"/>
  <c r="I267" i="4"/>
  <c r="H267" i="4"/>
  <c r="F266" i="4"/>
  <c r="P262" i="4"/>
  <c r="O262" i="4"/>
  <c r="P261" i="4"/>
  <c r="O261" i="4"/>
  <c r="I261" i="4"/>
  <c r="H261" i="4"/>
  <c r="G261" i="4"/>
  <c r="O260" i="4"/>
  <c r="Q262" i="4" s="1"/>
  <c r="Q258" i="4"/>
  <c r="R266" i="4" s="1"/>
  <c r="B257" i="4"/>
  <c r="B256" i="4"/>
  <c r="B255" i="4"/>
  <c r="I254" i="4"/>
  <c r="A254" i="4"/>
  <c r="M248" i="4"/>
  <c r="O245" i="4"/>
  <c r="A280" i="4" s="1"/>
  <c r="I65" i="36"/>
  <c r="S239" i="4"/>
  <c r="R239" i="4"/>
  <c r="R238" i="4"/>
  <c r="R237" i="4"/>
  <c r="S236" i="4"/>
  <c r="R236" i="4"/>
  <c r="I212" i="4" s="1"/>
  <c r="N220" i="4"/>
  <c r="K220" i="4"/>
  <c r="J220" i="4"/>
  <c r="I220" i="4"/>
  <c r="N219" i="4"/>
  <c r="K219" i="4"/>
  <c r="J219" i="4"/>
  <c r="I219" i="4"/>
  <c r="H219" i="4"/>
  <c r="F218" i="4"/>
  <c r="P214" i="4"/>
  <c r="O214" i="4"/>
  <c r="P213" i="4"/>
  <c r="O213" i="4"/>
  <c r="I213" i="4"/>
  <c r="H213" i="4"/>
  <c r="G213" i="4"/>
  <c r="O212" i="4"/>
  <c r="Q210" i="4" s="1"/>
  <c r="R218" i="4" s="1"/>
  <c r="B209" i="4"/>
  <c r="B208" i="4"/>
  <c r="B207" i="4"/>
  <c r="A206" i="4"/>
  <c r="M200" i="4"/>
  <c r="P198" i="4" s="1"/>
  <c r="O197" i="4"/>
  <c r="A232" i="4" s="1"/>
  <c r="I64" i="36"/>
  <c r="S191" i="4"/>
  <c r="R191" i="4"/>
  <c r="R190" i="4"/>
  <c r="R189" i="4"/>
  <c r="S188" i="4"/>
  <c r="R188" i="4"/>
  <c r="I164" i="4" s="1"/>
  <c r="N172" i="4"/>
  <c r="K172" i="4"/>
  <c r="J172" i="4"/>
  <c r="I172" i="4"/>
  <c r="N171" i="4"/>
  <c r="K171" i="4"/>
  <c r="J171" i="4"/>
  <c r="I171" i="4"/>
  <c r="H171" i="4"/>
  <c r="F170" i="4"/>
  <c r="P166" i="4"/>
  <c r="O166" i="4"/>
  <c r="P165" i="4"/>
  <c r="O165" i="4"/>
  <c r="I165" i="4"/>
  <c r="H165" i="4"/>
  <c r="G165" i="4"/>
  <c r="O164" i="4"/>
  <c r="Q162" i="4" s="1"/>
  <c r="R170" i="4" s="1"/>
  <c r="B161" i="4"/>
  <c r="B160" i="4"/>
  <c r="B159" i="4"/>
  <c r="A158" i="4"/>
  <c r="M152" i="4"/>
  <c r="O149" i="4"/>
  <c r="A184" i="4" s="1"/>
  <c r="I63" i="36"/>
  <c r="S143" i="4"/>
  <c r="R143" i="4"/>
  <c r="R142" i="4"/>
  <c r="R141" i="4"/>
  <c r="S140" i="4"/>
  <c r="R140" i="4"/>
  <c r="N124" i="4"/>
  <c r="K124" i="4"/>
  <c r="J124" i="4"/>
  <c r="I124" i="4"/>
  <c r="N123" i="4"/>
  <c r="K123" i="4"/>
  <c r="J123" i="4"/>
  <c r="I123" i="4"/>
  <c r="H123" i="4"/>
  <c r="F122" i="4"/>
  <c r="P118" i="4"/>
  <c r="O118" i="4"/>
  <c r="P117" i="4"/>
  <c r="O117" i="4"/>
  <c r="I117" i="4"/>
  <c r="H117" i="4"/>
  <c r="G117" i="4"/>
  <c r="O116" i="4"/>
  <c r="Q118" i="4" s="1"/>
  <c r="B113" i="4"/>
  <c r="B112" i="4"/>
  <c r="B111" i="4"/>
  <c r="A110" i="4"/>
  <c r="M104" i="4"/>
  <c r="P102" i="4" s="1"/>
  <c r="O101" i="4"/>
  <c r="A136" i="4" s="1"/>
  <c r="I62" i="36"/>
  <c r="S95" i="4"/>
  <c r="R95" i="4"/>
  <c r="R94" i="4"/>
  <c r="R93" i="4"/>
  <c r="S92" i="4"/>
  <c r="R92" i="4"/>
  <c r="N76" i="4"/>
  <c r="K76" i="4"/>
  <c r="J76" i="4"/>
  <c r="I76" i="4"/>
  <c r="N75" i="4"/>
  <c r="K75" i="4"/>
  <c r="J75" i="4"/>
  <c r="I75" i="4"/>
  <c r="H75" i="4"/>
  <c r="F74" i="4"/>
  <c r="P70" i="4"/>
  <c r="O70" i="4"/>
  <c r="P69" i="4"/>
  <c r="O69" i="4"/>
  <c r="I69" i="4"/>
  <c r="H69" i="4"/>
  <c r="G69" i="4"/>
  <c r="O68" i="4"/>
  <c r="Q70" i="4" s="1"/>
  <c r="B65" i="4"/>
  <c r="B64" i="4"/>
  <c r="B63" i="4"/>
  <c r="A62" i="4"/>
  <c r="M56" i="4"/>
  <c r="P54" i="4" s="1"/>
  <c r="O53" i="4"/>
  <c r="A88" i="4" s="1"/>
  <c r="I61" i="36"/>
  <c r="S47" i="4"/>
  <c r="R47" i="4"/>
  <c r="R46" i="4"/>
  <c r="R45" i="4"/>
  <c r="S44" i="4"/>
  <c r="R44" i="4"/>
  <c r="N28" i="4"/>
  <c r="K28" i="4"/>
  <c r="J28" i="4"/>
  <c r="I28" i="4"/>
  <c r="N27" i="4"/>
  <c r="K27" i="4"/>
  <c r="J27" i="4"/>
  <c r="I27" i="4"/>
  <c r="H27" i="4"/>
  <c r="F26" i="4"/>
  <c r="P22" i="4"/>
  <c r="O22" i="4"/>
  <c r="R24" i="4" s="1"/>
  <c r="P21" i="4"/>
  <c r="O21" i="4"/>
  <c r="R23" i="4" s="1"/>
  <c r="H21" i="4"/>
  <c r="I21" i="4" s="1"/>
  <c r="G21" i="4"/>
  <c r="B21" i="4"/>
  <c r="O20" i="4"/>
  <c r="Q18" i="4" s="1"/>
  <c r="R26" i="4" s="1"/>
  <c r="B20" i="4"/>
  <c r="B17" i="4"/>
  <c r="B16" i="4"/>
  <c r="B15" i="4"/>
  <c r="A14" i="4"/>
  <c r="M8" i="4"/>
  <c r="P6" i="4" s="1"/>
  <c r="O5" i="4"/>
  <c r="A40" i="4" s="1"/>
  <c r="I56" i="36"/>
  <c r="S1679" i="2"/>
  <c r="R1679" i="2"/>
  <c r="R1678" i="2"/>
  <c r="R1677" i="2"/>
  <c r="I1652" i="2" s="1"/>
  <c r="S1676" i="2"/>
  <c r="R1676" i="2"/>
  <c r="A1671" i="2"/>
  <c r="A1668" i="2"/>
  <c r="C1668" i="2" s="1"/>
  <c r="A1665" i="2"/>
  <c r="C1665" i="2" s="1"/>
  <c r="A1662" i="2"/>
  <c r="O1639" i="2" s="1"/>
  <c r="N1660" i="2"/>
  <c r="K1660" i="2"/>
  <c r="J1660" i="2"/>
  <c r="I1660" i="2"/>
  <c r="N1659" i="2"/>
  <c r="K1659" i="2"/>
  <c r="J1659" i="2"/>
  <c r="I1659" i="2"/>
  <c r="H1659" i="2"/>
  <c r="F1658" i="2"/>
  <c r="P1654" i="2"/>
  <c r="O1654" i="2"/>
  <c r="P1653" i="2"/>
  <c r="O1653" i="2"/>
  <c r="I1653" i="2"/>
  <c r="H1653" i="2"/>
  <c r="G1653" i="2"/>
  <c r="O1652" i="2"/>
  <c r="Q1650" i="2" s="1"/>
  <c r="R1658" i="2" s="1"/>
  <c r="I1649" i="2"/>
  <c r="B1649" i="2"/>
  <c r="I1648" i="2"/>
  <c r="B1648" i="2"/>
  <c r="I1647" i="2"/>
  <c r="B1647" i="2"/>
  <c r="I1646" i="2"/>
  <c r="A1646" i="2"/>
  <c r="O1642" i="2"/>
  <c r="M1640" i="2"/>
  <c r="P1638" i="2" s="1"/>
  <c r="O1637" i="2"/>
  <c r="A1672" i="2" s="1"/>
  <c r="I55" i="36"/>
  <c r="S1631" i="2"/>
  <c r="R1631" i="2"/>
  <c r="R1630" i="2"/>
  <c r="R1629" i="2"/>
  <c r="S1628" i="2"/>
  <c r="R1628" i="2"/>
  <c r="I1604" i="2" s="1"/>
  <c r="N1612" i="2"/>
  <c r="K1612" i="2"/>
  <c r="J1612" i="2"/>
  <c r="I1612" i="2"/>
  <c r="N1611" i="2"/>
  <c r="K1611" i="2"/>
  <c r="J1611" i="2"/>
  <c r="I1611" i="2"/>
  <c r="H1611" i="2"/>
  <c r="F1610" i="2"/>
  <c r="P1606" i="2"/>
  <c r="O1606" i="2"/>
  <c r="P1605" i="2"/>
  <c r="O1605" i="2"/>
  <c r="I1605" i="2"/>
  <c r="H1605" i="2"/>
  <c r="G1605" i="2"/>
  <c r="O1604" i="2"/>
  <c r="Q1602" i="2" s="1"/>
  <c r="R1610" i="2" s="1"/>
  <c r="I1601" i="2"/>
  <c r="B1601" i="2"/>
  <c r="I1600" i="2"/>
  <c r="B1600" i="2"/>
  <c r="I1599" i="2"/>
  <c r="B1599" i="2"/>
  <c r="I1598" i="2"/>
  <c r="A1598" i="2"/>
  <c r="M1592" i="2"/>
  <c r="O1589" i="2"/>
  <c r="A1624" i="2" s="1"/>
  <c r="I54" i="36"/>
  <c r="S1583" i="2"/>
  <c r="R1583" i="2"/>
  <c r="R1582" i="2"/>
  <c r="R1581" i="2"/>
  <c r="S1580" i="2"/>
  <c r="R1580" i="2"/>
  <c r="N1564" i="2"/>
  <c r="K1564" i="2"/>
  <c r="J1564" i="2"/>
  <c r="I1564" i="2"/>
  <c r="N1563" i="2"/>
  <c r="K1563" i="2"/>
  <c r="J1563" i="2"/>
  <c r="I1563" i="2"/>
  <c r="H1563" i="2"/>
  <c r="F1562" i="2"/>
  <c r="P1558" i="2"/>
  <c r="O1558" i="2"/>
  <c r="P1557" i="2"/>
  <c r="O1557" i="2"/>
  <c r="I1557" i="2"/>
  <c r="H1557" i="2"/>
  <c r="G1557" i="2"/>
  <c r="O1556" i="2"/>
  <c r="Q1554" i="2" s="1"/>
  <c r="R1562" i="2" s="1"/>
  <c r="B1553" i="2"/>
  <c r="B1552" i="2"/>
  <c r="I1551" i="2"/>
  <c r="B1551" i="2"/>
  <c r="I1550" i="2"/>
  <c r="A1550" i="2"/>
  <c r="M1544" i="2"/>
  <c r="P1542" i="2" s="1"/>
  <c r="O1541" i="2"/>
  <c r="A1568" i="2" s="1"/>
  <c r="I53" i="36"/>
  <c r="S1535" i="2"/>
  <c r="R1535" i="2"/>
  <c r="R1534" i="2"/>
  <c r="R1533" i="2"/>
  <c r="S1532" i="2"/>
  <c r="R1532" i="2"/>
  <c r="N1516" i="2"/>
  <c r="K1516" i="2"/>
  <c r="J1516" i="2"/>
  <c r="I1516" i="2"/>
  <c r="N1515" i="2"/>
  <c r="K1515" i="2"/>
  <c r="J1515" i="2"/>
  <c r="I1515" i="2"/>
  <c r="H1515" i="2"/>
  <c r="F1514" i="2"/>
  <c r="P1510" i="2"/>
  <c r="O1510" i="2"/>
  <c r="P1509" i="2"/>
  <c r="O1509" i="2"/>
  <c r="I1509" i="2"/>
  <c r="H1509" i="2"/>
  <c r="G1509" i="2"/>
  <c r="O1508" i="2"/>
  <c r="Q1510" i="2" s="1"/>
  <c r="B1505" i="2"/>
  <c r="B1504" i="2"/>
  <c r="B1503" i="2"/>
  <c r="I1502" i="2"/>
  <c r="A1502" i="2"/>
  <c r="M1496" i="2"/>
  <c r="P1494" i="2" s="1"/>
  <c r="O1493" i="2"/>
  <c r="A1528" i="2" s="1"/>
  <c r="I52" i="36"/>
  <c r="S1487" i="2"/>
  <c r="R1487" i="2"/>
  <c r="R1486" i="2"/>
  <c r="R1485" i="2"/>
  <c r="S1484" i="2"/>
  <c r="R1484" i="2"/>
  <c r="N1468" i="2"/>
  <c r="K1468" i="2"/>
  <c r="J1468" i="2"/>
  <c r="I1468" i="2"/>
  <c r="N1467" i="2"/>
  <c r="K1467" i="2"/>
  <c r="J1467" i="2"/>
  <c r="I1467" i="2"/>
  <c r="H1467" i="2"/>
  <c r="F1466" i="2"/>
  <c r="P1462" i="2"/>
  <c r="O1462" i="2"/>
  <c r="P1461" i="2"/>
  <c r="O1461" i="2"/>
  <c r="I1461" i="2"/>
  <c r="H1461" i="2"/>
  <c r="G1461" i="2"/>
  <c r="O1460" i="2"/>
  <c r="Q1458" i="2" s="1"/>
  <c r="R1466" i="2" s="1"/>
  <c r="B1457" i="2"/>
  <c r="B1456" i="2"/>
  <c r="B1455" i="2"/>
  <c r="A1454" i="2"/>
  <c r="P1446" i="2"/>
  <c r="O1445" i="2"/>
  <c r="A1480" i="2" s="1"/>
  <c r="I51" i="36"/>
  <c r="S1439" i="2"/>
  <c r="R1439" i="2"/>
  <c r="R1438" i="2"/>
  <c r="R1437" i="2"/>
  <c r="S1436" i="2"/>
  <c r="R1436" i="2"/>
  <c r="N1420" i="2"/>
  <c r="K1420" i="2"/>
  <c r="J1420" i="2"/>
  <c r="I1420" i="2"/>
  <c r="N1419" i="2"/>
  <c r="K1419" i="2"/>
  <c r="J1419" i="2"/>
  <c r="I1419" i="2"/>
  <c r="H1419" i="2"/>
  <c r="F1418" i="2"/>
  <c r="P1414" i="2"/>
  <c r="O1414" i="2"/>
  <c r="P1413" i="2"/>
  <c r="O1413" i="2"/>
  <c r="I1413" i="2"/>
  <c r="H1413" i="2"/>
  <c r="G1413" i="2"/>
  <c r="O1412" i="2"/>
  <c r="Q1410" i="2" s="1"/>
  <c r="R1418" i="2" s="1"/>
  <c r="B1409" i="2"/>
  <c r="B1408" i="2"/>
  <c r="B1407" i="2"/>
  <c r="A1406" i="2"/>
  <c r="M1400" i="2"/>
  <c r="O1397" i="2"/>
  <c r="A1432" i="2" s="1"/>
  <c r="I50" i="36"/>
  <c r="S1391" i="2"/>
  <c r="R1391" i="2"/>
  <c r="R1390" i="2"/>
  <c r="R1389" i="2"/>
  <c r="S1388" i="2"/>
  <c r="R1388" i="2"/>
  <c r="N1372" i="2"/>
  <c r="K1372" i="2"/>
  <c r="J1372" i="2"/>
  <c r="I1372" i="2"/>
  <c r="N1371" i="2"/>
  <c r="K1371" i="2"/>
  <c r="J1371" i="2"/>
  <c r="I1371" i="2"/>
  <c r="H1371" i="2"/>
  <c r="F1370" i="2"/>
  <c r="Q1366" i="2"/>
  <c r="P1366" i="2"/>
  <c r="O1366" i="2"/>
  <c r="P1365" i="2"/>
  <c r="O1365" i="2"/>
  <c r="I1365" i="2"/>
  <c r="H1365" i="2"/>
  <c r="G1365" i="2"/>
  <c r="O1364" i="2"/>
  <c r="Q1362" i="2" s="1"/>
  <c r="R1370" i="2" s="1"/>
  <c r="B1361" i="2"/>
  <c r="B1360" i="2"/>
  <c r="B1359" i="2"/>
  <c r="A1358" i="2"/>
  <c r="M1352" i="2"/>
  <c r="O1349" i="2"/>
  <c r="A1384" i="2" s="1"/>
  <c r="I49" i="36"/>
  <c r="S1343" i="2"/>
  <c r="R1343" i="2"/>
  <c r="R1342" i="2"/>
  <c r="R1341" i="2"/>
  <c r="S1340" i="2"/>
  <c r="R1340" i="2"/>
  <c r="N1324" i="2"/>
  <c r="K1324" i="2"/>
  <c r="J1324" i="2"/>
  <c r="I1324" i="2"/>
  <c r="N1323" i="2"/>
  <c r="K1323" i="2"/>
  <c r="J1323" i="2"/>
  <c r="I1323" i="2"/>
  <c r="H1323" i="2"/>
  <c r="F1322" i="2"/>
  <c r="P1318" i="2"/>
  <c r="O1318" i="2"/>
  <c r="P1317" i="2"/>
  <c r="O1317" i="2"/>
  <c r="I1317" i="2"/>
  <c r="H1317" i="2"/>
  <c r="G1317" i="2"/>
  <c r="O1316" i="2"/>
  <c r="Q1314" i="2" s="1"/>
  <c r="R1322" i="2" s="1"/>
  <c r="B1313" i="2"/>
  <c r="B1312" i="2"/>
  <c r="B1311" i="2"/>
  <c r="A1310" i="2"/>
  <c r="M1304" i="2"/>
  <c r="O1301" i="2"/>
  <c r="A1328" i="2" s="1"/>
  <c r="I48" i="36"/>
  <c r="S1295" i="2"/>
  <c r="R1295" i="2"/>
  <c r="R1294" i="2"/>
  <c r="R1293" i="2"/>
  <c r="S1292" i="2"/>
  <c r="R1292" i="2"/>
  <c r="N1276" i="2"/>
  <c r="K1276" i="2"/>
  <c r="J1276" i="2"/>
  <c r="I1276" i="2"/>
  <c r="N1275" i="2"/>
  <c r="K1275" i="2"/>
  <c r="J1275" i="2"/>
  <c r="I1275" i="2"/>
  <c r="H1275" i="2"/>
  <c r="F1274" i="2"/>
  <c r="P1270" i="2"/>
  <c r="O1270" i="2"/>
  <c r="P1269" i="2"/>
  <c r="O1269" i="2"/>
  <c r="I1269" i="2"/>
  <c r="H1269" i="2"/>
  <c r="G1269" i="2"/>
  <c r="O1268" i="2"/>
  <c r="Q1266" i="2" s="1"/>
  <c r="R1274" i="2" s="1"/>
  <c r="B1265" i="2"/>
  <c r="B1264" i="2"/>
  <c r="B1263" i="2"/>
  <c r="A1262" i="2"/>
  <c r="M1256" i="2"/>
  <c r="P1254" i="2" s="1"/>
  <c r="O1253" i="2"/>
  <c r="A1288" i="2" s="1"/>
  <c r="I47" i="36"/>
  <c r="S1247" i="2"/>
  <c r="R1247" i="2"/>
  <c r="R1246" i="2"/>
  <c r="R1245" i="2"/>
  <c r="S1244" i="2"/>
  <c r="R1244" i="2"/>
  <c r="N1228" i="2"/>
  <c r="K1228" i="2"/>
  <c r="J1228" i="2"/>
  <c r="I1228" i="2"/>
  <c r="N1227" i="2"/>
  <c r="K1227" i="2"/>
  <c r="J1227" i="2"/>
  <c r="I1227" i="2"/>
  <c r="H1227" i="2"/>
  <c r="F1226" i="2"/>
  <c r="P1222" i="2"/>
  <c r="O1222" i="2"/>
  <c r="P1221" i="2"/>
  <c r="O1221" i="2"/>
  <c r="I1221" i="2"/>
  <c r="H1221" i="2"/>
  <c r="G1221" i="2"/>
  <c r="O1220" i="2"/>
  <c r="Q1218" i="2" s="1"/>
  <c r="R1226" i="2" s="1"/>
  <c r="B1217" i="2"/>
  <c r="B1216" i="2"/>
  <c r="B1215" i="2"/>
  <c r="A1214" i="2"/>
  <c r="M1208" i="2"/>
  <c r="P1206" i="2" s="1"/>
  <c r="O1205" i="2"/>
  <c r="A1240" i="2" s="1"/>
  <c r="I46" i="36"/>
  <c r="S1199" i="2"/>
  <c r="R1199" i="2"/>
  <c r="R1198" i="2"/>
  <c r="R1197" i="2"/>
  <c r="S1196" i="2"/>
  <c r="R1196" i="2"/>
  <c r="N1180" i="2"/>
  <c r="K1180" i="2"/>
  <c r="J1180" i="2"/>
  <c r="I1180" i="2"/>
  <c r="N1179" i="2"/>
  <c r="K1179" i="2"/>
  <c r="J1179" i="2"/>
  <c r="I1179" i="2"/>
  <c r="H1179" i="2"/>
  <c r="F1178" i="2"/>
  <c r="P1174" i="2"/>
  <c r="O1174" i="2"/>
  <c r="P1173" i="2"/>
  <c r="O1173" i="2"/>
  <c r="I1173" i="2"/>
  <c r="H1173" i="2"/>
  <c r="G1173" i="2"/>
  <c r="O1172" i="2"/>
  <c r="Q1170" i="2" s="1"/>
  <c r="R1178" i="2" s="1"/>
  <c r="B1169" i="2"/>
  <c r="B1168" i="2"/>
  <c r="B1167" i="2"/>
  <c r="A1166" i="2"/>
  <c r="M1160" i="2"/>
  <c r="P1158" i="2" s="1"/>
  <c r="O1157" i="2"/>
  <c r="A1192" i="2" s="1"/>
  <c r="I45" i="36"/>
  <c r="S1151" i="2"/>
  <c r="R1151" i="2"/>
  <c r="R1150" i="2"/>
  <c r="R1149" i="2"/>
  <c r="S1148" i="2"/>
  <c r="R1148" i="2"/>
  <c r="N1132" i="2"/>
  <c r="K1132" i="2"/>
  <c r="J1132" i="2"/>
  <c r="I1132" i="2"/>
  <c r="N1131" i="2"/>
  <c r="K1131" i="2"/>
  <c r="J1131" i="2"/>
  <c r="I1131" i="2"/>
  <c r="H1131" i="2"/>
  <c r="F1130" i="2"/>
  <c r="P1126" i="2"/>
  <c r="O1126" i="2"/>
  <c r="P1125" i="2"/>
  <c r="O1125" i="2"/>
  <c r="I1125" i="2"/>
  <c r="H1125" i="2"/>
  <c r="G1125" i="2"/>
  <c r="O1124" i="2"/>
  <c r="Q1122" i="2" s="1"/>
  <c r="R1130" i="2" s="1"/>
  <c r="B1121" i="2"/>
  <c r="B1120" i="2"/>
  <c r="B1119" i="2"/>
  <c r="A1118" i="2"/>
  <c r="M1112" i="2"/>
  <c r="P1110" i="2" s="1"/>
  <c r="O1109" i="2"/>
  <c r="A1144" i="2" s="1"/>
  <c r="B165" i="20" l="1"/>
  <c r="B69" i="20"/>
  <c r="B117" i="20"/>
  <c r="C180" i="20"/>
  <c r="B68" i="20"/>
  <c r="B164" i="20"/>
  <c r="B116" i="20"/>
  <c r="C174" i="20"/>
  <c r="C181" i="20"/>
  <c r="C79" i="5"/>
  <c r="C178" i="5"/>
  <c r="C175" i="20"/>
  <c r="B164" i="5"/>
  <c r="B68" i="5"/>
  <c r="B116" i="5"/>
  <c r="O55" i="5"/>
  <c r="C131" i="20"/>
  <c r="B165" i="5"/>
  <c r="B69" i="5"/>
  <c r="B117" i="5"/>
  <c r="O109" i="5"/>
  <c r="C127" i="5"/>
  <c r="B212" i="4"/>
  <c r="B260" i="4"/>
  <c r="B164" i="4"/>
  <c r="B116" i="4"/>
  <c r="B356" i="4"/>
  <c r="B308" i="4"/>
  <c r="B68" i="4"/>
  <c r="O153" i="5"/>
  <c r="B261" i="4"/>
  <c r="B213" i="4"/>
  <c r="B165" i="4"/>
  <c r="B117" i="4"/>
  <c r="B69" i="4"/>
  <c r="B357" i="4"/>
  <c r="B309" i="4"/>
  <c r="C134" i="20"/>
  <c r="C178" i="20"/>
  <c r="O14" i="5"/>
  <c r="O154" i="5"/>
  <c r="C175" i="5"/>
  <c r="R360" i="4"/>
  <c r="K95" i="4"/>
  <c r="K143" i="4"/>
  <c r="K191" i="4"/>
  <c r="K239" i="4"/>
  <c r="K287" i="4"/>
  <c r="K335" i="4"/>
  <c r="K383" i="4"/>
  <c r="P1398" i="2"/>
  <c r="P1399" i="2" s="1"/>
  <c r="P1350" i="2"/>
  <c r="P1302" i="2"/>
  <c r="R312" i="4"/>
  <c r="R311" i="4"/>
  <c r="R359" i="4"/>
  <c r="O150" i="19"/>
  <c r="O104" i="19"/>
  <c r="O126" i="19"/>
  <c r="O125" i="19"/>
  <c r="O56" i="19"/>
  <c r="O78" i="19"/>
  <c r="O77" i="19"/>
  <c r="P151" i="5"/>
  <c r="A158" i="5"/>
  <c r="C173" i="5"/>
  <c r="C179" i="5"/>
  <c r="C182" i="5"/>
  <c r="P104" i="5"/>
  <c r="C125" i="5"/>
  <c r="C131" i="5"/>
  <c r="C134" i="5"/>
  <c r="O102" i="5"/>
  <c r="O103" i="5"/>
  <c r="C82" i="5"/>
  <c r="O11" i="5"/>
  <c r="C83" i="5"/>
  <c r="C86" i="5"/>
  <c r="O58" i="5"/>
  <c r="C80" i="5"/>
  <c r="O61" i="5"/>
  <c r="O54" i="5"/>
  <c r="C77" i="5"/>
  <c r="A62" i="5"/>
  <c r="P56" i="5"/>
  <c r="C32" i="5"/>
  <c r="C35" i="5"/>
  <c r="O10" i="5"/>
  <c r="C38" i="5"/>
  <c r="C29" i="5"/>
  <c r="O6" i="5"/>
  <c r="A14" i="5"/>
  <c r="P8" i="5"/>
  <c r="O7" i="5"/>
  <c r="C36" i="5"/>
  <c r="O8" i="5"/>
  <c r="O150" i="20"/>
  <c r="C173" i="20"/>
  <c r="A158" i="20"/>
  <c r="P151" i="20"/>
  <c r="C182" i="20"/>
  <c r="O102" i="20"/>
  <c r="C125" i="20"/>
  <c r="A110" i="20"/>
  <c r="P104" i="20"/>
  <c r="O106" i="20"/>
  <c r="O103" i="20"/>
  <c r="C132" i="20"/>
  <c r="O104" i="20"/>
  <c r="C80" i="20"/>
  <c r="O58" i="20"/>
  <c r="O59" i="20"/>
  <c r="C86" i="20"/>
  <c r="O54" i="20"/>
  <c r="A62" i="20"/>
  <c r="C77" i="20"/>
  <c r="P55" i="20"/>
  <c r="O55" i="20"/>
  <c r="C84" i="20"/>
  <c r="O56" i="20"/>
  <c r="O353" i="4"/>
  <c r="Q358" i="4"/>
  <c r="A366" i="4"/>
  <c r="A369" i="4"/>
  <c r="A372" i="4"/>
  <c r="A375" i="4"/>
  <c r="P342" i="4"/>
  <c r="S365" i="4" s="1"/>
  <c r="A365" i="4"/>
  <c r="A368" i="4"/>
  <c r="A371" i="4"/>
  <c r="A374" i="4"/>
  <c r="A367" i="4"/>
  <c r="A370" i="4"/>
  <c r="A373" i="4"/>
  <c r="O305" i="4"/>
  <c r="Q310" i="4"/>
  <c r="A318" i="4"/>
  <c r="A321" i="4"/>
  <c r="A324" i="4"/>
  <c r="A327" i="4"/>
  <c r="P294" i="4"/>
  <c r="A317" i="4"/>
  <c r="A320" i="4"/>
  <c r="A323" i="4"/>
  <c r="A326" i="4"/>
  <c r="A319" i="4"/>
  <c r="A322" i="4"/>
  <c r="A325" i="4"/>
  <c r="I255" i="4"/>
  <c r="I257" i="4"/>
  <c r="I256" i="4"/>
  <c r="R263" i="4"/>
  <c r="R264" i="4"/>
  <c r="O257" i="4"/>
  <c r="A270" i="4"/>
  <c r="A273" i="4"/>
  <c r="A276" i="4"/>
  <c r="A279" i="4"/>
  <c r="P246" i="4"/>
  <c r="A269" i="4"/>
  <c r="A272" i="4"/>
  <c r="A275" i="4"/>
  <c r="A278" i="4"/>
  <c r="A271" i="4"/>
  <c r="A274" i="4"/>
  <c r="A277" i="4"/>
  <c r="I207" i="4"/>
  <c r="A225" i="4"/>
  <c r="C225" i="4" s="1"/>
  <c r="R215" i="4"/>
  <c r="R221" i="4" s="1"/>
  <c r="I208" i="4"/>
  <c r="A222" i="4"/>
  <c r="O199" i="4" s="1"/>
  <c r="I206" i="4"/>
  <c r="A174" i="4"/>
  <c r="O151" i="4" s="1"/>
  <c r="I160" i="4"/>
  <c r="R167" i="4"/>
  <c r="A177" i="4"/>
  <c r="C177" i="4" s="1"/>
  <c r="R168" i="4"/>
  <c r="R216" i="4"/>
  <c r="S221" i="4" s="1"/>
  <c r="A180" i="4"/>
  <c r="C180" i="4" s="1"/>
  <c r="A228" i="4"/>
  <c r="A231" i="4"/>
  <c r="O208" i="4" s="1"/>
  <c r="I209" i="4"/>
  <c r="O209" i="4"/>
  <c r="Q214" i="4"/>
  <c r="A221" i="4"/>
  <c r="A224" i="4"/>
  <c r="A227" i="4"/>
  <c r="A230" i="4"/>
  <c r="P199" i="4"/>
  <c r="A223" i="4"/>
  <c r="A226" i="4"/>
  <c r="A229" i="4"/>
  <c r="I158" i="4"/>
  <c r="I110" i="4"/>
  <c r="I116" i="4"/>
  <c r="I159" i="4"/>
  <c r="A183" i="4"/>
  <c r="O160" i="4" s="1"/>
  <c r="R71" i="4"/>
  <c r="R77" i="4" s="1"/>
  <c r="I161" i="4"/>
  <c r="O161" i="4"/>
  <c r="Q166" i="4"/>
  <c r="P150" i="4"/>
  <c r="A173" i="4"/>
  <c r="A176" i="4"/>
  <c r="A179" i="4"/>
  <c r="A182" i="4"/>
  <c r="A175" i="4"/>
  <c r="A178" i="4"/>
  <c r="A181" i="4"/>
  <c r="A129" i="4"/>
  <c r="C129" i="4" s="1"/>
  <c r="I111" i="4"/>
  <c r="R120" i="4"/>
  <c r="S125" i="4" s="1"/>
  <c r="A78" i="4"/>
  <c r="O55" i="4" s="1"/>
  <c r="R72" i="4"/>
  <c r="A81" i="4"/>
  <c r="C81" i="4" s="1"/>
  <c r="A84" i="4"/>
  <c r="C84" i="4" s="1"/>
  <c r="I62" i="4"/>
  <c r="A87" i="4"/>
  <c r="O64" i="4" s="1"/>
  <c r="I64" i="4"/>
  <c r="I112" i="4"/>
  <c r="R119" i="4"/>
  <c r="R125" i="4" s="1"/>
  <c r="A126" i="4"/>
  <c r="O103" i="4" s="1"/>
  <c r="A132" i="4"/>
  <c r="A135" i="4"/>
  <c r="O112" i="4" s="1"/>
  <c r="I113" i="4"/>
  <c r="I15" i="4"/>
  <c r="O113" i="4"/>
  <c r="A125" i="4"/>
  <c r="A128" i="4"/>
  <c r="A131" i="4"/>
  <c r="A134" i="4"/>
  <c r="P103" i="4"/>
  <c r="Q114" i="4"/>
  <c r="R122" i="4" s="1"/>
  <c r="A127" i="4"/>
  <c r="A130" i="4"/>
  <c r="A133" i="4"/>
  <c r="I63" i="4"/>
  <c r="I65" i="4"/>
  <c r="I68" i="4"/>
  <c r="I20" i="4"/>
  <c r="O65" i="4"/>
  <c r="A77" i="4"/>
  <c r="A80" i="4"/>
  <c r="A83" i="4"/>
  <c r="A86" i="4"/>
  <c r="P55" i="4"/>
  <c r="Q66" i="4"/>
  <c r="R74" i="4" s="1"/>
  <c r="A79" i="4"/>
  <c r="A82" i="4"/>
  <c r="A85" i="4"/>
  <c r="I17" i="4"/>
  <c r="I16" i="4"/>
  <c r="I14" i="4"/>
  <c r="O17" i="4"/>
  <c r="S29" i="4"/>
  <c r="Q22" i="4"/>
  <c r="A30" i="4"/>
  <c r="A33" i="4"/>
  <c r="A36" i="4"/>
  <c r="A39" i="4"/>
  <c r="A29" i="4"/>
  <c r="R30" i="4"/>
  <c r="A32" i="4"/>
  <c r="A35" i="4"/>
  <c r="A38" i="4"/>
  <c r="P7" i="4"/>
  <c r="R29" i="4"/>
  <c r="A31" i="4"/>
  <c r="A34" i="4"/>
  <c r="A37" i="4"/>
  <c r="O1649" i="2"/>
  <c r="O1645" i="2"/>
  <c r="O1648" i="2"/>
  <c r="C1662" i="2"/>
  <c r="Q1654" i="2"/>
  <c r="A1661" i="2"/>
  <c r="A1664" i="2"/>
  <c r="A1667" i="2"/>
  <c r="A1670" i="2"/>
  <c r="P1639" i="2"/>
  <c r="A1663" i="2"/>
  <c r="A1666" i="2"/>
  <c r="A1669" i="2"/>
  <c r="O1601" i="2"/>
  <c r="Q1606" i="2"/>
  <c r="A1614" i="2"/>
  <c r="A1617" i="2"/>
  <c r="A1620" i="2"/>
  <c r="A1623" i="2"/>
  <c r="P1590" i="2"/>
  <c r="A1613" i="2"/>
  <c r="A1616" i="2"/>
  <c r="A1619" i="2"/>
  <c r="A1622" i="2"/>
  <c r="A1615" i="2"/>
  <c r="A1618" i="2"/>
  <c r="A1621" i="2"/>
  <c r="I1553" i="2"/>
  <c r="A1527" i="2"/>
  <c r="O1504" i="2" s="1"/>
  <c r="I1556" i="2"/>
  <c r="I1456" i="2"/>
  <c r="A1524" i="2"/>
  <c r="O1501" i="2" s="1"/>
  <c r="I1552" i="2"/>
  <c r="A1518" i="2"/>
  <c r="O1495" i="2" s="1"/>
  <c r="A1521" i="2"/>
  <c r="O1498" i="2" s="1"/>
  <c r="C1568" i="2"/>
  <c r="O1545" i="2"/>
  <c r="Q1558" i="2"/>
  <c r="A1566" i="2"/>
  <c r="A1569" i="2"/>
  <c r="A1572" i="2"/>
  <c r="A1575" i="2"/>
  <c r="A1565" i="2"/>
  <c r="P1543" i="2"/>
  <c r="A1571" i="2"/>
  <c r="A1574" i="2"/>
  <c r="A1567" i="2"/>
  <c r="A1570" i="2"/>
  <c r="A1573" i="2"/>
  <c r="A1576" i="2"/>
  <c r="I1503" i="2"/>
  <c r="I1454" i="2"/>
  <c r="I1504" i="2"/>
  <c r="I1508" i="2"/>
  <c r="I1505" i="2"/>
  <c r="O1505" i="2"/>
  <c r="A1517" i="2"/>
  <c r="A1520" i="2"/>
  <c r="A1523" i="2"/>
  <c r="A1526" i="2"/>
  <c r="P1495" i="2"/>
  <c r="Q1506" i="2"/>
  <c r="R1514" i="2" s="1"/>
  <c r="A1519" i="2"/>
  <c r="A1522" i="2"/>
  <c r="A1525" i="2"/>
  <c r="I1457" i="2"/>
  <c r="I1460" i="2"/>
  <c r="I1412" i="2"/>
  <c r="I1455" i="2"/>
  <c r="I1407" i="2"/>
  <c r="O1457" i="2"/>
  <c r="Q1462" i="2"/>
  <c r="A1470" i="2"/>
  <c r="A1473" i="2"/>
  <c r="A1476" i="2"/>
  <c r="A1479" i="2"/>
  <c r="A1469" i="2"/>
  <c r="A1472" i="2"/>
  <c r="A1475" i="2"/>
  <c r="A1478" i="2"/>
  <c r="P1447" i="2"/>
  <c r="A1471" i="2"/>
  <c r="A1474" i="2"/>
  <c r="A1477" i="2"/>
  <c r="I1406" i="2"/>
  <c r="I1409" i="2"/>
  <c r="I1408" i="2"/>
  <c r="O1409" i="2"/>
  <c r="Q1414" i="2"/>
  <c r="A1422" i="2"/>
  <c r="A1425" i="2"/>
  <c r="A1428" i="2"/>
  <c r="A1431" i="2"/>
  <c r="A1421" i="2"/>
  <c r="A1424" i="2"/>
  <c r="A1427" i="2"/>
  <c r="A1430" i="2"/>
  <c r="A1423" i="2"/>
  <c r="A1426" i="2"/>
  <c r="A1429" i="2"/>
  <c r="I1359" i="2"/>
  <c r="I1358" i="2"/>
  <c r="I1361" i="2"/>
  <c r="A1374" i="2"/>
  <c r="O1351" i="2" s="1"/>
  <c r="A1377" i="2"/>
  <c r="C1377" i="2" s="1"/>
  <c r="I1360" i="2"/>
  <c r="A1380" i="2"/>
  <c r="C1380" i="2" s="1"/>
  <c r="I1310" i="2"/>
  <c r="A1383" i="2"/>
  <c r="O1360" i="2" s="1"/>
  <c r="I1364" i="2"/>
  <c r="I1220" i="2"/>
  <c r="O1361" i="2"/>
  <c r="A1373" i="2"/>
  <c r="A1376" i="2"/>
  <c r="A1379" i="2"/>
  <c r="A1382" i="2"/>
  <c r="P1351" i="2"/>
  <c r="A1375" i="2"/>
  <c r="A1378" i="2"/>
  <c r="A1381" i="2"/>
  <c r="A1332" i="2"/>
  <c r="C1332" i="2" s="1"/>
  <c r="A1326" i="2"/>
  <c r="O1303" i="2" s="1"/>
  <c r="A1329" i="2"/>
  <c r="C1329" i="2" s="1"/>
  <c r="I1264" i="2"/>
  <c r="I1312" i="2"/>
  <c r="A1335" i="2"/>
  <c r="O1312" i="2" s="1"/>
  <c r="I1311" i="2"/>
  <c r="I1262" i="2"/>
  <c r="I1313" i="2"/>
  <c r="I1316" i="2"/>
  <c r="I1268" i="2"/>
  <c r="C1328" i="2"/>
  <c r="O1305" i="2"/>
  <c r="Q1318" i="2"/>
  <c r="A1331" i="2"/>
  <c r="A1334" i="2"/>
  <c r="P1303" i="2"/>
  <c r="A1325" i="2"/>
  <c r="A1327" i="2"/>
  <c r="A1330" i="2"/>
  <c r="A1333" i="2"/>
  <c r="A1336" i="2"/>
  <c r="I1166" i="2"/>
  <c r="I1263" i="2"/>
  <c r="I1214" i="2"/>
  <c r="I1265" i="2"/>
  <c r="O1265" i="2"/>
  <c r="Q1270" i="2"/>
  <c r="A1278" i="2"/>
  <c r="A1281" i="2"/>
  <c r="A1284" i="2"/>
  <c r="A1287" i="2"/>
  <c r="A1277" i="2"/>
  <c r="A1280" i="2"/>
  <c r="A1283" i="2"/>
  <c r="A1286" i="2"/>
  <c r="P1255" i="2"/>
  <c r="A1279" i="2"/>
  <c r="A1282" i="2"/>
  <c r="A1285" i="2"/>
  <c r="A1229" i="2"/>
  <c r="C1229" i="2" s="1"/>
  <c r="I1216" i="2"/>
  <c r="A1235" i="2"/>
  <c r="C1235" i="2" s="1"/>
  <c r="A1238" i="2"/>
  <c r="O1215" i="2" s="1"/>
  <c r="A1232" i="2"/>
  <c r="C1232" i="2" s="1"/>
  <c r="I1215" i="2"/>
  <c r="I1172" i="2"/>
  <c r="I1217" i="2"/>
  <c r="O1217" i="2"/>
  <c r="Q1222" i="2"/>
  <c r="A1230" i="2"/>
  <c r="A1233" i="2"/>
  <c r="A1236" i="2"/>
  <c r="A1239" i="2"/>
  <c r="P1207" i="2"/>
  <c r="A1231" i="2"/>
  <c r="A1234" i="2"/>
  <c r="A1237" i="2"/>
  <c r="A1185" i="2"/>
  <c r="C1185" i="2" s="1"/>
  <c r="I1124" i="2"/>
  <c r="A1182" i="2"/>
  <c r="O1159" i="2" s="1"/>
  <c r="I1168" i="2"/>
  <c r="I1167" i="2"/>
  <c r="A1188" i="2"/>
  <c r="A1191" i="2"/>
  <c r="O1168" i="2" s="1"/>
  <c r="I1118" i="2"/>
  <c r="I1120" i="2"/>
  <c r="I1169" i="2"/>
  <c r="O1169" i="2"/>
  <c r="A1181" i="2"/>
  <c r="A1184" i="2"/>
  <c r="A1187" i="2"/>
  <c r="A1190" i="2"/>
  <c r="Q1174" i="2"/>
  <c r="P1159" i="2"/>
  <c r="A1183" i="2"/>
  <c r="A1186" i="2"/>
  <c r="A1189" i="2"/>
  <c r="A1137" i="2"/>
  <c r="C1137" i="2" s="1"/>
  <c r="A1134" i="2"/>
  <c r="O1111" i="2" s="1"/>
  <c r="A1140" i="2"/>
  <c r="C1140" i="2" s="1"/>
  <c r="I1119" i="2"/>
  <c r="A1143" i="2"/>
  <c r="O1120" i="2" s="1"/>
  <c r="I1121" i="2"/>
  <c r="O1121" i="2"/>
  <c r="Q1126" i="2"/>
  <c r="A1133" i="2"/>
  <c r="A1136" i="2"/>
  <c r="A1139" i="2"/>
  <c r="A1142" i="2"/>
  <c r="P1111" i="2"/>
  <c r="A1135" i="2"/>
  <c r="A1138" i="2"/>
  <c r="A1141" i="2"/>
  <c r="I44" i="36"/>
  <c r="S1103" i="2"/>
  <c r="R1103" i="2"/>
  <c r="R1102" i="2"/>
  <c r="R1101" i="2"/>
  <c r="S1100" i="2"/>
  <c r="R1100" i="2"/>
  <c r="N1084" i="2"/>
  <c r="K1084" i="2"/>
  <c r="J1084" i="2"/>
  <c r="I1084" i="2"/>
  <c r="N1083" i="2"/>
  <c r="K1083" i="2"/>
  <c r="J1083" i="2"/>
  <c r="I1083" i="2"/>
  <c r="H1083" i="2"/>
  <c r="F1082" i="2"/>
  <c r="P1078" i="2"/>
  <c r="O1078" i="2"/>
  <c r="P1077" i="2"/>
  <c r="O1077" i="2"/>
  <c r="I1077" i="2"/>
  <c r="H1077" i="2"/>
  <c r="G1077" i="2"/>
  <c r="O1076" i="2"/>
  <c r="Q1074" i="2" s="1"/>
  <c r="R1082" i="2" s="1"/>
  <c r="B1073" i="2"/>
  <c r="B1072" i="2"/>
  <c r="B1071" i="2"/>
  <c r="A1070" i="2"/>
  <c r="M1064" i="2"/>
  <c r="P1062" i="2" s="1"/>
  <c r="O1061" i="2"/>
  <c r="A1096" i="2" s="1"/>
  <c r="I43" i="36"/>
  <c r="S1055" i="2"/>
  <c r="R1055" i="2"/>
  <c r="R1054" i="2"/>
  <c r="R1053" i="2"/>
  <c r="S1052" i="2"/>
  <c r="R1052" i="2"/>
  <c r="N1036" i="2"/>
  <c r="K1036" i="2"/>
  <c r="J1036" i="2"/>
  <c r="I1036" i="2"/>
  <c r="N1035" i="2"/>
  <c r="K1035" i="2"/>
  <c r="J1035" i="2"/>
  <c r="I1035" i="2"/>
  <c r="H1035" i="2"/>
  <c r="F1034" i="2"/>
  <c r="P1030" i="2"/>
  <c r="O1030" i="2"/>
  <c r="P1029" i="2"/>
  <c r="O1029" i="2"/>
  <c r="I1029" i="2"/>
  <c r="H1029" i="2"/>
  <c r="G1029" i="2"/>
  <c r="O1028" i="2"/>
  <c r="Q1026" i="2" s="1"/>
  <c r="R1034" i="2" s="1"/>
  <c r="B1025" i="2"/>
  <c r="B1024" i="2"/>
  <c r="B1023" i="2"/>
  <c r="A1022" i="2"/>
  <c r="M1016" i="2"/>
  <c r="O1013" i="2"/>
  <c r="A1048" i="2" s="1"/>
  <c r="I42" i="36"/>
  <c r="S1007" i="2"/>
  <c r="R1007" i="2"/>
  <c r="R1006" i="2"/>
  <c r="R1005" i="2"/>
  <c r="S1004" i="2"/>
  <c r="R1004" i="2"/>
  <c r="N988" i="2"/>
  <c r="K988" i="2"/>
  <c r="J988" i="2"/>
  <c r="I988" i="2"/>
  <c r="N987" i="2"/>
  <c r="K987" i="2"/>
  <c r="J987" i="2"/>
  <c r="I987" i="2"/>
  <c r="H987" i="2"/>
  <c r="F986" i="2"/>
  <c r="P982" i="2"/>
  <c r="O982" i="2"/>
  <c r="P981" i="2"/>
  <c r="O981" i="2"/>
  <c r="I981" i="2"/>
  <c r="H981" i="2"/>
  <c r="G981" i="2"/>
  <c r="O980" i="2"/>
  <c r="Q982" i="2" s="1"/>
  <c r="B977" i="2"/>
  <c r="B976" i="2"/>
  <c r="B975" i="2"/>
  <c r="A974" i="2"/>
  <c r="M968" i="2"/>
  <c r="P966" i="2" s="1"/>
  <c r="O965" i="2"/>
  <c r="A1000" i="2" s="1"/>
  <c r="I41" i="36"/>
  <c r="S959" i="2"/>
  <c r="R959" i="2"/>
  <c r="R958" i="2"/>
  <c r="R957" i="2"/>
  <c r="S956" i="2"/>
  <c r="R956" i="2"/>
  <c r="N940" i="2"/>
  <c r="K940" i="2"/>
  <c r="J940" i="2"/>
  <c r="I940" i="2"/>
  <c r="N939" i="2"/>
  <c r="K939" i="2"/>
  <c r="J939" i="2"/>
  <c r="I939" i="2"/>
  <c r="H939" i="2"/>
  <c r="F938" i="2"/>
  <c r="P934" i="2"/>
  <c r="O934" i="2"/>
  <c r="P933" i="2"/>
  <c r="O933" i="2"/>
  <c r="H933" i="2"/>
  <c r="I933" i="2" s="1"/>
  <c r="G933" i="2"/>
  <c r="O932" i="2"/>
  <c r="Q930" i="2" s="1"/>
  <c r="R938" i="2" s="1"/>
  <c r="B929" i="2"/>
  <c r="B928" i="2"/>
  <c r="B927" i="2"/>
  <c r="A926" i="2"/>
  <c r="M920" i="2"/>
  <c r="P918" i="2" s="1"/>
  <c r="O917" i="2"/>
  <c r="A952" i="2" s="1"/>
  <c r="I40" i="36"/>
  <c r="S911" i="2"/>
  <c r="R911" i="2"/>
  <c r="R910" i="2"/>
  <c r="R909" i="2"/>
  <c r="S908" i="2"/>
  <c r="R908" i="2"/>
  <c r="N892" i="2"/>
  <c r="K892" i="2"/>
  <c r="J892" i="2"/>
  <c r="I892" i="2"/>
  <c r="N891" i="2"/>
  <c r="K891" i="2"/>
  <c r="J891" i="2"/>
  <c r="I891" i="2"/>
  <c r="H891" i="2"/>
  <c r="F890" i="2"/>
  <c r="P886" i="2"/>
  <c r="O886" i="2"/>
  <c r="P885" i="2"/>
  <c r="O885" i="2"/>
  <c r="I885" i="2"/>
  <c r="H885" i="2"/>
  <c r="G885" i="2"/>
  <c r="O884" i="2"/>
  <c r="Q882" i="2" s="1"/>
  <c r="R890" i="2" s="1"/>
  <c r="B881" i="2"/>
  <c r="B880" i="2"/>
  <c r="B879" i="2"/>
  <c r="A878" i="2"/>
  <c r="M872" i="2"/>
  <c r="O869" i="2"/>
  <c r="A904" i="2" s="1"/>
  <c r="I39" i="36"/>
  <c r="S863" i="2"/>
  <c r="R863" i="2"/>
  <c r="R862" i="2"/>
  <c r="R861" i="2"/>
  <c r="S860" i="2"/>
  <c r="R860" i="2"/>
  <c r="N844" i="2"/>
  <c r="K844" i="2"/>
  <c r="J844" i="2"/>
  <c r="I844" i="2"/>
  <c r="N843" i="2"/>
  <c r="K843" i="2"/>
  <c r="J843" i="2"/>
  <c r="I843" i="2"/>
  <c r="H843" i="2"/>
  <c r="F842" i="2"/>
  <c r="P838" i="2"/>
  <c r="O838" i="2"/>
  <c r="P837" i="2"/>
  <c r="O837" i="2"/>
  <c r="I837" i="2"/>
  <c r="H837" i="2"/>
  <c r="G837" i="2"/>
  <c r="O836" i="2"/>
  <c r="Q834" i="2" s="1"/>
  <c r="R842" i="2" s="1"/>
  <c r="B833" i="2"/>
  <c r="B832" i="2"/>
  <c r="B831" i="2"/>
  <c r="A830" i="2"/>
  <c r="M824" i="2"/>
  <c r="O821" i="2"/>
  <c r="A856" i="2" s="1"/>
  <c r="I38" i="36"/>
  <c r="S815" i="2"/>
  <c r="R815" i="2"/>
  <c r="R814" i="2"/>
  <c r="R813" i="2"/>
  <c r="S812" i="2"/>
  <c r="R812" i="2"/>
  <c r="N796" i="2"/>
  <c r="K796" i="2"/>
  <c r="J796" i="2"/>
  <c r="I796" i="2"/>
  <c r="N795" i="2"/>
  <c r="K795" i="2"/>
  <c r="J795" i="2"/>
  <c r="I795" i="2"/>
  <c r="H795" i="2"/>
  <c r="F794" i="2"/>
  <c r="P790" i="2"/>
  <c r="O790" i="2"/>
  <c r="P789" i="2"/>
  <c r="O789" i="2"/>
  <c r="I789" i="2"/>
  <c r="H789" i="2"/>
  <c r="G789" i="2"/>
  <c r="O788" i="2"/>
  <c r="Q786" i="2" s="1"/>
  <c r="R794" i="2" s="1"/>
  <c r="B785" i="2"/>
  <c r="B784" i="2"/>
  <c r="B783" i="2"/>
  <c r="A782" i="2"/>
  <c r="M776" i="2"/>
  <c r="O773" i="2"/>
  <c r="A808" i="2" s="1"/>
  <c r="I37" i="36"/>
  <c r="S767" i="2"/>
  <c r="R767" i="2"/>
  <c r="R766" i="2"/>
  <c r="R765" i="2"/>
  <c r="S764" i="2"/>
  <c r="R764" i="2"/>
  <c r="N748" i="2"/>
  <c r="K748" i="2"/>
  <c r="J748" i="2"/>
  <c r="I748" i="2"/>
  <c r="N747" i="2"/>
  <c r="K747" i="2"/>
  <c r="J747" i="2"/>
  <c r="I747" i="2"/>
  <c r="H747" i="2"/>
  <c r="F746" i="2"/>
  <c r="P742" i="2"/>
  <c r="O742" i="2"/>
  <c r="P741" i="2"/>
  <c r="O741" i="2"/>
  <c r="I741" i="2"/>
  <c r="H741" i="2"/>
  <c r="G741" i="2"/>
  <c r="O740" i="2"/>
  <c r="Q738" i="2" s="1"/>
  <c r="R746" i="2" s="1"/>
  <c r="B737" i="2"/>
  <c r="B736" i="2"/>
  <c r="B735" i="2"/>
  <c r="A734" i="2"/>
  <c r="M728" i="2"/>
  <c r="P726" i="2" s="1"/>
  <c r="O725" i="2"/>
  <c r="A760" i="2" s="1"/>
  <c r="I36" i="36"/>
  <c r="S719" i="2"/>
  <c r="R719" i="2"/>
  <c r="R718" i="2"/>
  <c r="R717" i="2"/>
  <c r="S716" i="2"/>
  <c r="R716" i="2"/>
  <c r="N700" i="2"/>
  <c r="K700" i="2"/>
  <c r="J700" i="2"/>
  <c r="I700" i="2"/>
  <c r="N699" i="2"/>
  <c r="K699" i="2"/>
  <c r="J699" i="2"/>
  <c r="I699" i="2"/>
  <c r="H699" i="2"/>
  <c r="F698" i="2"/>
  <c r="P694" i="2"/>
  <c r="O694" i="2"/>
  <c r="P693" i="2"/>
  <c r="O693" i="2"/>
  <c r="I693" i="2"/>
  <c r="H693" i="2"/>
  <c r="G693" i="2"/>
  <c r="O692" i="2"/>
  <c r="Q690" i="2" s="1"/>
  <c r="R698" i="2" s="1"/>
  <c r="B689" i="2"/>
  <c r="B688" i="2"/>
  <c r="B687" i="2"/>
  <c r="A686" i="2"/>
  <c r="M680" i="2"/>
  <c r="P678" i="2" s="1"/>
  <c r="O677" i="2"/>
  <c r="A712" i="2" s="1"/>
  <c r="I35" i="36"/>
  <c r="S671" i="2"/>
  <c r="R671" i="2"/>
  <c r="R670" i="2"/>
  <c r="R669" i="2"/>
  <c r="S668" i="2"/>
  <c r="R668" i="2"/>
  <c r="N652" i="2"/>
  <c r="K652" i="2"/>
  <c r="J652" i="2"/>
  <c r="I652" i="2"/>
  <c r="N651" i="2"/>
  <c r="K651" i="2"/>
  <c r="J651" i="2"/>
  <c r="I651" i="2"/>
  <c r="H651" i="2"/>
  <c r="F650" i="2"/>
  <c r="P646" i="2"/>
  <c r="O646" i="2"/>
  <c r="P645" i="2"/>
  <c r="O645" i="2"/>
  <c r="I645" i="2"/>
  <c r="H645" i="2"/>
  <c r="G645" i="2"/>
  <c r="O644" i="2"/>
  <c r="Q646" i="2" s="1"/>
  <c r="B641" i="2"/>
  <c r="B640" i="2"/>
  <c r="B639" i="2"/>
  <c r="A638" i="2"/>
  <c r="M632" i="2"/>
  <c r="P630" i="2" s="1"/>
  <c r="P631" i="2" s="1"/>
  <c r="P632" i="2" s="1"/>
  <c r="O629" i="2"/>
  <c r="A664" i="2" s="1"/>
  <c r="I34" i="36"/>
  <c r="S623" i="2"/>
  <c r="R623" i="2"/>
  <c r="R622" i="2"/>
  <c r="R621" i="2"/>
  <c r="S620" i="2"/>
  <c r="R620" i="2"/>
  <c r="N604" i="2"/>
  <c r="K604" i="2"/>
  <c r="J604" i="2"/>
  <c r="I604" i="2"/>
  <c r="N603" i="2"/>
  <c r="K603" i="2"/>
  <c r="J603" i="2"/>
  <c r="I603" i="2"/>
  <c r="H603" i="2"/>
  <c r="F602" i="2"/>
  <c r="P598" i="2"/>
  <c r="O598" i="2"/>
  <c r="P597" i="2"/>
  <c r="O597" i="2"/>
  <c r="I597" i="2"/>
  <c r="H597" i="2"/>
  <c r="G597" i="2"/>
  <c r="O596" i="2"/>
  <c r="Q594" i="2" s="1"/>
  <c r="R602" i="2" s="1"/>
  <c r="B593" i="2"/>
  <c r="B592" i="2"/>
  <c r="B591" i="2"/>
  <c r="A590" i="2"/>
  <c r="M584" i="2"/>
  <c r="O581" i="2"/>
  <c r="A616" i="2" s="1"/>
  <c r="I33" i="36"/>
  <c r="S575" i="2"/>
  <c r="R575" i="2"/>
  <c r="R574" i="2"/>
  <c r="R573" i="2"/>
  <c r="S572" i="2"/>
  <c r="R572" i="2"/>
  <c r="N556" i="2"/>
  <c r="K556" i="2"/>
  <c r="J556" i="2"/>
  <c r="I556" i="2"/>
  <c r="N555" i="2"/>
  <c r="K555" i="2"/>
  <c r="J555" i="2"/>
  <c r="I555" i="2"/>
  <c r="H555" i="2"/>
  <c r="F554" i="2"/>
  <c r="P550" i="2"/>
  <c r="O550" i="2"/>
  <c r="P549" i="2"/>
  <c r="O549" i="2"/>
  <c r="I549" i="2"/>
  <c r="H549" i="2"/>
  <c r="G549" i="2"/>
  <c r="O548" i="2"/>
  <c r="Q546" i="2" s="1"/>
  <c r="R554" i="2" s="1"/>
  <c r="B545" i="2"/>
  <c r="B544" i="2"/>
  <c r="B543" i="2"/>
  <c r="A542" i="2"/>
  <c r="M536" i="2"/>
  <c r="P534" i="2" s="1"/>
  <c r="P535" i="2" s="1"/>
  <c r="O533" i="2"/>
  <c r="A566" i="2" s="1"/>
  <c r="I32" i="36"/>
  <c r="S527" i="2"/>
  <c r="R527" i="2"/>
  <c r="R526" i="2"/>
  <c r="R525" i="2"/>
  <c r="S524" i="2"/>
  <c r="R524" i="2"/>
  <c r="N508" i="2"/>
  <c r="K508" i="2"/>
  <c r="J508" i="2"/>
  <c r="I508" i="2"/>
  <c r="N507" i="2"/>
  <c r="K507" i="2"/>
  <c r="J507" i="2"/>
  <c r="I507" i="2"/>
  <c r="H507" i="2"/>
  <c r="F506" i="2"/>
  <c r="P502" i="2"/>
  <c r="O502" i="2"/>
  <c r="P501" i="2"/>
  <c r="O501" i="2"/>
  <c r="I501" i="2"/>
  <c r="H501" i="2"/>
  <c r="G501" i="2"/>
  <c r="O500" i="2"/>
  <c r="Q498" i="2" s="1"/>
  <c r="R506" i="2" s="1"/>
  <c r="B497" i="2"/>
  <c r="B496" i="2"/>
  <c r="B495" i="2"/>
  <c r="A494" i="2"/>
  <c r="M488" i="2"/>
  <c r="O485" i="2"/>
  <c r="A520" i="2" s="1"/>
  <c r="I31" i="36"/>
  <c r="S479" i="2"/>
  <c r="R479" i="2"/>
  <c r="R478" i="2"/>
  <c r="R477" i="2"/>
  <c r="S476" i="2"/>
  <c r="R476" i="2"/>
  <c r="N460" i="2"/>
  <c r="K460" i="2"/>
  <c r="J460" i="2"/>
  <c r="I460" i="2"/>
  <c r="N459" i="2"/>
  <c r="K459" i="2"/>
  <c r="J459" i="2"/>
  <c r="I459" i="2"/>
  <c r="H459" i="2"/>
  <c r="F458" i="2"/>
  <c r="P454" i="2"/>
  <c r="O454" i="2"/>
  <c r="P453" i="2"/>
  <c r="O453" i="2"/>
  <c r="I453" i="2"/>
  <c r="H453" i="2"/>
  <c r="G453" i="2"/>
  <c r="O452" i="2"/>
  <c r="Q454" i="2" s="1"/>
  <c r="B449" i="2"/>
  <c r="B448" i="2"/>
  <c r="B447" i="2"/>
  <c r="A446" i="2"/>
  <c r="M440" i="2"/>
  <c r="P438" i="2" s="1"/>
  <c r="O437" i="2"/>
  <c r="A472" i="2" s="1"/>
  <c r="I30" i="36"/>
  <c r="S431" i="2"/>
  <c r="R431" i="2"/>
  <c r="R430" i="2"/>
  <c r="R429" i="2"/>
  <c r="S428" i="2"/>
  <c r="R428" i="2"/>
  <c r="N412" i="2"/>
  <c r="K412" i="2"/>
  <c r="J412" i="2"/>
  <c r="I412" i="2"/>
  <c r="N411" i="2"/>
  <c r="K411" i="2"/>
  <c r="J411" i="2"/>
  <c r="I411" i="2"/>
  <c r="H411" i="2"/>
  <c r="F410" i="2"/>
  <c r="P406" i="2"/>
  <c r="O406" i="2"/>
  <c r="P405" i="2"/>
  <c r="O405" i="2"/>
  <c r="I405" i="2"/>
  <c r="H405" i="2"/>
  <c r="G405" i="2"/>
  <c r="O404" i="2"/>
  <c r="Q402" i="2" s="1"/>
  <c r="R410" i="2" s="1"/>
  <c r="B401" i="2"/>
  <c r="B400" i="2"/>
  <c r="B399" i="2"/>
  <c r="A398" i="2"/>
  <c r="M392" i="2"/>
  <c r="P390" i="2" s="1"/>
  <c r="O389" i="2"/>
  <c r="A424" i="2" s="1"/>
  <c r="I29" i="36"/>
  <c r="S383" i="2"/>
  <c r="R383" i="2"/>
  <c r="R382" i="2"/>
  <c r="R381" i="2"/>
  <c r="S380" i="2"/>
  <c r="R380" i="2"/>
  <c r="N364" i="2"/>
  <c r="K364" i="2"/>
  <c r="J364" i="2"/>
  <c r="I364" i="2"/>
  <c r="N363" i="2"/>
  <c r="K363" i="2"/>
  <c r="J363" i="2"/>
  <c r="I363" i="2"/>
  <c r="H363" i="2"/>
  <c r="F362" i="2"/>
  <c r="P358" i="2"/>
  <c r="O358" i="2"/>
  <c r="P357" i="2"/>
  <c r="O357" i="2"/>
  <c r="I357" i="2"/>
  <c r="H357" i="2"/>
  <c r="G357" i="2"/>
  <c r="O356" i="2"/>
  <c r="Q354" i="2" s="1"/>
  <c r="R362" i="2" s="1"/>
  <c r="B353" i="2"/>
  <c r="B352" i="2"/>
  <c r="B351" i="2"/>
  <c r="A350" i="2"/>
  <c r="M344" i="2"/>
  <c r="P342" i="2" s="1"/>
  <c r="O341" i="2"/>
  <c r="A376" i="2" s="1"/>
  <c r="I28" i="36"/>
  <c r="S335" i="2"/>
  <c r="R335" i="2"/>
  <c r="R334" i="2"/>
  <c r="R333" i="2"/>
  <c r="S332" i="2"/>
  <c r="R332" i="2"/>
  <c r="N316" i="2"/>
  <c r="K316" i="2"/>
  <c r="J316" i="2"/>
  <c r="I316" i="2"/>
  <c r="N315" i="2"/>
  <c r="K315" i="2"/>
  <c r="J315" i="2"/>
  <c r="I315" i="2"/>
  <c r="H315" i="2"/>
  <c r="F314" i="2"/>
  <c r="P310" i="2"/>
  <c r="O310" i="2"/>
  <c r="P309" i="2"/>
  <c r="O309" i="2"/>
  <c r="I309" i="2"/>
  <c r="H309" i="2"/>
  <c r="G309" i="2"/>
  <c r="O308" i="2"/>
  <c r="Q306" i="2" s="1"/>
  <c r="R314" i="2" s="1"/>
  <c r="B305" i="2"/>
  <c r="B304" i="2"/>
  <c r="B303" i="2"/>
  <c r="A302" i="2"/>
  <c r="M296" i="2"/>
  <c r="P294" i="2" s="1"/>
  <c r="O293" i="2"/>
  <c r="A328" i="2" s="1"/>
  <c r="I27" i="36"/>
  <c r="S287" i="2"/>
  <c r="R287" i="2"/>
  <c r="R286" i="2"/>
  <c r="R285" i="2"/>
  <c r="S284" i="2"/>
  <c r="R284" i="2"/>
  <c r="N268" i="2"/>
  <c r="K268" i="2"/>
  <c r="J268" i="2"/>
  <c r="I268" i="2"/>
  <c r="N267" i="2"/>
  <c r="K267" i="2"/>
  <c r="J267" i="2"/>
  <c r="I267" i="2"/>
  <c r="H267" i="2"/>
  <c r="F266" i="2"/>
  <c r="P262" i="2"/>
  <c r="O262" i="2"/>
  <c r="P261" i="2"/>
  <c r="O261" i="2"/>
  <c r="I261" i="2"/>
  <c r="H261" i="2"/>
  <c r="G261" i="2"/>
  <c r="O260" i="2"/>
  <c r="Q258" i="2" s="1"/>
  <c r="R266" i="2" s="1"/>
  <c r="B257" i="2"/>
  <c r="B256" i="2"/>
  <c r="B255" i="2"/>
  <c r="A254" i="2"/>
  <c r="M248" i="2"/>
  <c r="P246" i="2" s="1"/>
  <c r="O245" i="2"/>
  <c r="A280" i="2" s="1"/>
  <c r="I26" i="36"/>
  <c r="S239" i="2"/>
  <c r="R239" i="2"/>
  <c r="R238" i="2"/>
  <c r="R237" i="2"/>
  <c r="S236" i="2"/>
  <c r="R236" i="2"/>
  <c r="N220" i="2"/>
  <c r="K220" i="2"/>
  <c r="J220" i="2"/>
  <c r="I220" i="2"/>
  <c r="N219" i="2"/>
  <c r="K219" i="2"/>
  <c r="J219" i="2"/>
  <c r="I219" i="2"/>
  <c r="H219" i="2"/>
  <c r="F218" i="2"/>
  <c r="P214" i="2"/>
  <c r="O214" i="2"/>
  <c r="P213" i="2"/>
  <c r="O213" i="2"/>
  <c r="I213" i="2"/>
  <c r="H213" i="2"/>
  <c r="G213" i="2"/>
  <c r="O212" i="2"/>
  <c r="Q210" i="2" s="1"/>
  <c r="R218" i="2" s="1"/>
  <c r="B209" i="2"/>
  <c r="B208" i="2"/>
  <c r="B207" i="2"/>
  <c r="A206" i="2"/>
  <c r="M200" i="2"/>
  <c r="P198" i="2" s="1"/>
  <c r="O197" i="2"/>
  <c r="A232" i="2" s="1"/>
  <c r="S191" i="2"/>
  <c r="R191" i="2"/>
  <c r="R190" i="2"/>
  <c r="R189" i="2"/>
  <c r="S188" i="2"/>
  <c r="R188" i="2"/>
  <c r="S143" i="2"/>
  <c r="R143" i="2"/>
  <c r="R142" i="2"/>
  <c r="R141" i="2"/>
  <c r="S140" i="2"/>
  <c r="R140" i="2"/>
  <c r="S95" i="2"/>
  <c r="R95" i="2"/>
  <c r="R94" i="2"/>
  <c r="R93" i="2"/>
  <c r="S92" i="2"/>
  <c r="R92" i="2"/>
  <c r="S47" i="2"/>
  <c r="R47" i="2"/>
  <c r="R46" i="2"/>
  <c r="R45" i="2"/>
  <c r="S44" i="2"/>
  <c r="B159" i="2"/>
  <c r="I25" i="36"/>
  <c r="A158" i="2"/>
  <c r="A110" i="2"/>
  <c r="A62" i="2"/>
  <c r="A14" i="2"/>
  <c r="N172" i="2"/>
  <c r="K172" i="2"/>
  <c r="J172" i="2"/>
  <c r="I172" i="2"/>
  <c r="N171" i="2"/>
  <c r="K171" i="2"/>
  <c r="J171" i="2"/>
  <c r="I171" i="2"/>
  <c r="H171" i="2"/>
  <c r="F170" i="2"/>
  <c r="P166" i="2"/>
  <c r="O166" i="2"/>
  <c r="P165" i="2"/>
  <c r="O165" i="2"/>
  <c r="H165" i="2"/>
  <c r="I165" i="2" s="1"/>
  <c r="G165" i="2"/>
  <c r="O164" i="2"/>
  <c r="Q162" i="2" s="1"/>
  <c r="R170" i="2" s="1"/>
  <c r="B161" i="2"/>
  <c r="B160" i="2"/>
  <c r="O149" i="2"/>
  <c r="A184" i="2" s="1"/>
  <c r="D25" i="36"/>
  <c r="D17" i="36"/>
  <c r="N124" i="2"/>
  <c r="K124" i="2"/>
  <c r="J124" i="2"/>
  <c r="I124" i="2"/>
  <c r="N123" i="2"/>
  <c r="K123" i="2"/>
  <c r="J123" i="2"/>
  <c r="I123" i="2"/>
  <c r="H123" i="2"/>
  <c r="F122" i="2"/>
  <c r="P118" i="2"/>
  <c r="O118" i="2"/>
  <c r="P117" i="2"/>
  <c r="O117" i="2"/>
  <c r="I117" i="2"/>
  <c r="H117" i="2"/>
  <c r="G117" i="2"/>
  <c r="O116" i="2"/>
  <c r="Q114" i="2" s="1"/>
  <c r="R122" i="2" s="1"/>
  <c r="M114" i="2"/>
  <c r="L114" i="2"/>
  <c r="K114" i="2"/>
  <c r="J114" i="2"/>
  <c r="M113" i="2"/>
  <c r="L113" i="2"/>
  <c r="K113" i="2"/>
  <c r="J113" i="2"/>
  <c r="F113" i="2"/>
  <c r="E113" i="2"/>
  <c r="D113" i="2"/>
  <c r="B113" i="2"/>
  <c r="M112" i="2"/>
  <c r="L112" i="2"/>
  <c r="K112" i="2"/>
  <c r="J112" i="2"/>
  <c r="F112" i="2"/>
  <c r="E112" i="2"/>
  <c r="D112" i="2"/>
  <c r="B112" i="2"/>
  <c r="M111" i="2"/>
  <c r="L111" i="2"/>
  <c r="K111" i="2"/>
  <c r="J111" i="2"/>
  <c r="F111" i="2"/>
  <c r="E111" i="2"/>
  <c r="D111" i="2"/>
  <c r="M110" i="2"/>
  <c r="L110" i="2"/>
  <c r="K110" i="2"/>
  <c r="J110" i="2"/>
  <c r="F110" i="2"/>
  <c r="E110" i="2"/>
  <c r="D110" i="2"/>
  <c r="H107" i="2"/>
  <c r="D107" i="2"/>
  <c r="D106" i="2"/>
  <c r="D105" i="2"/>
  <c r="D104" i="2"/>
  <c r="M103" i="2"/>
  <c r="M104" i="2" s="1"/>
  <c r="G24" i="36" s="1"/>
  <c r="D103" i="2"/>
  <c r="M102" i="2"/>
  <c r="I24" i="36" s="1"/>
  <c r="O101" i="2"/>
  <c r="A136" i="2" s="1"/>
  <c r="O113" i="2" s="1"/>
  <c r="N76" i="2"/>
  <c r="K76" i="2"/>
  <c r="J76" i="2"/>
  <c r="I76" i="2"/>
  <c r="N75" i="2"/>
  <c r="K75" i="2"/>
  <c r="J75" i="2"/>
  <c r="I75" i="2"/>
  <c r="H75" i="2"/>
  <c r="F74" i="2"/>
  <c r="P70" i="2"/>
  <c r="O70" i="2"/>
  <c r="P69" i="2"/>
  <c r="O69" i="2"/>
  <c r="I69" i="2"/>
  <c r="H69" i="2"/>
  <c r="G69" i="2"/>
  <c r="O68" i="2"/>
  <c r="Q66" i="2" s="1"/>
  <c r="R74" i="2" s="1"/>
  <c r="M66" i="2"/>
  <c r="L66" i="2"/>
  <c r="K66" i="2"/>
  <c r="M65" i="2"/>
  <c r="L65" i="2"/>
  <c r="K65" i="2"/>
  <c r="J65" i="2"/>
  <c r="F65" i="2"/>
  <c r="E65" i="2"/>
  <c r="D65" i="2"/>
  <c r="B65" i="2"/>
  <c r="M64" i="2"/>
  <c r="L64" i="2"/>
  <c r="K64" i="2"/>
  <c r="J64" i="2"/>
  <c r="F64" i="2"/>
  <c r="E64" i="2"/>
  <c r="D64" i="2"/>
  <c r="M63" i="2"/>
  <c r="L63" i="2"/>
  <c r="K63" i="2"/>
  <c r="J63" i="2"/>
  <c r="F63" i="2"/>
  <c r="E63" i="2"/>
  <c r="D63" i="2"/>
  <c r="M62" i="2"/>
  <c r="L62" i="2"/>
  <c r="K62" i="2"/>
  <c r="J62" i="2"/>
  <c r="F62" i="2"/>
  <c r="E62" i="2"/>
  <c r="D62" i="2"/>
  <c r="H59" i="2"/>
  <c r="D59" i="2"/>
  <c r="E23" i="36" s="1"/>
  <c r="D58" i="2"/>
  <c r="D57" i="2"/>
  <c r="F23" i="36" s="1"/>
  <c r="D56" i="2"/>
  <c r="H23" i="36" s="1"/>
  <c r="M55" i="2"/>
  <c r="M56" i="2" s="1"/>
  <c r="D55" i="2"/>
  <c r="B23" i="36" s="1"/>
  <c r="M54" i="2"/>
  <c r="I23" i="36" s="1"/>
  <c r="O53" i="2"/>
  <c r="A88" i="2" s="1"/>
  <c r="N28" i="2"/>
  <c r="K28" i="2"/>
  <c r="J28" i="2"/>
  <c r="I28" i="2"/>
  <c r="P118" i="1"/>
  <c r="P117" i="1"/>
  <c r="P70" i="1"/>
  <c r="P69" i="1"/>
  <c r="P22" i="2"/>
  <c r="P21" i="2"/>
  <c r="O22" i="2"/>
  <c r="O21" i="2"/>
  <c r="R24" i="1"/>
  <c r="R23" i="1"/>
  <c r="R44" i="2"/>
  <c r="D21" i="2"/>
  <c r="D20" i="2"/>
  <c r="A21" i="2"/>
  <c r="A20" i="2"/>
  <c r="B21" i="2"/>
  <c r="B20" i="2"/>
  <c r="B117" i="1"/>
  <c r="B116" i="1"/>
  <c r="B69" i="1"/>
  <c r="B68" i="1"/>
  <c r="K47" i="2"/>
  <c r="K143" i="1"/>
  <c r="K95" i="1"/>
  <c r="N27" i="2"/>
  <c r="K27" i="2"/>
  <c r="J27" i="2"/>
  <c r="I27" i="2"/>
  <c r="H27" i="2"/>
  <c r="N123" i="1"/>
  <c r="K123" i="1"/>
  <c r="J123" i="1"/>
  <c r="I123" i="1"/>
  <c r="H123" i="1"/>
  <c r="N75" i="1"/>
  <c r="K75" i="1"/>
  <c r="J75" i="1"/>
  <c r="I75" i="1"/>
  <c r="H75" i="1"/>
  <c r="F26" i="2"/>
  <c r="H21" i="2"/>
  <c r="I21" i="2" s="1"/>
  <c r="G21" i="2"/>
  <c r="O20" i="2"/>
  <c r="Q22" i="2" s="1"/>
  <c r="J15" i="2"/>
  <c r="K15" i="2"/>
  <c r="L15" i="2"/>
  <c r="M15" i="2"/>
  <c r="I17" i="36"/>
  <c r="H17" i="36"/>
  <c r="F17" i="36"/>
  <c r="E17" i="36"/>
  <c r="B17" i="36"/>
  <c r="S143" i="1"/>
  <c r="R143" i="1"/>
  <c r="R142" i="1"/>
  <c r="R141" i="1"/>
  <c r="I116" i="1" s="1"/>
  <c r="S140" i="1"/>
  <c r="R140" i="1"/>
  <c r="A135" i="1"/>
  <c r="O112" i="1" s="1"/>
  <c r="A132" i="1"/>
  <c r="O109" i="1" s="1"/>
  <c r="A131" i="1"/>
  <c r="C131" i="1" s="1"/>
  <c r="A129" i="1"/>
  <c r="O106" i="1" s="1"/>
  <c r="A128" i="1"/>
  <c r="C128" i="1" s="1"/>
  <c r="A126" i="1"/>
  <c r="C126" i="1" s="1"/>
  <c r="A125" i="1"/>
  <c r="O102" i="1" s="1"/>
  <c r="N124" i="1"/>
  <c r="K124" i="1"/>
  <c r="J124" i="1"/>
  <c r="I124" i="1"/>
  <c r="R122" i="1"/>
  <c r="F122" i="1"/>
  <c r="R120" i="1"/>
  <c r="R119" i="1"/>
  <c r="Q118" i="1"/>
  <c r="O118" i="1"/>
  <c r="O117" i="1"/>
  <c r="H117" i="1"/>
  <c r="I117" i="1" s="1"/>
  <c r="G117" i="1"/>
  <c r="O116" i="1"/>
  <c r="Q114" i="1"/>
  <c r="I113" i="1"/>
  <c r="I112" i="1"/>
  <c r="I111" i="1"/>
  <c r="I110" i="1"/>
  <c r="O108" i="1"/>
  <c r="O105" i="1"/>
  <c r="O103" i="1"/>
  <c r="O101" i="1"/>
  <c r="A136" i="1" s="1"/>
  <c r="R72" i="1"/>
  <c r="R71" i="1"/>
  <c r="I68" i="1"/>
  <c r="I20" i="1"/>
  <c r="B452" i="2" l="1"/>
  <c r="B1268" i="2"/>
  <c r="B692" i="2"/>
  <c r="B116" i="2"/>
  <c r="B1220" i="2"/>
  <c r="B644" i="2"/>
  <c r="B68" i="2"/>
  <c r="B1172" i="2"/>
  <c r="B308" i="2"/>
  <c r="B1652" i="2"/>
  <c r="B1364" i="2"/>
  <c r="B1076" i="2"/>
  <c r="B788" i="2"/>
  <c r="B500" i="2"/>
  <c r="B212" i="2"/>
  <c r="B164" i="2"/>
  <c r="B1556" i="2"/>
  <c r="B980" i="2"/>
  <c r="B404" i="2"/>
  <c r="B932" i="2"/>
  <c r="B356" i="2"/>
  <c r="B1460" i="2"/>
  <c r="B596" i="2"/>
  <c r="B260" i="2"/>
  <c r="B884" i="2"/>
  <c r="B1604" i="2"/>
  <c r="B1316" i="2"/>
  <c r="B1028" i="2"/>
  <c r="B740" i="2"/>
  <c r="B1508" i="2"/>
  <c r="B836" i="2"/>
  <c r="B1412" i="2"/>
  <c r="B1124" i="2"/>
  <c r="B548" i="2"/>
  <c r="B1653" i="2"/>
  <c r="B1365" i="2"/>
  <c r="B1077" i="2"/>
  <c r="B789" i="2"/>
  <c r="B501" i="2"/>
  <c r="B213" i="2"/>
  <c r="B165" i="2"/>
  <c r="B1269" i="2"/>
  <c r="B981" i="2"/>
  <c r="B405" i="2"/>
  <c r="B1509" i="2"/>
  <c r="B645" i="2"/>
  <c r="B69" i="2"/>
  <c r="B1461" i="2"/>
  <c r="B453" i="2"/>
  <c r="B1557" i="2"/>
  <c r="B693" i="2"/>
  <c r="B117" i="2"/>
  <c r="B1221" i="2"/>
  <c r="B933" i="2"/>
  <c r="B357" i="2"/>
  <c r="B597" i="2"/>
  <c r="B309" i="2"/>
  <c r="B1605" i="2"/>
  <c r="B1317" i="2"/>
  <c r="B1029" i="2"/>
  <c r="B741" i="2"/>
  <c r="B885" i="2"/>
  <c r="B1173" i="2"/>
  <c r="B1413" i="2"/>
  <c r="B1125" i="2"/>
  <c r="B837" i="2"/>
  <c r="B549" i="2"/>
  <c r="B261" i="2"/>
  <c r="S317" i="4"/>
  <c r="K335" i="2"/>
  <c r="K911" i="2"/>
  <c r="K1487" i="2"/>
  <c r="K1679" i="2"/>
  <c r="K1151" i="2"/>
  <c r="K1247" i="2"/>
  <c r="K767" i="2"/>
  <c r="K863" i="2"/>
  <c r="K383" i="2"/>
  <c r="K959" i="2"/>
  <c r="K1535" i="2"/>
  <c r="K1631" i="2"/>
  <c r="K527" i="2"/>
  <c r="K1199" i="2"/>
  <c r="K191" i="2"/>
  <c r="K287" i="2"/>
  <c r="K431" i="2"/>
  <c r="K1007" i="2"/>
  <c r="K1583" i="2"/>
  <c r="K1055" i="2"/>
  <c r="K1103" i="2"/>
  <c r="K575" i="2"/>
  <c r="K623" i="2"/>
  <c r="K719" i="2"/>
  <c r="K239" i="2"/>
  <c r="K1439" i="2"/>
  <c r="K479" i="2"/>
  <c r="K1295" i="2"/>
  <c r="K1343" i="2"/>
  <c r="K815" i="2"/>
  <c r="K671" i="2"/>
  <c r="K1391" i="2"/>
  <c r="P822" i="2"/>
  <c r="P823" i="2" s="1"/>
  <c r="P774" i="2"/>
  <c r="P775" i="2" s="1"/>
  <c r="P776" i="2" s="1"/>
  <c r="P777" i="2" s="1"/>
  <c r="P439" i="2"/>
  <c r="R1560" i="2"/>
  <c r="S1565" i="2" s="1"/>
  <c r="R1656" i="2"/>
  <c r="S1661" i="2" s="1"/>
  <c r="R1608" i="2"/>
  <c r="S1613" i="2" s="1"/>
  <c r="R1559" i="2"/>
  <c r="R1565" i="2" s="1"/>
  <c r="R1655" i="2"/>
  <c r="R1661" i="2" s="1"/>
  <c r="R1607" i="2"/>
  <c r="R1613" i="2" s="1"/>
  <c r="Q450" i="2"/>
  <c r="R458" i="2" s="1"/>
  <c r="Q642" i="2"/>
  <c r="R650" i="2" s="1"/>
  <c r="S78" i="4"/>
  <c r="S173" i="4"/>
  <c r="C222" i="4"/>
  <c r="O151" i="19"/>
  <c r="O173" i="19"/>
  <c r="O127" i="19"/>
  <c r="O105" i="19"/>
  <c r="O79" i="19"/>
  <c r="O57" i="19"/>
  <c r="P152" i="5"/>
  <c r="P105" i="5"/>
  <c r="P57" i="5"/>
  <c r="P9" i="5"/>
  <c r="P152" i="20"/>
  <c r="P105" i="20"/>
  <c r="P56" i="20"/>
  <c r="C368" i="4"/>
  <c r="O345" i="4"/>
  <c r="C365" i="4"/>
  <c r="O342" i="4"/>
  <c r="C372" i="4"/>
  <c r="O349" i="4"/>
  <c r="C369" i="4"/>
  <c r="O346" i="4"/>
  <c r="P343" i="4"/>
  <c r="O350" i="4"/>
  <c r="C373" i="4"/>
  <c r="O347" i="4"/>
  <c r="C370" i="4"/>
  <c r="C374" i="4"/>
  <c r="O351" i="4"/>
  <c r="O343" i="4"/>
  <c r="C366" i="4"/>
  <c r="O344" i="4"/>
  <c r="C367" i="4"/>
  <c r="C371" i="4"/>
  <c r="O348" i="4"/>
  <c r="R365" i="4"/>
  <c r="O352" i="4"/>
  <c r="O303" i="4"/>
  <c r="C326" i="4"/>
  <c r="C323" i="4"/>
  <c r="O300" i="4"/>
  <c r="C324" i="4"/>
  <c r="O301" i="4"/>
  <c r="C320" i="4"/>
  <c r="O297" i="4"/>
  <c r="C317" i="4"/>
  <c r="O294" i="4"/>
  <c r="C321" i="4"/>
  <c r="O298" i="4"/>
  <c r="O302" i="4"/>
  <c r="C325" i="4"/>
  <c r="P295" i="4"/>
  <c r="O295" i="4"/>
  <c r="C318" i="4"/>
  <c r="O299" i="4"/>
  <c r="C322" i="4"/>
  <c r="O296" i="4"/>
  <c r="C319" i="4"/>
  <c r="R317" i="4"/>
  <c r="O304" i="4"/>
  <c r="S269" i="4"/>
  <c r="O157" i="4"/>
  <c r="O202" i="4"/>
  <c r="R269" i="4"/>
  <c r="C272" i="4"/>
  <c r="O249" i="4"/>
  <c r="C276" i="4"/>
  <c r="O253" i="4"/>
  <c r="O246" i="4"/>
  <c r="C269" i="4"/>
  <c r="P247" i="4"/>
  <c r="O254" i="4"/>
  <c r="C277" i="4"/>
  <c r="O247" i="4"/>
  <c r="C270" i="4"/>
  <c r="C274" i="4"/>
  <c r="O251" i="4"/>
  <c r="C278" i="4"/>
  <c r="O255" i="4"/>
  <c r="C273" i="4"/>
  <c r="O250" i="4"/>
  <c r="O248" i="4"/>
  <c r="C271" i="4"/>
  <c r="C275" i="4"/>
  <c r="O252" i="4"/>
  <c r="O256" i="4"/>
  <c r="O154" i="4"/>
  <c r="R173" i="4"/>
  <c r="C174" i="4"/>
  <c r="C228" i="4"/>
  <c r="O205" i="4"/>
  <c r="S77" i="4"/>
  <c r="O200" i="4"/>
  <c r="C223" i="4"/>
  <c r="C230" i="4"/>
  <c r="O207" i="4"/>
  <c r="C226" i="4"/>
  <c r="O203" i="4"/>
  <c r="C227" i="4"/>
  <c r="O204" i="4"/>
  <c r="P200" i="4"/>
  <c r="C224" i="4"/>
  <c r="O201" i="4"/>
  <c r="R222" i="4"/>
  <c r="C221" i="4"/>
  <c r="O198" i="4"/>
  <c r="C229" i="4"/>
  <c r="O206" i="4"/>
  <c r="S222" i="4"/>
  <c r="C78" i="4"/>
  <c r="O106" i="4"/>
  <c r="O158" i="4"/>
  <c r="C181" i="4"/>
  <c r="C182" i="4"/>
  <c r="O159" i="4"/>
  <c r="O152" i="4"/>
  <c r="C175" i="4"/>
  <c r="C179" i="4"/>
  <c r="O156" i="4"/>
  <c r="O155" i="4"/>
  <c r="C178" i="4"/>
  <c r="C173" i="4"/>
  <c r="O150" i="4"/>
  <c r="C176" i="4"/>
  <c r="O153" i="4"/>
  <c r="P151" i="4"/>
  <c r="O61" i="4"/>
  <c r="O58" i="4"/>
  <c r="C132" i="4"/>
  <c r="O109" i="4"/>
  <c r="C126" i="4"/>
  <c r="P104" i="4"/>
  <c r="C128" i="4"/>
  <c r="O105" i="4"/>
  <c r="R126" i="4"/>
  <c r="C125" i="4"/>
  <c r="O102" i="4"/>
  <c r="O110" i="4"/>
  <c r="C133" i="4"/>
  <c r="C134" i="4"/>
  <c r="O111" i="4"/>
  <c r="S126" i="4"/>
  <c r="C131" i="4"/>
  <c r="O108" i="4"/>
  <c r="O107" i="4"/>
  <c r="C130" i="4"/>
  <c r="O104" i="4"/>
  <c r="C127" i="4"/>
  <c r="C86" i="4"/>
  <c r="O63" i="4"/>
  <c r="C83" i="4"/>
  <c r="O60" i="4"/>
  <c r="P56" i="4"/>
  <c r="C80" i="4"/>
  <c r="O57" i="4"/>
  <c r="O56" i="4"/>
  <c r="C79" i="4"/>
  <c r="R78" i="4"/>
  <c r="C77" i="4"/>
  <c r="O54" i="4"/>
  <c r="O59" i="4"/>
  <c r="C82" i="4"/>
  <c r="O62" i="4"/>
  <c r="C85" i="4"/>
  <c r="O11" i="4"/>
  <c r="C34" i="4"/>
  <c r="C35" i="4"/>
  <c r="O12" i="4"/>
  <c r="O8" i="4"/>
  <c r="C31" i="4"/>
  <c r="C32" i="4"/>
  <c r="O9" i="4"/>
  <c r="O7" i="4"/>
  <c r="C30" i="4"/>
  <c r="C29" i="4"/>
  <c r="O6" i="4"/>
  <c r="P8" i="4"/>
  <c r="C33" i="4"/>
  <c r="O10" i="4"/>
  <c r="O16" i="4"/>
  <c r="O14" i="4"/>
  <c r="C37" i="4"/>
  <c r="C38" i="4"/>
  <c r="O15" i="4"/>
  <c r="C36" i="4"/>
  <c r="O13" i="4"/>
  <c r="S30" i="4"/>
  <c r="O1643" i="2"/>
  <c r="C1666" i="2"/>
  <c r="C1667" i="2"/>
  <c r="O1644" i="2"/>
  <c r="C1670" i="2"/>
  <c r="O1647" i="2"/>
  <c r="P1640" i="2"/>
  <c r="C1664" i="2"/>
  <c r="O1641" i="2"/>
  <c r="C1661" i="2"/>
  <c r="O1638" i="2"/>
  <c r="O1640" i="2"/>
  <c r="C1663" i="2"/>
  <c r="O1646" i="2"/>
  <c r="C1669" i="2"/>
  <c r="O1595" i="2"/>
  <c r="C1618" i="2"/>
  <c r="C1619" i="2"/>
  <c r="O1596" i="2"/>
  <c r="C1620" i="2"/>
  <c r="O1597" i="2"/>
  <c r="O1592" i="2"/>
  <c r="C1615" i="2"/>
  <c r="C1616" i="2"/>
  <c r="O1593" i="2"/>
  <c r="C1613" i="2"/>
  <c r="O1590" i="2"/>
  <c r="C1617" i="2"/>
  <c r="O1594" i="2"/>
  <c r="O1591" i="2"/>
  <c r="C1614" i="2"/>
  <c r="P1591" i="2"/>
  <c r="O1598" i="2"/>
  <c r="C1621" i="2"/>
  <c r="C1622" i="2"/>
  <c r="O1599" i="2"/>
  <c r="O1600" i="2"/>
  <c r="C1524" i="2"/>
  <c r="C1521" i="2"/>
  <c r="C1518" i="2"/>
  <c r="P1544" i="2"/>
  <c r="O1550" i="2"/>
  <c r="C1573" i="2"/>
  <c r="O1552" i="2"/>
  <c r="O1553" i="2"/>
  <c r="C1565" i="2"/>
  <c r="O1542" i="2"/>
  <c r="C1572" i="2"/>
  <c r="O1549" i="2"/>
  <c r="C1569" i="2"/>
  <c r="O1546" i="2"/>
  <c r="C1566" i="2"/>
  <c r="O1543" i="2"/>
  <c r="O1544" i="2"/>
  <c r="C1567" i="2"/>
  <c r="O1547" i="2"/>
  <c r="C1570" i="2"/>
  <c r="C1574" i="2"/>
  <c r="O1551" i="2"/>
  <c r="C1571" i="2"/>
  <c r="O1548" i="2"/>
  <c r="R1463" i="2"/>
  <c r="R1469" i="2" s="1"/>
  <c r="R1511" i="2"/>
  <c r="R1517" i="2" s="1"/>
  <c r="R1464" i="2"/>
  <c r="S1469" i="2" s="1"/>
  <c r="R1512" i="2"/>
  <c r="S1517" i="2" s="1"/>
  <c r="C1374" i="2"/>
  <c r="O1494" i="2"/>
  <c r="C1517" i="2"/>
  <c r="C1526" i="2"/>
  <c r="O1503" i="2"/>
  <c r="P1496" i="2"/>
  <c r="C1523" i="2"/>
  <c r="O1500" i="2"/>
  <c r="O1496" i="2"/>
  <c r="C1519" i="2"/>
  <c r="O1502" i="2"/>
  <c r="C1525" i="2"/>
  <c r="C1520" i="2"/>
  <c r="O1497" i="2"/>
  <c r="O1499" i="2"/>
  <c r="C1522" i="2"/>
  <c r="C1473" i="2"/>
  <c r="O1450" i="2"/>
  <c r="C1470" i="2"/>
  <c r="O1447" i="2"/>
  <c r="P1448" i="2"/>
  <c r="C1472" i="2"/>
  <c r="O1449" i="2"/>
  <c r="O1446" i="2"/>
  <c r="C1469" i="2"/>
  <c r="C1478" i="2"/>
  <c r="O1455" i="2"/>
  <c r="O1454" i="2"/>
  <c r="C1477" i="2"/>
  <c r="O1453" i="2"/>
  <c r="C1476" i="2"/>
  <c r="O1448" i="2"/>
  <c r="C1471" i="2"/>
  <c r="C1475" i="2"/>
  <c r="O1452" i="2"/>
  <c r="C1474" i="2"/>
  <c r="O1451" i="2"/>
  <c r="O1456" i="2"/>
  <c r="O1357" i="2"/>
  <c r="R1368" i="2"/>
  <c r="S1373" i="2" s="1"/>
  <c r="R1416" i="2"/>
  <c r="S1421" i="2" s="1"/>
  <c r="R1367" i="2"/>
  <c r="R1374" i="2" s="1"/>
  <c r="R1415" i="2"/>
  <c r="R1421" i="2" s="1"/>
  <c r="O1309" i="2"/>
  <c r="C1425" i="2"/>
  <c r="O1402" i="2"/>
  <c r="O1406" i="2"/>
  <c r="C1429" i="2"/>
  <c r="O1399" i="2"/>
  <c r="C1422" i="2"/>
  <c r="C1421" i="2"/>
  <c r="O1398" i="2"/>
  <c r="O1400" i="2"/>
  <c r="C1423" i="2"/>
  <c r="O1407" i="2"/>
  <c r="C1430" i="2"/>
  <c r="P1400" i="2"/>
  <c r="C1427" i="2"/>
  <c r="O1404" i="2"/>
  <c r="O1405" i="2"/>
  <c r="C1428" i="2"/>
  <c r="O1408" i="2"/>
  <c r="O1403" i="2"/>
  <c r="C1426" i="2"/>
  <c r="C1424" i="2"/>
  <c r="O1401" i="2"/>
  <c r="O1354" i="2"/>
  <c r="C1326" i="2"/>
  <c r="O1212" i="2"/>
  <c r="O1359" i="2"/>
  <c r="C1382" i="2"/>
  <c r="O1352" i="2"/>
  <c r="C1375" i="2"/>
  <c r="C1379" i="2"/>
  <c r="O1356" i="2"/>
  <c r="C1376" i="2"/>
  <c r="O1353" i="2"/>
  <c r="O1355" i="2"/>
  <c r="C1378" i="2"/>
  <c r="P1352" i="2"/>
  <c r="C1373" i="2"/>
  <c r="O1350" i="2"/>
  <c r="O1358" i="2"/>
  <c r="C1381" i="2"/>
  <c r="O1306" i="2"/>
  <c r="O1209" i="2"/>
  <c r="R1271" i="2"/>
  <c r="R1278" i="2" s="1"/>
  <c r="R1319" i="2"/>
  <c r="R1325" i="2" s="1"/>
  <c r="R1272" i="2"/>
  <c r="S1277" i="2" s="1"/>
  <c r="R1320" i="2"/>
  <c r="O1307" i="2"/>
  <c r="C1330" i="2"/>
  <c r="C1331" i="2"/>
  <c r="O1308" i="2"/>
  <c r="O1304" i="2"/>
  <c r="C1327" i="2"/>
  <c r="C1325" i="2"/>
  <c r="O1302" i="2"/>
  <c r="O1313" i="2"/>
  <c r="P1304" i="2"/>
  <c r="O1310" i="2"/>
  <c r="C1333" i="2"/>
  <c r="O1311" i="2"/>
  <c r="C1334" i="2"/>
  <c r="O1206" i="2"/>
  <c r="C1238" i="2"/>
  <c r="I1028" i="2"/>
  <c r="C1182" i="2"/>
  <c r="C1284" i="2"/>
  <c r="O1261" i="2"/>
  <c r="O1262" i="2"/>
  <c r="C1285" i="2"/>
  <c r="C1281" i="2"/>
  <c r="O1258" i="2"/>
  <c r="O1255" i="2"/>
  <c r="C1278" i="2"/>
  <c r="O1259" i="2"/>
  <c r="C1282" i="2"/>
  <c r="O1256" i="2"/>
  <c r="C1279" i="2"/>
  <c r="C1286" i="2"/>
  <c r="O1263" i="2"/>
  <c r="C1283" i="2"/>
  <c r="O1260" i="2"/>
  <c r="C1277" i="2"/>
  <c r="O1254" i="2"/>
  <c r="O1264" i="2"/>
  <c r="P1256" i="2"/>
  <c r="C1280" i="2"/>
  <c r="O1257" i="2"/>
  <c r="O1162" i="2"/>
  <c r="R1175" i="2"/>
  <c r="R1181" i="2" s="1"/>
  <c r="R1223" i="2"/>
  <c r="R1229" i="2" s="1"/>
  <c r="R1176" i="2"/>
  <c r="S1181" i="2" s="1"/>
  <c r="R1224" i="2"/>
  <c r="S1229" i="2" s="1"/>
  <c r="C1233" i="2"/>
  <c r="O1210" i="2"/>
  <c r="O1211" i="2"/>
  <c r="C1234" i="2"/>
  <c r="O1208" i="2"/>
  <c r="C1231" i="2"/>
  <c r="O1207" i="2"/>
  <c r="C1230" i="2"/>
  <c r="O1216" i="2"/>
  <c r="O1214" i="2"/>
  <c r="C1237" i="2"/>
  <c r="P1208" i="2"/>
  <c r="C1236" i="2"/>
  <c r="O1213" i="2"/>
  <c r="O1117" i="2"/>
  <c r="I1076" i="2"/>
  <c r="O1114" i="2"/>
  <c r="C1134" i="2"/>
  <c r="C1188" i="2"/>
  <c r="O1165" i="2"/>
  <c r="C1190" i="2"/>
  <c r="O1167" i="2"/>
  <c r="C1187" i="2"/>
  <c r="O1164" i="2"/>
  <c r="O1160" i="2"/>
  <c r="C1183" i="2"/>
  <c r="C1184" i="2"/>
  <c r="O1161" i="2"/>
  <c r="P1160" i="2"/>
  <c r="O1166" i="2"/>
  <c r="C1189" i="2"/>
  <c r="C1181" i="2"/>
  <c r="O1158" i="2"/>
  <c r="O1163" i="2"/>
  <c r="C1186" i="2"/>
  <c r="R71" i="2"/>
  <c r="R1127" i="2"/>
  <c r="R1133" i="2" s="1"/>
  <c r="R72" i="2"/>
  <c r="R1128" i="2"/>
  <c r="S1133" i="2" s="1"/>
  <c r="I1071" i="2"/>
  <c r="I1072" i="2"/>
  <c r="O1116" i="2"/>
  <c r="C1139" i="2"/>
  <c r="P1112" i="2"/>
  <c r="O1113" i="2"/>
  <c r="C1136" i="2"/>
  <c r="C1135" i="2"/>
  <c r="O1112" i="2"/>
  <c r="C1133" i="2"/>
  <c r="O1110" i="2"/>
  <c r="O1118" i="2"/>
  <c r="C1141" i="2"/>
  <c r="O1119" i="2"/>
  <c r="C1142" i="2"/>
  <c r="O1115" i="2"/>
  <c r="C1138" i="2"/>
  <c r="I1023" i="2"/>
  <c r="I980" i="2"/>
  <c r="I1070" i="2"/>
  <c r="I1022" i="2"/>
  <c r="I1073" i="2"/>
  <c r="I1024" i="2"/>
  <c r="R1079" i="2"/>
  <c r="R1085" i="2" s="1"/>
  <c r="R1080" i="2"/>
  <c r="S1085" i="2" s="1"/>
  <c r="O1073" i="2"/>
  <c r="Q1078" i="2"/>
  <c r="A1086" i="2"/>
  <c r="A1089" i="2"/>
  <c r="A1092" i="2"/>
  <c r="A1095" i="2"/>
  <c r="A1085" i="2"/>
  <c r="A1088" i="2"/>
  <c r="A1091" i="2"/>
  <c r="A1094" i="2"/>
  <c r="P1063" i="2"/>
  <c r="A1087" i="2"/>
  <c r="A1090" i="2"/>
  <c r="A1093" i="2"/>
  <c r="I1025" i="2"/>
  <c r="R1031" i="2"/>
  <c r="R1032" i="2"/>
  <c r="I974" i="2"/>
  <c r="O1025" i="2"/>
  <c r="Q1030" i="2"/>
  <c r="A1038" i="2"/>
  <c r="A1041" i="2"/>
  <c r="A1044" i="2"/>
  <c r="A1047" i="2"/>
  <c r="P1014" i="2"/>
  <c r="A1037" i="2"/>
  <c r="A1040" i="2"/>
  <c r="A1043" i="2"/>
  <c r="A1046" i="2"/>
  <c r="A1039" i="2"/>
  <c r="A1042" i="2"/>
  <c r="A1045" i="2"/>
  <c r="I927" i="2"/>
  <c r="I975" i="2"/>
  <c r="I977" i="2"/>
  <c r="I976" i="2"/>
  <c r="R983" i="2"/>
  <c r="R989" i="2" s="1"/>
  <c r="A990" i="2"/>
  <c r="C990" i="2" s="1"/>
  <c r="R984" i="2"/>
  <c r="S989" i="2" s="1"/>
  <c r="A993" i="2"/>
  <c r="I788" i="2"/>
  <c r="I836" i="2"/>
  <c r="I740" i="2"/>
  <c r="O977" i="2"/>
  <c r="A996" i="2"/>
  <c r="A999" i="2"/>
  <c r="A989" i="2"/>
  <c r="A992" i="2"/>
  <c r="A995" i="2"/>
  <c r="A998" i="2"/>
  <c r="P967" i="2"/>
  <c r="Q978" i="2"/>
  <c r="R986" i="2" s="1"/>
  <c r="A991" i="2"/>
  <c r="A994" i="2"/>
  <c r="A997" i="2"/>
  <c r="I932" i="2"/>
  <c r="I926" i="2"/>
  <c r="I929" i="2"/>
  <c r="I928" i="2"/>
  <c r="R935" i="2"/>
  <c r="R941" i="2" s="1"/>
  <c r="R936" i="2"/>
  <c r="S941" i="2" s="1"/>
  <c r="I878" i="2"/>
  <c r="O929" i="2"/>
  <c r="Q934" i="2"/>
  <c r="A942" i="2"/>
  <c r="A945" i="2"/>
  <c r="A948" i="2"/>
  <c r="A951" i="2"/>
  <c r="A941" i="2"/>
  <c r="A944" i="2"/>
  <c r="A947" i="2"/>
  <c r="A950" i="2"/>
  <c r="P919" i="2"/>
  <c r="A943" i="2"/>
  <c r="A946" i="2"/>
  <c r="A949" i="2"/>
  <c r="I880" i="2"/>
  <c r="I879" i="2"/>
  <c r="A894" i="2"/>
  <c r="O871" i="2" s="1"/>
  <c r="R887" i="2"/>
  <c r="A897" i="2"/>
  <c r="C897" i="2" s="1"/>
  <c r="R888" i="2"/>
  <c r="S893" i="2" s="1"/>
  <c r="A900" i="2"/>
  <c r="A903" i="2"/>
  <c r="O880" i="2" s="1"/>
  <c r="I881" i="2"/>
  <c r="I884" i="2"/>
  <c r="O881" i="2"/>
  <c r="Q886" i="2"/>
  <c r="P870" i="2"/>
  <c r="A893" i="2"/>
  <c r="A896" i="2"/>
  <c r="A899" i="2"/>
  <c r="A902" i="2"/>
  <c r="A895" i="2"/>
  <c r="A898" i="2"/>
  <c r="A901" i="2"/>
  <c r="I831" i="2"/>
  <c r="I830" i="2"/>
  <c r="A846" i="2"/>
  <c r="O823" i="2" s="1"/>
  <c r="A849" i="2"/>
  <c r="C849" i="2" s="1"/>
  <c r="I832" i="2"/>
  <c r="R839" i="2"/>
  <c r="R845" i="2" s="1"/>
  <c r="R840" i="2"/>
  <c r="S845" i="2" s="1"/>
  <c r="A852" i="2"/>
  <c r="C852" i="2" s="1"/>
  <c r="A855" i="2"/>
  <c r="O832" i="2" s="1"/>
  <c r="I833" i="2"/>
  <c r="O833" i="2"/>
  <c r="Q838" i="2"/>
  <c r="A845" i="2"/>
  <c r="A848" i="2"/>
  <c r="A851" i="2"/>
  <c r="A854" i="2"/>
  <c r="A847" i="2"/>
  <c r="A850" i="2"/>
  <c r="A853" i="2"/>
  <c r="I783" i="2"/>
  <c r="I782" i="2"/>
  <c r="I692" i="2"/>
  <c r="I785" i="2"/>
  <c r="I734" i="2"/>
  <c r="I784" i="2"/>
  <c r="R791" i="2"/>
  <c r="R799" i="2" s="1"/>
  <c r="R792" i="2"/>
  <c r="S798" i="2" s="1"/>
  <c r="O785" i="2"/>
  <c r="Q790" i="2"/>
  <c r="A798" i="2"/>
  <c r="A801" i="2"/>
  <c r="A804" i="2"/>
  <c r="A807" i="2"/>
  <c r="A797" i="2"/>
  <c r="A800" i="2"/>
  <c r="A803" i="2"/>
  <c r="A806" i="2"/>
  <c r="A799" i="2"/>
  <c r="A802" i="2"/>
  <c r="A805" i="2"/>
  <c r="I687" i="2"/>
  <c r="I686" i="2"/>
  <c r="A753" i="2"/>
  <c r="C753" i="2" s="1"/>
  <c r="I736" i="2"/>
  <c r="A756" i="2"/>
  <c r="C756" i="2" s="1"/>
  <c r="A750" i="2"/>
  <c r="O727" i="2" s="1"/>
  <c r="I735" i="2"/>
  <c r="R743" i="2"/>
  <c r="R749" i="2" s="1"/>
  <c r="R744" i="2"/>
  <c r="S749" i="2" s="1"/>
  <c r="A759" i="2"/>
  <c r="O736" i="2" s="1"/>
  <c r="I737" i="2"/>
  <c r="O737" i="2"/>
  <c r="A749" i="2"/>
  <c r="A752" i="2"/>
  <c r="A755" i="2"/>
  <c r="A758" i="2"/>
  <c r="Q742" i="2"/>
  <c r="P727" i="2"/>
  <c r="A751" i="2"/>
  <c r="A754" i="2"/>
  <c r="A757" i="2"/>
  <c r="A702" i="2"/>
  <c r="O679" i="2" s="1"/>
  <c r="I596" i="2"/>
  <c r="A705" i="2"/>
  <c r="O682" i="2" s="1"/>
  <c r="I638" i="2"/>
  <c r="I688" i="2"/>
  <c r="R695" i="2"/>
  <c r="R701" i="2" s="1"/>
  <c r="I639" i="2"/>
  <c r="R696" i="2"/>
  <c r="S701" i="2" s="1"/>
  <c r="A708" i="2"/>
  <c r="A711" i="2"/>
  <c r="O688" i="2" s="1"/>
  <c r="I644" i="2"/>
  <c r="I689" i="2"/>
  <c r="O689" i="2"/>
  <c r="Q694" i="2"/>
  <c r="A701" i="2"/>
  <c r="A704" i="2"/>
  <c r="A707" i="2"/>
  <c r="A710" i="2"/>
  <c r="P679" i="2"/>
  <c r="A703" i="2"/>
  <c r="A706" i="2"/>
  <c r="A709" i="2"/>
  <c r="I640" i="2"/>
  <c r="I591" i="2"/>
  <c r="A606" i="2"/>
  <c r="O583" i="2" s="1"/>
  <c r="I641" i="2"/>
  <c r="R647" i="2"/>
  <c r="R653" i="2" s="1"/>
  <c r="R648" i="2"/>
  <c r="S654" i="2" s="1"/>
  <c r="O641" i="2"/>
  <c r="P633" i="2"/>
  <c r="A654" i="2"/>
  <c r="A657" i="2"/>
  <c r="A660" i="2"/>
  <c r="A663" i="2"/>
  <c r="A653" i="2"/>
  <c r="A656" i="2"/>
  <c r="A659" i="2"/>
  <c r="A662" i="2"/>
  <c r="A655" i="2"/>
  <c r="A658" i="2"/>
  <c r="A661" i="2"/>
  <c r="A612" i="2"/>
  <c r="A609" i="2"/>
  <c r="C609" i="2" s="1"/>
  <c r="I548" i="2"/>
  <c r="I592" i="2"/>
  <c r="R599" i="2"/>
  <c r="A564" i="2"/>
  <c r="C564" i="2" s="1"/>
  <c r="R600" i="2"/>
  <c r="A565" i="2"/>
  <c r="C565" i="2" s="1"/>
  <c r="A567" i="2"/>
  <c r="O544" i="2" s="1"/>
  <c r="I590" i="2"/>
  <c r="A615" i="2"/>
  <c r="O592" i="2" s="1"/>
  <c r="I496" i="2"/>
  <c r="A568" i="2"/>
  <c r="O545" i="2" s="1"/>
  <c r="I593" i="2"/>
  <c r="I542" i="2"/>
  <c r="O593" i="2"/>
  <c r="P582" i="2"/>
  <c r="A605" i="2"/>
  <c r="A608" i="2"/>
  <c r="A611" i="2"/>
  <c r="A614" i="2"/>
  <c r="Q598" i="2"/>
  <c r="A607" i="2"/>
  <c r="A610" i="2"/>
  <c r="A613" i="2"/>
  <c r="I543" i="2"/>
  <c r="A559" i="2"/>
  <c r="C559" i="2" s="1"/>
  <c r="R552" i="2"/>
  <c r="A561" i="2"/>
  <c r="C561" i="2" s="1"/>
  <c r="A562" i="2"/>
  <c r="C562" i="2" s="1"/>
  <c r="I545" i="2"/>
  <c r="I500" i="2"/>
  <c r="I544" i="2"/>
  <c r="R551" i="2"/>
  <c r="R557" i="2" s="1"/>
  <c r="A558" i="2"/>
  <c r="P536" i="2"/>
  <c r="P537" i="2" s="1"/>
  <c r="C566" i="2"/>
  <c r="O543" i="2"/>
  <c r="Q550" i="2"/>
  <c r="A557" i="2"/>
  <c r="A560" i="2"/>
  <c r="A563" i="2"/>
  <c r="I494" i="2"/>
  <c r="I452" i="2"/>
  <c r="I495" i="2"/>
  <c r="I446" i="2"/>
  <c r="I447" i="2"/>
  <c r="R503" i="2"/>
  <c r="I497" i="2"/>
  <c r="I448" i="2"/>
  <c r="R456" i="2"/>
  <c r="R455" i="2"/>
  <c r="R461" i="2" s="1"/>
  <c r="R504" i="2"/>
  <c r="I449" i="2"/>
  <c r="O497" i="2"/>
  <c r="Q502" i="2"/>
  <c r="A510" i="2"/>
  <c r="A513" i="2"/>
  <c r="A516" i="2"/>
  <c r="A519" i="2"/>
  <c r="P486" i="2"/>
  <c r="A509" i="2"/>
  <c r="A512" i="2"/>
  <c r="A515" i="2"/>
  <c r="A518" i="2"/>
  <c r="A511" i="2"/>
  <c r="A514" i="2"/>
  <c r="A517" i="2"/>
  <c r="O449" i="2"/>
  <c r="A462" i="2"/>
  <c r="A465" i="2"/>
  <c r="A468" i="2"/>
  <c r="A471" i="2"/>
  <c r="A461" i="2"/>
  <c r="A464" i="2"/>
  <c r="A467" i="2"/>
  <c r="A470" i="2"/>
  <c r="A463" i="2"/>
  <c r="A466" i="2"/>
  <c r="A469" i="2"/>
  <c r="I356" i="2"/>
  <c r="I404" i="2"/>
  <c r="I308" i="2"/>
  <c r="I399" i="2"/>
  <c r="I400" i="2"/>
  <c r="I398" i="2"/>
  <c r="A366" i="2"/>
  <c r="O343" i="2" s="1"/>
  <c r="I401" i="2"/>
  <c r="R407" i="2"/>
  <c r="R413" i="2" s="1"/>
  <c r="R408" i="2"/>
  <c r="S413" i="2" s="1"/>
  <c r="O401" i="2"/>
  <c r="Q406" i="2"/>
  <c r="A414" i="2"/>
  <c r="A417" i="2"/>
  <c r="A420" i="2"/>
  <c r="A423" i="2"/>
  <c r="A413" i="2"/>
  <c r="A416" i="2"/>
  <c r="A419" i="2"/>
  <c r="A422" i="2"/>
  <c r="P391" i="2"/>
  <c r="A415" i="2"/>
  <c r="A418" i="2"/>
  <c r="A421" i="2"/>
  <c r="I352" i="2"/>
  <c r="I350" i="2"/>
  <c r="R359" i="2"/>
  <c r="R365" i="2" s="1"/>
  <c r="A369" i="2"/>
  <c r="O346" i="2" s="1"/>
  <c r="I351" i="2"/>
  <c r="I212" i="2"/>
  <c r="R360" i="2"/>
  <c r="S365" i="2" s="1"/>
  <c r="A372" i="2"/>
  <c r="A375" i="2"/>
  <c r="O352" i="2" s="1"/>
  <c r="I353" i="2"/>
  <c r="O353" i="2"/>
  <c r="A365" i="2"/>
  <c r="A368" i="2"/>
  <c r="A371" i="2"/>
  <c r="A374" i="2"/>
  <c r="Q358" i="2"/>
  <c r="P343" i="2"/>
  <c r="A367" i="2"/>
  <c r="A370" i="2"/>
  <c r="A373" i="2"/>
  <c r="I302" i="2"/>
  <c r="I303" i="2"/>
  <c r="I254" i="2"/>
  <c r="I305" i="2"/>
  <c r="I304" i="2"/>
  <c r="R311" i="2"/>
  <c r="R317" i="2" s="1"/>
  <c r="R312" i="2"/>
  <c r="S317" i="2" s="1"/>
  <c r="O305" i="2"/>
  <c r="Q310" i="2"/>
  <c r="A318" i="2"/>
  <c r="A321" i="2"/>
  <c r="A324" i="2"/>
  <c r="A327" i="2"/>
  <c r="A317" i="2"/>
  <c r="A320" i="2"/>
  <c r="A323" i="2"/>
  <c r="A326" i="2"/>
  <c r="P295" i="2"/>
  <c r="A319" i="2"/>
  <c r="A322" i="2"/>
  <c r="A325" i="2"/>
  <c r="A273" i="2"/>
  <c r="O250" i="2" s="1"/>
  <c r="I256" i="2"/>
  <c r="I206" i="2"/>
  <c r="A270" i="2"/>
  <c r="O247" i="2" s="1"/>
  <c r="A276" i="2"/>
  <c r="C276" i="2" s="1"/>
  <c r="A279" i="2"/>
  <c r="O256" i="2" s="1"/>
  <c r="I255" i="2"/>
  <c r="R263" i="2"/>
  <c r="R269" i="2" s="1"/>
  <c r="R264" i="2"/>
  <c r="S269" i="2" s="1"/>
  <c r="A221" i="2"/>
  <c r="C221" i="2" s="1"/>
  <c r="A224" i="2"/>
  <c r="C224" i="2" s="1"/>
  <c r="I257" i="2"/>
  <c r="I260" i="2"/>
  <c r="A227" i="2"/>
  <c r="C227" i="2" s="1"/>
  <c r="O257" i="2"/>
  <c r="Q262" i="2"/>
  <c r="A269" i="2"/>
  <c r="A272" i="2"/>
  <c r="A275" i="2"/>
  <c r="A278" i="2"/>
  <c r="P247" i="2"/>
  <c r="A271" i="2"/>
  <c r="A274" i="2"/>
  <c r="A277" i="2"/>
  <c r="I208" i="2"/>
  <c r="R215" i="2"/>
  <c r="R221" i="2" s="1"/>
  <c r="I161" i="2"/>
  <c r="R216" i="2"/>
  <c r="S221" i="2" s="1"/>
  <c r="A230" i="2"/>
  <c r="C230" i="2" s="1"/>
  <c r="I209" i="2"/>
  <c r="I164" i="2"/>
  <c r="I207" i="2"/>
  <c r="O209" i="2"/>
  <c r="Q214" i="2"/>
  <c r="A222" i="2"/>
  <c r="A225" i="2"/>
  <c r="A228" i="2"/>
  <c r="A231" i="2"/>
  <c r="P199" i="2"/>
  <c r="A223" i="2"/>
  <c r="A226" i="2"/>
  <c r="A229" i="2"/>
  <c r="I158" i="2"/>
  <c r="Q18" i="2"/>
  <c r="R26" i="2" s="1"/>
  <c r="Q70" i="2"/>
  <c r="Q118" i="2"/>
  <c r="I159" i="2"/>
  <c r="R120" i="2"/>
  <c r="I110" i="2"/>
  <c r="I160" i="2"/>
  <c r="R167" i="2"/>
  <c r="R168" i="2"/>
  <c r="O161" i="2"/>
  <c r="A183" i="2"/>
  <c r="Q166" i="2"/>
  <c r="A177" i="2"/>
  <c r="A179" i="2"/>
  <c r="O156" i="2" s="1"/>
  <c r="A174" i="2"/>
  <c r="A173" i="2"/>
  <c r="O150" i="2" s="1"/>
  <c r="A176" i="2"/>
  <c r="O153" i="2" s="1"/>
  <c r="A182" i="2"/>
  <c r="O159" i="2" s="1"/>
  <c r="A180" i="2"/>
  <c r="A175" i="2"/>
  <c r="A178" i="2"/>
  <c r="A181" i="2"/>
  <c r="R119" i="2"/>
  <c r="I111" i="2"/>
  <c r="I116" i="2"/>
  <c r="I113" i="2"/>
  <c r="B111" i="2"/>
  <c r="I112" i="2"/>
  <c r="D23" i="36"/>
  <c r="A129" i="2"/>
  <c r="O106" i="2" s="1"/>
  <c r="P102" i="2"/>
  <c r="A126" i="2"/>
  <c r="O103" i="2" s="1"/>
  <c r="A132" i="2"/>
  <c r="O109" i="2" s="1"/>
  <c r="A135" i="2"/>
  <c r="O112" i="2" s="1"/>
  <c r="A125" i="2"/>
  <c r="O102" i="2" s="1"/>
  <c r="A128" i="2"/>
  <c r="O105" i="2" s="1"/>
  <c r="A131" i="2"/>
  <c r="O108" i="2" s="1"/>
  <c r="A134" i="2"/>
  <c r="O111" i="2" s="1"/>
  <c r="A127" i="2"/>
  <c r="O104" i="2" s="1"/>
  <c r="A130" i="2"/>
  <c r="O107" i="2" s="1"/>
  <c r="A133" i="2"/>
  <c r="O110" i="2" s="1"/>
  <c r="I63" i="2"/>
  <c r="A84" i="2"/>
  <c r="O61" i="2" s="1"/>
  <c r="I68" i="2"/>
  <c r="I64" i="2"/>
  <c r="A78" i="2"/>
  <c r="O55" i="2" s="1"/>
  <c r="I65" i="2"/>
  <c r="A81" i="2"/>
  <c r="O58" i="2" s="1"/>
  <c r="A87" i="2"/>
  <c r="O64" i="2" s="1"/>
  <c r="I62" i="2"/>
  <c r="O65" i="2"/>
  <c r="A77" i="2"/>
  <c r="O54" i="2" s="1"/>
  <c r="A80" i="2"/>
  <c r="O57" i="2" s="1"/>
  <c r="A83" i="2"/>
  <c r="O60" i="2" s="1"/>
  <c r="A86" i="2"/>
  <c r="O63" i="2" s="1"/>
  <c r="A79" i="2"/>
  <c r="A82" i="2"/>
  <c r="A85" i="2"/>
  <c r="I15" i="2"/>
  <c r="O113" i="1"/>
  <c r="C129" i="1"/>
  <c r="C132" i="1"/>
  <c r="A134" i="1"/>
  <c r="A110" i="1"/>
  <c r="C125" i="1"/>
  <c r="A127" i="1"/>
  <c r="A130" i="1"/>
  <c r="A133" i="1"/>
  <c r="S95" i="1"/>
  <c r="S92" i="1"/>
  <c r="R95" i="1"/>
  <c r="R94" i="1"/>
  <c r="R93" i="1"/>
  <c r="O70" i="1"/>
  <c r="O69" i="1"/>
  <c r="N76" i="1"/>
  <c r="K76" i="1"/>
  <c r="J76" i="1"/>
  <c r="A88" i="1"/>
  <c r="A87" i="1"/>
  <c r="A86" i="1"/>
  <c r="O63" i="1" s="1"/>
  <c r="A85" i="1"/>
  <c r="O62" i="1" s="1"/>
  <c r="A84" i="1"/>
  <c r="O61" i="1" s="1"/>
  <c r="A83" i="1"/>
  <c r="C83" i="1" s="1"/>
  <c r="C82" i="1"/>
  <c r="A82" i="1"/>
  <c r="A81" i="1"/>
  <c r="C81" i="1" s="1"/>
  <c r="A80" i="1"/>
  <c r="C80" i="1" s="1"/>
  <c r="A79" i="1"/>
  <c r="A78" i="1"/>
  <c r="C78" i="1" s="1"/>
  <c r="A77" i="1"/>
  <c r="C77" i="1" s="1"/>
  <c r="F74" i="1"/>
  <c r="H69" i="1"/>
  <c r="I69" i="1" s="1"/>
  <c r="G69" i="1"/>
  <c r="O68" i="1"/>
  <c r="Q70" i="1" s="1"/>
  <c r="O65" i="1"/>
  <c r="I65" i="1"/>
  <c r="O64" i="1"/>
  <c r="I64" i="1"/>
  <c r="I63" i="1"/>
  <c r="I62" i="1"/>
  <c r="A62" i="1"/>
  <c r="O59" i="1"/>
  <c r="O56" i="1"/>
  <c r="O54" i="1"/>
  <c r="O53" i="1"/>
  <c r="G21" i="1"/>
  <c r="H21" i="1"/>
  <c r="R1566" i="2" l="1"/>
  <c r="S1566" i="2"/>
  <c r="S1662" i="2"/>
  <c r="P440" i="2"/>
  <c r="P441" i="2" s="1"/>
  <c r="R1518" i="2"/>
  <c r="R1662" i="2"/>
  <c r="S605" i="2"/>
  <c r="O152" i="19"/>
  <c r="O174" i="19"/>
  <c r="O106" i="19"/>
  <c r="O128" i="19"/>
  <c r="O58" i="19"/>
  <c r="O80" i="19"/>
  <c r="P153" i="5"/>
  <c r="P106" i="5"/>
  <c r="P58" i="5"/>
  <c r="P10" i="5"/>
  <c r="P153" i="20"/>
  <c r="P106" i="20"/>
  <c r="P57" i="20"/>
  <c r="P344" i="4"/>
  <c r="S366" i="4"/>
  <c r="R366" i="4"/>
  <c r="P296" i="4"/>
  <c r="S318" i="4"/>
  <c r="R318" i="4"/>
  <c r="P248" i="4"/>
  <c r="S270" i="4"/>
  <c r="R270" i="4"/>
  <c r="S223" i="4"/>
  <c r="P201" i="4"/>
  <c r="R223" i="4"/>
  <c r="P152" i="4"/>
  <c r="S174" i="4"/>
  <c r="R174" i="4"/>
  <c r="R127" i="4"/>
  <c r="P105" i="4"/>
  <c r="S127" i="4"/>
  <c r="S79" i="4"/>
  <c r="R79" i="4"/>
  <c r="P57" i="4"/>
  <c r="P9" i="4"/>
  <c r="S31" i="4"/>
  <c r="R31" i="4"/>
  <c r="R1663" i="2"/>
  <c r="S1663" i="2"/>
  <c r="P1641" i="2"/>
  <c r="P1592" i="2"/>
  <c r="S1614" i="2"/>
  <c r="R1614" i="2"/>
  <c r="S1518" i="2"/>
  <c r="R1470" i="2"/>
  <c r="S1470" i="2"/>
  <c r="R1567" i="2"/>
  <c r="P1545" i="2"/>
  <c r="S1567" i="2"/>
  <c r="S1374" i="2"/>
  <c r="S1519" i="2"/>
  <c r="R1519" i="2"/>
  <c r="P1497" i="2"/>
  <c r="S1422" i="2"/>
  <c r="S1278" i="2"/>
  <c r="S1471" i="2"/>
  <c r="P1449" i="2"/>
  <c r="R1471" i="2"/>
  <c r="R1326" i="2"/>
  <c r="R1422" i="2"/>
  <c r="R1373" i="2"/>
  <c r="P1401" i="2"/>
  <c r="S1423" i="2"/>
  <c r="R1423" i="2"/>
  <c r="R1277" i="2"/>
  <c r="S1375" i="2"/>
  <c r="R1375" i="2"/>
  <c r="P1353" i="2"/>
  <c r="S1326" i="2"/>
  <c r="S1325" i="2"/>
  <c r="R1327" i="2"/>
  <c r="P1305" i="2"/>
  <c r="S1327" i="2"/>
  <c r="C846" i="2"/>
  <c r="S1230" i="2"/>
  <c r="R1182" i="2"/>
  <c r="P1257" i="2"/>
  <c r="S1279" i="2"/>
  <c r="R1279" i="2"/>
  <c r="R1230" i="2"/>
  <c r="S1182" i="2"/>
  <c r="S1134" i="2"/>
  <c r="S1231" i="2"/>
  <c r="P1209" i="2"/>
  <c r="R1231" i="2"/>
  <c r="R1134" i="2"/>
  <c r="R1183" i="2"/>
  <c r="P1161" i="2"/>
  <c r="S1183" i="2"/>
  <c r="S559" i="2"/>
  <c r="R1135" i="2"/>
  <c r="P1113" i="2"/>
  <c r="S1135" i="2"/>
  <c r="O967" i="2"/>
  <c r="R893" i="2"/>
  <c r="S990" i="2"/>
  <c r="C1091" i="2"/>
  <c r="O1068" i="2"/>
  <c r="C1092" i="2"/>
  <c r="O1069" i="2"/>
  <c r="P1064" i="2"/>
  <c r="C1088" i="2"/>
  <c r="O1065" i="2"/>
  <c r="R1086" i="2"/>
  <c r="C1089" i="2"/>
  <c r="O1066" i="2"/>
  <c r="C1085" i="2"/>
  <c r="O1062" i="2"/>
  <c r="O1063" i="2"/>
  <c r="C1086" i="2"/>
  <c r="O1070" i="2"/>
  <c r="C1093" i="2"/>
  <c r="S1086" i="2"/>
  <c r="O1067" i="2"/>
  <c r="C1090" i="2"/>
  <c r="O1064" i="2"/>
  <c r="C1087" i="2"/>
  <c r="C1094" i="2"/>
  <c r="O1071" i="2"/>
  <c r="O1072" i="2"/>
  <c r="C894" i="2"/>
  <c r="R942" i="2"/>
  <c r="R1037" i="2"/>
  <c r="C1040" i="2"/>
  <c r="O1017" i="2"/>
  <c r="C1037" i="2"/>
  <c r="O1014" i="2"/>
  <c r="C1044" i="2"/>
  <c r="O1021" i="2"/>
  <c r="C1041" i="2"/>
  <c r="O1018" i="2"/>
  <c r="P1015" i="2"/>
  <c r="O1015" i="2"/>
  <c r="C1038" i="2"/>
  <c r="S1037" i="2"/>
  <c r="O1024" i="2"/>
  <c r="O1022" i="2"/>
  <c r="C1045" i="2"/>
  <c r="O1019" i="2"/>
  <c r="C1042" i="2"/>
  <c r="C1046" i="2"/>
  <c r="O1023" i="2"/>
  <c r="O1016" i="2"/>
  <c r="C1039" i="2"/>
  <c r="C1043" i="2"/>
  <c r="O1020" i="2"/>
  <c r="C993" i="2"/>
  <c r="O970" i="2"/>
  <c r="O968" i="2"/>
  <c r="C991" i="2"/>
  <c r="O971" i="2"/>
  <c r="C994" i="2"/>
  <c r="O976" i="2"/>
  <c r="C998" i="2"/>
  <c r="O975" i="2"/>
  <c r="O973" i="2"/>
  <c r="C996" i="2"/>
  <c r="C995" i="2"/>
  <c r="O972" i="2"/>
  <c r="P968" i="2"/>
  <c r="C992" i="2"/>
  <c r="O969" i="2"/>
  <c r="R990" i="2"/>
  <c r="O974" i="2"/>
  <c r="C997" i="2"/>
  <c r="C989" i="2"/>
  <c r="O966" i="2"/>
  <c r="O920" i="2"/>
  <c r="C943" i="2"/>
  <c r="C950" i="2"/>
  <c r="O927" i="2"/>
  <c r="O925" i="2"/>
  <c r="C948" i="2"/>
  <c r="C945" i="2"/>
  <c r="O922" i="2"/>
  <c r="C944" i="2"/>
  <c r="O921" i="2"/>
  <c r="O919" i="2"/>
  <c r="C942" i="2"/>
  <c r="C947" i="2"/>
  <c r="O924" i="2"/>
  <c r="C941" i="2"/>
  <c r="O918" i="2"/>
  <c r="P920" i="2"/>
  <c r="O926" i="2"/>
  <c r="C949" i="2"/>
  <c r="S942" i="2"/>
  <c r="C946" i="2"/>
  <c r="O923" i="2"/>
  <c r="O928" i="2"/>
  <c r="O874" i="2"/>
  <c r="C900" i="2"/>
  <c r="O877" i="2"/>
  <c r="O875" i="2"/>
  <c r="C898" i="2"/>
  <c r="C902" i="2"/>
  <c r="O879" i="2"/>
  <c r="C899" i="2"/>
  <c r="O876" i="2"/>
  <c r="O873" i="2"/>
  <c r="C896" i="2"/>
  <c r="O872" i="2"/>
  <c r="C895" i="2"/>
  <c r="C893" i="2"/>
  <c r="O870" i="2"/>
  <c r="P871" i="2"/>
  <c r="O878" i="2"/>
  <c r="C901" i="2"/>
  <c r="O829" i="2"/>
  <c r="O826" i="2"/>
  <c r="R798" i="2"/>
  <c r="P824" i="2"/>
  <c r="C848" i="2"/>
  <c r="O825" i="2"/>
  <c r="R846" i="2"/>
  <c r="C845" i="2"/>
  <c r="O822" i="2"/>
  <c r="C851" i="2"/>
  <c r="O828" i="2"/>
  <c r="O830" i="2"/>
  <c r="C853" i="2"/>
  <c r="S846" i="2"/>
  <c r="O827" i="2"/>
  <c r="C850" i="2"/>
  <c r="O824" i="2"/>
  <c r="C847" i="2"/>
  <c r="C854" i="2"/>
  <c r="O831" i="2"/>
  <c r="S799" i="2"/>
  <c r="S800" i="2"/>
  <c r="S797" i="2"/>
  <c r="C702" i="2"/>
  <c r="R800" i="2"/>
  <c r="R797" i="2"/>
  <c r="O775" i="2"/>
  <c r="C798" i="2"/>
  <c r="C806" i="2"/>
  <c r="O783" i="2"/>
  <c r="O776" i="2"/>
  <c r="C799" i="2"/>
  <c r="O784" i="2"/>
  <c r="C803" i="2"/>
  <c r="O780" i="2"/>
  <c r="O782" i="2"/>
  <c r="C805" i="2"/>
  <c r="C804" i="2"/>
  <c r="O781" i="2"/>
  <c r="C800" i="2"/>
  <c r="O777" i="2"/>
  <c r="C801" i="2"/>
  <c r="O778" i="2"/>
  <c r="P778" i="2"/>
  <c r="O779" i="2"/>
  <c r="C802" i="2"/>
  <c r="C797" i="2"/>
  <c r="O774" i="2"/>
  <c r="C750" i="2"/>
  <c r="O542" i="2"/>
  <c r="O730" i="2"/>
  <c r="O733" i="2"/>
  <c r="C705" i="2"/>
  <c r="O728" i="2"/>
  <c r="C751" i="2"/>
  <c r="C758" i="2"/>
  <c r="O735" i="2"/>
  <c r="P728" i="2"/>
  <c r="R750" i="2"/>
  <c r="O726" i="2"/>
  <c r="C749" i="2"/>
  <c r="O734" i="2"/>
  <c r="C757" i="2"/>
  <c r="S750" i="2"/>
  <c r="C755" i="2"/>
  <c r="O732" i="2"/>
  <c r="C752" i="2"/>
  <c r="O729" i="2"/>
  <c r="O731" i="2"/>
  <c r="C754" i="2"/>
  <c r="C708" i="2"/>
  <c r="O685" i="2"/>
  <c r="S655" i="2"/>
  <c r="S656" i="2"/>
  <c r="P680" i="2"/>
  <c r="C704" i="2"/>
  <c r="O681" i="2"/>
  <c r="R702" i="2"/>
  <c r="C701" i="2"/>
  <c r="O678" i="2"/>
  <c r="C707" i="2"/>
  <c r="O684" i="2"/>
  <c r="O686" i="2"/>
  <c r="C709" i="2"/>
  <c r="S702" i="2"/>
  <c r="C706" i="2"/>
  <c r="O683" i="2"/>
  <c r="O680" i="2"/>
  <c r="C703" i="2"/>
  <c r="C710" i="2"/>
  <c r="O687" i="2"/>
  <c r="R654" i="2"/>
  <c r="S653" i="2"/>
  <c r="R605" i="2"/>
  <c r="C606" i="2"/>
  <c r="R655" i="2"/>
  <c r="S558" i="2"/>
  <c r="R656" i="2"/>
  <c r="O586" i="2"/>
  <c r="C659" i="2"/>
  <c r="O636" i="2"/>
  <c r="C658" i="2"/>
  <c r="O635" i="2"/>
  <c r="C662" i="2"/>
  <c r="O639" i="2"/>
  <c r="O633" i="2"/>
  <c r="C656" i="2"/>
  <c r="O640" i="2"/>
  <c r="C661" i="2"/>
  <c r="O638" i="2"/>
  <c r="C653" i="2"/>
  <c r="O630" i="2"/>
  <c r="O637" i="2"/>
  <c r="C660" i="2"/>
  <c r="O631" i="2"/>
  <c r="C654" i="2"/>
  <c r="C655" i="2"/>
  <c r="O632" i="2"/>
  <c r="P634" i="2"/>
  <c r="C657" i="2"/>
  <c r="O634" i="2"/>
  <c r="S557" i="2"/>
  <c r="C612" i="2"/>
  <c r="O589" i="2"/>
  <c r="R558" i="2"/>
  <c r="O541" i="2"/>
  <c r="O538" i="2"/>
  <c r="O539" i="2"/>
  <c r="O587" i="2"/>
  <c r="C610" i="2"/>
  <c r="O584" i="2"/>
  <c r="C607" i="2"/>
  <c r="O585" i="2"/>
  <c r="C608" i="2"/>
  <c r="C605" i="2"/>
  <c r="O582" i="2"/>
  <c r="C611" i="2"/>
  <c r="O588" i="2"/>
  <c r="P583" i="2"/>
  <c r="C614" i="2"/>
  <c r="O591" i="2"/>
  <c r="O590" i="2"/>
  <c r="C613" i="2"/>
  <c r="O536" i="2"/>
  <c r="S560" i="2"/>
  <c r="C558" i="2"/>
  <c r="O535" i="2"/>
  <c r="R559" i="2"/>
  <c r="C557" i="2"/>
  <c r="O534" i="2"/>
  <c r="R560" i="2"/>
  <c r="P538" i="2"/>
  <c r="C563" i="2"/>
  <c r="O540" i="2"/>
  <c r="C560" i="2"/>
  <c r="O537" i="2"/>
  <c r="S509" i="2"/>
  <c r="C366" i="2"/>
  <c r="R463" i="2"/>
  <c r="S462" i="2"/>
  <c r="S461" i="2"/>
  <c r="R462" i="2"/>
  <c r="R464" i="2"/>
  <c r="O491" i="2"/>
  <c r="C514" i="2"/>
  <c r="C509" i="2"/>
  <c r="O486" i="2"/>
  <c r="C516" i="2"/>
  <c r="O493" i="2"/>
  <c r="C511" i="2"/>
  <c r="O488" i="2"/>
  <c r="C513" i="2"/>
  <c r="O490" i="2"/>
  <c r="R509" i="2"/>
  <c r="P487" i="2"/>
  <c r="C517" i="2"/>
  <c r="O494" i="2"/>
  <c r="C518" i="2"/>
  <c r="O495" i="2"/>
  <c r="C512" i="2"/>
  <c r="O489" i="2"/>
  <c r="C510" i="2"/>
  <c r="O487" i="2"/>
  <c r="C515" i="2"/>
  <c r="O492" i="2"/>
  <c r="O496" i="2"/>
  <c r="S464" i="2"/>
  <c r="C461" i="2"/>
  <c r="O438" i="2"/>
  <c r="O439" i="2"/>
  <c r="C462" i="2"/>
  <c r="O448" i="2"/>
  <c r="O443" i="2"/>
  <c r="C466" i="2"/>
  <c r="O441" i="2"/>
  <c r="C464" i="2"/>
  <c r="O446" i="2"/>
  <c r="C469" i="2"/>
  <c r="P442" i="2"/>
  <c r="C463" i="2"/>
  <c r="O440" i="2"/>
  <c r="C470" i="2"/>
  <c r="O447" i="2"/>
  <c r="C468" i="2"/>
  <c r="O445" i="2"/>
  <c r="O444" i="2"/>
  <c r="C467" i="2"/>
  <c r="C465" i="2"/>
  <c r="O442" i="2"/>
  <c r="C369" i="2"/>
  <c r="S414" i="2"/>
  <c r="C273" i="2"/>
  <c r="R366" i="2"/>
  <c r="C419" i="2"/>
  <c r="O396" i="2"/>
  <c r="C417" i="2"/>
  <c r="O394" i="2"/>
  <c r="O391" i="2"/>
  <c r="C414" i="2"/>
  <c r="R414" i="2"/>
  <c r="O398" i="2"/>
  <c r="C421" i="2"/>
  <c r="C420" i="2"/>
  <c r="O397" i="2"/>
  <c r="O392" i="2"/>
  <c r="C415" i="2"/>
  <c r="P392" i="2"/>
  <c r="C413" i="2"/>
  <c r="O390" i="2"/>
  <c r="O395" i="2"/>
  <c r="C418" i="2"/>
  <c r="O400" i="2"/>
  <c r="C422" i="2"/>
  <c r="O399" i="2"/>
  <c r="C416" i="2"/>
  <c r="O393" i="2"/>
  <c r="S366" i="2"/>
  <c r="C372" i="2"/>
  <c r="O349" i="2"/>
  <c r="O347" i="2"/>
  <c r="C370" i="2"/>
  <c r="O344" i="2"/>
  <c r="C367" i="2"/>
  <c r="C374" i="2"/>
  <c r="O351" i="2"/>
  <c r="C371" i="2"/>
  <c r="O348" i="2"/>
  <c r="C368" i="2"/>
  <c r="O345" i="2"/>
  <c r="P344" i="2"/>
  <c r="C365" i="2"/>
  <c r="O342" i="2"/>
  <c r="O350" i="2"/>
  <c r="C373" i="2"/>
  <c r="O301" i="2"/>
  <c r="C324" i="2"/>
  <c r="C321" i="2"/>
  <c r="O298" i="2"/>
  <c r="P296" i="2"/>
  <c r="R318" i="2"/>
  <c r="O295" i="2"/>
  <c r="C318" i="2"/>
  <c r="C323" i="2"/>
  <c r="O300" i="2"/>
  <c r="O297" i="2"/>
  <c r="C320" i="2"/>
  <c r="C317" i="2"/>
  <c r="O294" i="2"/>
  <c r="O302" i="2"/>
  <c r="C325" i="2"/>
  <c r="S318" i="2"/>
  <c r="O299" i="2"/>
  <c r="C322" i="2"/>
  <c r="O304" i="2"/>
  <c r="O296" i="2"/>
  <c r="C319" i="2"/>
  <c r="C326" i="2"/>
  <c r="O303" i="2"/>
  <c r="O201" i="2"/>
  <c r="C270" i="2"/>
  <c r="O207" i="2"/>
  <c r="O198" i="2"/>
  <c r="R270" i="2"/>
  <c r="O253" i="2"/>
  <c r="O204" i="2"/>
  <c r="S222" i="2"/>
  <c r="C272" i="2"/>
  <c r="O249" i="2"/>
  <c r="O246" i="2"/>
  <c r="C269" i="2"/>
  <c r="S270" i="2"/>
  <c r="O254" i="2"/>
  <c r="C277" i="2"/>
  <c r="O251" i="2"/>
  <c r="C274" i="2"/>
  <c r="C278" i="2"/>
  <c r="O255" i="2"/>
  <c r="O248" i="2"/>
  <c r="C271" i="2"/>
  <c r="P248" i="2"/>
  <c r="C275" i="2"/>
  <c r="O252" i="2"/>
  <c r="C83" i="2"/>
  <c r="C225" i="2"/>
  <c r="O202" i="2"/>
  <c r="O199" i="2"/>
  <c r="C222" i="2"/>
  <c r="O208" i="2"/>
  <c r="P200" i="2"/>
  <c r="R222" i="2"/>
  <c r="O206" i="2"/>
  <c r="C229" i="2"/>
  <c r="C228" i="2"/>
  <c r="O205" i="2"/>
  <c r="O203" i="2"/>
  <c r="C226" i="2"/>
  <c r="O200" i="2"/>
  <c r="C223" i="2"/>
  <c r="R125" i="2"/>
  <c r="C173" i="2"/>
  <c r="C182" i="2"/>
  <c r="C133" i="2"/>
  <c r="C176" i="2"/>
  <c r="C174" i="2"/>
  <c r="O151" i="2"/>
  <c r="C181" i="2"/>
  <c r="O158" i="2"/>
  <c r="C179" i="2"/>
  <c r="O152" i="2"/>
  <c r="C175" i="2"/>
  <c r="O160" i="2"/>
  <c r="C180" i="2"/>
  <c r="O157" i="2"/>
  <c r="C178" i="2"/>
  <c r="O155" i="2"/>
  <c r="P150" i="2"/>
  <c r="O154" i="2"/>
  <c r="C177" i="2"/>
  <c r="C77" i="2"/>
  <c r="C131" i="2"/>
  <c r="C134" i="2"/>
  <c r="C130" i="2"/>
  <c r="C127" i="2"/>
  <c r="C128" i="2"/>
  <c r="C125" i="2"/>
  <c r="C132" i="2"/>
  <c r="C129" i="2"/>
  <c r="C126" i="2"/>
  <c r="P103" i="2"/>
  <c r="S125" i="2"/>
  <c r="C78" i="2"/>
  <c r="C84" i="2"/>
  <c r="C81" i="2"/>
  <c r="C86" i="2"/>
  <c r="O59" i="2"/>
  <c r="C82" i="2"/>
  <c r="C80" i="2"/>
  <c r="O56" i="2"/>
  <c r="C79" i="2"/>
  <c r="O62" i="2"/>
  <c r="C85" i="2"/>
  <c r="O107" i="1"/>
  <c r="C130" i="1"/>
  <c r="C134" i="1"/>
  <c r="O111" i="1"/>
  <c r="C127" i="1"/>
  <c r="O104" i="1"/>
  <c r="O110" i="1"/>
  <c r="C133" i="1"/>
  <c r="O57" i="1"/>
  <c r="C85" i="1"/>
  <c r="O58" i="1"/>
  <c r="C86" i="1"/>
  <c r="O55" i="1"/>
  <c r="C84" i="1"/>
  <c r="Q66" i="1"/>
  <c r="R74" i="1" s="1"/>
  <c r="O60" i="1"/>
  <c r="R47" i="1"/>
  <c r="I21" i="1" s="1"/>
  <c r="R46" i="1"/>
  <c r="R44" i="1"/>
  <c r="R92" i="1" s="1"/>
  <c r="S463" i="2" l="1"/>
  <c r="O153" i="19"/>
  <c r="O175" i="19"/>
  <c r="O107" i="19"/>
  <c r="O129" i="19"/>
  <c r="O59" i="19"/>
  <c r="O81" i="19"/>
  <c r="P154" i="5"/>
  <c r="P107" i="5"/>
  <c r="P59" i="5"/>
  <c r="P11" i="5"/>
  <c r="P154" i="20"/>
  <c r="P107" i="20"/>
  <c r="P58" i="20"/>
  <c r="S367" i="4"/>
  <c r="P345" i="4"/>
  <c r="R367" i="4"/>
  <c r="P297" i="4"/>
  <c r="S319" i="4"/>
  <c r="R319" i="4"/>
  <c r="S271" i="4"/>
  <c r="P249" i="4"/>
  <c r="R271" i="4"/>
  <c r="P202" i="4"/>
  <c r="S224" i="4"/>
  <c r="R224" i="4"/>
  <c r="R175" i="4"/>
  <c r="S175" i="4"/>
  <c r="P153" i="4"/>
  <c r="P106" i="4"/>
  <c r="R128" i="4"/>
  <c r="S128" i="4"/>
  <c r="P58" i="4"/>
  <c r="S80" i="4"/>
  <c r="R80" i="4"/>
  <c r="P10" i="4"/>
  <c r="R32" i="4"/>
  <c r="S32" i="4"/>
  <c r="P1642" i="2"/>
  <c r="S1664" i="2"/>
  <c r="R1664" i="2"/>
  <c r="S1615" i="2"/>
  <c r="P1593" i="2"/>
  <c r="R1615" i="2"/>
  <c r="P1546" i="2"/>
  <c r="S1568" i="2"/>
  <c r="R1568" i="2"/>
  <c r="P1498" i="2"/>
  <c r="S1520" i="2"/>
  <c r="R1520" i="2"/>
  <c r="P1450" i="2"/>
  <c r="R1472" i="2"/>
  <c r="S1472" i="2"/>
  <c r="P1402" i="2"/>
  <c r="S1424" i="2"/>
  <c r="R1424" i="2"/>
  <c r="P1354" i="2"/>
  <c r="S1376" i="2"/>
  <c r="R1376" i="2"/>
  <c r="P1306" i="2"/>
  <c r="S1328" i="2"/>
  <c r="R1328" i="2"/>
  <c r="P1258" i="2"/>
  <c r="R1280" i="2"/>
  <c r="S1280" i="2"/>
  <c r="P1210" i="2"/>
  <c r="S1232" i="2"/>
  <c r="R1232" i="2"/>
  <c r="P1162" i="2"/>
  <c r="R1184" i="2"/>
  <c r="S1184" i="2"/>
  <c r="P1114" i="2"/>
  <c r="R1136" i="2"/>
  <c r="S1136" i="2"/>
  <c r="P1065" i="2"/>
  <c r="S1087" i="2"/>
  <c r="R1087" i="2"/>
  <c r="P1016" i="2"/>
  <c r="S1038" i="2"/>
  <c r="R1038" i="2"/>
  <c r="R991" i="2"/>
  <c r="P969" i="2"/>
  <c r="S991" i="2"/>
  <c r="S943" i="2"/>
  <c r="P921" i="2"/>
  <c r="R943" i="2"/>
  <c r="P872" i="2"/>
  <c r="S894" i="2"/>
  <c r="R894" i="2"/>
  <c r="R847" i="2"/>
  <c r="P825" i="2"/>
  <c r="S847" i="2"/>
  <c r="P779" i="2"/>
  <c r="S801" i="2"/>
  <c r="R801" i="2"/>
  <c r="R751" i="2"/>
  <c r="P729" i="2"/>
  <c r="S751" i="2"/>
  <c r="P681" i="2"/>
  <c r="R703" i="2"/>
  <c r="S703" i="2"/>
  <c r="P635" i="2"/>
  <c r="S657" i="2"/>
  <c r="R657" i="2"/>
  <c r="P584" i="2"/>
  <c r="S606" i="2"/>
  <c r="R606" i="2"/>
  <c r="S561" i="2"/>
  <c r="P539" i="2"/>
  <c r="R561" i="2"/>
  <c r="P488" i="2"/>
  <c r="R510" i="2"/>
  <c r="S510" i="2"/>
  <c r="P443" i="2"/>
  <c r="R465" i="2"/>
  <c r="S465" i="2"/>
  <c r="P393" i="2"/>
  <c r="S415" i="2"/>
  <c r="R415" i="2"/>
  <c r="S367" i="2"/>
  <c r="R367" i="2"/>
  <c r="P345" i="2"/>
  <c r="S319" i="2"/>
  <c r="P297" i="2"/>
  <c r="R319" i="2"/>
  <c r="R271" i="2"/>
  <c r="P249" i="2"/>
  <c r="S271" i="2"/>
  <c r="P201" i="2"/>
  <c r="R223" i="2"/>
  <c r="S223" i="2"/>
  <c r="S173" i="2"/>
  <c r="R173" i="2"/>
  <c r="P151" i="2"/>
  <c r="S126" i="2"/>
  <c r="P104" i="2"/>
  <c r="R126" i="2"/>
  <c r="F26" i="1"/>
  <c r="I15" i="1"/>
  <c r="I16" i="1"/>
  <c r="I17" i="1"/>
  <c r="I14" i="1"/>
  <c r="O154" i="19" l="1"/>
  <c r="O176" i="19"/>
  <c r="O108" i="19"/>
  <c r="O130" i="19"/>
  <c r="O60" i="19"/>
  <c r="O82" i="19"/>
  <c r="P155" i="5"/>
  <c r="P108" i="5"/>
  <c r="P60" i="5"/>
  <c r="P12" i="5"/>
  <c r="P155" i="20"/>
  <c r="P108" i="20"/>
  <c r="P59" i="20"/>
  <c r="P346" i="4"/>
  <c r="R368" i="4"/>
  <c r="S368" i="4"/>
  <c r="P298" i="4"/>
  <c r="R320" i="4"/>
  <c r="S320" i="4"/>
  <c r="P250" i="4"/>
  <c r="R272" i="4"/>
  <c r="S272" i="4"/>
  <c r="P203" i="4"/>
  <c r="S225" i="4"/>
  <c r="R225" i="4"/>
  <c r="P154" i="4"/>
  <c r="S176" i="4"/>
  <c r="R176" i="4"/>
  <c r="P107" i="4"/>
  <c r="S129" i="4"/>
  <c r="R129" i="4"/>
  <c r="P59" i="4"/>
  <c r="S81" i="4"/>
  <c r="R81" i="4"/>
  <c r="P11" i="4"/>
  <c r="R33" i="4"/>
  <c r="S33" i="4"/>
  <c r="P1643" i="2"/>
  <c r="S1665" i="2"/>
  <c r="R1665" i="2"/>
  <c r="P1594" i="2"/>
  <c r="S1616" i="2"/>
  <c r="R1616" i="2"/>
  <c r="P1547" i="2"/>
  <c r="R1569" i="2"/>
  <c r="S1569" i="2"/>
  <c r="P1499" i="2"/>
  <c r="R1521" i="2"/>
  <c r="S1521" i="2"/>
  <c r="P1451" i="2"/>
  <c r="S1473" i="2"/>
  <c r="R1473" i="2"/>
  <c r="P1403" i="2"/>
  <c r="R1425" i="2"/>
  <c r="S1425" i="2"/>
  <c r="P1355" i="2"/>
  <c r="S1377" i="2"/>
  <c r="R1377" i="2"/>
  <c r="P1307" i="2"/>
  <c r="S1329" i="2"/>
  <c r="R1329" i="2"/>
  <c r="P1259" i="2"/>
  <c r="R1281" i="2"/>
  <c r="S1281" i="2"/>
  <c r="S1233" i="2"/>
  <c r="R1233" i="2"/>
  <c r="P1211" i="2"/>
  <c r="P1163" i="2"/>
  <c r="S1185" i="2"/>
  <c r="R1185" i="2"/>
  <c r="P1115" i="2"/>
  <c r="S1137" i="2"/>
  <c r="R1137" i="2"/>
  <c r="P1066" i="2"/>
  <c r="R1088" i="2"/>
  <c r="S1088" i="2"/>
  <c r="P1017" i="2"/>
  <c r="R1039" i="2"/>
  <c r="S1039" i="2"/>
  <c r="P970" i="2"/>
  <c r="S992" i="2"/>
  <c r="R992" i="2"/>
  <c r="P922" i="2"/>
  <c r="R944" i="2"/>
  <c r="S944" i="2"/>
  <c r="R895" i="2"/>
  <c r="P873" i="2"/>
  <c r="S895" i="2"/>
  <c r="P826" i="2"/>
  <c r="R848" i="2"/>
  <c r="S848" i="2"/>
  <c r="P780" i="2"/>
  <c r="S802" i="2"/>
  <c r="R802" i="2"/>
  <c r="P730" i="2"/>
  <c r="R752" i="2"/>
  <c r="S752" i="2"/>
  <c r="P682" i="2"/>
  <c r="R704" i="2"/>
  <c r="S704" i="2"/>
  <c r="P636" i="2"/>
  <c r="R658" i="2"/>
  <c r="S658" i="2"/>
  <c r="P585" i="2"/>
  <c r="R607" i="2"/>
  <c r="S607" i="2"/>
  <c r="P540" i="2"/>
  <c r="R562" i="2"/>
  <c r="S562" i="2"/>
  <c r="P489" i="2"/>
  <c r="S511" i="2"/>
  <c r="R511" i="2"/>
  <c r="P444" i="2"/>
  <c r="S466" i="2"/>
  <c r="R466" i="2"/>
  <c r="P394" i="2"/>
  <c r="R416" i="2"/>
  <c r="S416" i="2"/>
  <c r="P346" i="2"/>
  <c r="S368" i="2"/>
  <c r="R368" i="2"/>
  <c r="P298" i="2"/>
  <c r="R320" i="2"/>
  <c r="S320" i="2"/>
  <c r="P250" i="2"/>
  <c r="R272" i="2"/>
  <c r="S272" i="2"/>
  <c r="P202" i="2"/>
  <c r="R224" i="2"/>
  <c r="S224" i="2"/>
  <c r="S174" i="2"/>
  <c r="R174" i="2"/>
  <c r="P152" i="2"/>
  <c r="R127" i="2"/>
  <c r="S127" i="2"/>
  <c r="P105" i="2"/>
  <c r="P45" i="1"/>
  <c r="O155" i="19" l="1"/>
  <c r="O177" i="19"/>
  <c r="O109" i="19"/>
  <c r="O131" i="19"/>
  <c r="O61" i="19"/>
  <c r="O83" i="19"/>
  <c r="P156" i="5"/>
  <c r="P109" i="5"/>
  <c r="P61" i="5"/>
  <c r="P13" i="5"/>
  <c r="P156" i="20"/>
  <c r="P109" i="20"/>
  <c r="P60" i="20"/>
  <c r="P347" i="4"/>
  <c r="R369" i="4"/>
  <c r="S369" i="4"/>
  <c r="S321" i="4"/>
  <c r="R321" i="4"/>
  <c r="P299" i="4"/>
  <c r="P251" i="4"/>
  <c r="S273" i="4"/>
  <c r="R273" i="4"/>
  <c r="P204" i="4"/>
  <c r="S226" i="4"/>
  <c r="R226" i="4"/>
  <c r="P155" i="4"/>
  <c r="S177" i="4"/>
  <c r="R177" i="4"/>
  <c r="P108" i="4"/>
  <c r="R130" i="4"/>
  <c r="S130" i="4"/>
  <c r="P60" i="4"/>
  <c r="S82" i="4"/>
  <c r="R82" i="4"/>
  <c r="P12" i="4"/>
  <c r="S34" i="4"/>
  <c r="R34" i="4"/>
  <c r="S1666" i="2"/>
  <c r="P1644" i="2"/>
  <c r="R1666" i="2"/>
  <c r="S1617" i="2"/>
  <c r="P1595" i="2"/>
  <c r="R1617" i="2"/>
  <c r="P1548" i="2"/>
  <c r="R1570" i="2"/>
  <c r="S1570" i="2"/>
  <c r="R1522" i="2"/>
  <c r="P1500" i="2"/>
  <c r="S1522" i="2"/>
  <c r="P1452" i="2"/>
  <c r="S1474" i="2"/>
  <c r="R1474" i="2"/>
  <c r="P1404" i="2"/>
  <c r="R1426" i="2"/>
  <c r="S1426" i="2"/>
  <c r="P1356" i="2"/>
  <c r="S1378" i="2"/>
  <c r="R1378" i="2"/>
  <c r="P1308" i="2"/>
  <c r="S1330" i="2"/>
  <c r="R1330" i="2"/>
  <c r="P1260" i="2"/>
  <c r="R1282" i="2"/>
  <c r="S1282" i="2"/>
  <c r="P1212" i="2"/>
  <c r="S1234" i="2"/>
  <c r="R1234" i="2"/>
  <c r="P1164" i="2"/>
  <c r="R1186" i="2"/>
  <c r="S1186" i="2"/>
  <c r="R1138" i="2"/>
  <c r="P1116" i="2"/>
  <c r="S1138" i="2"/>
  <c r="P1067" i="2"/>
  <c r="S1089" i="2"/>
  <c r="R1089" i="2"/>
  <c r="P1018" i="2"/>
  <c r="R1040" i="2"/>
  <c r="S1040" i="2"/>
  <c r="P971" i="2"/>
  <c r="S993" i="2"/>
  <c r="R993" i="2"/>
  <c r="P923" i="2"/>
  <c r="S945" i="2"/>
  <c r="R945" i="2"/>
  <c r="P874" i="2"/>
  <c r="S896" i="2"/>
  <c r="R896" i="2"/>
  <c r="P827" i="2"/>
  <c r="S849" i="2"/>
  <c r="R849" i="2"/>
  <c r="P781" i="2"/>
  <c r="S803" i="2"/>
  <c r="R803" i="2"/>
  <c r="P731" i="2"/>
  <c r="R753" i="2"/>
  <c r="S753" i="2"/>
  <c r="P683" i="2"/>
  <c r="R705" i="2"/>
  <c r="S705" i="2"/>
  <c r="P637" i="2"/>
  <c r="S659" i="2"/>
  <c r="R659" i="2"/>
  <c r="P586" i="2"/>
  <c r="S608" i="2"/>
  <c r="R608" i="2"/>
  <c r="R563" i="2"/>
  <c r="P541" i="2"/>
  <c r="S563" i="2"/>
  <c r="R512" i="2"/>
  <c r="P490" i="2"/>
  <c r="S512" i="2"/>
  <c r="P445" i="2"/>
  <c r="R467" i="2"/>
  <c r="S467" i="2"/>
  <c r="P395" i="2"/>
  <c r="S417" i="2"/>
  <c r="R417" i="2"/>
  <c r="P347" i="2"/>
  <c r="S369" i="2"/>
  <c r="R369" i="2"/>
  <c r="P299" i="2"/>
  <c r="S321" i="2"/>
  <c r="R321" i="2"/>
  <c r="P251" i="2"/>
  <c r="S273" i="2"/>
  <c r="R273" i="2"/>
  <c r="R225" i="2"/>
  <c r="P203" i="2"/>
  <c r="S225" i="2"/>
  <c r="R175" i="2"/>
  <c r="S175" i="2"/>
  <c r="P153" i="2"/>
  <c r="P106" i="2"/>
  <c r="S128" i="2"/>
  <c r="R128" i="2"/>
  <c r="O20" i="1"/>
  <c r="O178" i="19" l="1"/>
  <c r="O156" i="19"/>
  <c r="O110" i="19"/>
  <c r="O132" i="19"/>
  <c r="O84" i="19"/>
  <c r="O62" i="19"/>
  <c r="P157" i="5"/>
  <c r="P110" i="5"/>
  <c r="P62" i="5"/>
  <c r="P14" i="5"/>
  <c r="P157" i="20"/>
  <c r="P110" i="20"/>
  <c r="P61" i="20"/>
  <c r="P348" i="4"/>
  <c r="S370" i="4"/>
  <c r="R370" i="4"/>
  <c r="P300" i="4"/>
  <c r="S322" i="4"/>
  <c r="R322" i="4"/>
  <c r="P252" i="4"/>
  <c r="S274" i="4"/>
  <c r="R274" i="4"/>
  <c r="P205" i="4"/>
  <c r="S227" i="4"/>
  <c r="R227" i="4"/>
  <c r="P156" i="4"/>
  <c r="R178" i="4"/>
  <c r="S178" i="4"/>
  <c r="P109" i="4"/>
  <c r="R131" i="4"/>
  <c r="S131" i="4"/>
  <c r="P61" i="4"/>
  <c r="S83" i="4"/>
  <c r="R83" i="4"/>
  <c r="P13" i="4"/>
  <c r="R35" i="4"/>
  <c r="S35" i="4"/>
  <c r="P1645" i="2"/>
  <c r="R1667" i="2"/>
  <c r="S1667" i="2"/>
  <c r="P1596" i="2"/>
  <c r="S1618" i="2"/>
  <c r="R1618" i="2"/>
  <c r="P1549" i="2"/>
  <c r="S1571" i="2"/>
  <c r="R1571" i="2"/>
  <c r="P1501" i="2"/>
  <c r="R1523" i="2"/>
  <c r="S1523" i="2"/>
  <c r="P1453" i="2"/>
  <c r="R1475" i="2"/>
  <c r="S1475" i="2"/>
  <c r="P1405" i="2"/>
  <c r="S1427" i="2"/>
  <c r="R1427" i="2"/>
  <c r="P1357" i="2"/>
  <c r="S1379" i="2"/>
  <c r="R1379" i="2"/>
  <c r="P1309" i="2"/>
  <c r="R1331" i="2"/>
  <c r="S1331" i="2"/>
  <c r="P1261" i="2"/>
  <c r="R1283" i="2"/>
  <c r="S1283" i="2"/>
  <c r="P1213" i="2"/>
  <c r="S1235" i="2"/>
  <c r="R1235" i="2"/>
  <c r="P1165" i="2"/>
  <c r="S1187" i="2"/>
  <c r="R1187" i="2"/>
  <c r="P1117" i="2"/>
  <c r="R1139" i="2"/>
  <c r="S1139" i="2"/>
  <c r="P1068" i="2"/>
  <c r="S1090" i="2"/>
  <c r="R1090" i="2"/>
  <c r="P1019" i="2"/>
  <c r="S1041" i="2"/>
  <c r="R1041" i="2"/>
  <c r="P972" i="2"/>
  <c r="R994" i="2"/>
  <c r="S994" i="2"/>
  <c r="P924" i="2"/>
  <c r="S946" i="2"/>
  <c r="R946" i="2"/>
  <c r="P875" i="2"/>
  <c r="S897" i="2"/>
  <c r="R897" i="2"/>
  <c r="P828" i="2"/>
  <c r="R850" i="2"/>
  <c r="S850" i="2"/>
  <c r="P782" i="2"/>
  <c r="S804" i="2"/>
  <c r="R804" i="2"/>
  <c r="P732" i="2"/>
  <c r="R754" i="2"/>
  <c r="S754" i="2"/>
  <c r="R706" i="2"/>
  <c r="P684" i="2"/>
  <c r="S706" i="2"/>
  <c r="P638" i="2"/>
  <c r="S660" i="2"/>
  <c r="R660" i="2"/>
  <c r="P587" i="2"/>
  <c r="S609" i="2"/>
  <c r="R609" i="2"/>
  <c r="P542" i="2"/>
  <c r="S564" i="2"/>
  <c r="R564" i="2"/>
  <c r="P491" i="2"/>
  <c r="R513" i="2"/>
  <c r="S513" i="2"/>
  <c r="P446" i="2"/>
  <c r="R468" i="2"/>
  <c r="S468" i="2"/>
  <c r="P396" i="2"/>
  <c r="S418" i="2"/>
  <c r="R418" i="2"/>
  <c r="R370" i="2"/>
  <c r="P348" i="2"/>
  <c r="S370" i="2"/>
  <c r="S322" i="2"/>
  <c r="P300" i="2"/>
  <c r="R322" i="2"/>
  <c r="P252" i="2"/>
  <c r="R274" i="2"/>
  <c r="S274" i="2"/>
  <c r="P204" i="2"/>
  <c r="R226" i="2"/>
  <c r="S226" i="2"/>
  <c r="S176" i="2"/>
  <c r="R176" i="2"/>
  <c r="P154" i="2"/>
  <c r="S129" i="2"/>
  <c r="P107" i="2"/>
  <c r="R129" i="2"/>
  <c r="Q18" i="1"/>
  <c r="R26" i="1" s="1"/>
  <c r="Q22" i="1"/>
  <c r="O157" i="19" l="1"/>
  <c r="O179" i="19"/>
  <c r="O133" i="19"/>
  <c r="O111" i="19"/>
  <c r="O85" i="19"/>
  <c r="O63" i="19"/>
  <c r="P158" i="5"/>
  <c r="P111" i="5"/>
  <c r="P63" i="5"/>
  <c r="P15" i="5"/>
  <c r="P158" i="20"/>
  <c r="P111" i="20"/>
  <c r="P62" i="20"/>
  <c r="P349" i="4"/>
  <c r="R371" i="4"/>
  <c r="S371" i="4"/>
  <c r="P301" i="4"/>
  <c r="R323" i="4"/>
  <c r="S323" i="4"/>
  <c r="P253" i="4"/>
  <c r="S275" i="4"/>
  <c r="R275" i="4"/>
  <c r="P206" i="4"/>
  <c r="S228" i="4"/>
  <c r="R228" i="4"/>
  <c r="P157" i="4"/>
  <c r="R179" i="4"/>
  <c r="S179" i="4"/>
  <c r="P110" i="4"/>
  <c r="R132" i="4"/>
  <c r="S132" i="4"/>
  <c r="P62" i="4"/>
  <c r="S84" i="4"/>
  <c r="R84" i="4"/>
  <c r="P14" i="4"/>
  <c r="R36" i="4"/>
  <c r="S36" i="4"/>
  <c r="P1646" i="2"/>
  <c r="S1668" i="2"/>
  <c r="R1668" i="2"/>
  <c r="P1597" i="2"/>
  <c r="R1619" i="2"/>
  <c r="S1619" i="2"/>
  <c r="P1550" i="2"/>
  <c r="R1572" i="2"/>
  <c r="S1572" i="2"/>
  <c r="P1502" i="2"/>
  <c r="S1524" i="2"/>
  <c r="R1524" i="2"/>
  <c r="P1454" i="2"/>
  <c r="R1476" i="2"/>
  <c r="S1476" i="2"/>
  <c r="P1406" i="2"/>
  <c r="R1428" i="2"/>
  <c r="S1428" i="2"/>
  <c r="P1358" i="2"/>
  <c r="R1380" i="2"/>
  <c r="S1380" i="2"/>
  <c r="P1310" i="2"/>
  <c r="S1332" i="2"/>
  <c r="R1332" i="2"/>
  <c r="P1262" i="2"/>
  <c r="R1284" i="2"/>
  <c r="S1284" i="2"/>
  <c r="P1214" i="2"/>
  <c r="S1236" i="2"/>
  <c r="R1236" i="2"/>
  <c r="P1166" i="2"/>
  <c r="S1188" i="2"/>
  <c r="R1188" i="2"/>
  <c r="P1118" i="2"/>
  <c r="R1140" i="2"/>
  <c r="S1140" i="2"/>
  <c r="P1069" i="2"/>
  <c r="S1091" i="2"/>
  <c r="R1091" i="2"/>
  <c r="P1020" i="2"/>
  <c r="R1042" i="2"/>
  <c r="S1042" i="2"/>
  <c r="P973" i="2"/>
  <c r="S995" i="2"/>
  <c r="R995" i="2"/>
  <c r="P925" i="2"/>
  <c r="R947" i="2"/>
  <c r="S947" i="2"/>
  <c r="P876" i="2"/>
  <c r="R898" i="2"/>
  <c r="S898" i="2"/>
  <c r="P829" i="2"/>
  <c r="R851" i="2"/>
  <c r="S851" i="2"/>
  <c r="P783" i="2"/>
  <c r="R805" i="2"/>
  <c r="S805" i="2"/>
  <c r="P733" i="2"/>
  <c r="R755" i="2"/>
  <c r="S755" i="2"/>
  <c r="P685" i="2"/>
  <c r="R707" i="2"/>
  <c r="S707" i="2"/>
  <c r="P639" i="2"/>
  <c r="R661" i="2"/>
  <c r="S661" i="2"/>
  <c r="P588" i="2"/>
  <c r="R610" i="2"/>
  <c r="S610" i="2"/>
  <c r="P543" i="2"/>
  <c r="R565" i="2"/>
  <c r="S565" i="2"/>
  <c r="P492" i="2"/>
  <c r="S514" i="2"/>
  <c r="R514" i="2"/>
  <c r="P447" i="2"/>
  <c r="S469" i="2"/>
  <c r="R469" i="2"/>
  <c r="P397" i="2"/>
  <c r="R419" i="2"/>
  <c r="S419" i="2"/>
  <c r="P349" i="2"/>
  <c r="S371" i="2"/>
  <c r="R371" i="2"/>
  <c r="P301" i="2"/>
  <c r="S323" i="2"/>
  <c r="R323" i="2"/>
  <c r="P253" i="2"/>
  <c r="S275" i="2"/>
  <c r="R275" i="2"/>
  <c r="P205" i="2"/>
  <c r="R227" i="2"/>
  <c r="S227" i="2"/>
  <c r="S177" i="2"/>
  <c r="R177" i="2"/>
  <c r="P155" i="2"/>
  <c r="R130" i="2"/>
  <c r="P108" i="2"/>
  <c r="S130" i="2"/>
  <c r="C69" i="38"/>
  <c r="C48" i="38"/>
  <c r="C59" i="38"/>
  <c r="O180" i="19" l="1"/>
  <c r="O158" i="19"/>
  <c r="O134" i="19"/>
  <c r="O112" i="19"/>
  <c r="O86" i="19"/>
  <c r="O64" i="19"/>
  <c r="P159" i="5"/>
  <c r="P112" i="5"/>
  <c r="P64" i="5"/>
  <c r="P16" i="5"/>
  <c r="P159" i="20"/>
  <c r="P112" i="20"/>
  <c r="P63" i="20"/>
  <c r="P350" i="4"/>
  <c r="R372" i="4"/>
  <c r="S372" i="4"/>
  <c r="P302" i="4"/>
  <c r="S324" i="4"/>
  <c r="R324" i="4"/>
  <c r="P254" i="4"/>
  <c r="R276" i="4"/>
  <c r="S276" i="4"/>
  <c r="P207" i="4"/>
  <c r="R229" i="4"/>
  <c r="S229" i="4"/>
  <c r="P158" i="4"/>
  <c r="S180" i="4"/>
  <c r="R180" i="4"/>
  <c r="R133" i="4"/>
  <c r="P111" i="4"/>
  <c r="S133" i="4"/>
  <c r="S85" i="4"/>
  <c r="R85" i="4"/>
  <c r="P63" i="4"/>
  <c r="P15" i="4"/>
  <c r="R37" i="4"/>
  <c r="S37" i="4"/>
  <c r="S1669" i="2"/>
  <c r="P1647" i="2"/>
  <c r="R1669" i="2"/>
  <c r="P1598" i="2"/>
  <c r="R1620" i="2"/>
  <c r="S1620" i="2"/>
  <c r="P1551" i="2"/>
  <c r="R1573" i="2"/>
  <c r="S1573" i="2"/>
  <c r="P1503" i="2"/>
  <c r="S1525" i="2"/>
  <c r="R1525" i="2"/>
  <c r="S1477" i="2"/>
  <c r="P1455" i="2"/>
  <c r="R1477" i="2"/>
  <c r="P1407" i="2"/>
  <c r="R1429" i="2"/>
  <c r="S1429" i="2"/>
  <c r="P1359" i="2"/>
  <c r="S1381" i="2"/>
  <c r="R1381" i="2"/>
  <c r="P1311" i="2"/>
  <c r="S1333" i="2"/>
  <c r="R1333" i="2"/>
  <c r="P1263" i="2"/>
  <c r="R1285" i="2"/>
  <c r="S1285" i="2"/>
  <c r="P1215" i="2"/>
  <c r="S1237" i="2"/>
  <c r="R1237" i="2"/>
  <c r="P1167" i="2"/>
  <c r="R1189" i="2"/>
  <c r="S1189" i="2"/>
  <c r="P1119" i="2"/>
  <c r="R1141" i="2"/>
  <c r="S1141" i="2"/>
  <c r="P1070" i="2"/>
  <c r="R1092" i="2"/>
  <c r="S1092" i="2"/>
  <c r="P1021" i="2"/>
  <c r="R1043" i="2"/>
  <c r="S1043" i="2"/>
  <c r="P974" i="2"/>
  <c r="S996" i="2"/>
  <c r="R996" i="2"/>
  <c r="P926" i="2"/>
  <c r="R948" i="2"/>
  <c r="S948" i="2"/>
  <c r="P877" i="2"/>
  <c r="R899" i="2"/>
  <c r="S899" i="2"/>
  <c r="P830" i="2"/>
  <c r="S852" i="2"/>
  <c r="R852" i="2"/>
  <c r="P784" i="2"/>
  <c r="R806" i="2"/>
  <c r="S806" i="2"/>
  <c r="P734" i="2"/>
  <c r="S756" i="2"/>
  <c r="R756" i="2"/>
  <c r="P686" i="2"/>
  <c r="R708" i="2"/>
  <c r="S708" i="2"/>
  <c r="P640" i="2"/>
  <c r="S662" i="2"/>
  <c r="R662" i="2"/>
  <c r="P589" i="2"/>
  <c r="R611" i="2"/>
  <c r="S611" i="2"/>
  <c r="R566" i="2"/>
  <c r="P544" i="2"/>
  <c r="S566" i="2"/>
  <c r="R515" i="2"/>
  <c r="P493" i="2"/>
  <c r="S515" i="2"/>
  <c r="P448" i="2"/>
  <c r="R470" i="2"/>
  <c r="S470" i="2"/>
  <c r="P398" i="2"/>
  <c r="S420" i="2"/>
  <c r="R420" i="2"/>
  <c r="P350" i="2"/>
  <c r="S372" i="2"/>
  <c r="R372" i="2"/>
  <c r="P302" i="2"/>
  <c r="S324" i="2"/>
  <c r="R324" i="2"/>
  <c r="P254" i="2"/>
  <c r="S276" i="2"/>
  <c r="R276" i="2"/>
  <c r="P206" i="2"/>
  <c r="R228" i="2"/>
  <c r="S228" i="2"/>
  <c r="R178" i="2"/>
  <c r="S178" i="2"/>
  <c r="P156" i="2"/>
  <c r="P109" i="2"/>
  <c r="S131" i="2"/>
  <c r="R131" i="2"/>
  <c r="A41" i="40"/>
  <c r="A42" i="40"/>
  <c r="A43" i="40"/>
  <c r="A40" i="40"/>
  <c r="O181" i="19" l="1"/>
  <c r="O159" i="19"/>
  <c r="O135" i="19"/>
  <c r="O113" i="19"/>
  <c r="O87" i="19"/>
  <c r="O65" i="19"/>
  <c r="P160" i="5"/>
  <c r="P113" i="5"/>
  <c r="P65" i="5"/>
  <c r="P17" i="5"/>
  <c r="P160" i="20"/>
  <c r="P113" i="20"/>
  <c r="P64" i="20"/>
  <c r="P351" i="4"/>
  <c r="S373" i="4"/>
  <c r="R373" i="4"/>
  <c r="P303" i="4"/>
  <c r="S325" i="4"/>
  <c r="R325" i="4"/>
  <c r="P255" i="4"/>
  <c r="S277" i="4"/>
  <c r="R277" i="4"/>
  <c r="P208" i="4"/>
  <c r="S230" i="4"/>
  <c r="R230" i="4"/>
  <c r="P159" i="4"/>
  <c r="R181" i="4"/>
  <c r="S181" i="4"/>
  <c r="P112" i="4"/>
  <c r="S134" i="4"/>
  <c r="R134" i="4"/>
  <c r="P64" i="4"/>
  <c r="S86" i="4"/>
  <c r="R86" i="4"/>
  <c r="P16" i="4"/>
  <c r="S38" i="4"/>
  <c r="R38" i="4"/>
  <c r="P1648" i="2"/>
  <c r="S1670" i="2"/>
  <c r="R1670" i="2"/>
  <c r="S1621" i="2"/>
  <c r="P1599" i="2"/>
  <c r="R1621" i="2"/>
  <c r="P1552" i="2"/>
  <c r="S1574" i="2"/>
  <c r="R1574" i="2"/>
  <c r="P1504" i="2"/>
  <c r="R1526" i="2"/>
  <c r="S1526" i="2"/>
  <c r="P1456" i="2"/>
  <c r="S1478" i="2"/>
  <c r="R1478" i="2"/>
  <c r="P1408" i="2"/>
  <c r="R1430" i="2"/>
  <c r="S1430" i="2"/>
  <c r="P1360" i="2"/>
  <c r="R1382" i="2"/>
  <c r="S1382" i="2"/>
  <c r="P1312" i="2"/>
  <c r="R1334" i="2"/>
  <c r="S1334" i="2"/>
  <c r="P1264" i="2"/>
  <c r="R1286" i="2"/>
  <c r="S1286" i="2"/>
  <c r="P1216" i="2"/>
  <c r="R1238" i="2"/>
  <c r="S1238" i="2"/>
  <c r="P1168" i="2"/>
  <c r="R1190" i="2"/>
  <c r="S1190" i="2"/>
  <c r="P1120" i="2"/>
  <c r="R1142" i="2"/>
  <c r="S1142" i="2"/>
  <c r="P1071" i="2"/>
  <c r="S1093" i="2"/>
  <c r="R1093" i="2"/>
  <c r="P1022" i="2"/>
  <c r="R1044" i="2"/>
  <c r="S1044" i="2"/>
  <c r="P975" i="2"/>
  <c r="R997" i="2"/>
  <c r="S997" i="2"/>
  <c r="P927" i="2"/>
  <c r="S949" i="2"/>
  <c r="R949" i="2"/>
  <c r="P878" i="2"/>
  <c r="S900" i="2"/>
  <c r="R900" i="2"/>
  <c r="P831" i="2"/>
  <c r="R853" i="2"/>
  <c r="S853" i="2"/>
  <c r="P785" i="2"/>
  <c r="S807" i="2"/>
  <c r="R807" i="2"/>
  <c r="P735" i="2"/>
  <c r="R757" i="2"/>
  <c r="S757" i="2"/>
  <c r="R709" i="2"/>
  <c r="P687" i="2"/>
  <c r="S709" i="2"/>
  <c r="P641" i="2"/>
  <c r="R663" i="2"/>
  <c r="S663" i="2"/>
  <c r="P590" i="2"/>
  <c r="S612" i="2"/>
  <c r="R612" i="2"/>
  <c r="S567" i="2"/>
  <c r="P545" i="2"/>
  <c r="R567" i="2"/>
  <c r="P494" i="2"/>
  <c r="R516" i="2"/>
  <c r="S516" i="2"/>
  <c r="P449" i="2"/>
  <c r="S471" i="2"/>
  <c r="R471" i="2"/>
  <c r="P399" i="2"/>
  <c r="S421" i="2"/>
  <c r="R421" i="2"/>
  <c r="S373" i="2"/>
  <c r="P351" i="2"/>
  <c r="R373" i="2"/>
  <c r="S325" i="2"/>
  <c r="P303" i="2"/>
  <c r="R325" i="2"/>
  <c r="P255" i="2"/>
  <c r="R277" i="2"/>
  <c r="S277" i="2"/>
  <c r="P207" i="2"/>
  <c r="R229" i="2"/>
  <c r="S229" i="2"/>
  <c r="S179" i="2"/>
  <c r="R179" i="2"/>
  <c r="P157" i="2"/>
  <c r="P110" i="2"/>
  <c r="S132" i="2"/>
  <c r="R132" i="2"/>
  <c r="J105" i="38"/>
  <c r="I105" i="38"/>
  <c r="H105" i="38"/>
  <c r="K31" i="38"/>
  <c r="J31" i="38"/>
  <c r="I31" i="38"/>
  <c r="H31" i="38"/>
  <c r="J28" i="38"/>
  <c r="I28" i="38"/>
  <c r="H28" i="38"/>
  <c r="O182" i="19" l="1"/>
  <c r="O160" i="19"/>
  <c r="O136" i="19"/>
  <c r="O137" i="19" s="1"/>
  <c r="L83" i="36" s="1"/>
  <c r="O88" i="19"/>
  <c r="O89" i="19" s="1"/>
  <c r="L82" i="36" s="1"/>
  <c r="P161" i="5"/>
  <c r="P161" i="20"/>
  <c r="P65" i="20"/>
  <c r="P352" i="4"/>
  <c r="R374" i="4"/>
  <c r="S374" i="4"/>
  <c r="P304" i="4"/>
  <c r="R326" i="4"/>
  <c r="S326" i="4"/>
  <c r="P256" i="4"/>
  <c r="R278" i="4"/>
  <c r="S278" i="4"/>
  <c r="P209" i="4"/>
  <c r="S231" i="4"/>
  <c r="R231" i="4"/>
  <c r="P160" i="4"/>
  <c r="R182" i="4"/>
  <c r="S182" i="4"/>
  <c r="P113" i="4"/>
  <c r="R135" i="4"/>
  <c r="S135" i="4"/>
  <c r="P65" i="4"/>
  <c r="S87" i="4"/>
  <c r="R87" i="4"/>
  <c r="P17" i="4"/>
  <c r="R39" i="4"/>
  <c r="S39" i="4"/>
  <c r="P1649" i="2"/>
  <c r="S1671" i="2"/>
  <c r="R1671" i="2"/>
  <c r="P1600" i="2"/>
  <c r="R1622" i="2"/>
  <c r="S1622" i="2"/>
  <c r="R1575" i="2"/>
  <c r="P1553" i="2"/>
  <c r="S1575" i="2"/>
  <c r="P1505" i="2"/>
  <c r="S1527" i="2"/>
  <c r="R1527" i="2"/>
  <c r="P1457" i="2"/>
  <c r="R1479" i="2"/>
  <c r="S1479" i="2"/>
  <c r="P1409" i="2"/>
  <c r="R1431" i="2"/>
  <c r="S1431" i="2"/>
  <c r="P1361" i="2"/>
  <c r="R1383" i="2"/>
  <c r="S1383" i="2"/>
  <c r="P1313" i="2"/>
  <c r="R1335" i="2"/>
  <c r="S1335" i="2"/>
  <c r="P1265" i="2"/>
  <c r="R1287" i="2"/>
  <c r="S1287" i="2"/>
  <c r="S1239" i="2"/>
  <c r="P1217" i="2"/>
  <c r="R1239" i="2"/>
  <c r="P1169" i="2"/>
  <c r="S1191" i="2"/>
  <c r="R1191" i="2"/>
  <c r="P1121" i="2"/>
  <c r="R1143" i="2"/>
  <c r="S1143" i="2"/>
  <c r="P1072" i="2"/>
  <c r="R1094" i="2"/>
  <c r="S1094" i="2"/>
  <c r="P1023" i="2"/>
  <c r="S1045" i="2"/>
  <c r="R1045" i="2"/>
  <c r="P976" i="2"/>
  <c r="R998" i="2"/>
  <c r="S998" i="2"/>
  <c r="P928" i="2"/>
  <c r="R950" i="2"/>
  <c r="S950" i="2"/>
  <c r="P879" i="2"/>
  <c r="R901" i="2"/>
  <c r="S901" i="2"/>
  <c r="P832" i="2"/>
  <c r="S854" i="2"/>
  <c r="R854" i="2"/>
  <c r="S808" i="2"/>
  <c r="R808" i="2"/>
  <c r="P736" i="2"/>
  <c r="R758" i="2"/>
  <c r="S758" i="2"/>
  <c r="P688" i="2"/>
  <c r="R710" i="2"/>
  <c r="S710" i="2"/>
  <c r="S664" i="2"/>
  <c r="R664" i="2"/>
  <c r="P591" i="2"/>
  <c r="R613" i="2"/>
  <c r="S613" i="2"/>
  <c r="R568" i="2"/>
  <c r="S568" i="2"/>
  <c r="P495" i="2"/>
  <c r="S517" i="2"/>
  <c r="R517" i="2"/>
  <c r="S472" i="2"/>
  <c r="R472" i="2"/>
  <c r="P400" i="2"/>
  <c r="R422" i="2"/>
  <c r="S422" i="2"/>
  <c r="P352" i="2"/>
  <c r="R374" i="2"/>
  <c r="S374" i="2"/>
  <c r="P304" i="2"/>
  <c r="R326" i="2"/>
  <c r="S326" i="2"/>
  <c r="P256" i="2"/>
  <c r="R278" i="2"/>
  <c r="S278" i="2"/>
  <c r="P208" i="2"/>
  <c r="R230" i="2"/>
  <c r="S230" i="2"/>
  <c r="S180" i="2"/>
  <c r="R180" i="2"/>
  <c r="P158" i="2"/>
  <c r="P111" i="2"/>
  <c r="R133" i="2"/>
  <c r="S133" i="2"/>
  <c r="C73" i="34"/>
  <c r="C59" i="34"/>
  <c r="O183" i="19" l="1"/>
  <c r="O161" i="19"/>
  <c r="P353" i="4"/>
  <c r="R375" i="4"/>
  <c r="S375" i="4"/>
  <c r="S327" i="4"/>
  <c r="R327" i="4"/>
  <c r="P305" i="4"/>
  <c r="P257" i="4"/>
  <c r="R279" i="4"/>
  <c r="S279" i="4"/>
  <c r="R232" i="4"/>
  <c r="S232" i="4"/>
  <c r="P161" i="4"/>
  <c r="S183" i="4"/>
  <c r="R183" i="4"/>
  <c r="R136" i="4"/>
  <c r="S136" i="4"/>
  <c r="R88" i="4"/>
  <c r="S88" i="4"/>
  <c r="S40" i="4"/>
  <c r="R40" i="4"/>
  <c r="R1672" i="2"/>
  <c r="S1672" i="2"/>
  <c r="P1601" i="2"/>
  <c r="R1623" i="2"/>
  <c r="S1623" i="2"/>
  <c r="R1576" i="2"/>
  <c r="S1576" i="2"/>
  <c r="S1528" i="2"/>
  <c r="R1528" i="2"/>
  <c r="S1480" i="2"/>
  <c r="R1480" i="2"/>
  <c r="R1432" i="2"/>
  <c r="S1432" i="2"/>
  <c r="R1384" i="2"/>
  <c r="S1384" i="2"/>
  <c r="R1336" i="2"/>
  <c r="S1336" i="2"/>
  <c r="R1288" i="2"/>
  <c r="S1288" i="2"/>
  <c r="S1240" i="2"/>
  <c r="R1240" i="2"/>
  <c r="R1192" i="2"/>
  <c r="S1192" i="2"/>
  <c r="R1144" i="2"/>
  <c r="S1144" i="2"/>
  <c r="P1073" i="2"/>
  <c r="R1095" i="2"/>
  <c r="S1095" i="2"/>
  <c r="P1024" i="2"/>
  <c r="R1046" i="2"/>
  <c r="S1046" i="2"/>
  <c r="P977" i="2"/>
  <c r="S999" i="2"/>
  <c r="R999" i="2"/>
  <c r="P929" i="2"/>
  <c r="R951" i="2"/>
  <c r="S951" i="2"/>
  <c r="P880" i="2"/>
  <c r="S902" i="2"/>
  <c r="R902" i="2"/>
  <c r="P833" i="2"/>
  <c r="R855" i="2"/>
  <c r="S855" i="2"/>
  <c r="P737" i="2"/>
  <c r="S759" i="2"/>
  <c r="R759" i="2"/>
  <c r="P689" i="2"/>
  <c r="R711" i="2"/>
  <c r="S711" i="2"/>
  <c r="P592" i="2"/>
  <c r="S614" i="2"/>
  <c r="R614" i="2"/>
  <c r="R518" i="2"/>
  <c r="P496" i="2"/>
  <c r="S518" i="2"/>
  <c r="P401" i="2"/>
  <c r="R423" i="2"/>
  <c r="S423" i="2"/>
  <c r="P353" i="2"/>
  <c r="S375" i="2"/>
  <c r="R375" i="2"/>
  <c r="P305" i="2"/>
  <c r="R327" i="2"/>
  <c r="S327" i="2"/>
  <c r="P257" i="2"/>
  <c r="R279" i="2"/>
  <c r="S279" i="2"/>
  <c r="R231" i="2"/>
  <c r="P209" i="2"/>
  <c r="S231" i="2"/>
  <c r="R181" i="2"/>
  <c r="S181" i="2"/>
  <c r="P159" i="2"/>
  <c r="P112" i="2"/>
  <c r="S134" i="2"/>
  <c r="R134" i="2"/>
  <c r="O184" i="19" l="1"/>
  <c r="O185" i="19" s="1"/>
  <c r="L84" i="36" s="1"/>
  <c r="R376" i="4"/>
  <c r="S376" i="4"/>
  <c r="R328" i="4"/>
  <c r="S328" i="4"/>
  <c r="R280" i="4"/>
  <c r="S280" i="4"/>
  <c r="S184" i="4"/>
  <c r="R184" i="4"/>
  <c r="S1624" i="2"/>
  <c r="R1624" i="2"/>
  <c r="R1096" i="2"/>
  <c r="S1096" i="2"/>
  <c r="P1025" i="2"/>
  <c r="R1047" i="2"/>
  <c r="S1047" i="2"/>
  <c r="R1000" i="2"/>
  <c r="S1000" i="2"/>
  <c r="S952" i="2"/>
  <c r="R952" i="2"/>
  <c r="P881" i="2"/>
  <c r="R903" i="2"/>
  <c r="S903" i="2"/>
  <c r="R856" i="2"/>
  <c r="S856" i="2"/>
  <c r="R760" i="2"/>
  <c r="S760" i="2"/>
  <c r="R712" i="2"/>
  <c r="S712" i="2"/>
  <c r="P593" i="2"/>
  <c r="S615" i="2"/>
  <c r="R615" i="2"/>
  <c r="P497" i="2"/>
  <c r="R519" i="2"/>
  <c r="S519" i="2"/>
  <c r="S424" i="2"/>
  <c r="R424" i="2"/>
  <c r="S376" i="2"/>
  <c r="R376" i="2"/>
  <c r="S328" i="2"/>
  <c r="R328" i="2"/>
  <c r="R280" i="2"/>
  <c r="S280" i="2"/>
  <c r="R232" i="2"/>
  <c r="S232" i="2"/>
  <c r="S182" i="2"/>
  <c r="R182" i="2"/>
  <c r="P160" i="2"/>
  <c r="P113" i="2"/>
  <c r="S135" i="2"/>
  <c r="R135" i="2"/>
  <c r="E31" i="39"/>
  <c r="S1048" i="2" l="1"/>
  <c r="R1048" i="2"/>
  <c r="R904" i="2"/>
  <c r="S904" i="2"/>
  <c r="R616" i="2"/>
  <c r="S616" i="2"/>
  <c r="R520" i="2"/>
  <c r="S520" i="2"/>
  <c r="S183" i="2"/>
  <c r="R183" i="2"/>
  <c r="P161" i="2"/>
  <c r="R136" i="2"/>
  <c r="S136" i="2"/>
  <c r="I31" i="39"/>
  <c r="I30" i="39"/>
  <c r="R184" i="2" l="1"/>
  <c r="S184" i="2"/>
  <c r="L29" i="39"/>
  <c r="L30" i="39"/>
  <c r="L31" i="39"/>
  <c r="L28" i="39"/>
  <c r="K29" i="39"/>
  <c r="K31" i="39"/>
  <c r="K28" i="39"/>
  <c r="E30" i="39"/>
  <c r="K30" i="39" s="1"/>
  <c r="D31" i="39"/>
  <c r="C31" i="39" s="1"/>
  <c r="D30" i="39"/>
  <c r="C30" i="39" l="1"/>
  <c r="C64" i="34" s="1"/>
  <c r="C65" i="34"/>
  <c r="C107" i="38"/>
  <c r="C37" i="38"/>
  <c r="D8" i="2" l="1"/>
  <c r="D7" i="2"/>
  <c r="L27" i="13" l="1"/>
  <c r="K27" i="13"/>
  <c r="J27" i="13"/>
  <c r="H27" i="13"/>
  <c r="B2" i="35" l="1"/>
  <c r="B1" i="35"/>
  <c r="D16" i="36" l="1"/>
  <c r="G6" i="38" l="1"/>
  <c r="B15" i="13"/>
  <c r="O5" i="1" l="1"/>
  <c r="F9" i="23" s="1"/>
  <c r="N3" i="1"/>
  <c r="D1" i="1"/>
  <c r="D3" i="1"/>
  <c r="D2" i="1"/>
  <c r="I3" i="14" l="1"/>
  <c r="F3" i="23"/>
  <c r="N147" i="5"/>
  <c r="N51" i="5"/>
  <c r="N99" i="5"/>
  <c r="D99" i="5"/>
  <c r="B3" i="23"/>
  <c r="B3" i="14"/>
  <c r="D51" i="5"/>
  <c r="D147" i="5"/>
  <c r="D3" i="5"/>
  <c r="B2" i="14"/>
  <c r="D146" i="5"/>
  <c r="D50" i="5"/>
  <c r="B2" i="23"/>
  <c r="D98" i="5"/>
  <c r="D2" i="5"/>
  <c r="B1" i="23"/>
  <c r="D49" i="5"/>
  <c r="D1" i="5"/>
  <c r="B1" i="14"/>
  <c r="D145" i="5"/>
  <c r="D97" i="5"/>
  <c r="N147" i="20"/>
  <c r="N99" i="20"/>
  <c r="N51" i="20"/>
  <c r="N3" i="20"/>
  <c r="D147" i="20"/>
  <c r="D99" i="20"/>
  <c r="D291" i="8"/>
  <c r="D339" i="8"/>
  <c r="D387" i="8"/>
  <c r="D51" i="20"/>
  <c r="D3" i="20"/>
  <c r="D435" i="7"/>
  <c r="D195" i="6"/>
  <c r="D531" i="7"/>
  <c r="D243" i="6"/>
  <c r="D147" i="6"/>
  <c r="D291" i="6"/>
  <c r="D483" i="7"/>
  <c r="D387" i="7"/>
  <c r="D243" i="8"/>
  <c r="D243" i="13"/>
  <c r="D195" i="13"/>
  <c r="D99" i="13"/>
  <c r="D51" i="13"/>
  <c r="D3" i="13"/>
  <c r="D147" i="13"/>
  <c r="D338" i="8"/>
  <c r="D2" i="20"/>
  <c r="D386" i="8"/>
  <c r="D290" i="8"/>
  <c r="D146" i="20"/>
  <c r="D50" i="20"/>
  <c r="D98" i="20"/>
  <c r="D242" i="8"/>
  <c r="D530" i="7"/>
  <c r="D386" i="7"/>
  <c r="D146" i="6"/>
  <c r="D434" i="7"/>
  <c r="D290" i="6"/>
  <c r="D194" i="6"/>
  <c r="D482" i="7"/>
  <c r="D242" i="6"/>
  <c r="D50" i="13"/>
  <c r="D146" i="13"/>
  <c r="D242" i="13"/>
  <c r="D2" i="13"/>
  <c r="D194" i="13"/>
  <c r="D98" i="13"/>
  <c r="D49" i="20"/>
  <c r="D289" i="8"/>
  <c r="D145" i="20"/>
  <c r="D1" i="20"/>
  <c r="D337" i="8"/>
  <c r="D385" i="8"/>
  <c r="D97" i="20"/>
  <c r="D145" i="6"/>
  <c r="D241" i="8"/>
  <c r="D241" i="6"/>
  <c r="D481" i="7"/>
  <c r="D193" i="6"/>
  <c r="D529" i="7"/>
  <c r="D433" i="7"/>
  <c r="D385" i="7"/>
  <c r="D289" i="6"/>
  <c r="D241" i="13"/>
  <c r="D49" i="13"/>
  <c r="D1" i="13"/>
  <c r="D193" i="13"/>
  <c r="D97" i="13"/>
  <c r="D145" i="13"/>
  <c r="N339" i="8"/>
  <c r="N387" i="8"/>
  <c r="N291" i="8"/>
  <c r="N243" i="8"/>
  <c r="N387" i="7"/>
  <c r="N531" i="7"/>
  <c r="N243" i="6"/>
  <c r="N483" i="7"/>
  <c r="N195" i="6"/>
  <c r="N147" i="6"/>
  <c r="N435" i="7"/>
  <c r="N291" i="6"/>
  <c r="N147" i="13"/>
  <c r="N195" i="8"/>
  <c r="N99" i="13"/>
  <c r="N3" i="13"/>
  <c r="N99" i="17"/>
  <c r="N51" i="17"/>
  <c r="N3" i="17"/>
  <c r="N243" i="13"/>
  <c r="N99" i="8"/>
  <c r="N51" i="8"/>
  <c r="N3" i="8"/>
  <c r="N195" i="13"/>
  <c r="N51" i="13"/>
  <c r="N147" i="8"/>
  <c r="N195" i="7"/>
  <c r="N99" i="15"/>
  <c r="N147" i="7"/>
  <c r="N99" i="7"/>
  <c r="N51" i="21"/>
  <c r="N3" i="7"/>
  <c r="N99" i="6"/>
  <c r="N3" i="6"/>
  <c r="N51" i="6"/>
  <c r="N339" i="7"/>
  <c r="N291" i="7"/>
  <c r="N51" i="15"/>
  <c r="N243" i="7"/>
  <c r="N99" i="21"/>
  <c r="N3" i="21"/>
  <c r="N51" i="7"/>
  <c r="N3" i="15"/>
  <c r="N3" i="19"/>
  <c r="N1299" i="2"/>
  <c r="N51" i="4"/>
  <c r="N1395" i="2"/>
  <c r="N243" i="4"/>
  <c r="N3" i="4"/>
  <c r="N1203" i="2"/>
  <c r="N1539" i="2"/>
  <c r="N339" i="4"/>
  <c r="N1107" i="2"/>
  <c r="N99" i="19"/>
  <c r="N1443" i="2"/>
  <c r="N291" i="4"/>
  <c r="N99" i="4"/>
  <c r="N1347" i="2"/>
  <c r="N1587" i="2"/>
  <c r="N1635" i="2"/>
  <c r="N147" i="19"/>
  <c r="N147" i="4"/>
  <c r="N1251" i="2"/>
  <c r="N51" i="19"/>
  <c r="N3" i="5"/>
  <c r="N195" i="4"/>
  <c r="N1155" i="2"/>
  <c r="N1491" i="2"/>
  <c r="N1011" i="2"/>
  <c r="N99" i="2"/>
  <c r="N3" i="2"/>
  <c r="N867" i="2"/>
  <c r="N531" i="2"/>
  <c r="N51" i="2"/>
  <c r="N579" i="2"/>
  <c r="N99" i="1"/>
  <c r="N771" i="2"/>
  <c r="N435" i="2"/>
  <c r="N723" i="2"/>
  <c r="N387" i="2"/>
  <c r="N1059" i="2"/>
  <c r="N915" i="2"/>
  <c r="N339" i="2"/>
  <c r="N963" i="2"/>
  <c r="N627" i="2"/>
  <c r="N291" i="2"/>
  <c r="N483" i="2"/>
  <c r="N243" i="2"/>
  <c r="N819" i="2"/>
  <c r="N195" i="2"/>
  <c r="N675" i="2"/>
  <c r="N147" i="2"/>
  <c r="D3" i="17"/>
  <c r="D3" i="8"/>
  <c r="D99" i="17"/>
  <c r="D51" i="8"/>
  <c r="D99" i="8"/>
  <c r="D51" i="17"/>
  <c r="D147" i="8"/>
  <c r="D195" i="8"/>
  <c r="D147" i="7"/>
  <c r="D3" i="7"/>
  <c r="D51" i="6"/>
  <c r="D51" i="15"/>
  <c r="D99" i="7"/>
  <c r="D3" i="6"/>
  <c r="D99" i="15"/>
  <c r="D339" i="7"/>
  <c r="D291" i="7"/>
  <c r="D51" i="21"/>
  <c r="D51" i="7"/>
  <c r="D3" i="21"/>
  <c r="D243" i="7"/>
  <c r="D99" i="21"/>
  <c r="D99" i="6"/>
  <c r="D195" i="7"/>
  <c r="D3" i="15"/>
  <c r="D1347" i="2"/>
  <c r="D1155" i="2"/>
  <c r="D1587" i="2"/>
  <c r="D99" i="4"/>
  <c r="D3" i="4"/>
  <c r="D1395" i="2"/>
  <c r="D147" i="19"/>
  <c r="D147" i="4"/>
  <c r="D1203" i="2"/>
  <c r="D1443" i="2"/>
  <c r="D99" i="19"/>
  <c r="D195" i="4"/>
  <c r="D1491" i="2"/>
  <c r="D1251" i="2"/>
  <c r="D51" i="19"/>
  <c r="D1539" i="2"/>
  <c r="D3" i="19"/>
  <c r="D339" i="4"/>
  <c r="D243" i="4"/>
  <c r="D291" i="4"/>
  <c r="D1635" i="2"/>
  <c r="D1299" i="2"/>
  <c r="D1107" i="2"/>
  <c r="D51" i="4"/>
  <c r="D915" i="2"/>
  <c r="D99" i="2"/>
  <c r="D723" i="2"/>
  <c r="D483" i="2"/>
  <c r="D963" i="2"/>
  <c r="D51" i="2"/>
  <c r="D675" i="2"/>
  <c r="D3" i="2"/>
  <c r="D771" i="2"/>
  <c r="D531" i="2"/>
  <c r="D291" i="2"/>
  <c r="D1011" i="2"/>
  <c r="D579" i="2"/>
  <c r="D339" i="2"/>
  <c r="D243" i="2"/>
  <c r="D99" i="1"/>
  <c r="D819" i="2"/>
  <c r="D1059" i="2"/>
  <c r="D195" i="2"/>
  <c r="D867" i="2"/>
  <c r="D627" i="2"/>
  <c r="D387" i="2"/>
  <c r="D147" i="2"/>
  <c r="D435" i="2"/>
  <c r="D50" i="17"/>
  <c r="D50" i="8"/>
  <c r="D2" i="17"/>
  <c r="D194" i="8"/>
  <c r="D146" i="8"/>
  <c r="D98" i="8"/>
  <c r="D2" i="8"/>
  <c r="D98" i="17"/>
  <c r="D98" i="6"/>
  <c r="D98" i="7"/>
  <c r="D50" i="7"/>
  <c r="D194" i="7"/>
  <c r="D2" i="6"/>
  <c r="D290" i="7"/>
  <c r="D338" i="7"/>
  <c r="D146" i="7"/>
  <c r="D2" i="7"/>
  <c r="D50" i="21"/>
  <c r="D50" i="15"/>
  <c r="D98" i="15"/>
  <c r="D98" i="21"/>
  <c r="D242" i="7"/>
  <c r="D50" i="6"/>
  <c r="D2" i="21"/>
  <c r="D2" i="15"/>
  <c r="D2" i="19"/>
  <c r="D1346" i="2"/>
  <c r="D338" i="4"/>
  <c r="D98" i="19"/>
  <c r="D242" i="4"/>
  <c r="D1250" i="2"/>
  <c r="D1394" i="2"/>
  <c r="D194" i="4"/>
  <c r="D1442" i="2"/>
  <c r="D1106" i="2"/>
  <c r="D1202" i="2"/>
  <c r="D290" i="4"/>
  <c r="D50" i="4"/>
  <c r="D1634" i="2"/>
  <c r="D1538" i="2"/>
  <c r="D1490" i="2"/>
  <c r="D2" i="4"/>
  <c r="D146" i="19"/>
  <c r="D98" i="4"/>
  <c r="D1154" i="2"/>
  <c r="D146" i="4"/>
  <c r="D1586" i="2"/>
  <c r="D50" i="19"/>
  <c r="D1298" i="2"/>
  <c r="D386" i="2"/>
  <c r="D242" i="2"/>
  <c r="D50" i="2"/>
  <c r="D338" i="2"/>
  <c r="D818" i="2"/>
  <c r="D434" i="2"/>
  <c r="D866" i="2"/>
  <c r="D482" i="2"/>
  <c r="D2" i="2"/>
  <c r="D194" i="2"/>
  <c r="D290" i="2"/>
  <c r="D914" i="2"/>
  <c r="D530" i="2"/>
  <c r="D722" i="2"/>
  <c r="D98" i="2"/>
  <c r="D962" i="2"/>
  <c r="D578" i="2"/>
  <c r="D146" i="2"/>
  <c r="D98" i="1"/>
  <c r="D1058" i="2"/>
  <c r="D1010" i="2"/>
  <c r="D626" i="2"/>
  <c r="D674" i="2"/>
  <c r="D770" i="2"/>
  <c r="D1" i="8"/>
  <c r="D49" i="8"/>
  <c r="D97" i="17"/>
  <c r="D49" i="17"/>
  <c r="D1" i="17"/>
  <c r="D97" i="8"/>
  <c r="D193" i="8"/>
  <c r="D145" i="8"/>
  <c r="D241" i="7"/>
  <c r="D1" i="6"/>
  <c r="D1" i="21"/>
  <c r="D1" i="7"/>
  <c r="D97" i="7"/>
  <c r="D337" i="7"/>
  <c r="D193" i="7"/>
  <c r="D97" i="6"/>
  <c r="D49" i="21"/>
  <c r="D97" i="21"/>
  <c r="D289" i="7"/>
  <c r="D49" i="7"/>
  <c r="D49" i="15"/>
  <c r="D49" i="6"/>
  <c r="D97" i="15"/>
  <c r="D145" i="7"/>
  <c r="D1" i="15"/>
  <c r="D1585" i="2"/>
  <c r="D1489" i="2"/>
  <c r="D1441" i="2"/>
  <c r="D1393" i="2"/>
  <c r="D1345" i="2"/>
  <c r="D49" i="19"/>
  <c r="D1" i="19"/>
  <c r="D337" i="4"/>
  <c r="D145" i="19"/>
  <c r="D289" i="4"/>
  <c r="D145" i="4"/>
  <c r="D97" i="4"/>
  <c r="D49" i="4"/>
  <c r="D1105" i="2"/>
  <c r="D241" i="4"/>
  <c r="D193" i="4"/>
  <c r="D1153" i="2"/>
  <c r="D97" i="19"/>
  <c r="D1633" i="2"/>
  <c r="D1201" i="2"/>
  <c r="D1249" i="2"/>
  <c r="D1" i="4"/>
  <c r="D1537" i="2"/>
  <c r="D1297" i="2"/>
  <c r="D1" i="2"/>
  <c r="D337" i="2"/>
  <c r="D289" i="2"/>
  <c r="D145" i="2"/>
  <c r="D481" i="2"/>
  <c r="D433" i="2"/>
  <c r="D385" i="2"/>
  <c r="D577" i="2"/>
  <c r="D529" i="2"/>
  <c r="D721" i="2"/>
  <c r="D673" i="2"/>
  <c r="D625" i="2"/>
  <c r="D769" i="2"/>
  <c r="D241" i="2"/>
  <c r="D97" i="2"/>
  <c r="D97" i="1"/>
  <c r="D865" i="2"/>
  <c r="D817" i="2"/>
  <c r="D961" i="2"/>
  <c r="D913" i="2"/>
  <c r="D1009" i="2"/>
  <c r="D1057" i="2"/>
  <c r="D193" i="2"/>
  <c r="D49" i="2"/>
  <c r="C3" i="43"/>
  <c r="C2" i="43"/>
  <c r="C1" i="43"/>
  <c r="G29" i="42"/>
  <c r="H29" i="42"/>
  <c r="I29" i="42"/>
  <c r="J29" i="42"/>
  <c r="K29" i="42"/>
  <c r="L29" i="42"/>
  <c r="M29" i="42"/>
  <c r="N29" i="42"/>
  <c r="O29" i="42"/>
  <c r="P29" i="42"/>
  <c r="Q29" i="42"/>
  <c r="G30" i="42"/>
  <c r="H30" i="42"/>
  <c r="I30" i="42"/>
  <c r="J30" i="42"/>
  <c r="K30" i="42"/>
  <c r="L30" i="42"/>
  <c r="M30" i="42"/>
  <c r="N30" i="42"/>
  <c r="O30" i="42"/>
  <c r="P30" i="42"/>
  <c r="Q30" i="42"/>
  <c r="G31" i="42"/>
  <c r="H31" i="42"/>
  <c r="I31" i="42"/>
  <c r="J31" i="42"/>
  <c r="K31" i="42"/>
  <c r="L31" i="42"/>
  <c r="M31" i="42"/>
  <c r="N31" i="42"/>
  <c r="O31" i="42"/>
  <c r="P31" i="42"/>
  <c r="Q31" i="42"/>
  <c r="G32" i="42"/>
  <c r="H32" i="42"/>
  <c r="I32" i="42"/>
  <c r="J32" i="42"/>
  <c r="K32" i="42"/>
  <c r="L32" i="42"/>
  <c r="M32" i="42"/>
  <c r="N32" i="42"/>
  <c r="O32" i="42"/>
  <c r="P32" i="42"/>
  <c r="Q32" i="42"/>
  <c r="G33" i="42"/>
  <c r="H33" i="42"/>
  <c r="I33" i="42"/>
  <c r="J33" i="42"/>
  <c r="K33" i="42"/>
  <c r="L33" i="42"/>
  <c r="M33" i="42"/>
  <c r="N33" i="42"/>
  <c r="O33" i="42"/>
  <c r="P33" i="42"/>
  <c r="Q33" i="42"/>
  <c r="G34" i="42"/>
  <c r="H34" i="42"/>
  <c r="I34" i="42"/>
  <c r="J34" i="42"/>
  <c r="K34" i="42"/>
  <c r="L34" i="42"/>
  <c r="M34" i="42"/>
  <c r="N34" i="42"/>
  <c r="O34" i="42"/>
  <c r="P34" i="42"/>
  <c r="Q34" i="42"/>
  <c r="G35" i="42"/>
  <c r="H35" i="42"/>
  <c r="I35" i="42"/>
  <c r="J35" i="42"/>
  <c r="K35" i="42"/>
  <c r="L35" i="42"/>
  <c r="M35" i="42"/>
  <c r="N35" i="42"/>
  <c r="O35" i="42"/>
  <c r="P35" i="42"/>
  <c r="Q35" i="42"/>
  <c r="G36" i="42"/>
  <c r="H36" i="42"/>
  <c r="I36" i="42"/>
  <c r="J36" i="42"/>
  <c r="K36" i="42"/>
  <c r="L36" i="42"/>
  <c r="M36" i="42"/>
  <c r="N36" i="42"/>
  <c r="O36" i="42"/>
  <c r="P36" i="42"/>
  <c r="Q36" i="42"/>
  <c r="F13" i="42"/>
  <c r="G13" i="42"/>
  <c r="H13" i="42"/>
  <c r="I13" i="42"/>
  <c r="J13" i="42"/>
  <c r="K13" i="42"/>
  <c r="L13" i="42"/>
  <c r="M13" i="42"/>
  <c r="N13" i="42"/>
  <c r="O13" i="42"/>
  <c r="P13" i="42"/>
  <c r="Q13" i="42"/>
  <c r="F14" i="42"/>
  <c r="G14" i="42"/>
  <c r="H14" i="42"/>
  <c r="I14" i="42"/>
  <c r="J14" i="42"/>
  <c r="K14" i="42"/>
  <c r="L14" i="42"/>
  <c r="M14" i="42"/>
  <c r="N14" i="42"/>
  <c r="O14" i="42"/>
  <c r="P14" i="42"/>
  <c r="Q14" i="42"/>
  <c r="F15" i="42"/>
  <c r="G15" i="42"/>
  <c r="H15" i="42"/>
  <c r="I15" i="42"/>
  <c r="J15" i="42"/>
  <c r="K15" i="42"/>
  <c r="L15" i="42"/>
  <c r="M15" i="42"/>
  <c r="N15" i="42"/>
  <c r="O15" i="42"/>
  <c r="P15" i="42"/>
  <c r="Q15" i="42"/>
  <c r="F16" i="42"/>
  <c r="G16" i="42"/>
  <c r="H16" i="42"/>
  <c r="I16" i="42"/>
  <c r="J16" i="42"/>
  <c r="K16" i="42"/>
  <c r="L16" i="42"/>
  <c r="M16" i="42"/>
  <c r="N16" i="42"/>
  <c r="O16" i="42"/>
  <c r="P16" i="42"/>
  <c r="Q16" i="42"/>
  <c r="F17" i="42"/>
  <c r="G17" i="42"/>
  <c r="H17" i="42"/>
  <c r="I17" i="42"/>
  <c r="J17" i="42"/>
  <c r="K17" i="42"/>
  <c r="L17" i="42"/>
  <c r="M17" i="42"/>
  <c r="N17" i="42"/>
  <c r="O17" i="42"/>
  <c r="P17" i="42"/>
  <c r="Q17" i="42"/>
  <c r="F18" i="42"/>
  <c r="G18" i="42"/>
  <c r="H18" i="42"/>
  <c r="I18" i="42"/>
  <c r="J18" i="42"/>
  <c r="K18" i="42"/>
  <c r="L18" i="42"/>
  <c r="M18" i="42"/>
  <c r="N18" i="42"/>
  <c r="O18" i="42"/>
  <c r="P18" i="42"/>
  <c r="Q18" i="42"/>
  <c r="F19" i="42"/>
  <c r="G19" i="42"/>
  <c r="H19" i="42"/>
  <c r="I19" i="42"/>
  <c r="J19" i="42"/>
  <c r="K19" i="42"/>
  <c r="L19" i="42"/>
  <c r="M19" i="42"/>
  <c r="N19" i="42"/>
  <c r="O19" i="42"/>
  <c r="P19" i="42"/>
  <c r="Q19" i="42"/>
  <c r="G12" i="42"/>
  <c r="H12" i="42"/>
  <c r="I12" i="42"/>
  <c r="J12" i="42"/>
  <c r="K12" i="42"/>
  <c r="L12" i="42"/>
  <c r="M12" i="42"/>
  <c r="N12" i="42"/>
  <c r="O12" i="42"/>
  <c r="P12" i="42"/>
  <c r="Q12" i="42"/>
  <c r="F36" i="42"/>
  <c r="F35" i="42"/>
  <c r="F34" i="42"/>
  <c r="F33" i="42"/>
  <c r="F32" i="42"/>
  <c r="F31" i="42"/>
  <c r="F30" i="42"/>
  <c r="F29" i="42"/>
  <c r="F12" i="42"/>
  <c r="C3" i="42"/>
  <c r="C2" i="42"/>
  <c r="C1" i="42"/>
  <c r="A4" i="41"/>
  <c r="A3" i="41"/>
  <c r="A2" i="41"/>
  <c r="B96" i="40"/>
  <c r="B95" i="40"/>
  <c r="B94" i="40"/>
  <c r="B93" i="40"/>
  <c r="B92" i="40"/>
  <c r="B91" i="40"/>
  <c r="B89" i="40"/>
  <c r="B90" i="40"/>
  <c r="B86" i="40"/>
  <c r="B85" i="40"/>
  <c r="B84" i="40"/>
  <c r="B83" i="40"/>
  <c r="B80" i="40"/>
  <c r="B79" i="40"/>
  <c r="B78" i="40"/>
  <c r="B77" i="40"/>
  <c r="B75" i="40"/>
  <c r="B76" i="40"/>
  <c r="B74" i="40"/>
  <c r="B73" i="40"/>
  <c r="B72" i="40"/>
  <c r="B71" i="40"/>
  <c r="B70" i="40"/>
  <c r="B69" i="40"/>
  <c r="B68" i="40"/>
  <c r="B67" i="40"/>
  <c r="B64" i="40"/>
  <c r="B63" i="40"/>
  <c r="B62" i="40"/>
  <c r="B61" i="40"/>
  <c r="B60" i="40"/>
  <c r="B59" i="40"/>
  <c r="B58" i="40"/>
  <c r="B57" i="40"/>
  <c r="B54" i="40"/>
  <c r="B53" i="40"/>
  <c r="B52" i="40"/>
  <c r="B51" i="40"/>
  <c r="B50" i="40"/>
  <c r="B49" i="40"/>
  <c r="B48" i="40"/>
  <c r="B47" i="40"/>
  <c r="B46" i="40"/>
  <c r="B43" i="40"/>
  <c r="B42" i="40"/>
  <c r="B41" i="40"/>
  <c r="B40" i="40"/>
  <c r="B39" i="40"/>
  <c r="B38" i="40"/>
  <c r="B37" i="40"/>
  <c r="B36" i="40"/>
  <c r="B35" i="40"/>
  <c r="B30" i="40"/>
  <c r="B29" i="40"/>
  <c r="B28" i="40"/>
  <c r="B25" i="40"/>
  <c r="B24" i="40"/>
  <c r="B23" i="40"/>
  <c r="B22" i="40"/>
  <c r="B103" i="40"/>
  <c r="B102" i="40"/>
  <c r="B101" i="40"/>
  <c r="B109" i="40"/>
  <c r="B108" i="40"/>
  <c r="B117" i="40"/>
  <c r="B116" i="40"/>
  <c r="B115" i="40"/>
  <c r="B114" i="40"/>
  <c r="B124" i="40"/>
  <c r="B123" i="40"/>
  <c r="B122" i="40"/>
  <c r="B131" i="40"/>
  <c r="B130" i="40"/>
  <c r="B129" i="40"/>
  <c r="A165" i="40"/>
  <c r="A164" i="40"/>
  <c r="A158" i="40"/>
  <c r="A157" i="40"/>
  <c r="A156" i="40"/>
  <c r="A155" i="40"/>
  <c r="A146" i="40"/>
  <c r="A145" i="40"/>
  <c r="A144" i="40"/>
  <c r="A142" i="40"/>
  <c r="A143" i="40"/>
  <c r="A141" i="40"/>
  <c r="A140" i="40"/>
  <c r="A139" i="40"/>
  <c r="A138" i="40"/>
  <c r="A131" i="40"/>
  <c r="A130" i="40"/>
  <c r="A129" i="40"/>
  <c r="A124" i="40"/>
  <c r="A123" i="40"/>
  <c r="A122" i="40"/>
  <c r="A117" i="40"/>
  <c r="A116" i="40"/>
  <c r="A115" i="40"/>
  <c r="A114" i="40"/>
  <c r="A109" i="40"/>
  <c r="A108" i="40"/>
  <c r="A103" i="40"/>
  <c r="A102" i="40"/>
  <c r="A101" i="40"/>
  <c r="A96" i="40"/>
  <c r="A95" i="40"/>
  <c r="A94" i="40"/>
  <c r="A93" i="40"/>
  <c r="A92" i="40"/>
  <c r="A91" i="40"/>
  <c r="A90" i="40"/>
  <c r="A89" i="40"/>
  <c r="A86" i="40"/>
  <c r="A85" i="40"/>
  <c r="A84" i="40"/>
  <c r="A83" i="40"/>
  <c r="A80" i="40"/>
  <c r="A79" i="40"/>
  <c r="A78" i="40"/>
  <c r="A77" i="40"/>
  <c r="A76" i="40"/>
  <c r="A75" i="40"/>
  <c r="A74" i="40"/>
  <c r="A73" i="40"/>
  <c r="A72" i="40"/>
  <c r="A71" i="40"/>
  <c r="A70" i="40"/>
  <c r="A69" i="40"/>
  <c r="A68" i="40"/>
  <c r="A67" i="40"/>
  <c r="A64" i="40"/>
  <c r="A63" i="40"/>
  <c r="A62" i="40"/>
  <c r="A61" i="40"/>
  <c r="A60" i="40"/>
  <c r="A59" i="40"/>
  <c r="A58" i="40"/>
  <c r="A57" i="40"/>
  <c r="A54" i="40"/>
  <c r="A53" i="40"/>
  <c r="A52" i="40"/>
  <c r="A51" i="40"/>
  <c r="A50" i="40"/>
  <c r="A49" i="40"/>
  <c r="A48" i="40"/>
  <c r="A46" i="40"/>
  <c r="A47" i="40"/>
  <c r="A39" i="40"/>
  <c r="A38" i="40"/>
  <c r="A37" i="40"/>
  <c r="A36" i="40"/>
  <c r="A35" i="40"/>
  <c r="A30" i="40"/>
  <c r="A29" i="40"/>
  <c r="A28" i="40"/>
  <c r="A25" i="40"/>
  <c r="A24" i="40"/>
  <c r="A23" i="40"/>
  <c r="A22" i="40"/>
  <c r="B16" i="40"/>
  <c r="A26" i="41" s="1"/>
  <c r="B15" i="40"/>
  <c r="A24" i="41" s="1"/>
  <c r="B14" i="40"/>
  <c r="A25" i="41" s="1"/>
  <c r="B13" i="40"/>
  <c r="A23" i="41" s="1"/>
  <c r="B12" i="40"/>
  <c r="A22" i="41" s="1"/>
  <c r="B11" i="40"/>
  <c r="A20" i="41" s="1"/>
  <c r="B10" i="40"/>
  <c r="A12" i="41" s="1"/>
  <c r="B9" i="40"/>
  <c r="B8" i="40"/>
  <c r="A17" i="40"/>
  <c r="A16" i="40"/>
  <c r="A15" i="40"/>
  <c r="A14" i="40"/>
  <c r="A13" i="40"/>
  <c r="A12" i="40"/>
  <c r="A11" i="40"/>
  <c r="A10" i="40"/>
  <c r="A9" i="40"/>
  <c r="A8" i="40"/>
  <c r="E158" i="40"/>
  <c r="E157" i="40"/>
  <c r="E156" i="40"/>
  <c r="E146" i="40"/>
  <c r="E145" i="40"/>
  <c r="E144" i="40"/>
  <c r="E143" i="40"/>
  <c r="E142" i="40"/>
  <c r="E141" i="40"/>
  <c r="E140" i="40"/>
  <c r="E139" i="40"/>
  <c r="E130" i="40"/>
  <c r="E124" i="40"/>
  <c r="B39" i="41" s="1"/>
  <c r="E123" i="40"/>
  <c r="D53" i="41" s="1"/>
  <c r="E115" i="40"/>
  <c r="E109" i="40"/>
  <c r="E103" i="40"/>
  <c r="E96" i="40"/>
  <c r="E95" i="40"/>
  <c r="E94" i="40"/>
  <c r="E93" i="40"/>
  <c r="E92" i="40"/>
  <c r="E91" i="40"/>
  <c r="E90" i="40"/>
  <c r="E86" i="40"/>
  <c r="E85" i="40"/>
  <c r="C51" i="41" s="1"/>
  <c r="E84" i="40"/>
  <c r="B49" i="41" s="1"/>
  <c r="E80" i="40"/>
  <c r="E79" i="40"/>
  <c r="E78" i="40"/>
  <c r="E77" i="40"/>
  <c r="E76" i="40"/>
  <c r="E75" i="40"/>
  <c r="E74" i="40"/>
  <c r="E73" i="40"/>
  <c r="E72" i="40"/>
  <c r="E71" i="40"/>
  <c r="E70" i="40"/>
  <c r="E69" i="40"/>
  <c r="E68" i="40"/>
  <c r="E64" i="40"/>
  <c r="E62" i="40"/>
  <c r="E54" i="40"/>
  <c r="E53" i="40"/>
  <c r="E51" i="40"/>
  <c r="E43" i="40"/>
  <c r="E41" i="40"/>
  <c r="E30" i="40"/>
  <c r="E29" i="40"/>
  <c r="E15" i="40"/>
  <c r="B24" i="41" s="1"/>
  <c r="C165" i="40"/>
  <c r="C166" i="40" s="1"/>
  <c r="C158" i="40"/>
  <c r="C157" i="40"/>
  <c r="H157" i="40" s="1"/>
  <c r="I157" i="40" s="1"/>
  <c r="C156" i="40"/>
  <c r="C146" i="40"/>
  <c r="C145" i="40"/>
  <c r="C144" i="40"/>
  <c r="C143" i="40"/>
  <c r="C142" i="40"/>
  <c r="H142" i="40" s="1"/>
  <c r="I142" i="40" s="1"/>
  <c r="C141" i="40"/>
  <c r="H141" i="40" s="1"/>
  <c r="I141" i="40" s="1"/>
  <c r="C140" i="40"/>
  <c r="H140" i="40" s="1"/>
  <c r="I140" i="40" s="1"/>
  <c r="C139" i="40"/>
  <c r="C131" i="40"/>
  <c r="C130" i="40"/>
  <c r="H130" i="40" s="1"/>
  <c r="I130" i="40" s="1"/>
  <c r="C124" i="40"/>
  <c r="C123" i="40"/>
  <c r="C117" i="40"/>
  <c r="H117" i="40" s="1"/>
  <c r="I117" i="40" s="1"/>
  <c r="C116" i="40"/>
  <c r="H116" i="40" s="1"/>
  <c r="I116" i="40" s="1"/>
  <c r="C115" i="40"/>
  <c r="H115" i="40" s="1"/>
  <c r="I115" i="40" s="1"/>
  <c r="C109" i="40"/>
  <c r="H109" i="40" s="1"/>
  <c r="I109" i="40" s="1"/>
  <c r="C103" i="40"/>
  <c r="C102" i="40"/>
  <c r="H102" i="40" s="1"/>
  <c r="I102" i="40" s="1"/>
  <c r="C96" i="40"/>
  <c r="H96" i="40" s="1"/>
  <c r="I96" i="40" s="1"/>
  <c r="C95" i="40"/>
  <c r="C94" i="40"/>
  <c r="H94" i="40" s="1"/>
  <c r="I94" i="40" s="1"/>
  <c r="C93" i="40"/>
  <c r="H93" i="40" s="1"/>
  <c r="I93" i="40" s="1"/>
  <c r="C92" i="40"/>
  <c r="H92" i="40" s="1"/>
  <c r="I92" i="40" s="1"/>
  <c r="C91" i="40"/>
  <c r="H91" i="40" s="1"/>
  <c r="I91" i="40" s="1"/>
  <c r="C90" i="40"/>
  <c r="H90" i="40" s="1"/>
  <c r="I90" i="40" s="1"/>
  <c r="C86" i="40"/>
  <c r="C85" i="40"/>
  <c r="C84" i="40"/>
  <c r="H84" i="40" s="1"/>
  <c r="I84" i="40" s="1"/>
  <c r="C80" i="40"/>
  <c r="C79" i="40"/>
  <c r="H79" i="40" s="1"/>
  <c r="I79" i="40" s="1"/>
  <c r="C78" i="40"/>
  <c r="H78" i="40" s="1"/>
  <c r="I78" i="40" s="1"/>
  <c r="C77" i="40"/>
  <c r="H77" i="40" s="1"/>
  <c r="I77" i="40" s="1"/>
  <c r="C76" i="40"/>
  <c r="H76" i="40" s="1"/>
  <c r="I76" i="40" s="1"/>
  <c r="C75" i="40"/>
  <c r="H75" i="40" s="1"/>
  <c r="I75" i="40" s="1"/>
  <c r="C74" i="40"/>
  <c r="H74" i="40" s="1"/>
  <c r="I74" i="40" s="1"/>
  <c r="C73" i="40"/>
  <c r="H73" i="40" s="1"/>
  <c r="I73" i="40" s="1"/>
  <c r="C72" i="40"/>
  <c r="H72" i="40" s="1"/>
  <c r="I72" i="40" s="1"/>
  <c r="C71" i="40"/>
  <c r="H71" i="40" s="1"/>
  <c r="I71" i="40" s="1"/>
  <c r="C70" i="40"/>
  <c r="H70" i="40" s="1"/>
  <c r="I70" i="40" s="1"/>
  <c r="C69" i="40"/>
  <c r="H69" i="40" s="1"/>
  <c r="I69" i="40" s="1"/>
  <c r="C68" i="40"/>
  <c r="H68" i="40" s="1"/>
  <c r="I68" i="40" s="1"/>
  <c r="C64" i="40"/>
  <c r="H64" i="40" s="1"/>
  <c r="I64" i="40" s="1"/>
  <c r="C63" i="40"/>
  <c r="C62" i="40"/>
  <c r="H62" i="40" s="1"/>
  <c r="I62" i="40" s="1"/>
  <c r="C61" i="40"/>
  <c r="H61" i="40" s="1"/>
  <c r="I61" i="40" s="1"/>
  <c r="C60" i="40"/>
  <c r="H60" i="40" s="1"/>
  <c r="I60" i="40" s="1"/>
  <c r="C59" i="40"/>
  <c r="H59" i="40" s="1"/>
  <c r="I59" i="40" s="1"/>
  <c r="C58" i="40"/>
  <c r="C54" i="40"/>
  <c r="H54" i="40" s="1"/>
  <c r="I54" i="40" s="1"/>
  <c r="C53" i="40"/>
  <c r="H53" i="40" s="1"/>
  <c r="I53" i="40" s="1"/>
  <c r="C52" i="40"/>
  <c r="H52" i="40" s="1"/>
  <c r="I52" i="40" s="1"/>
  <c r="C51" i="40"/>
  <c r="H51" i="40" s="1"/>
  <c r="I51" i="40" s="1"/>
  <c r="C50" i="40"/>
  <c r="H50" i="40" s="1"/>
  <c r="I50" i="40" s="1"/>
  <c r="C49" i="40"/>
  <c r="H49" i="40" s="1"/>
  <c r="I49" i="40" s="1"/>
  <c r="C48" i="40"/>
  <c r="C47" i="40"/>
  <c r="C43" i="40"/>
  <c r="C42" i="40"/>
  <c r="H42" i="40" s="1"/>
  <c r="I42" i="40" s="1"/>
  <c r="C41" i="40"/>
  <c r="H41" i="40" s="1"/>
  <c r="I41" i="40" s="1"/>
  <c r="C40" i="40"/>
  <c r="H40" i="40" s="1"/>
  <c r="I40" i="40" s="1"/>
  <c r="C39" i="40"/>
  <c r="H39" i="40" s="1"/>
  <c r="I39" i="40" s="1"/>
  <c r="C38" i="40"/>
  <c r="H38" i="40" s="1"/>
  <c r="I38" i="40" s="1"/>
  <c r="C37" i="40"/>
  <c r="C30" i="40"/>
  <c r="C29" i="40"/>
  <c r="H29" i="40" s="1"/>
  <c r="I29" i="40" s="1"/>
  <c r="C25" i="40"/>
  <c r="H25" i="40" s="1"/>
  <c r="I25" i="40" s="1"/>
  <c r="C24" i="40"/>
  <c r="H24" i="40" s="1"/>
  <c r="I24" i="40" s="1"/>
  <c r="C17" i="40"/>
  <c r="H17" i="40" s="1"/>
  <c r="I17" i="40" s="1"/>
  <c r="C16" i="40"/>
  <c r="H16" i="40" s="1"/>
  <c r="I16" i="40" s="1"/>
  <c r="C15" i="40"/>
  <c r="H15" i="40" s="1"/>
  <c r="I15" i="40" s="1"/>
  <c r="C14" i="40"/>
  <c r="H14" i="40" s="1"/>
  <c r="I14" i="40" s="1"/>
  <c r="C13" i="40"/>
  <c r="H13" i="40" s="1"/>
  <c r="I13" i="40" s="1"/>
  <c r="C12" i="40"/>
  <c r="H12" i="40" s="1"/>
  <c r="I12" i="40" s="1"/>
  <c r="C11" i="40"/>
  <c r="H11" i="40" s="1"/>
  <c r="I11" i="40" s="1"/>
  <c r="C10" i="40"/>
  <c r="H10" i="40" s="1"/>
  <c r="I10" i="40" s="1"/>
  <c r="B165" i="40"/>
  <c r="B164" i="40"/>
  <c r="B158" i="40"/>
  <c r="B157" i="40"/>
  <c r="B156" i="40"/>
  <c r="B155" i="40"/>
  <c r="B146" i="40"/>
  <c r="B145" i="40"/>
  <c r="B144" i="40"/>
  <c r="B143" i="40"/>
  <c r="B142" i="40"/>
  <c r="B141" i="40"/>
  <c r="B140" i="40"/>
  <c r="B139" i="40"/>
  <c r="B138" i="40"/>
  <c r="B3" i="40"/>
  <c r="B2" i="40"/>
  <c r="B1" i="40"/>
  <c r="H3" i="39"/>
  <c r="H2" i="39"/>
  <c r="H1" i="39"/>
  <c r="B3" i="39"/>
  <c r="B2" i="39"/>
  <c r="B1" i="39"/>
  <c r="C3" i="38"/>
  <c r="C2" i="38"/>
  <c r="C1" i="38"/>
  <c r="D4" i="37"/>
  <c r="D1" i="37"/>
  <c r="D3" i="37"/>
  <c r="D2" i="37"/>
  <c r="E4" i="36"/>
  <c r="E3" i="36"/>
  <c r="E2" i="36"/>
  <c r="E1" i="36"/>
  <c r="B81" i="34"/>
  <c r="B3" i="35"/>
  <c r="E55" i="42"/>
  <c r="E54" i="42"/>
  <c r="E53" i="42"/>
  <c r="E52" i="42"/>
  <c r="E50" i="42"/>
  <c r="E49" i="42"/>
  <c r="E48" i="42"/>
  <c r="E47" i="42"/>
  <c r="E46" i="42"/>
  <c r="E36" i="42"/>
  <c r="E34" i="42"/>
  <c r="E33" i="42"/>
  <c r="E32" i="42"/>
  <c r="E31" i="42"/>
  <c r="E30" i="42"/>
  <c r="E29" i="42"/>
  <c r="E19" i="42"/>
  <c r="E17" i="42"/>
  <c r="E16" i="42"/>
  <c r="E15" i="42"/>
  <c r="E14" i="42"/>
  <c r="E13" i="42"/>
  <c r="E12" i="42"/>
  <c r="A27" i="41"/>
  <c r="C153" i="38"/>
  <c r="D149" i="38"/>
  <c r="C149" i="38"/>
  <c r="D140" i="38"/>
  <c r="D142" i="38" s="1"/>
  <c r="C140" i="38"/>
  <c r="C142" i="38" s="1"/>
  <c r="C127" i="38"/>
  <c r="D122" i="38"/>
  <c r="C122" i="38"/>
  <c r="C117" i="38"/>
  <c r="D111" i="38"/>
  <c r="C111" i="38"/>
  <c r="J106" i="38"/>
  <c r="I106" i="38"/>
  <c r="H106" i="38"/>
  <c r="D101" i="38"/>
  <c r="C101" i="38"/>
  <c r="D91" i="38"/>
  <c r="C91" i="38"/>
  <c r="D85" i="38"/>
  <c r="C85" i="38"/>
  <c r="D37" i="38"/>
  <c r="C32" i="38"/>
  <c r="C23" i="38"/>
  <c r="G20" i="38"/>
  <c r="F20" i="38"/>
  <c r="E20" i="38"/>
  <c r="G67" i="37"/>
  <c r="E67" i="37"/>
  <c r="D67" i="37"/>
  <c r="C67" i="37"/>
  <c r="B67" i="37"/>
  <c r="G62" i="37"/>
  <c r="E62" i="37"/>
  <c r="D62" i="37"/>
  <c r="C62" i="37"/>
  <c r="B62" i="37"/>
  <c r="G61" i="37"/>
  <c r="E61" i="37"/>
  <c r="D61" i="37"/>
  <c r="C61" i="37"/>
  <c r="B61" i="37"/>
  <c r="G56" i="37"/>
  <c r="E56" i="37"/>
  <c r="D56" i="37"/>
  <c r="C56" i="37"/>
  <c r="B56" i="37"/>
  <c r="G55" i="37"/>
  <c r="E55" i="37"/>
  <c r="D55" i="37"/>
  <c r="C55" i="37"/>
  <c r="B55" i="37"/>
  <c r="G54" i="37"/>
  <c r="E54" i="37"/>
  <c r="D54" i="37"/>
  <c r="C54" i="37"/>
  <c r="B54" i="37"/>
  <c r="G53" i="37"/>
  <c r="E53" i="37"/>
  <c r="D53" i="37"/>
  <c r="C53" i="37"/>
  <c r="B53" i="37"/>
  <c r="G52" i="37"/>
  <c r="E52" i="37"/>
  <c r="D52" i="37"/>
  <c r="C52" i="37"/>
  <c r="B52" i="37"/>
  <c r="G51" i="37"/>
  <c r="E51" i="37"/>
  <c r="D51" i="37"/>
  <c r="C51" i="37"/>
  <c r="B51" i="37"/>
  <c r="G50" i="37"/>
  <c r="E50" i="37"/>
  <c r="D50" i="37"/>
  <c r="C50" i="37"/>
  <c r="B50" i="37"/>
  <c r="G45" i="37"/>
  <c r="E45" i="37"/>
  <c r="D45" i="37"/>
  <c r="C45" i="37"/>
  <c r="B45" i="37"/>
  <c r="G44" i="37"/>
  <c r="E44" i="37"/>
  <c r="D44" i="37"/>
  <c r="C44" i="37"/>
  <c r="B44" i="37"/>
  <c r="G40" i="37"/>
  <c r="E40" i="37"/>
  <c r="D40" i="37"/>
  <c r="C40" i="37"/>
  <c r="B40" i="37"/>
  <c r="G38" i="37"/>
  <c r="E38" i="37"/>
  <c r="D38" i="37"/>
  <c r="C38" i="37"/>
  <c r="B38" i="37"/>
  <c r="G37" i="37"/>
  <c r="E37" i="37"/>
  <c r="D37" i="37"/>
  <c r="C37" i="37"/>
  <c r="B37" i="37"/>
  <c r="G36" i="37"/>
  <c r="E36" i="37"/>
  <c r="D36" i="37"/>
  <c r="C36" i="37"/>
  <c r="B36" i="37"/>
  <c r="G35" i="37"/>
  <c r="E35" i="37"/>
  <c r="D35" i="37"/>
  <c r="C35" i="37"/>
  <c r="B35" i="37"/>
  <c r="G34" i="37"/>
  <c r="E34" i="37"/>
  <c r="D34" i="37"/>
  <c r="C34" i="37"/>
  <c r="B34" i="37"/>
  <c r="G33" i="37"/>
  <c r="E33" i="37"/>
  <c r="D33" i="37"/>
  <c r="C33" i="37"/>
  <c r="B33" i="37"/>
  <c r="G32" i="37"/>
  <c r="E32" i="37"/>
  <c r="D32" i="37"/>
  <c r="C32" i="37"/>
  <c r="B32" i="37"/>
  <c r="G31" i="37"/>
  <c r="E31" i="37"/>
  <c r="D31" i="37"/>
  <c r="C31" i="37"/>
  <c r="B31" i="37"/>
  <c r="G26" i="37"/>
  <c r="E26" i="37"/>
  <c r="D26" i="37"/>
  <c r="C26" i="37"/>
  <c r="B26" i="37"/>
  <c r="G25" i="37"/>
  <c r="E25" i="37"/>
  <c r="D25" i="37"/>
  <c r="C25" i="37"/>
  <c r="B25" i="37"/>
  <c r="G20" i="37"/>
  <c r="E20" i="37"/>
  <c r="D20" i="37"/>
  <c r="C20" i="37"/>
  <c r="B20" i="37"/>
  <c r="G18" i="37"/>
  <c r="E18" i="37"/>
  <c r="D18" i="37"/>
  <c r="C18" i="37"/>
  <c r="B18" i="37"/>
  <c r="G17" i="37"/>
  <c r="E17" i="37"/>
  <c r="D17" i="37"/>
  <c r="C17" i="37"/>
  <c r="B17" i="37"/>
  <c r="H16" i="37"/>
  <c r="G16" i="37"/>
  <c r="E16" i="37"/>
  <c r="D16" i="37"/>
  <c r="C16" i="37"/>
  <c r="B16" i="37"/>
  <c r="H149" i="36"/>
  <c r="F149" i="36"/>
  <c r="E149" i="36"/>
  <c r="D149" i="36"/>
  <c r="B149" i="36"/>
  <c r="H148" i="36"/>
  <c r="F148" i="36"/>
  <c r="E148" i="36"/>
  <c r="D148" i="36"/>
  <c r="B148" i="36"/>
  <c r="H147" i="36"/>
  <c r="F147" i="36"/>
  <c r="E147" i="36"/>
  <c r="D147" i="36"/>
  <c r="B147" i="36"/>
  <c r="H141" i="36"/>
  <c r="F141" i="36"/>
  <c r="E141" i="36"/>
  <c r="D141" i="36"/>
  <c r="B141" i="36"/>
  <c r="H140" i="36"/>
  <c r="F140" i="36"/>
  <c r="E140" i="36"/>
  <c r="D140" i="36"/>
  <c r="B140" i="36"/>
  <c r="H135" i="36"/>
  <c r="F135" i="36"/>
  <c r="E135" i="36"/>
  <c r="D135" i="36"/>
  <c r="C135" i="36"/>
  <c r="B135" i="36"/>
  <c r="H134" i="36"/>
  <c r="F134" i="36"/>
  <c r="E134" i="36"/>
  <c r="D134" i="36"/>
  <c r="C134" i="36"/>
  <c r="B134" i="36"/>
  <c r="H133" i="36"/>
  <c r="F133" i="36"/>
  <c r="E133" i="36"/>
  <c r="D133" i="36"/>
  <c r="C133" i="36"/>
  <c r="B133" i="36"/>
  <c r="H132" i="36"/>
  <c r="F132" i="36"/>
  <c r="E132" i="36"/>
  <c r="D132" i="36"/>
  <c r="C132" i="36"/>
  <c r="B132" i="36"/>
  <c r="H131" i="36"/>
  <c r="F131" i="36"/>
  <c r="E131" i="36"/>
  <c r="D131" i="36"/>
  <c r="C131" i="36"/>
  <c r="B131" i="36"/>
  <c r="H130" i="36"/>
  <c r="F130" i="36"/>
  <c r="E130" i="36"/>
  <c r="D130" i="36"/>
  <c r="C130" i="36"/>
  <c r="B130" i="36"/>
  <c r="H129" i="36"/>
  <c r="F129" i="36"/>
  <c r="E129" i="36"/>
  <c r="D129" i="36"/>
  <c r="C129" i="36"/>
  <c r="B129" i="36"/>
  <c r="H128" i="36"/>
  <c r="F128" i="36"/>
  <c r="E128" i="36"/>
  <c r="D128" i="36"/>
  <c r="C128" i="36"/>
  <c r="B128" i="36"/>
  <c r="H127" i="36"/>
  <c r="F127" i="36"/>
  <c r="E127" i="36"/>
  <c r="D127" i="36"/>
  <c r="C127" i="36"/>
  <c r="B127" i="36"/>
  <c r="H126" i="36"/>
  <c r="F126" i="36"/>
  <c r="E126" i="36"/>
  <c r="D126" i="36"/>
  <c r="C126" i="36"/>
  <c r="B126" i="36"/>
  <c r="H125" i="36"/>
  <c r="F125" i="36"/>
  <c r="E125" i="36"/>
  <c r="D125" i="36"/>
  <c r="C125" i="36"/>
  <c r="B125" i="36"/>
  <c r="H124" i="36"/>
  <c r="F124" i="36"/>
  <c r="E124" i="36"/>
  <c r="D124" i="36"/>
  <c r="C124" i="36"/>
  <c r="B124" i="36"/>
  <c r="H123" i="36"/>
  <c r="F123" i="36"/>
  <c r="E123" i="36"/>
  <c r="D123" i="36"/>
  <c r="C123" i="36"/>
  <c r="B123" i="36"/>
  <c r="H122" i="36"/>
  <c r="F122" i="36"/>
  <c r="E122" i="36"/>
  <c r="D122" i="36"/>
  <c r="C122" i="36"/>
  <c r="B122" i="36"/>
  <c r="H121" i="36"/>
  <c r="F121" i="36"/>
  <c r="E121" i="36"/>
  <c r="D121" i="36"/>
  <c r="C121" i="36"/>
  <c r="B121" i="36"/>
  <c r="H116" i="36"/>
  <c r="F116" i="36"/>
  <c r="E116" i="36"/>
  <c r="D116" i="36"/>
  <c r="B116" i="36"/>
  <c r="H115" i="36"/>
  <c r="F115" i="36"/>
  <c r="E115" i="36"/>
  <c r="D115" i="36"/>
  <c r="B115" i="36"/>
  <c r="H114" i="36"/>
  <c r="F114" i="36"/>
  <c r="E114" i="36"/>
  <c r="D114" i="36"/>
  <c r="B114" i="36"/>
  <c r="H109" i="36"/>
  <c r="F109" i="36"/>
  <c r="E109" i="36"/>
  <c r="D109" i="36"/>
  <c r="B109" i="36"/>
  <c r="H108" i="36"/>
  <c r="F108" i="36"/>
  <c r="E108" i="36"/>
  <c r="D108" i="36"/>
  <c r="B108" i="36"/>
  <c r="I107" i="36"/>
  <c r="H107" i="36"/>
  <c r="F107" i="36"/>
  <c r="E107" i="36"/>
  <c r="D107" i="36"/>
  <c r="B107" i="36"/>
  <c r="H102" i="36"/>
  <c r="G102" i="36"/>
  <c r="F102" i="36"/>
  <c r="E102" i="36"/>
  <c r="D102" i="36"/>
  <c r="C102" i="36"/>
  <c r="B102" i="36"/>
  <c r="H101" i="36"/>
  <c r="G101" i="36"/>
  <c r="F101" i="36"/>
  <c r="E101" i="36"/>
  <c r="D101" i="36"/>
  <c r="C101" i="36"/>
  <c r="B101" i="36"/>
  <c r="H100" i="36"/>
  <c r="G100" i="36"/>
  <c r="F100" i="36"/>
  <c r="E100" i="36"/>
  <c r="D100" i="36"/>
  <c r="C100" i="36"/>
  <c r="B100" i="36"/>
  <c r="H99" i="36"/>
  <c r="G99" i="36"/>
  <c r="F99" i="36"/>
  <c r="E99" i="36"/>
  <c r="D99" i="36"/>
  <c r="C99" i="36"/>
  <c r="B99" i="36"/>
  <c r="H98" i="36"/>
  <c r="G98" i="36"/>
  <c r="F98" i="36"/>
  <c r="E98" i="36"/>
  <c r="D98" i="36"/>
  <c r="C98" i="36"/>
  <c r="B98" i="36"/>
  <c r="H97" i="36"/>
  <c r="G97" i="36"/>
  <c r="F97" i="36"/>
  <c r="E97" i="36"/>
  <c r="D97" i="36"/>
  <c r="C97" i="36"/>
  <c r="B97" i="36"/>
  <c r="H96" i="36"/>
  <c r="G96" i="36"/>
  <c r="F96" i="36"/>
  <c r="E96" i="36"/>
  <c r="D96" i="36"/>
  <c r="C96" i="36"/>
  <c r="B96" i="36"/>
  <c r="H95" i="36"/>
  <c r="G95" i="36"/>
  <c r="F95" i="36"/>
  <c r="E95" i="36"/>
  <c r="D95" i="36"/>
  <c r="C95" i="36"/>
  <c r="B95" i="36"/>
  <c r="H94" i="36"/>
  <c r="G94" i="36"/>
  <c r="F94" i="36"/>
  <c r="E94" i="36"/>
  <c r="D94" i="36"/>
  <c r="C94" i="36"/>
  <c r="B94" i="36"/>
  <c r="H93" i="36"/>
  <c r="G93" i="36"/>
  <c r="F93" i="36"/>
  <c r="E93" i="36"/>
  <c r="D93" i="36"/>
  <c r="C93" i="36"/>
  <c r="B93" i="36"/>
  <c r="H92" i="36"/>
  <c r="G92" i="36"/>
  <c r="F92" i="36"/>
  <c r="E92" i="36"/>
  <c r="D92" i="36"/>
  <c r="C92" i="36"/>
  <c r="B92" i="36"/>
  <c r="H91" i="36"/>
  <c r="G91" i="36"/>
  <c r="F91" i="36"/>
  <c r="E91" i="36"/>
  <c r="D91" i="36"/>
  <c r="C91" i="36"/>
  <c r="B91" i="36"/>
  <c r="H90" i="36"/>
  <c r="G90" i="36"/>
  <c r="F90" i="36"/>
  <c r="E90" i="36"/>
  <c r="D90" i="36"/>
  <c r="C90" i="36"/>
  <c r="B90" i="36"/>
  <c r="H89" i="36"/>
  <c r="G89" i="36"/>
  <c r="F89" i="36"/>
  <c r="E89" i="36"/>
  <c r="D89" i="36"/>
  <c r="C89" i="36"/>
  <c r="B89" i="36"/>
  <c r="H88" i="36"/>
  <c r="G88" i="36"/>
  <c r="F88" i="36"/>
  <c r="E88" i="36"/>
  <c r="D88" i="36"/>
  <c r="C88" i="36"/>
  <c r="B88" i="36"/>
  <c r="H82" i="36"/>
  <c r="F82" i="36"/>
  <c r="E82" i="36"/>
  <c r="D82" i="36"/>
  <c r="B82" i="36"/>
  <c r="H81" i="36"/>
  <c r="F81" i="36"/>
  <c r="E81" i="36"/>
  <c r="D81" i="36"/>
  <c r="B81" i="36"/>
  <c r="H80" i="36"/>
  <c r="F80" i="36"/>
  <c r="E80" i="36"/>
  <c r="D80" i="36"/>
  <c r="B80" i="36"/>
  <c r="H79" i="36"/>
  <c r="F79" i="36"/>
  <c r="E79" i="36"/>
  <c r="D79" i="36"/>
  <c r="B79" i="36"/>
  <c r="H78" i="36"/>
  <c r="F78" i="36"/>
  <c r="E78" i="36"/>
  <c r="D78" i="36"/>
  <c r="B78" i="36"/>
  <c r="H77" i="36"/>
  <c r="F77" i="36"/>
  <c r="E77" i="36"/>
  <c r="D77" i="36"/>
  <c r="B77" i="36"/>
  <c r="H76" i="36"/>
  <c r="F76" i="36"/>
  <c r="E76" i="36"/>
  <c r="D76" i="36"/>
  <c r="B76" i="36"/>
  <c r="H75" i="36"/>
  <c r="F75" i="36"/>
  <c r="E75" i="36"/>
  <c r="D75" i="36"/>
  <c r="B75" i="36"/>
  <c r="H74" i="36"/>
  <c r="F74" i="36"/>
  <c r="E74" i="36"/>
  <c r="D74" i="36"/>
  <c r="B74" i="36"/>
  <c r="H73" i="36"/>
  <c r="F73" i="36"/>
  <c r="E73" i="36"/>
  <c r="D73" i="36"/>
  <c r="B73" i="36"/>
  <c r="H68" i="36"/>
  <c r="F68" i="36"/>
  <c r="E68" i="36"/>
  <c r="D68" i="36"/>
  <c r="B68" i="36"/>
  <c r="H67" i="36"/>
  <c r="F67" i="36"/>
  <c r="E67" i="36"/>
  <c r="D67" i="36"/>
  <c r="B67" i="36"/>
  <c r="H66" i="36"/>
  <c r="F66" i="36"/>
  <c r="E66" i="36"/>
  <c r="D66" i="36"/>
  <c r="B66" i="36"/>
  <c r="H65" i="36"/>
  <c r="F65" i="36"/>
  <c r="E65" i="36"/>
  <c r="D65" i="36"/>
  <c r="B65" i="36"/>
  <c r="H64" i="36"/>
  <c r="F64" i="36"/>
  <c r="E64" i="36"/>
  <c r="D64" i="36"/>
  <c r="B64" i="36"/>
  <c r="H63" i="36"/>
  <c r="F63" i="36"/>
  <c r="E63" i="36"/>
  <c r="D63" i="36"/>
  <c r="B63" i="36"/>
  <c r="H62" i="36"/>
  <c r="F62" i="36"/>
  <c r="E62" i="36"/>
  <c r="D62" i="36"/>
  <c r="B62" i="36"/>
  <c r="H61" i="36"/>
  <c r="F61" i="36"/>
  <c r="E61" i="36"/>
  <c r="D61" i="36"/>
  <c r="B61" i="36"/>
  <c r="H56" i="36"/>
  <c r="F56" i="36"/>
  <c r="E56" i="36"/>
  <c r="D56" i="36"/>
  <c r="B56" i="36"/>
  <c r="H55" i="36"/>
  <c r="F55" i="36"/>
  <c r="E55" i="36"/>
  <c r="D55" i="36"/>
  <c r="B55" i="36"/>
  <c r="H54" i="36"/>
  <c r="F54" i="36"/>
  <c r="E54" i="36"/>
  <c r="D54" i="36"/>
  <c r="B54" i="36"/>
  <c r="H53" i="36"/>
  <c r="F53" i="36"/>
  <c r="E53" i="36"/>
  <c r="D53" i="36"/>
  <c r="B53" i="36"/>
  <c r="H52" i="36"/>
  <c r="F52" i="36"/>
  <c r="E52" i="36"/>
  <c r="D52" i="36"/>
  <c r="B52" i="36"/>
  <c r="H51" i="36"/>
  <c r="F51" i="36"/>
  <c r="E51" i="36"/>
  <c r="D51" i="36"/>
  <c r="B51" i="36"/>
  <c r="H50" i="36"/>
  <c r="F50" i="36"/>
  <c r="E50" i="36"/>
  <c r="D50" i="36"/>
  <c r="B50" i="36"/>
  <c r="H49" i="36"/>
  <c r="F49" i="36"/>
  <c r="E49" i="36"/>
  <c r="D49" i="36"/>
  <c r="B49" i="36"/>
  <c r="H48" i="36"/>
  <c r="F48" i="36"/>
  <c r="E48" i="36"/>
  <c r="D48" i="36"/>
  <c r="B48" i="36"/>
  <c r="H47" i="36"/>
  <c r="F47" i="36"/>
  <c r="E47" i="36"/>
  <c r="D47" i="36"/>
  <c r="B47" i="36"/>
  <c r="H46" i="36"/>
  <c r="F46" i="36"/>
  <c r="E46" i="36"/>
  <c r="D46" i="36"/>
  <c r="B46" i="36"/>
  <c r="H45" i="36"/>
  <c r="F45" i="36"/>
  <c r="E45" i="36"/>
  <c r="D45" i="36"/>
  <c r="B45" i="36"/>
  <c r="H44" i="36"/>
  <c r="F44" i="36"/>
  <c r="E44" i="36"/>
  <c r="D44" i="36"/>
  <c r="B44" i="36"/>
  <c r="H43" i="36"/>
  <c r="F43" i="36"/>
  <c r="E43" i="36"/>
  <c r="D43" i="36"/>
  <c r="B43" i="36"/>
  <c r="H42" i="36"/>
  <c r="F42" i="36"/>
  <c r="E42" i="36"/>
  <c r="D42" i="36"/>
  <c r="B42" i="36"/>
  <c r="H41" i="36"/>
  <c r="F41" i="36"/>
  <c r="E41" i="36"/>
  <c r="D41" i="36"/>
  <c r="B41" i="36"/>
  <c r="H40" i="36"/>
  <c r="F40" i="36"/>
  <c r="E40" i="36"/>
  <c r="D40" i="36"/>
  <c r="B40" i="36"/>
  <c r="H39" i="36"/>
  <c r="F39" i="36"/>
  <c r="E39" i="36"/>
  <c r="D39" i="36"/>
  <c r="B39" i="36"/>
  <c r="H38" i="36"/>
  <c r="F38" i="36"/>
  <c r="E38" i="36"/>
  <c r="D38" i="36"/>
  <c r="B38" i="36"/>
  <c r="H37" i="36"/>
  <c r="F37" i="36"/>
  <c r="E37" i="36"/>
  <c r="D37" i="36"/>
  <c r="B37" i="36"/>
  <c r="H36" i="36"/>
  <c r="F36" i="36"/>
  <c r="E36" i="36"/>
  <c r="D36" i="36"/>
  <c r="B36" i="36"/>
  <c r="H35" i="36"/>
  <c r="F35" i="36"/>
  <c r="E35" i="36"/>
  <c r="D35" i="36"/>
  <c r="B35" i="36"/>
  <c r="H34" i="36"/>
  <c r="F34" i="36"/>
  <c r="E34" i="36"/>
  <c r="D34" i="36"/>
  <c r="B34" i="36"/>
  <c r="H33" i="36"/>
  <c r="F33" i="36"/>
  <c r="E33" i="36"/>
  <c r="D33" i="36"/>
  <c r="B33" i="36"/>
  <c r="H32" i="36"/>
  <c r="F32" i="36"/>
  <c r="E32" i="36"/>
  <c r="D32" i="36"/>
  <c r="B32" i="36"/>
  <c r="H31" i="36"/>
  <c r="F31" i="36"/>
  <c r="E31" i="36"/>
  <c r="D31" i="36"/>
  <c r="B31" i="36"/>
  <c r="H30" i="36"/>
  <c r="F30" i="36"/>
  <c r="E30" i="36"/>
  <c r="D30" i="36"/>
  <c r="B30" i="36"/>
  <c r="H29" i="36"/>
  <c r="F29" i="36"/>
  <c r="E29" i="36"/>
  <c r="D29" i="36"/>
  <c r="B29" i="36"/>
  <c r="H28" i="36"/>
  <c r="F28" i="36"/>
  <c r="E28" i="36"/>
  <c r="D28" i="36"/>
  <c r="B28" i="36"/>
  <c r="H27" i="36"/>
  <c r="F27" i="36"/>
  <c r="E27" i="36"/>
  <c r="D27" i="36"/>
  <c r="B27" i="36"/>
  <c r="H26" i="36"/>
  <c r="F26" i="36"/>
  <c r="E26" i="36"/>
  <c r="D26" i="36"/>
  <c r="B26" i="36"/>
  <c r="H25" i="36"/>
  <c r="F25" i="36"/>
  <c r="E25" i="36"/>
  <c r="B25" i="36"/>
  <c r="H22" i="36"/>
  <c r="I16" i="36"/>
  <c r="H16" i="36"/>
  <c r="F16" i="36"/>
  <c r="E16" i="36"/>
  <c r="B16" i="36"/>
  <c r="I15" i="36"/>
  <c r="H15" i="36"/>
  <c r="F15" i="36"/>
  <c r="E15" i="36"/>
  <c r="D15" i="36"/>
  <c r="E18" i="36" s="1"/>
  <c r="B15" i="36"/>
  <c r="B22" i="36" s="1"/>
  <c r="M94" i="35"/>
  <c r="L94" i="35"/>
  <c r="K94" i="35"/>
  <c r="J94" i="35"/>
  <c r="I94" i="35"/>
  <c r="H94" i="35"/>
  <c r="G94" i="35"/>
  <c r="F94" i="35"/>
  <c r="E94" i="35"/>
  <c r="D94" i="35"/>
  <c r="C94" i="35"/>
  <c r="B94" i="35"/>
  <c r="M93" i="35"/>
  <c r="L93" i="35"/>
  <c r="K93" i="35"/>
  <c r="J93" i="35"/>
  <c r="I93" i="35"/>
  <c r="H93" i="35"/>
  <c r="G93" i="35"/>
  <c r="F93" i="35"/>
  <c r="E93" i="35"/>
  <c r="D93" i="35"/>
  <c r="C93" i="35"/>
  <c r="B93" i="35"/>
  <c r="M92" i="35"/>
  <c r="L92" i="35"/>
  <c r="K92" i="35"/>
  <c r="J92" i="35"/>
  <c r="I92" i="35"/>
  <c r="H92" i="35"/>
  <c r="G92" i="35"/>
  <c r="F92" i="35"/>
  <c r="E92" i="35"/>
  <c r="D92" i="35"/>
  <c r="C92" i="35"/>
  <c r="B92" i="35"/>
  <c r="M91" i="35"/>
  <c r="L91" i="35"/>
  <c r="K91" i="35"/>
  <c r="J91" i="35"/>
  <c r="I91" i="35"/>
  <c r="H91" i="35"/>
  <c r="G91" i="35"/>
  <c r="F91" i="35"/>
  <c r="E91" i="35"/>
  <c r="D91" i="35"/>
  <c r="C91" i="35"/>
  <c r="B91" i="35"/>
  <c r="M90" i="35"/>
  <c r="L90" i="35"/>
  <c r="K90" i="35"/>
  <c r="J90" i="35"/>
  <c r="I90" i="35"/>
  <c r="H90" i="35"/>
  <c r="G90" i="35"/>
  <c r="F90" i="35"/>
  <c r="E90" i="35"/>
  <c r="D90" i="35"/>
  <c r="C90" i="35"/>
  <c r="B90" i="35"/>
  <c r="M89" i="35"/>
  <c r="L89" i="35"/>
  <c r="K89" i="35"/>
  <c r="J89" i="35"/>
  <c r="I89" i="35"/>
  <c r="H89" i="35"/>
  <c r="G89" i="35"/>
  <c r="F89" i="35"/>
  <c r="E89" i="35"/>
  <c r="D89" i="35"/>
  <c r="C89" i="35"/>
  <c r="B89" i="35"/>
  <c r="M88" i="35"/>
  <c r="L88" i="35"/>
  <c r="K88" i="35"/>
  <c r="J88" i="35"/>
  <c r="I88" i="35"/>
  <c r="H88" i="35"/>
  <c r="G88" i="35"/>
  <c r="F88" i="35"/>
  <c r="E88" i="35"/>
  <c r="D88" i="35"/>
  <c r="C88" i="35"/>
  <c r="B88" i="35"/>
  <c r="M87" i="35"/>
  <c r="L87" i="35"/>
  <c r="K87" i="35"/>
  <c r="J87" i="35"/>
  <c r="I87" i="35"/>
  <c r="H87" i="35"/>
  <c r="G87" i="35"/>
  <c r="F87" i="35"/>
  <c r="E87" i="35"/>
  <c r="D87" i="35"/>
  <c r="C87" i="35"/>
  <c r="B87" i="35"/>
  <c r="M82" i="35"/>
  <c r="L82" i="35"/>
  <c r="K82" i="35"/>
  <c r="J82" i="35"/>
  <c r="I82" i="35"/>
  <c r="H82" i="35"/>
  <c r="G82" i="35"/>
  <c r="F82" i="35"/>
  <c r="E82" i="35"/>
  <c r="D82" i="35"/>
  <c r="C82" i="35"/>
  <c r="B82" i="35"/>
  <c r="M81" i="35"/>
  <c r="L81" i="35"/>
  <c r="K81" i="35"/>
  <c r="J81" i="35"/>
  <c r="I81" i="35"/>
  <c r="H81" i="35"/>
  <c r="G81" i="35"/>
  <c r="F81" i="35"/>
  <c r="E81" i="35"/>
  <c r="D81" i="35"/>
  <c r="C81" i="35"/>
  <c r="B81" i="35"/>
  <c r="M80" i="35"/>
  <c r="L80" i="35"/>
  <c r="K80" i="35"/>
  <c r="J80" i="35"/>
  <c r="I80" i="35"/>
  <c r="H80" i="35"/>
  <c r="G80" i="35"/>
  <c r="F80" i="35"/>
  <c r="E80" i="35"/>
  <c r="D80" i="35"/>
  <c r="C80" i="35"/>
  <c r="B80" i="35"/>
  <c r="M79" i="35"/>
  <c r="L79" i="35"/>
  <c r="K79" i="35"/>
  <c r="J79" i="35"/>
  <c r="I79" i="35"/>
  <c r="H79" i="35"/>
  <c r="G79" i="35"/>
  <c r="F79" i="35"/>
  <c r="E79" i="35"/>
  <c r="D79" i="35"/>
  <c r="C79" i="35"/>
  <c r="B79" i="35"/>
  <c r="M78" i="35"/>
  <c r="L78" i="35"/>
  <c r="K78" i="35"/>
  <c r="J78" i="35"/>
  <c r="I78" i="35"/>
  <c r="H78" i="35"/>
  <c r="G78" i="35"/>
  <c r="F78" i="35"/>
  <c r="E78" i="35"/>
  <c r="D78" i="35"/>
  <c r="C78" i="35"/>
  <c r="B78" i="35"/>
  <c r="M77" i="35"/>
  <c r="L77" i="35"/>
  <c r="K77" i="35"/>
  <c r="J77" i="35"/>
  <c r="I77" i="35"/>
  <c r="H77" i="35"/>
  <c r="G77" i="35"/>
  <c r="F77" i="35"/>
  <c r="E77" i="35"/>
  <c r="D77" i="35"/>
  <c r="C77" i="35"/>
  <c r="B77" i="35"/>
  <c r="M76" i="35"/>
  <c r="L76" i="35"/>
  <c r="K76" i="35"/>
  <c r="J76" i="35"/>
  <c r="I76" i="35"/>
  <c r="H76" i="35"/>
  <c r="G76" i="35"/>
  <c r="F76" i="35"/>
  <c r="E76" i="35"/>
  <c r="D76" i="35"/>
  <c r="C76" i="35"/>
  <c r="B76" i="35"/>
  <c r="M75" i="35"/>
  <c r="L75" i="35"/>
  <c r="K75" i="35"/>
  <c r="J75" i="35"/>
  <c r="I75" i="35"/>
  <c r="H75" i="35"/>
  <c r="G75" i="35"/>
  <c r="F75" i="35"/>
  <c r="E75" i="35"/>
  <c r="D75" i="35"/>
  <c r="C75" i="35"/>
  <c r="B75" i="35"/>
  <c r="M63" i="35"/>
  <c r="M108" i="35" s="1"/>
  <c r="L63" i="35"/>
  <c r="L108" i="35" s="1"/>
  <c r="K63" i="35"/>
  <c r="K108" i="35" s="1"/>
  <c r="J63" i="35"/>
  <c r="J108" i="35" s="1"/>
  <c r="I63" i="35"/>
  <c r="I108" i="35" s="1"/>
  <c r="H63" i="35"/>
  <c r="H108" i="35" s="1"/>
  <c r="G63" i="35"/>
  <c r="G108" i="35" s="1"/>
  <c r="F63" i="35"/>
  <c r="F108" i="35" s="1"/>
  <c r="E63" i="35"/>
  <c r="E108" i="35" s="1"/>
  <c r="D63" i="35"/>
  <c r="D108" i="35" s="1"/>
  <c r="C63" i="35"/>
  <c r="C108" i="35" s="1"/>
  <c r="B63" i="35"/>
  <c r="B108" i="35" s="1"/>
  <c r="M62" i="35"/>
  <c r="M107" i="35" s="1"/>
  <c r="L62" i="35"/>
  <c r="L107" i="35" s="1"/>
  <c r="K62" i="35"/>
  <c r="K107" i="35" s="1"/>
  <c r="J62" i="35"/>
  <c r="J107" i="35" s="1"/>
  <c r="I62" i="35"/>
  <c r="M54" i="42" s="1"/>
  <c r="H62" i="35"/>
  <c r="H107" i="35" s="1"/>
  <c r="G62" i="35"/>
  <c r="G107" i="35" s="1"/>
  <c r="F62" i="35"/>
  <c r="F107" i="35" s="1"/>
  <c r="E62" i="35"/>
  <c r="E107" i="35" s="1"/>
  <c r="D62" i="35"/>
  <c r="D107" i="35" s="1"/>
  <c r="C62" i="35"/>
  <c r="C107" i="35" s="1"/>
  <c r="B62" i="35"/>
  <c r="B107" i="35" s="1"/>
  <c r="M61" i="35"/>
  <c r="M106" i="35" s="1"/>
  <c r="L61" i="35"/>
  <c r="L106" i="35" s="1"/>
  <c r="K61" i="35"/>
  <c r="K106" i="35" s="1"/>
  <c r="J61" i="35"/>
  <c r="J106" i="35" s="1"/>
  <c r="I61" i="35"/>
  <c r="I106" i="35" s="1"/>
  <c r="H61" i="35"/>
  <c r="H106" i="35" s="1"/>
  <c r="G61" i="35"/>
  <c r="G106" i="35" s="1"/>
  <c r="F61" i="35"/>
  <c r="F106" i="35" s="1"/>
  <c r="E61" i="35"/>
  <c r="E106" i="35" s="1"/>
  <c r="D61" i="35"/>
  <c r="D106" i="35" s="1"/>
  <c r="C61" i="35"/>
  <c r="C106" i="35" s="1"/>
  <c r="B61" i="35"/>
  <c r="B106" i="35" s="1"/>
  <c r="M60" i="35"/>
  <c r="M105" i="35" s="1"/>
  <c r="L60" i="35"/>
  <c r="L105" i="35" s="1"/>
  <c r="K60" i="35"/>
  <c r="K105" i="35" s="1"/>
  <c r="J60" i="35"/>
  <c r="J105" i="35" s="1"/>
  <c r="I60" i="35"/>
  <c r="I105" i="35" s="1"/>
  <c r="H60" i="35"/>
  <c r="H105" i="35" s="1"/>
  <c r="G60" i="35"/>
  <c r="G105" i="35" s="1"/>
  <c r="F60" i="35"/>
  <c r="F105" i="35" s="1"/>
  <c r="E60" i="35"/>
  <c r="E105" i="35" s="1"/>
  <c r="D60" i="35"/>
  <c r="D105" i="35" s="1"/>
  <c r="C60" i="35"/>
  <c r="C105" i="35" s="1"/>
  <c r="B60" i="35"/>
  <c r="B105" i="35" s="1"/>
  <c r="M59" i="35"/>
  <c r="Q51" i="42" s="1"/>
  <c r="L59" i="35"/>
  <c r="L104" i="35" s="1"/>
  <c r="K59" i="35"/>
  <c r="K104" i="35" s="1"/>
  <c r="J59" i="35"/>
  <c r="J104" i="35" s="1"/>
  <c r="I59" i="35"/>
  <c r="I104" i="35" s="1"/>
  <c r="H59" i="35"/>
  <c r="H104" i="35" s="1"/>
  <c r="G59" i="35"/>
  <c r="G104" i="35" s="1"/>
  <c r="F59" i="35"/>
  <c r="F104" i="35" s="1"/>
  <c r="E59" i="35"/>
  <c r="E104" i="35" s="1"/>
  <c r="D59" i="35"/>
  <c r="D104" i="35" s="1"/>
  <c r="C59" i="35"/>
  <c r="C104" i="35" s="1"/>
  <c r="B59" i="35"/>
  <c r="B104" i="35" s="1"/>
  <c r="M58" i="35"/>
  <c r="M103" i="35" s="1"/>
  <c r="L58" i="35"/>
  <c r="L103" i="35" s="1"/>
  <c r="K58" i="35"/>
  <c r="K103" i="35" s="1"/>
  <c r="J58" i="35"/>
  <c r="J103" i="35" s="1"/>
  <c r="I58" i="35"/>
  <c r="I103" i="35" s="1"/>
  <c r="H58" i="35"/>
  <c r="H103" i="35" s="1"/>
  <c r="G58" i="35"/>
  <c r="G103" i="35" s="1"/>
  <c r="F58" i="35"/>
  <c r="F103" i="35" s="1"/>
  <c r="E58" i="35"/>
  <c r="E103" i="35" s="1"/>
  <c r="D58" i="35"/>
  <c r="D103" i="35" s="1"/>
  <c r="C58" i="35"/>
  <c r="C103" i="35" s="1"/>
  <c r="B58" i="35"/>
  <c r="B103" i="35" s="1"/>
  <c r="M57" i="35"/>
  <c r="M102" i="35" s="1"/>
  <c r="L57" i="35"/>
  <c r="L102" i="35" s="1"/>
  <c r="K57" i="35"/>
  <c r="K102" i="35" s="1"/>
  <c r="J57" i="35"/>
  <c r="J102" i="35" s="1"/>
  <c r="I57" i="35"/>
  <c r="I102" i="35" s="1"/>
  <c r="H57" i="35"/>
  <c r="H102" i="35" s="1"/>
  <c r="G57" i="35"/>
  <c r="G102" i="35" s="1"/>
  <c r="F57" i="35"/>
  <c r="F102" i="35" s="1"/>
  <c r="E57" i="35"/>
  <c r="E102" i="35" s="1"/>
  <c r="D57" i="35"/>
  <c r="D102" i="35" s="1"/>
  <c r="C57" i="35"/>
  <c r="C102" i="35" s="1"/>
  <c r="B57" i="35"/>
  <c r="B102" i="35" s="1"/>
  <c r="M56" i="35"/>
  <c r="M101" i="35" s="1"/>
  <c r="L56" i="35"/>
  <c r="L101" i="35" s="1"/>
  <c r="K56" i="35"/>
  <c r="K101" i="35" s="1"/>
  <c r="J56" i="35"/>
  <c r="J101" i="35" s="1"/>
  <c r="I56" i="35"/>
  <c r="I101" i="35" s="1"/>
  <c r="H56" i="35"/>
  <c r="H101" i="35" s="1"/>
  <c r="G56" i="35"/>
  <c r="G101" i="35" s="1"/>
  <c r="F56" i="35"/>
  <c r="F101" i="35" s="1"/>
  <c r="E56" i="35"/>
  <c r="E101" i="35" s="1"/>
  <c r="D56" i="35"/>
  <c r="D101" i="35" s="1"/>
  <c r="C56" i="35"/>
  <c r="C101" i="35" s="1"/>
  <c r="B56" i="35"/>
  <c r="B101" i="35" s="1"/>
  <c r="M55" i="35"/>
  <c r="M100" i="35" s="1"/>
  <c r="L55" i="35"/>
  <c r="L100" i="35" s="1"/>
  <c r="K55" i="35"/>
  <c r="K100" i="35" s="1"/>
  <c r="J55" i="35"/>
  <c r="J100" i="35" s="1"/>
  <c r="I55" i="35"/>
  <c r="I100" i="35" s="1"/>
  <c r="H55" i="35"/>
  <c r="H100" i="35" s="1"/>
  <c r="G55" i="35"/>
  <c r="G100" i="35" s="1"/>
  <c r="F55" i="35"/>
  <c r="J47" i="42" s="1"/>
  <c r="E55" i="35"/>
  <c r="I47" i="42" s="1"/>
  <c r="D55" i="35"/>
  <c r="H47" i="42" s="1"/>
  <c r="C55" i="35"/>
  <c r="G47" i="42" s="1"/>
  <c r="B55" i="35"/>
  <c r="F47" i="42" s="1"/>
  <c r="M54" i="35"/>
  <c r="L54" i="35"/>
  <c r="K54" i="35"/>
  <c r="J54" i="35"/>
  <c r="I54" i="35"/>
  <c r="H54" i="35"/>
  <c r="G54" i="35"/>
  <c r="F54" i="35"/>
  <c r="E54" i="35"/>
  <c r="D54" i="35"/>
  <c r="C54" i="35"/>
  <c r="B54" i="35"/>
  <c r="M48" i="35"/>
  <c r="L48" i="35"/>
  <c r="K48" i="35"/>
  <c r="J48" i="35"/>
  <c r="I48" i="35"/>
  <c r="H48" i="35"/>
  <c r="G48" i="35"/>
  <c r="F48" i="35"/>
  <c r="E48" i="35"/>
  <c r="D48" i="35"/>
  <c r="C48" i="35"/>
  <c r="B48" i="35"/>
  <c r="M36" i="35"/>
  <c r="M69" i="35" s="1"/>
  <c r="L36" i="35"/>
  <c r="L69" i="35" s="1"/>
  <c r="K36" i="35"/>
  <c r="K69" i="35" s="1"/>
  <c r="J36" i="35"/>
  <c r="J69" i="35" s="1"/>
  <c r="I36" i="35"/>
  <c r="I69" i="35" s="1"/>
  <c r="H36" i="35"/>
  <c r="H69" i="35" s="1"/>
  <c r="G36" i="35"/>
  <c r="G69" i="35" s="1"/>
  <c r="F36" i="35"/>
  <c r="F69" i="35" s="1"/>
  <c r="E36" i="35"/>
  <c r="E69" i="35" s="1"/>
  <c r="D36" i="35"/>
  <c r="D69" i="35" s="1"/>
  <c r="C36" i="35"/>
  <c r="C69" i="35" s="1"/>
  <c r="B36" i="35"/>
  <c r="B69" i="35" s="1"/>
  <c r="M26" i="35"/>
  <c r="L26" i="35"/>
  <c r="K26" i="35"/>
  <c r="J26" i="35"/>
  <c r="I26" i="35"/>
  <c r="H26" i="35"/>
  <c r="G26" i="35"/>
  <c r="F26" i="35"/>
  <c r="E26" i="35"/>
  <c r="D26" i="35"/>
  <c r="C26" i="35"/>
  <c r="B26" i="35"/>
  <c r="M16" i="35"/>
  <c r="L16" i="35"/>
  <c r="K16" i="35"/>
  <c r="J16" i="35"/>
  <c r="I16" i="35"/>
  <c r="H16" i="35"/>
  <c r="G16" i="35"/>
  <c r="F16" i="35"/>
  <c r="E16" i="35"/>
  <c r="D16" i="35"/>
  <c r="C16" i="35"/>
  <c r="B16" i="35"/>
  <c r="H13" i="34"/>
  <c r="C40" i="39"/>
  <c r="I40" i="39" s="1"/>
  <c r="F45" i="34"/>
  <c r="C23" i="34"/>
  <c r="G103" i="36" l="1"/>
  <c r="G104" i="36" s="1"/>
  <c r="E136" i="36"/>
  <c r="D11" i="39" s="1"/>
  <c r="J11" i="39" s="1"/>
  <c r="R34" i="42"/>
  <c r="S34" i="42" s="1"/>
  <c r="R29" i="42"/>
  <c r="R30" i="42"/>
  <c r="R31" i="42"/>
  <c r="S31" i="42" s="1"/>
  <c r="R32" i="42"/>
  <c r="R33" i="42"/>
  <c r="S33" i="42" s="1"/>
  <c r="R17" i="42"/>
  <c r="S17" i="42" s="1"/>
  <c r="R16" i="42"/>
  <c r="S16" i="42" s="1"/>
  <c r="R14" i="42"/>
  <c r="S14" i="42" s="1"/>
  <c r="R13" i="42"/>
  <c r="S13" i="42" s="1"/>
  <c r="R12" i="42"/>
  <c r="B62" i="13"/>
  <c r="B158" i="13"/>
  <c r="B206" i="13"/>
  <c r="B254" i="13"/>
  <c r="B110" i="13"/>
  <c r="B302" i="6"/>
  <c r="B254" i="6"/>
  <c r="B350" i="8"/>
  <c r="B398" i="8"/>
  <c r="B542" i="7"/>
  <c r="B494" i="7"/>
  <c r="F61" i="5"/>
  <c r="G64" i="5"/>
  <c r="G63" i="5"/>
  <c r="G62" i="5"/>
  <c r="B77" i="5" s="1"/>
  <c r="G65" i="5"/>
  <c r="F77" i="5"/>
  <c r="F78" i="5" s="1"/>
  <c r="F79" i="5" s="1"/>
  <c r="F80" i="5" s="1"/>
  <c r="F81" i="5" s="1"/>
  <c r="F82" i="5" s="1"/>
  <c r="F83" i="5" s="1"/>
  <c r="F84" i="5" s="1"/>
  <c r="F85" i="5" s="1"/>
  <c r="F86" i="5" s="1"/>
  <c r="F87" i="5" s="1"/>
  <c r="F88" i="5" s="1"/>
  <c r="F89" i="5" s="1"/>
  <c r="G494" i="7"/>
  <c r="B509" i="7" s="1"/>
  <c r="G495" i="7"/>
  <c r="G497" i="7"/>
  <c r="F493" i="7"/>
  <c r="G496" i="7"/>
  <c r="F509" i="7"/>
  <c r="G974" i="2"/>
  <c r="B989" i="2" s="1"/>
  <c r="G977" i="2"/>
  <c r="G976" i="2"/>
  <c r="G975" i="2"/>
  <c r="F973" i="2"/>
  <c r="F989" i="2"/>
  <c r="G832" i="2"/>
  <c r="G833" i="2"/>
  <c r="G830" i="2"/>
  <c r="B845" i="2" s="1"/>
  <c r="G831" i="2"/>
  <c r="F829" i="2"/>
  <c r="F845" i="2"/>
  <c r="G784" i="2"/>
  <c r="G783" i="2"/>
  <c r="G785" i="2"/>
  <c r="G782" i="2"/>
  <c r="B797" i="2" s="1"/>
  <c r="F781" i="2"/>
  <c r="F797" i="2"/>
  <c r="F13" i="5"/>
  <c r="G14" i="5"/>
  <c r="B29" i="5" s="1"/>
  <c r="G16" i="5"/>
  <c r="G17" i="5"/>
  <c r="G15" i="5"/>
  <c r="F29" i="5"/>
  <c r="F30" i="5" s="1"/>
  <c r="F31" i="5" s="1"/>
  <c r="F32" i="5" s="1"/>
  <c r="F33" i="5" s="1"/>
  <c r="F34" i="5" s="1"/>
  <c r="F35" i="5" s="1"/>
  <c r="F36" i="5" s="1"/>
  <c r="F37" i="5" s="1"/>
  <c r="F38" i="5" s="1"/>
  <c r="F39" i="5" s="1"/>
  <c r="F40" i="5" s="1"/>
  <c r="F41" i="5" s="1"/>
  <c r="G1457" i="2"/>
  <c r="G1456" i="2"/>
  <c r="G1455" i="2"/>
  <c r="G1454" i="2"/>
  <c r="B1469" i="2" s="1"/>
  <c r="F1453" i="2"/>
  <c r="F1469" i="2"/>
  <c r="G1408" i="2"/>
  <c r="G1409" i="2"/>
  <c r="G1406" i="2"/>
  <c r="B1421" i="2" s="1"/>
  <c r="G1407" i="2"/>
  <c r="F1405" i="2"/>
  <c r="F1421" i="2"/>
  <c r="G351" i="7"/>
  <c r="F349" i="7"/>
  <c r="G352" i="7"/>
  <c r="G353" i="7"/>
  <c r="G350" i="7"/>
  <c r="B365" i="7" s="1"/>
  <c r="F365" i="7"/>
  <c r="F366" i="7" s="1"/>
  <c r="F367" i="7" s="1"/>
  <c r="F368" i="7" s="1"/>
  <c r="F369" i="7" s="1"/>
  <c r="F370" i="7" s="1"/>
  <c r="F371" i="7" s="1"/>
  <c r="F372" i="7" s="1"/>
  <c r="F373" i="7" s="1"/>
  <c r="F374" i="7" s="1"/>
  <c r="F375" i="7" s="1"/>
  <c r="F376" i="7" s="1"/>
  <c r="G206" i="13"/>
  <c r="B221" i="13" s="1"/>
  <c r="F205" i="13"/>
  <c r="G209" i="13"/>
  <c r="G207" i="13"/>
  <c r="G208" i="13"/>
  <c r="G302" i="6"/>
  <c r="B317" i="6" s="1"/>
  <c r="G305" i="6"/>
  <c r="G304" i="6"/>
  <c r="F301" i="6"/>
  <c r="G303" i="6"/>
  <c r="F317" i="6"/>
  <c r="F318" i="6"/>
  <c r="F319" i="6" s="1"/>
  <c r="F320" i="6" s="1"/>
  <c r="F321" i="6" s="1"/>
  <c r="F322" i="6" s="1"/>
  <c r="F323" i="6" s="1"/>
  <c r="F324" i="6" s="1"/>
  <c r="F325" i="6" s="1"/>
  <c r="F326" i="6" s="1"/>
  <c r="F327" i="6" s="1"/>
  <c r="F328" i="6" s="1"/>
  <c r="G64" i="6"/>
  <c r="G62" i="6"/>
  <c r="B77" i="6" s="1"/>
  <c r="G65" i="6"/>
  <c r="G63" i="6"/>
  <c r="F61" i="6"/>
  <c r="F77" i="6"/>
  <c r="G495" i="2"/>
  <c r="G497" i="2"/>
  <c r="G494" i="2"/>
  <c r="B509" i="2" s="1"/>
  <c r="G496" i="2"/>
  <c r="F493" i="2"/>
  <c r="F509" i="2"/>
  <c r="F510" i="2" s="1"/>
  <c r="F511" i="2" s="1"/>
  <c r="F512" i="2" s="1"/>
  <c r="F513" i="2" s="1"/>
  <c r="F514" i="2" s="1"/>
  <c r="F515" i="2" s="1"/>
  <c r="F516" i="2" s="1"/>
  <c r="F517" i="2" s="1"/>
  <c r="F518" i="2" s="1"/>
  <c r="F519" i="2" s="1"/>
  <c r="F520" i="2" s="1"/>
  <c r="G593" i="2"/>
  <c r="G592" i="2"/>
  <c r="G591" i="2"/>
  <c r="G590" i="2"/>
  <c r="B605" i="2" s="1"/>
  <c r="F589" i="2"/>
  <c r="F605" i="2"/>
  <c r="G1262" i="2"/>
  <c r="B1277" i="2" s="1"/>
  <c r="G1265" i="2"/>
  <c r="G1264" i="2"/>
  <c r="G1263" i="2"/>
  <c r="F1261" i="2"/>
  <c r="F1277" i="2"/>
  <c r="G111" i="19"/>
  <c r="G115" i="19"/>
  <c r="G112" i="19"/>
  <c r="G113" i="19"/>
  <c r="G114" i="19"/>
  <c r="G1313" i="2"/>
  <c r="G1311" i="2"/>
  <c r="G1310" i="2"/>
  <c r="B1325" i="2" s="1"/>
  <c r="G1312" i="2"/>
  <c r="F1309" i="2"/>
  <c r="F1325" i="2"/>
  <c r="G65" i="8"/>
  <c r="G62" i="8"/>
  <c r="B77" i="8" s="1"/>
  <c r="G63" i="8"/>
  <c r="F61" i="8"/>
  <c r="G64" i="8"/>
  <c r="F77" i="8"/>
  <c r="G158" i="6"/>
  <c r="B173" i="6" s="1"/>
  <c r="G160" i="6"/>
  <c r="G159" i="6"/>
  <c r="F157" i="6"/>
  <c r="G161" i="6"/>
  <c r="F173" i="6"/>
  <c r="F174" i="6" s="1"/>
  <c r="G305" i="2"/>
  <c r="G304" i="2"/>
  <c r="G303" i="2"/>
  <c r="G302" i="2"/>
  <c r="B317" i="2" s="1"/>
  <c r="F301" i="2"/>
  <c r="F317" i="2"/>
  <c r="G65" i="2"/>
  <c r="G64" i="2"/>
  <c r="G62" i="2"/>
  <c r="G63" i="2"/>
  <c r="F61" i="2"/>
  <c r="G160" i="4"/>
  <c r="G161" i="4"/>
  <c r="G159" i="4"/>
  <c r="G158" i="4"/>
  <c r="B173" i="4" s="1"/>
  <c r="F157" i="4"/>
  <c r="F173" i="4"/>
  <c r="G1120" i="2"/>
  <c r="G1121" i="2"/>
  <c r="G1119" i="2"/>
  <c r="G1118" i="2"/>
  <c r="B1133" i="2" s="1"/>
  <c r="F1117" i="2"/>
  <c r="F1133" i="2"/>
  <c r="F157" i="20"/>
  <c r="G159" i="20"/>
  <c r="G160" i="20"/>
  <c r="F173" i="20"/>
  <c r="F174" i="20" s="1"/>
  <c r="F175" i="20" s="1"/>
  <c r="F176" i="20" s="1"/>
  <c r="F177" i="20" s="1"/>
  <c r="F178" i="20" s="1"/>
  <c r="F179" i="20" s="1"/>
  <c r="F180" i="20" s="1"/>
  <c r="F181" i="20" s="1"/>
  <c r="F182" i="20" s="1"/>
  <c r="F183" i="20" s="1"/>
  <c r="F184" i="20" s="1"/>
  <c r="G158" i="20"/>
  <c r="B173" i="20" s="1"/>
  <c r="G161" i="20"/>
  <c r="G110" i="6"/>
  <c r="B125" i="6" s="1"/>
  <c r="F109" i="6"/>
  <c r="G113" i="6"/>
  <c r="G112" i="6"/>
  <c r="G111" i="6"/>
  <c r="F125" i="6"/>
  <c r="G113" i="8"/>
  <c r="G110" i="8"/>
  <c r="B125" i="8" s="1"/>
  <c r="G111" i="8"/>
  <c r="G112" i="8"/>
  <c r="F109" i="8"/>
  <c r="F125" i="8"/>
  <c r="F126" i="8" s="1"/>
  <c r="F127" i="8" s="1"/>
  <c r="G206" i="6"/>
  <c r="B221" i="6" s="1"/>
  <c r="G209" i="6"/>
  <c r="F221" i="6"/>
  <c r="F222" i="6" s="1"/>
  <c r="G208" i="6"/>
  <c r="G207" i="6"/>
  <c r="F205" i="6"/>
  <c r="G63" i="19"/>
  <c r="G66" i="19"/>
  <c r="G65" i="19"/>
  <c r="G67" i="19"/>
  <c r="G64" i="19"/>
  <c r="G254" i="13"/>
  <c r="B269" i="13" s="1"/>
  <c r="G255" i="13"/>
  <c r="G257" i="13"/>
  <c r="G256" i="13"/>
  <c r="F253" i="13"/>
  <c r="G254" i="6"/>
  <c r="B269" i="6" s="1"/>
  <c r="G257" i="6"/>
  <c r="G256" i="6"/>
  <c r="G255" i="6"/>
  <c r="F253" i="6"/>
  <c r="F269" i="6"/>
  <c r="G353" i="2"/>
  <c r="G351" i="2"/>
  <c r="G352" i="2"/>
  <c r="G350" i="2"/>
  <c r="B365" i="2" s="1"/>
  <c r="F349" i="2"/>
  <c r="F365" i="2"/>
  <c r="G1647" i="2"/>
  <c r="G1649" i="2"/>
  <c r="G1648" i="2"/>
  <c r="G1646" i="2"/>
  <c r="B1661" i="2" s="1"/>
  <c r="F1645" i="2"/>
  <c r="F1661" i="2"/>
  <c r="G1216" i="2"/>
  <c r="G1215" i="2"/>
  <c r="G1217" i="2"/>
  <c r="G1214" i="2"/>
  <c r="B1229" i="2" s="1"/>
  <c r="F1213" i="2"/>
  <c r="F1229" i="2"/>
  <c r="G65" i="7"/>
  <c r="G62" i="7"/>
  <c r="B77" i="7" s="1"/>
  <c r="G63" i="7"/>
  <c r="F61" i="7"/>
  <c r="G64" i="7"/>
  <c r="F77" i="7"/>
  <c r="F78" i="7" s="1"/>
  <c r="F79" i="7" s="1"/>
  <c r="F80" i="7" s="1"/>
  <c r="F81" i="7" s="1"/>
  <c r="F82" i="7" s="1"/>
  <c r="F83" i="7" s="1"/>
  <c r="F84" i="7" s="1"/>
  <c r="F85" i="7" s="1"/>
  <c r="F86" i="7" s="1"/>
  <c r="F87" i="7" s="1"/>
  <c r="F88" i="7" s="1"/>
  <c r="G113" i="7"/>
  <c r="F109" i="7"/>
  <c r="G112" i="7"/>
  <c r="G110" i="7"/>
  <c r="B125" i="7" s="1"/>
  <c r="G111" i="7"/>
  <c r="F125" i="7"/>
  <c r="G542" i="7"/>
  <c r="B557" i="7" s="1"/>
  <c r="G545" i="7"/>
  <c r="F541" i="7"/>
  <c r="G543" i="7"/>
  <c r="G544" i="7"/>
  <c r="F557" i="7"/>
  <c r="G113" i="1"/>
  <c r="F109" i="1"/>
  <c r="G112" i="1"/>
  <c r="G111" i="1"/>
  <c r="G110" i="1"/>
  <c r="G16" i="8"/>
  <c r="G17" i="8"/>
  <c r="G14" i="8"/>
  <c r="B29" i="8" s="1"/>
  <c r="G15" i="8"/>
  <c r="F13" i="8"/>
  <c r="F29" i="8"/>
  <c r="G17" i="7"/>
  <c r="G14" i="7"/>
  <c r="B29" i="7" s="1"/>
  <c r="G15" i="7"/>
  <c r="F13" i="7"/>
  <c r="G16" i="7"/>
  <c r="F29" i="7"/>
  <c r="F30" i="7" s="1"/>
  <c r="F31" i="7" s="1"/>
  <c r="F32" i="7" s="1"/>
  <c r="F33" i="7" s="1"/>
  <c r="F34" i="7" s="1"/>
  <c r="F35" i="7" s="1"/>
  <c r="F36" i="7" s="1"/>
  <c r="F37" i="7" s="1"/>
  <c r="F38" i="7" s="1"/>
  <c r="F39" i="7" s="1"/>
  <c r="F40" i="7" s="1"/>
  <c r="G929" i="2"/>
  <c r="G928" i="2"/>
  <c r="G926" i="2"/>
  <c r="B941" i="2" s="1"/>
  <c r="G927" i="2"/>
  <c r="F925" i="2"/>
  <c r="F941" i="2"/>
  <c r="F109" i="2"/>
  <c r="G112" i="2"/>
  <c r="G113" i="2"/>
  <c r="G111" i="2"/>
  <c r="G110" i="2"/>
  <c r="B125" i="2" s="1"/>
  <c r="F125" i="2"/>
  <c r="G1601" i="2"/>
  <c r="G1600" i="2"/>
  <c r="G1599" i="2"/>
  <c r="G1598" i="2"/>
  <c r="B1613" i="2" s="1"/>
  <c r="F1597" i="2"/>
  <c r="F1613" i="2"/>
  <c r="F29" i="4"/>
  <c r="G17" i="4"/>
  <c r="G16" i="4"/>
  <c r="G15" i="4"/>
  <c r="G14" i="4"/>
  <c r="B29" i="4" s="1"/>
  <c r="F13" i="4"/>
  <c r="G17" i="21"/>
  <c r="G15" i="21"/>
  <c r="G14" i="21"/>
  <c r="B29" i="21" s="1"/>
  <c r="F13" i="21"/>
  <c r="G16" i="21"/>
  <c r="F29" i="21"/>
  <c r="F30" i="21"/>
  <c r="F31" i="21" s="1"/>
  <c r="F32" i="21" s="1"/>
  <c r="F33" i="21" s="1"/>
  <c r="F34" i="21" s="1"/>
  <c r="F35" i="21" s="1"/>
  <c r="F36" i="21" s="1"/>
  <c r="F37" i="21" s="1"/>
  <c r="F38" i="21" s="1"/>
  <c r="F39" i="21" s="1"/>
  <c r="F40" i="21" s="1"/>
  <c r="G161" i="7"/>
  <c r="F157" i="7"/>
  <c r="G160" i="7"/>
  <c r="G158" i="7"/>
  <c r="B173" i="7" s="1"/>
  <c r="G159" i="7"/>
  <c r="F173" i="7"/>
  <c r="G398" i="7"/>
  <c r="B413" i="7" s="1"/>
  <c r="F397" i="7"/>
  <c r="G400" i="7"/>
  <c r="G399" i="7"/>
  <c r="G401" i="7"/>
  <c r="F413" i="7"/>
  <c r="F414" i="7" s="1"/>
  <c r="G254" i="2"/>
  <c r="B269" i="2" s="1"/>
  <c r="G257" i="2"/>
  <c r="G256" i="2"/>
  <c r="G255" i="2"/>
  <c r="F253" i="2"/>
  <c r="F269" i="2"/>
  <c r="G65" i="4"/>
  <c r="G63" i="4"/>
  <c r="G62" i="4"/>
  <c r="B77" i="4" s="1"/>
  <c r="G64" i="4"/>
  <c r="F61" i="4"/>
  <c r="F77" i="4"/>
  <c r="G353" i="4"/>
  <c r="G352" i="4"/>
  <c r="G351" i="4"/>
  <c r="G350" i="4"/>
  <c r="B365" i="4" s="1"/>
  <c r="F349" i="4"/>
  <c r="F365" i="4"/>
  <c r="G1552" i="2"/>
  <c r="G1553" i="2"/>
  <c r="G1551" i="2"/>
  <c r="G1550" i="2"/>
  <c r="B1565" i="2" s="1"/>
  <c r="F1549" i="2"/>
  <c r="F1565" i="2"/>
  <c r="G1071" i="2"/>
  <c r="G1073" i="2"/>
  <c r="G1072" i="2"/>
  <c r="G1070" i="2"/>
  <c r="B1085" i="2" s="1"/>
  <c r="F1069" i="2"/>
  <c r="F1085" i="2"/>
  <c r="G1025" i="2"/>
  <c r="G1024" i="2"/>
  <c r="G1023" i="2"/>
  <c r="G1022" i="2"/>
  <c r="B1037" i="2" s="1"/>
  <c r="F1021" i="2"/>
  <c r="F1037" i="2"/>
  <c r="F1038" i="2" s="1"/>
  <c r="F1039" i="2" s="1"/>
  <c r="F1040" i="2" s="1"/>
  <c r="F1041" i="2" s="1"/>
  <c r="F1042" i="2" s="1"/>
  <c r="F1043" i="2" s="1"/>
  <c r="F1044" i="2" s="1"/>
  <c r="F1045" i="2" s="1"/>
  <c r="F1046" i="2" s="1"/>
  <c r="F1047" i="2" s="1"/>
  <c r="F1048" i="2" s="1"/>
  <c r="G14" i="20"/>
  <c r="G15" i="20"/>
  <c r="G16" i="20"/>
  <c r="G17" i="20"/>
  <c r="G257" i="4"/>
  <c r="G256" i="4"/>
  <c r="G255" i="4"/>
  <c r="G254" i="4"/>
  <c r="B269" i="4" s="1"/>
  <c r="F253" i="4"/>
  <c r="F269" i="4"/>
  <c r="G113" i="21"/>
  <c r="G111" i="21"/>
  <c r="G112" i="21"/>
  <c r="F109" i="21"/>
  <c r="G110" i="21"/>
  <c r="B125" i="21" s="1"/>
  <c r="F125" i="21"/>
  <c r="F126" i="21"/>
  <c r="F127" i="21" s="1"/>
  <c r="F128" i="21" s="1"/>
  <c r="F129" i="21" s="1"/>
  <c r="F130" i="21" s="1"/>
  <c r="F131" i="21" s="1"/>
  <c r="F132" i="21" s="1"/>
  <c r="F133" i="21" s="1"/>
  <c r="F134" i="21" s="1"/>
  <c r="F135" i="21" s="1"/>
  <c r="F136" i="21" s="1"/>
  <c r="G254" i="8"/>
  <c r="B269" i="8" s="1"/>
  <c r="G257" i="8"/>
  <c r="G255" i="8"/>
  <c r="G256" i="8"/>
  <c r="F253" i="8"/>
  <c r="F269" i="8"/>
  <c r="F270" i="8"/>
  <c r="G65" i="21"/>
  <c r="G64" i="21"/>
  <c r="F61" i="21"/>
  <c r="G63" i="21"/>
  <c r="G62" i="21"/>
  <c r="B77" i="21" s="1"/>
  <c r="F77" i="21"/>
  <c r="F78" i="21" s="1"/>
  <c r="F79" i="21" s="1"/>
  <c r="F80" i="21" s="1"/>
  <c r="F81" i="21" s="1"/>
  <c r="F82" i="21" s="1"/>
  <c r="F83" i="21" s="1"/>
  <c r="F84" i="21" s="1"/>
  <c r="F85" i="21" s="1"/>
  <c r="F86" i="21" s="1"/>
  <c r="F87" i="21" s="1"/>
  <c r="F88" i="21" s="1"/>
  <c r="G161" i="2"/>
  <c r="G159" i="2"/>
  <c r="G158" i="2"/>
  <c r="B173" i="2" s="1"/>
  <c r="G160" i="2"/>
  <c r="F157" i="2"/>
  <c r="F173" i="2"/>
  <c r="G400" i="2"/>
  <c r="G398" i="2"/>
  <c r="B413" i="2" s="1"/>
  <c r="G401" i="2"/>
  <c r="G399" i="2"/>
  <c r="F397" i="2"/>
  <c r="F413" i="2"/>
  <c r="G1505" i="2"/>
  <c r="G1503" i="2"/>
  <c r="G1504" i="2"/>
  <c r="G1502" i="2"/>
  <c r="B1517" i="2" s="1"/>
  <c r="F1501" i="2"/>
  <c r="F1517" i="2"/>
  <c r="G1359" i="2"/>
  <c r="G1360" i="2"/>
  <c r="G1358" i="2"/>
  <c r="B1373" i="2" s="1"/>
  <c r="G1361" i="2"/>
  <c r="F1357" i="2"/>
  <c r="F1373" i="2"/>
  <c r="G63" i="20"/>
  <c r="F61" i="20"/>
  <c r="F77" i="20"/>
  <c r="F78" i="20" s="1"/>
  <c r="F79" i="20" s="1"/>
  <c r="F80" i="20" s="1"/>
  <c r="F81" i="20" s="1"/>
  <c r="F82" i="20" s="1"/>
  <c r="G62" i="20"/>
  <c r="B77" i="20" s="1"/>
  <c r="G64" i="20"/>
  <c r="G65" i="20"/>
  <c r="G257" i="7"/>
  <c r="G255" i="7"/>
  <c r="F253" i="7"/>
  <c r="G254" i="7"/>
  <c r="B269" i="7" s="1"/>
  <c r="G256" i="7"/>
  <c r="F269" i="7"/>
  <c r="G209" i="7"/>
  <c r="F205" i="7"/>
  <c r="G206" i="7"/>
  <c r="B221" i="7" s="1"/>
  <c r="G208" i="7"/>
  <c r="G207" i="7"/>
  <c r="F221" i="7"/>
  <c r="G110" i="13"/>
  <c r="B125" i="13" s="1"/>
  <c r="F109" i="13"/>
  <c r="G111" i="13"/>
  <c r="G113" i="13"/>
  <c r="G112" i="13"/>
  <c r="G302" i="8"/>
  <c r="B317" i="8" s="1"/>
  <c r="G305" i="8"/>
  <c r="G304" i="8"/>
  <c r="F301" i="8"/>
  <c r="G303" i="8"/>
  <c r="F317" i="8"/>
  <c r="F318" i="8" s="1"/>
  <c r="G447" i="7"/>
  <c r="G446" i="7"/>
  <c r="B461" i="7" s="1"/>
  <c r="F445" i="7"/>
  <c r="G449" i="7"/>
  <c r="G448" i="7"/>
  <c r="F461" i="7"/>
  <c r="F462" i="7"/>
  <c r="F463" i="7" s="1"/>
  <c r="F464" i="7" s="1"/>
  <c r="F465" i="7" s="1"/>
  <c r="F466" i="7" s="1"/>
  <c r="F467" i="7" s="1"/>
  <c r="F468" i="7" s="1"/>
  <c r="F469" i="7" s="1"/>
  <c r="F470" i="7" s="1"/>
  <c r="F471" i="7" s="1"/>
  <c r="F472" i="7" s="1"/>
  <c r="G641" i="2"/>
  <c r="G640" i="2"/>
  <c r="G639" i="2"/>
  <c r="G638" i="2"/>
  <c r="B653" i="2" s="1"/>
  <c r="F637" i="2"/>
  <c r="F653" i="2"/>
  <c r="F157" i="5"/>
  <c r="G160" i="5"/>
  <c r="G158" i="5"/>
  <c r="G161" i="5"/>
  <c r="G159" i="5"/>
  <c r="F173" i="5"/>
  <c r="F174" i="5" s="1"/>
  <c r="F175" i="5" s="1"/>
  <c r="F176" i="5" s="1"/>
  <c r="F177" i="5" s="1"/>
  <c r="F178" i="5" s="1"/>
  <c r="F179" i="5" s="1"/>
  <c r="F180" i="5" s="1"/>
  <c r="F181" i="5" s="1"/>
  <c r="F182" i="5" s="1"/>
  <c r="F183" i="5" s="1"/>
  <c r="F184" i="5" s="1"/>
  <c r="F185" i="5" s="1"/>
  <c r="G163" i="19"/>
  <c r="G162" i="19"/>
  <c r="G160" i="19"/>
  <c r="G161" i="19"/>
  <c r="G159" i="19"/>
  <c r="G688" i="2"/>
  <c r="G686" i="2"/>
  <c r="B701" i="2" s="1"/>
  <c r="G689" i="2"/>
  <c r="G687" i="2"/>
  <c r="F685" i="2"/>
  <c r="F701" i="2"/>
  <c r="G737" i="2"/>
  <c r="G736" i="2"/>
  <c r="G735" i="2"/>
  <c r="G734" i="2"/>
  <c r="B749" i="2" s="1"/>
  <c r="F733" i="2"/>
  <c r="F749" i="2"/>
  <c r="G1169" i="2"/>
  <c r="G1168" i="2"/>
  <c r="G1167" i="2"/>
  <c r="G1166" i="2"/>
  <c r="B1181" i="2" s="1"/>
  <c r="F1165" i="2"/>
  <c r="F1181" i="2"/>
  <c r="G112" i="4"/>
  <c r="G111" i="4"/>
  <c r="G113" i="4"/>
  <c r="G110" i="4"/>
  <c r="B125" i="4" s="1"/>
  <c r="F109" i="4"/>
  <c r="F125" i="4"/>
  <c r="G110" i="20"/>
  <c r="B125" i="20" s="1"/>
  <c r="G113" i="20"/>
  <c r="F125" i="20"/>
  <c r="F126" i="20" s="1"/>
  <c r="G111" i="20"/>
  <c r="F109" i="20"/>
  <c r="G112" i="20"/>
  <c r="G161" i="8"/>
  <c r="G160" i="8"/>
  <c r="F157" i="8"/>
  <c r="G158" i="8"/>
  <c r="B173" i="8" s="1"/>
  <c r="G159" i="8"/>
  <c r="F173" i="8"/>
  <c r="G209" i="8"/>
  <c r="G206" i="8"/>
  <c r="B221" i="8" s="1"/>
  <c r="G207" i="8"/>
  <c r="G208" i="8"/>
  <c r="F205" i="8"/>
  <c r="F221" i="8"/>
  <c r="G398" i="8"/>
  <c r="B413" i="8" s="1"/>
  <c r="G400" i="8"/>
  <c r="F397" i="8"/>
  <c r="G399" i="8"/>
  <c r="G401" i="8"/>
  <c r="F413" i="8"/>
  <c r="G545" i="2"/>
  <c r="G544" i="2"/>
  <c r="G543" i="2"/>
  <c r="G542" i="2"/>
  <c r="B557" i="2" s="1"/>
  <c r="F541" i="2"/>
  <c r="F557" i="2"/>
  <c r="F558" i="2"/>
  <c r="F559" i="2" s="1"/>
  <c r="F560" i="2" s="1"/>
  <c r="F561" i="2" s="1"/>
  <c r="F562" i="2" s="1"/>
  <c r="F563" i="2" s="1"/>
  <c r="F564" i="2" s="1"/>
  <c r="F565" i="2" s="1"/>
  <c r="F566" i="2" s="1"/>
  <c r="G881" i="2"/>
  <c r="G879" i="2"/>
  <c r="G878" i="2"/>
  <c r="B893" i="2" s="1"/>
  <c r="G880" i="2"/>
  <c r="F877" i="2"/>
  <c r="F893" i="2"/>
  <c r="G208" i="2"/>
  <c r="G207" i="2"/>
  <c r="G206" i="2"/>
  <c r="B221" i="2" s="1"/>
  <c r="G209" i="2"/>
  <c r="F205" i="2"/>
  <c r="F221" i="2"/>
  <c r="G449" i="2"/>
  <c r="G447" i="2"/>
  <c r="G446" i="2"/>
  <c r="B461" i="2" s="1"/>
  <c r="G448" i="2"/>
  <c r="F445" i="2"/>
  <c r="F461" i="2"/>
  <c r="G209" i="4"/>
  <c r="G207" i="4"/>
  <c r="G206" i="4"/>
  <c r="B221" i="4" s="1"/>
  <c r="G208" i="4"/>
  <c r="F205" i="4"/>
  <c r="F221" i="4"/>
  <c r="G304" i="4"/>
  <c r="G305" i="4"/>
  <c r="G303" i="4"/>
  <c r="G302" i="4"/>
  <c r="B317" i="4" s="1"/>
  <c r="F301" i="4"/>
  <c r="F317" i="4"/>
  <c r="F318" i="4" s="1"/>
  <c r="F319" i="4" s="1"/>
  <c r="F320" i="4" s="1"/>
  <c r="F321" i="4" s="1"/>
  <c r="F322" i="4" s="1"/>
  <c r="F323" i="4" s="1"/>
  <c r="F324" i="4" s="1"/>
  <c r="F325" i="4" s="1"/>
  <c r="F326" i="4" s="1"/>
  <c r="F327" i="4" s="1"/>
  <c r="F328" i="4" s="1"/>
  <c r="F109" i="5"/>
  <c r="G112" i="5"/>
  <c r="G113" i="5"/>
  <c r="F125" i="5"/>
  <c r="F126" i="5" s="1"/>
  <c r="F127" i="5" s="1"/>
  <c r="F128" i="5" s="1"/>
  <c r="F129" i="5" s="1"/>
  <c r="F130" i="5" s="1"/>
  <c r="F131" i="5" s="1"/>
  <c r="F132" i="5" s="1"/>
  <c r="F133" i="5" s="1"/>
  <c r="F134" i="5" s="1"/>
  <c r="F135" i="5" s="1"/>
  <c r="F136" i="5" s="1"/>
  <c r="G111" i="5"/>
  <c r="G110" i="5"/>
  <c r="B125" i="5" s="1"/>
  <c r="G305" i="7"/>
  <c r="G303" i="7"/>
  <c r="G302" i="7"/>
  <c r="B317" i="7" s="1"/>
  <c r="F301" i="7"/>
  <c r="G304" i="7"/>
  <c r="F317" i="7"/>
  <c r="F318" i="7" s="1"/>
  <c r="F319" i="7" s="1"/>
  <c r="F320" i="7" s="1"/>
  <c r="F321" i="7" s="1"/>
  <c r="F322" i="7" s="1"/>
  <c r="F323" i="7" s="1"/>
  <c r="F324" i="7" s="1"/>
  <c r="F325" i="7" s="1"/>
  <c r="F326" i="7" s="1"/>
  <c r="F327" i="7" s="1"/>
  <c r="F328" i="7" s="1"/>
  <c r="G62" i="13"/>
  <c r="B77" i="13" s="1"/>
  <c r="G64" i="13"/>
  <c r="F61" i="13"/>
  <c r="G63" i="13"/>
  <c r="G65" i="13"/>
  <c r="G160" i="13"/>
  <c r="G159" i="13"/>
  <c r="G161" i="13"/>
  <c r="F157" i="13"/>
  <c r="G158" i="13"/>
  <c r="B173" i="13" s="1"/>
  <c r="G350" i="8"/>
  <c r="B365" i="8" s="1"/>
  <c r="G351" i="8"/>
  <c r="G353" i="8"/>
  <c r="F349" i="8"/>
  <c r="G352" i="8"/>
  <c r="F366" i="8"/>
  <c r="F367" i="8" s="1"/>
  <c r="F368" i="8" s="1"/>
  <c r="F369" i="8" s="1"/>
  <c r="F370" i="8" s="1"/>
  <c r="F371" i="8" s="1"/>
  <c r="F372" i="8" s="1"/>
  <c r="F373" i="8" s="1"/>
  <c r="F374" i="8" s="1"/>
  <c r="F375" i="8" s="1"/>
  <c r="F376" i="8" s="1"/>
  <c r="F365" i="8"/>
  <c r="B254" i="8"/>
  <c r="B302" i="8"/>
  <c r="D63" i="37"/>
  <c r="B398" i="7"/>
  <c r="B446" i="7"/>
  <c r="B158" i="6"/>
  <c r="B206" i="6"/>
  <c r="E110" i="36"/>
  <c r="D10" i="39" s="1"/>
  <c r="J10" i="39" s="1"/>
  <c r="E117" i="36"/>
  <c r="B1550" i="2"/>
  <c r="B1646" i="2"/>
  <c r="B1598" i="2"/>
  <c r="B1502" i="2"/>
  <c r="B686" i="2"/>
  <c r="B638" i="2"/>
  <c r="B1358" i="2"/>
  <c r="B782" i="2"/>
  <c r="B1406" i="2"/>
  <c r="B734" i="2"/>
  <c r="B494" i="2"/>
  <c r="B830" i="2"/>
  <c r="B542" i="2"/>
  <c r="B926" i="2"/>
  <c r="B1022" i="2"/>
  <c r="B878" i="2"/>
  <c r="B398" i="2"/>
  <c r="B350" i="2"/>
  <c r="B590" i="2"/>
  <c r="B302" i="2"/>
  <c r="B1262" i="2"/>
  <c r="B1118" i="2"/>
  <c r="B974" i="2"/>
  <c r="B1070" i="2"/>
  <c r="B1310" i="2"/>
  <c r="B1166" i="2"/>
  <c r="B1454" i="2"/>
  <c r="B1214" i="2"/>
  <c r="B446" i="2"/>
  <c r="B14" i="7"/>
  <c r="B302" i="7"/>
  <c r="B350" i="7"/>
  <c r="B206" i="7"/>
  <c r="B158" i="7"/>
  <c r="B254" i="7"/>
  <c r="B62" i="7"/>
  <c r="B110" i="7"/>
  <c r="B14" i="21"/>
  <c r="B110" i="21"/>
  <c r="B62" i="21"/>
  <c r="B110" i="1"/>
  <c r="B14" i="4"/>
  <c r="B350" i="4"/>
  <c r="B302" i="4"/>
  <c r="B158" i="4"/>
  <c r="B206" i="4"/>
  <c r="B110" i="4"/>
  <c r="B254" i="4"/>
  <c r="B62" i="4"/>
  <c r="B110" i="6"/>
  <c r="B62" i="6"/>
  <c r="B14" i="8"/>
  <c r="B206" i="8"/>
  <c r="B158" i="8"/>
  <c r="B62" i="8"/>
  <c r="B110" i="8"/>
  <c r="D70" i="37"/>
  <c r="D41" i="37"/>
  <c r="D46" i="37"/>
  <c r="D21" i="37"/>
  <c r="D27" i="37"/>
  <c r="G68" i="35"/>
  <c r="H68" i="35"/>
  <c r="I68" i="35"/>
  <c r="J68" i="35"/>
  <c r="K68" i="35"/>
  <c r="L68" i="35"/>
  <c r="F68" i="35"/>
  <c r="M68" i="35"/>
  <c r="D68" i="35"/>
  <c r="C68" i="35"/>
  <c r="E68" i="35"/>
  <c r="B68" i="35"/>
  <c r="E150" i="36"/>
  <c r="E143" i="36"/>
  <c r="D12" i="39" s="1"/>
  <c r="J12" i="39" s="1"/>
  <c r="E69" i="36"/>
  <c r="D7" i="39" s="1"/>
  <c r="J7" i="39" s="1"/>
  <c r="R18" i="42"/>
  <c r="S18" i="42" s="1"/>
  <c r="R35" i="42"/>
  <c r="S35" i="42" s="1"/>
  <c r="L67" i="35"/>
  <c r="M67" i="35"/>
  <c r="R15" i="42"/>
  <c r="S15" i="42" s="1"/>
  <c r="K67" i="35"/>
  <c r="C67" i="35"/>
  <c r="D67" i="35"/>
  <c r="E67" i="35"/>
  <c r="J67" i="35"/>
  <c r="F67" i="35"/>
  <c r="G67" i="35"/>
  <c r="I67" i="35"/>
  <c r="H67" i="35"/>
  <c r="B67" i="35"/>
  <c r="D57" i="37"/>
  <c r="H63" i="40"/>
  <c r="I63" i="40" s="1"/>
  <c r="C65" i="40"/>
  <c r="C55" i="40"/>
  <c r="C44" i="40"/>
  <c r="H58" i="40"/>
  <c r="I58" i="40" s="1"/>
  <c r="G156" i="40"/>
  <c r="G95" i="40"/>
  <c r="G142" i="40"/>
  <c r="G80" i="40"/>
  <c r="G73" i="40"/>
  <c r="H95" i="40"/>
  <c r="I95" i="40" s="1"/>
  <c r="G51" i="40"/>
  <c r="G130" i="40"/>
  <c r="G84" i="40"/>
  <c r="E31" i="40"/>
  <c r="G43" i="40"/>
  <c r="C104" i="40"/>
  <c r="C106" i="40" s="1"/>
  <c r="H106" i="40" s="1"/>
  <c r="I106" i="40" s="1"/>
  <c r="C132" i="40"/>
  <c r="H132" i="40" s="1"/>
  <c r="G146" i="40"/>
  <c r="G93" i="40"/>
  <c r="E159" i="40"/>
  <c r="E161" i="40" s="1"/>
  <c r="G72" i="40"/>
  <c r="H156" i="40"/>
  <c r="I156" i="40" s="1"/>
  <c r="G123" i="40"/>
  <c r="G144" i="40"/>
  <c r="H146" i="40"/>
  <c r="I146" i="40" s="1"/>
  <c r="G94" i="40"/>
  <c r="H43" i="40"/>
  <c r="I43" i="40" s="1"/>
  <c r="C118" i="40"/>
  <c r="C120" i="40" s="1"/>
  <c r="H120" i="40" s="1"/>
  <c r="I120" i="40" s="1"/>
  <c r="G143" i="40"/>
  <c r="G68" i="40"/>
  <c r="H48" i="40"/>
  <c r="I48" i="40" s="1"/>
  <c r="C97" i="40"/>
  <c r="H97" i="40" s="1"/>
  <c r="I97" i="40" s="1"/>
  <c r="G62" i="40"/>
  <c r="G96" i="40"/>
  <c r="E147" i="40"/>
  <c r="E149" i="40" s="1"/>
  <c r="E151" i="40" s="1"/>
  <c r="C87" i="40"/>
  <c r="G29" i="40"/>
  <c r="G75" i="40"/>
  <c r="G141" i="40"/>
  <c r="G145" i="40"/>
  <c r="G109" i="40"/>
  <c r="G110" i="40" s="1"/>
  <c r="G92" i="40"/>
  <c r="G78" i="40"/>
  <c r="C147" i="40"/>
  <c r="H147" i="40" s="1"/>
  <c r="E53" i="41"/>
  <c r="G157" i="40"/>
  <c r="C26" i="40"/>
  <c r="H26" i="40" s="1"/>
  <c r="I26" i="40" s="1"/>
  <c r="G54" i="40"/>
  <c r="H123" i="40"/>
  <c r="I123" i="40" s="1"/>
  <c r="H144" i="40"/>
  <c r="I144" i="40" s="1"/>
  <c r="B53" i="41"/>
  <c r="H42" i="43" s="1"/>
  <c r="H45" i="43" s="1"/>
  <c r="G41" i="40"/>
  <c r="H85" i="40"/>
  <c r="I85" i="40" s="1"/>
  <c r="C110" i="40"/>
  <c r="C112" i="40" s="1"/>
  <c r="H112" i="40" s="1"/>
  <c r="I112" i="40" s="1"/>
  <c r="C125" i="40"/>
  <c r="C127" i="40" s="1"/>
  <c r="H127" i="40" s="1"/>
  <c r="I127" i="40" s="1"/>
  <c r="H145" i="40"/>
  <c r="I145" i="40" s="1"/>
  <c r="C159" i="40"/>
  <c r="C53" i="41"/>
  <c r="G15" i="40"/>
  <c r="H143" i="40"/>
  <c r="I143" i="40" s="1"/>
  <c r="E125" i="40"/>
  <c r="E127" i="40" s="1"/>
  <c r="G53" i="40"/>
  <c r="C31" i="40"/>
  <c r="H31" i="40" s="1"/>
  <c r="I31" i="40" s="1"/>
  <c r="G69" i="40"/>
  <c r="G91" i="40"/>
  <c r="G115" i="40"/>
  <c r="G79" i="40"/>
  <c r="G76" i="40"/>
  <c r="G71" i="40"/>
  <c r="G77" i="40"/>
  <c r="H86" i="40"/>
  <c r="I86" i="40" s="1"/>
  <c r="D51" i="41"/>
  <c r="E51" i="41"/>
  <c r="G85" i="40"/>
  <c r="B51" i="41"/>
  <c r="H29" i="43" s="1"/>
  <c r="H32" i="43" s="1"/>
  <c r="E97" i="40"/>
  <c r="E110" i="40"/>
  <c r="E112" i="40" s="1"/>
  <c r="B35" i="41" s="1"/>
  <c r="G86" i="40"/>
  <c r="H17" i="43"/>
  <c r="C81" i="40"/>
  <c r="H81" i="40" s="1"/>
  <c r="I81" i="40" s="1"/>
  <c r="G70" i="40"/>
  <c r="E81" i="40"/>
  <c r="N36" i="35"/>
  <c r="C44" i="34" s="1"/>
  <c r="K4" i="38" s="1"/>
  <c r="G27" i="38" s="1"/>
  <c r="M104" i="35"/>
  <c r="J99" i="35"/>
  <c r="J109" i="35" s="1"/>
  <c r="D99" i="35"/>
  <c r="Q46" i="42"/>
  <c r="M46" i="42"/>
  <c r="F50" i="42"/>
  <c r="F52" i="42"/>
  <c r="Q55" i="42"/>
  <c r="C99" i="35"/>
  <c r="H52" i="42"/>
  <c r="B99" i="35"/>
  <c r="P51" i="42"/>
  <c r="P46" i="42"/>
  <c r="F99" i="35"/>
  <c r="O46" i="42"/>
  <c r="G99" i="35"/>
  <c r="G109" i="35" s="1"/>
  <c r="E99" i="35"/>
  <c r="H99" i="35"/>
  <c r="H109" i="35" s="1"/>
  <c r="F55" i="42"/>
  <c r="K48" i="42"/>
  <c r="J52" i="42"/>
  <c r="J48" i="42"/>
  <c r="O51" i="42"/>
  <c r="N16" i="35"/>
  <c r="I99" i="35"/>
  <c r="I52" i="42"/>
  <c r="I107" i="35"/>
  <c r="G52" i="42"/>
  <c r="S32" i="42"/>
  <c r="E85" i="36"/>
  <c r="D9" i="39" s="1"/>
  <c r="J9" i="39" s="1"/>
  <c r="C136" i="36"/>
  <c r="C103" i="36"/>
  <c r="E103" i="36"/>
  <c r="S30" i="42"/>
  <c r="S29" i="42"/>
  <c r="R36" i="42"/>
  <c r="S36" i="42" s="1"/>
  <c r="F46" i="42"/>
  <c r="P55" i="42"/>
  <c r="I48" i="42"/>
  <c r="O55" i="42"/>
  <c r="H48" i="42"/>
  <c r="F48" i="42"/>
  <c r="N55" i="42"/>
  <c r="G48" i="42"/>
  <c r="M55" i="42"/>
  <c r="Q47" i="42"/>
  <c r="F51" i="42"/>
  <c r="L55" i="42"/>
  <c r="P47" i="42"/>
  <c r="K55" i="42"/>
  <c r="N51" i="42"/>
  <c r="O47" i="42"/>
  <c r="F54" i="42"/>
  <c r="J55" i="42"/>
  <c r="M51" i="42"/>
  <c r="N47" i="42"/>
  <c r="I55" i="42"/>
  <c r="L51" i="42"/>
  <c r="M47" i="42"/>
  <c r="H55" i="42"/>
  <c r="K51" i="42"/>
  <c r="L47" i="42"/>
  <c r="G55" i="42"/>
  <c r="J51" i="42"/>
  <c r="K47" i="42"/>
  <c r="G95" i="35"/>
  <c r="Q54" i="42"/>
  <c r="I51" i="42"/>
  <c r="P54" i="42"/>
  <c r="H51" i="42"/>
  <c r="O54" i="42"/>
  <c r="G51" i="42"/>
  <c r="N54" i="42"/>
  <c r="Q50" i="42"/>
  <c r="P50" i="42"/>
  <c r="L54" i="42"/>
  <c r="O50" i="42"/>
  <c r="K54" i="42"/>
  <c r="N50" i="42"/>
  <c r="J83" i="35"/>
  <c r="J54" i="42"/>
  <c r="M50" i="42"/>
  <c r="N46" i="42"/>
  <c r="I95" i="35"/>
  <c r="I54" i="42"/>
  <c r="L50" i="42"/>
  <c r="H54" i="42"/>
  <c r="K50" i="42"/>
  <c r="L46" i="42"/>
  <c r="K83" i="35"/>
  <c r="L95" i="35"/>
  <c r="G54" i="42"/>
  <c r="J50" i="42"/>
  <c r="K46" i="42"/>
  <c r="P53" i="42"/>
  <c r="I50" i="42"/>
  <c r="J46" i="42"/>
  <c r="H95" i="35"/>
  <c r="K95" i="35"/>
  <c r="M53" i="42"/>
  <c r="H50" i="42"/>
  <c r="I46" i="42"/>
  <c r="Q52" i="42"/>
  <c r="G50" i="42"/>
  <c r="H46" i="42"/>
  <c r="E83" i="35"/>
  <c r="P52" i="42"/>
  <c r="Q48" i="42"/>
  <c r="G46" i="42"/>
  <c r="M83" i="35"/>
  <c r="F83" i="35"/>
  <c r="O52" i="42"/>
  <c r="P48" i="42"/>
  <c r="G83" i="35"/>
  <c r="N52" i="42"/>
  <c r="O48" i="42"/>
  <c r="M52" i="42"/>
  <c r="N48" i="42"/>
  <c r="L52" i="42"/>
  <c r="M48" i="42"/>
  <c r="K52" i="42"/>
  <c r="L48" i="42"/>
  <c r="R19" i="42"/>
  <c r="S19" i="42" s="1"/>
  <c r="N26" i="35"/>
  <c r="M95" i="35"/>
  <c r="J95" i="35"/>
  <c r="G57" i="37"/>
  <c r="H57" i="37" s="1"/>
  <c r="G41" i="37"/>
  <c r="H41" i="37" s="1"/>
  <c r="G21" i="37"/>
  <c r="H21" i="37" s="1"/>
  <c r="E87" i="40"/>
  <c r="Q49" i="42"/>
  <c r="P49" i="42"/>
  <c r="O49" i="42"/>
  <c r="N49" i="42"/>
  <c r="M49" i="42"/>
  <c r="L49" i="42"/>
  <c r="K49" i="42"/>
  <c r="J49" i="42"/>
  <c r="I49" i="42"/>
  <c r="H49" i="42"/>
  <c r="F49" i="42"/>
  <c r="G49" i="42"/>
  <c r="Q53" i="42"/>
  <c r="O53" i="42"/>
  <c r="N53" i="42"/>
  <c r="L53" i="42"/>
  <c r="K53" i="42"/>
  <c r="J53" i="42"/>
  <c r="I53" i="42"/>
  <c r="H53" i="42"/>
  <c r="G53" i="42"/>
  <c r="F53" i="42"/>
  <c r="F95" i="35"/>
  <c r="L64" i="35"/>
  <c r="M64" i="35"/>
  <c r="I64" i="35"/>
  <c r="C64" i="35"/>
  <c r="K64" i="35"/>
  <c r="D64" i="35"/>
  <c r="E64" i="35"/>
  <c r="F64" i="35"/>
  <c r="B64" i="35"/>
  <c r="C95" i="35"/>
  <c r="D95" i="35"/>
  <c r="E95" i="35"/>
  <c r="B95" i="35"/>
  <c r="L83" i="35"/>
  <c r="C83" i="35"/>
  <c r="D83" i="35"/>
  <c r="H83" i="35"/>
  <c r="I83" i="35"/>
  <c r="B83" i="35"/>
  <c r="C168" i="40"/>
  <c r="H166" i="40"/>
  <c r="H37" i="40"/>
  <c r="I37" i="40" s="1"/>
  <c r="G30" i="40"/>
  <c r="G124" i="40"/>
  <c r="H30" i="40"/>
  <c r="I30" i="40" s="1"/>
  <c r="H124" i="40"/>
  <c r="I124" i="40" s="1"/>
  <c r="H165" i="40"/>
  <c r="I165" i="40" s="1"/>
  <c r="G64" i="40"/>
  <c r="G158" i="40"/>
  <c r="H158" i="40"/>
  <c r="I158" i="40" s="1"/>
  <c r="H131" i="40"/>
  <c r="I131" i="40" s="1"/>
  <c r="G139" i="40"/>
  <c r="H139" i="40"/>
  <c r="I139" i="40" s="1"/>
  <c r="G90" i="40"/>
  <c r="G103" i="40"/>
  <c r="H47" i="40"/>
  <c r="I47" i="40" s="1"/>
  <c r="H103" i="40"/>
  <c r="I103" i="40" s="1"/>
  <c r="H80" i="40"/>
  <c r="I80" i="40" s="1"/>
  <c r="J103" i="40"/>
  <c r="K103" i="40"/>
  <c r="G140" i="40"/>
  <c r="L103" i="40"/>
  <c r="G74" i="40"/>
  <c r="M99" i="35"/>
  <c r="B100" i="35"/>
  <c r="C100" i="35"/>
  <c r="C109" i="35" s="1"/>
  <c r="D100" i="35"/>
  <c r="E100" i="35"/>
  <c r="F100" i="35"/>
  <c r="K99" i="35"/>
  <c r="K109" i="35" s="1"/>
  <c r="L99" i="35"/>
  <c r="L109" i="35" s="1"/>
  <c r="G64" i="35"/>
  <c r="H64" i="35"/>
  <c r="J64" i="35"/>
  <c r="H269" i="7" l="1"/>
  <c r="N269" i="7"/>
  <c r="M269" i="7"/>
  <c r="L269" i="7"/>
  <c r="K269" i="7"/>
  <c r="J269" i="7"/>
  <c r="I269" i="7"/>
  <c r="I1085" i="2"/>
  <c r="N1085" i="2"/>
  <c r="M1085" i="2"/>
  <c r="L1085" i="2"/>
  <c r="H1085" i="2"/>
  <c r="J1085" i="2"/>
  <c r="K1085" i="2"/>
  <c r="L365" i="4"/>
  <c r="K365" i="4"/>
  <c r="J365" i="4"/>
  <c r="I365" i="4"/>
  <c r="H365" i="4"/>
  <c r="N365" i="4"/>
  <c r="M365" i="4"/>
  <c r="H173" i="7"/>
  <c r="M173" i="7"/>
  <c r="L173" i="7"/>
  <c r="K173" i="7"/>
  <c r="J173" i="7"/>
  <c r="I173" i="7"/>
  <c r="N173" i="7"/>
  <c r="N29" i="4"/>
  <c r="H29" i="4"/>
  <c r="M29" i="4"/>
  <c r="L29" i="4"/>
  <c r="K29" i="4"/>
  <c r="J29" i="4"/>
  <c r="I29" i="4"/>
  <c r="L125" i="2"/>
  <c r="K125" i="2"/>
  <c r="J125" i="2"/>
  <c r="I125" i="2"/>
  <c r="H125" i="2"/>
  <c r="N125" i="2"/>
  <c r="M125" i="2"/>
  <c r="H125" i="7"/>
  <c r="K125" i="7"/>
  <c r="J125" i="7"/>
  <c r="I125" i="7"/>
  <c r="N125" i="7"/>
  <c r="M125" i="7"/>
  <c r="L125" i="7"/>
  <c r="M1229" i="2"/>
  <c r="L1229" i="2"/>
  <c r="K1229" i="2"/>
  <c r="J1229" i="2"/>
  <c r="I1229" i="2"/>
  <c r="N1229" i="2"/>
  <c r="H1229" i="2"/>
  <c r="L365" i="2"/>
  <c r="K365" i="2"/>
  <c r="J365" i="2"/>
  <c r="I365" i="2"/>
  <c r="H365" i="2"/>
  <c r="N365" i="2"/>
  <c r="M365" i="2"/>
  <c r="L221" i="4"/>
  <c r="H221" i="4"/>
  <c r="J221" i="4"/>
  <c r="I221" i="4"/>
  <c r="M221" i="4"/>
  <c r="N221" i="4"/>
  <c r="K221" i="4"/>
  <c r="L221" i="2"/>
  <c r="K221" i="2"/>
  <c r="J221" i="2"/>
  <c r="I221" i="2"/>
  <c r="H221" i="2"/>
  <c r="N221" i="2"/>
  <c r="M221" i="2"/>
  <c r="M557" i="2"/>
  <c r="L557" i="2"/>
  <c r="K557" i="2"/>
  <c r="J557" i="2"/>
  <c r="I557" i="2"/>
  <c r="N557" i="2"/>
  <c r="H557" i="2"/>
  <c r="M1181" i="2"/>
  <c r="L1181" i="2"/>
  <c r="K1181" i="2"/>
  <c r="J1181" i="2"/>
  <c r="I1181" i="2"/>
  <c r="N1181" i="2"/>
  <c r="H1181" i="2"/>
  <c r="M1373" i="2"/>
  <c r="L1373" i="2"/>
  <c r="K1373" i="2"/>
  <c r="J1373" i="2"/>
  <c r="I1373" i="2"/>
  <c r="H1373" i="2"/>
  <c r="N1373" i="2"/>
  <c r="N125" i="21"/>
  <c r="M125" i="21"/>
  <c r="L125" i="21"/>
  <c r="K125" i="21"/>
  <c r="J125" i="21"/>
  <c r="I125" i="21"/>
  <c r="H125" i="21"/>
  <c r="N125" i="6"/>
  <c r="L125" i="6"/>
  <c r="K125" i="6"/>
  <c r="M125" i="6"/>
  <c r="J125" i="6"/>
  <c r="I125" i="6"/>
  <c r="H125" i="6"/>
  <c r="L413" i="2"/>
  <c r="K413" i="2"/>
  <c r="J413" i="2"/>
  <c r="I413" i="2"/>
  <c r="H413" i="2"/>
  <c r="N413" i="2"/>
  <c r="M413" i="2"/>
  <c r="M605" i="2"/>
  <c r="L605" i="2"/>
  <c r="K605" i="2"/>
  <c r="J605" i="2"/>
  <c r="I605" i="2"/>
  <c r="N605" i="2"/>
  <c r="H605" i="2"/>
  <c r="H221" i="8"/>
  <c r="N221" i="8"/>
  <c r="M221" i="8"/>
  <c r="L221" i="8"/>
  <c r="K221" i="8"/>
  <c r="J221" i="8"/>
  <c r="I221" i="8"/>
  <c r="M701" i="2"/>
  <c r="L701" i="2"/>
  <c r="K701" i="2"/>
  <c r="J701" i="2"/>
  <c r="I701" i="2"/>
  <c r="N701" i="2"/>
  <c r="H701" i="2"/>
  <c r="L269" i="2"/>
  <c r="K269" i="2"/>
  <c r="J269" i="2"/>
  <c r="I269" i="2"/>
  <c r="H269" i="2"/>
  <c r="N269" i="2"/>
  <c r="M269" i="2"/>
  <c r="K29" i="7"/>
  <c r="J29" i="7"/>
  <c r="I29" i="7"/>
  <c r="H29" i="7"/>
  <c r="N29" i="7"/>
  <c r="M29" i="7"/>
  <c r="L29" i="7"/>
  <c r="L317" i="2"/>
  <c r="K317" i="2"/>
  <c r="J317" i="2"/>
  <c r="I317" i="2"/>
  <c r="H317" i="2"/>
  <c r="N317" i="2"/>
  <c r="M317" i="2"/>
  <c r="M1421" i="2"/>
  <c r="L1421" i="2"/>
  <c r="K1421" i="2"/>
  <c r="J1421" i="2"/>
  <c r="I1421" i="2"/>
  <c r="H1421" i="2"/>
  <c r="N1421" i="2"/>
  <c r="M845" i="2"/>
  <c r="L845" i="2"/>
  <c r="K845" i="2"/>
  <c r="J845" i="2"/>
  <c r="I845" i="2"/>
  <c r="H845" i="2"/>
  <c r="N845" i="2"/>
  <c r="L173" i="4"/>
  <c r="J173" i="4"/>
  <c r="I173" i="4"/>
  <c r="H173" i="4"/>
  <c r="M173" i="4"/>
  <c r="N173" i="4"/>
  <c r="K173" i="4"/>
  <c r="N77" i="6"/>
  <c r="M77" i="6"/>
  <c r="L77" i="6"/>
  <c r="K77" i="6"/>
  <c r="J77" i="6"/>
  <c r="I77" i="6"/>
  <c r="H77" i="6"/>
  <c r="H77" i="8"/>
  <c r="M77" i="8"/>
  <c r="N77" i="8"/>
  <c r="L77" i="8"/>
  <c r="K77" i="8"/>
  <c r="J77" i="8"/>
  <c r="I77" i="8"/>
  <c r="H1517" i="2"/>
  <c r="N1517" i="2"/>
  <c r="M1517" i="2"/>
  <c r="L1517" i="2"/>
  <c r="K1517" i="2"/>
  <c r="J1517" i="2"/>
  <c r="I1517" i="2"/>
  <c r="M1037" i="2"/>
  <c r="L1037" i="2"/>
  <c r="K1037" i="2"/>
  <c r="J1037" i="2"/>
  <c r="I1037" i="2"/>
  <c r="H1037" i="2"/>
  <c r="N1037" i="2"/>
  <c r="J1565" i="2"/>
  <c r="I1565" i="2"/>
  <c r="H1565" i="2"/>
  <c r="N1565" i="2"/>
  <c r="M1565" i="2"/>
  <c r="L1565" i="2"/>
  <c r="K1565" i="2"/>
  <c r="N1661" i="2"/>
  <c r="L1661" i="2"/>
  <c r="K1661" i="2"/>
  <c r="J1661" i="2"/>
  <c r="I1661" i="2"/>
  <c r="H1661" i="2"/>
  <c r="M1661" i="2"/>
  <c r="H125" i="8"/>
  <c r="N125" i="8"/>
  <c r="M125" i="8"/>
  <c r="J125" i="8"/>
  <c r="L125" i="8"/>
  <c r="K125" i="8"/>
  <c r="I125" i="8"/>
  <c r="M653" i="2"/>
  <c r="L653" i="2"/>
  <c r="K653" i="2"/>
  <c r="J653" i="2"/>
  <c r="I653" i="2"/>
  <c r="H653" i="2"/>
  <c r="N653" i="2"/>
  <c r="H317" i="7"/>
  <c r="N317" i="7"/>
  <c r="M317" i="7"/>
  <c r="L317" i="7"/>
  <c r="K317" i="7"/>
  <c r="I317" i="7"/>
  <c r="J317" i="7"/>
  <c r="K461" i="2"/>
  <c r="N461" i="2"/>
  <c r="M461" i="2"/>
  <c r="L461" i="2"/>
  <c r="J461" i="2"/>
  <c r="I461" i="2"/>
  <c r="H461" i="2"/>
  <c r="M893" i="2"/>
  <c r="L893" i="2"/>
  <c r="K893" i="2"/>
  <c r="J893" i="2"/>
  <c r="I893" i="2"/>
  <c r="H893" i="2"/>
  <c r="N893" i="2"/>
  <c r="H173" i="8"/>
  <c r="N173" i="8"/>
  <c r="M173" i="8"/>
  <c r="L173" i="8"/>
  <c r="K173" i="8"/>
  <c r="J173" i="8"/>
  <c r="I173" i="8"/>
  <c r="N125" i="4"/>
  <c r="M125" i="4"/>
  <c r="L125" i="4"/>
  <c r="H125" i="4"/>
  <c r="K125" i="4"/>
  <c r="J125" i="4"/>
  <c r="I125" i="4"/>
  <c r="M749" i="2"/>
  <c r="L749" i="2"/>
  <c r="K749" i="2"/>
  <c r="J749" i="2"/>
  <c r="I749" i="2"/>
  <c r="N749" i="2"/>
  <c r="H749" i="2"/>
  <c r="H221" i="7"/>
  <c r="N221" i="7"/>
  <c r="M221" i="7"/>
  <c r="L221" i="7"/>
  <c r="K221" i="7"/>
  <c r="J221" i="7"/>
  <c r="I221" i="7"/>
  <c r="N77" i="4"/>
  <c r="M77" i="4"/>
  <c r="L77" i="4"/>
  <c r="H77" i="4"/>
  <c r="K77" i="4"/>
  <c r="J77" i="4"/>
  <c r="I77" i="4"/>
  <c r="N1613" i="2"/>
  <c r="M1613" i="2"/>
  <c r="L1613" i="2"/>
  <c r="K1613" i="2"/>
  <c r="J1613" i="2"/>
  <c r="I1613" i="2"/>
  <c r="H1613" i="2"/>
  <c r="H365" i="7"/>
  <c r="L365" i="7"/>
  <c r="K365" i="7"/>
  <c r="J365" i="7"/>
  <c r="I365" i="7"/>
  <c r="N365" i="7"/>
  <c r="M365" i="7"/>
  <c r="L269" i="4"/>
  <c r="K269" i="4"/>
  <c r="J269" i="4"/>
  <c r="I269" i="4"/>
  <c r="H269" i="4"/>
  <c r="N269" i="4"/>
  <c r="M269" i="4"/>
  <c r="L29" i="21"/>
  <c r="K29" i="21"/>
  <c r="J29" i="21"/>
  <c r="I29" i="21"/>
  <c r="H29" i="21"/>
  <c r="N29" i="21"/>
  <c r="M29" i="21"/>
  <c r="M941" i="2"/>
  <c r="L941" i="2"/>
  <c r="K941" i="2"/>
  <c r="J941" i="2"/>
  <c r="I941" i="2"/>
  <c r="H941" i="2"/>
  <c r="N941" i="2"/>
  <c r="H29" i="8"/>
  <c r="M29" i="8"/>
  <c r="L29" i="8"/>
  <c r="K29" i="8"/>
  <c r="J29" i="8"/>
  <c r="I29" i="8"/>
  <c r="N29" i="8"/>
  <c r="H77" i="7"/>
  <c r="I77" i="7"/>
  <c r="M77" i="7"/>
  <c r="L77" i="7"/>
  <c r="K77" i="7"/>
  <c r="J77" i="7"/>
  <c r="N77" i="7"/>
  <c r="M1469" i="2"/>
  <c r="L1469" i="2"/>
  <c r="K1469" i="2"/>
  <c r="J1469" i="2"/>
  <c r="I1469" i="2"/>
  <c r="H1469" i="2"/>
  <c r="N1469" i="2"/>
  <c r="M797" i="2"/>
  <c r="L797" i="2"/>
  <c r="K797" i="2"/>
  <c r="J797" i="2"/>
  <c r="I797" i="2"/>
  <c r="H797" i="2"/>
  <c r="N797" i="2"/>
  <c r="K509" i="2"/>
  <c r="L509" i="2"/>
  <c r="J509" i="2"/>
  <c r="I509" i="2"/>
  <c r="H509" i="2"/>
  <c r="N509" i="2"/>
  <c r="M509" i="2"/>
  <c r="L317" i="4"/>
  <c r="K317" i="4"/>
  <c r="J317" i="4"/>
  <c r="I317" i="4"/>
  <c r="H317" i="4"/>
  <c r="N317" i="4"/>
  <c r="M317" i="4"/>
  <c r="M1133" i="2"/>
  <c r="L1133" i="2"/>
  <c r="K1133" i="2"/>
  <c r="J1133" i="2"/>
  <c r="I1133" i="2"/>
  <c r="N1133" i="2"/>
  <c r="H1133" i="2"/>
  <c r="M1325" i="2"/>
  <c r="L1325" i="2"/>
  <c r="K1325" i="2"/>
  <c r="J1325" i="2"/>
  <c r="I1325" i="2"/>
  <c r="N1325" i="2"/>
  <c r="H1325" i="2"/>
  <c r="L77" i="21"/>
  <c r="K77" i="21"/>
  <c r="J77" i="21"/>
  <c r="I77" i="21"/>
  <c r="H77" i="21"/>
  <c r="N77" i="21"/>
  <c r="M77" i="21"/>
  <c r="M1277" i="2"/>
  <c r="L1277" i="2"/>
  <c r="K1277" i="2"/>
  <c r="J1277" i="2"/>
  <c r="I1277" i="2"/>
  <c r="H1277" i="2"/>
  <c r="N1277" i="2"/>
  <c r="M989" i="2"/>
  <c r="L989" i="2"/>
  <c r="K989" i="2"/>
  <c r="J989" i="2"/>
  <c r="I989" i="2"/>
  <c r="H989" i="2"/>
  <c r="N989" i="2"/>
  <c r="M173" i="2"/>
  <c r="N173" i="2"/>
  <c r="K173" i="2"/>
  <c r="J173" i="2"/>
  <c r="L173" i="2"/>
  <c r="H173" i="2"/>
  <c r="I173" i="2"/>
  <c r="B270" i="13"/>
  <c r="D269" i="13"/>
  <c r="E269" i="13"/>
  <c r="G269" i="13" s="1"/>
  <c r="O269" i="13"/>
  <c r="H269" i="13"/>
  <c r="N269" i="13"/>
  <c r="J269" i="13"/>
  <c r="D221" i="13"/>
  <c r="O221" i="13"/>
  <c r="B222" i="13"/>
  <c r="E221" i="13"/>
  <c r="N221" i="13" s="1"/>
  <c r="E173" i="13"/>
  <c r="N173" i="13" s="1"/>
  <c r="D173" i="13"/>
  <c r="B174" i="13"/>
  <c r="B126" i="13"/>
  <c r="D125" i="13"/>
  <c r="E125" i="13"/>
  <c r="O125" i="13"/>
  <c r="B78" i="13"/>
  <c r="E77" i="13"/>
  <c r="G77" i="13" s="1"/>
  <c r="O77" i="13"/>
  <c r="D77" i="13"/>
  <c r="B173" i="5"/>
  <c r="E173" i="5" s="1"/>
  <c r="G173" i="5" s="1"/>
  <c r="F127" i="20"/>
  <c r="F128" i="20" s="1"/>
  <c r="F129" i="20" s="1"/>
  <c r="F130" i="20" s="1"/>
  <c r="F131" i="20" s="1"/>
  <c r="F132" i="20" s="1"/>
  <c r="F133" i="20" s="1"/>
  <c r="F134" i="20" s="1"/>
  <c r="F135" i="20" s="1"/>
  <c r="F136" i="20" s="1"/>
  <c r="F137" i="20" s="1"/>
  <c r="F83" i="20"/>
  <c r="F84" i="20" s="1"/>
  <c r="F85" i="20" s="1"/>
  <c r="F86" i="20" s="1"/>
  <c r="F87" i="20" s="1"/>
  <c r="F88" i="20" s="1"/>
  <c r="F89" i="20" s="1"/>
  <c r="F567" i="2"/>
  <c r="F568" i="2" s="1"/>
  <c r="R47" i="42"/>
  <c r="S47" i="42" s="1"/>
  <c r="R54" i="42"/>
  <c r="S54" i="42" s="1"/>
  <c r="R55" i="42"/>
  <c r="R52" i="42"/>
  <c r="S52" i="42" s="1"/>
  <c r="R46" i="42"/>
  <c r="D109" i="35"/>
  <c r="M109" i="35"/>
  <c r="R51" i="42"/>
  <c r="S51" i="42" s="1"/>
  <c r="R48" i="42"/>
  <c r="S48" i="42" s="1"/>
  <c r="R50" i="42"/>
  <c r="S50" i="42" s="1"/>
  <c r="F137" i="5"/>
  <c r="F185" i="20"/>
  <c r="O461" i="7"/>
  <c r="O269" i="8"/>
  <c r="F1049" i="2"/>
  <c r="F41" i="21"/>
  <c r="F377" i="7"/>
  <c r="F329" i="6"/>
  <c r="F329" i="7"/>
  <c r="F89" i="21"/>
  <c r="F89" i="7"/>
  <c r="F377" i="8"/>
  <c r="F137" i="21"/>
  <c r="F521" i="2"/>
  <c r="F329" i="4"/>
  <c r="F41" i="7"/>
  <c r="F1422" i="2"/>
  <c r="F1423" i="2" s="1"/>
  <c r="F1424" i="2" s="1"/>
  <c r="F1425" i="2" s="1"/>
  <c r="F1426" i="2" s="1"/>
  <c r="F1427" i="2" s="1"/>
  <c r="F1428" i="2" s="1"/>
  <c r="F1429" i="2" s="1"/>
  <c r="F1430" i="2" s="1"/>
  <c r="F1431" i="2" s="1"/>
  <c r="F1432" i="2" s="1"/>
  <c r="F319" i="8"/>
  <c r="F320" i="8" s="1"/>
  <c r="F321" i="8" s="1"/>
  <c r="F322" i="8" s="1"/>
  <c r="F323" i="8" s="1"/>
  <c r="F324" i="8" s="1"/>
  <c r="F325" i="8" s="1"/>
  <c r="F326" i="8" s="1"/>
  <c r="F327" i="8" s="1"/>
  <c r="F328" i="8" s="1"/>
  <c r="F223" i="6"/>
  <c r="F224" i="6" s="1"/>
  <c r="F225" i="6" s="1"/>
  <c r="F226" i="6" s="1"/>
  <c r="F227" i="6" s="1"/>
  <c r="F228" i="6" s="1"/>
  <c r="F229" i="6" s="1"/>
  <c r="F230" i="6" s="1"/>
  <c r="F231" i="6" s="1"/>
  <c r="F232" i="6" s="1"/>
  <c r="F175" i="6"/>
  <c r="F176" i="6" s="1"/>
  <c r="F177" i="6" s="1"/>
  <c r="F178" i="6" s="1"/>
  <c r="F179" i="6" s="1"/>
  <c r="F180" i="6" s="1"/>
  <c r="F181" i="6" s="1"/>
  <c r="F182" i="6" s="1"/>
  <c r="F183" i="6" s="1"/>
  <c r="F184" i="6" s="1"/>
  <c r="F415" i="7"/>
  <c r="F416" i="7" s="1"/>
  <c r="F417" i="7" s="1"/>
  <c r="F418" i="7" s="1"/>
  <c r="F419" i="7" s="1"/>
  <c r="F420" i="7" s="1"/>
  <c r="F421" i="7" s="1"/>
  <c r="F422" i="7" s="1"/>
  <c r="F423" i="7" s="1"/>
  <c r="F424" i="7" s="1"/>
  <c r="F128" i="8"/>
  <c r="F129" i="8" s="1"/>
  <c r="F130" i="8" s="1"/>
  <c r="F131" i="8" s="1"/>
  <c r="F132" i="8" s="1"/>
  <c r="F133" i="8" s="1"/>
  <c r="F134" i="8" s="1"/>
  <c r="F135" i="8" s="1"/>
  <c r="F136" i="8" s="1"/>
  <c r="F270" i="2"/>
  <c r="F271" i="2" s="1"/>
  <c r="F272" i="2" s="1"/>
  <c r="F273" i="2" s="1"/>
  <c r="F274" i="2" s="1"/>
  <c r="F275" i="2" s="1"/>
  <c r="F276" i="2" s="1"/>
  <c r="F277" i="2" s="1"/>
  <c r="F278" i="2" s="1"/>
  <c r="F279" i="2" s="1"/>
  <c r="F280" i="2" s="1"/>
  <c r="E173" i="7"/>
  <c r="B174" i="7"/>
  <c r="O173" i="7"/>
  <c r="D173" i="7"/>
  <c r="F1614" i="2"/>
  <c r="F1615" i="2" s="1"/>
  <c r="F1616" i="2" s="1"/>
  <c r="F1617" i="2" s="1"/>
  <c r="F1618" i="2" s="1"/>
  <c r="F1619" i="2" s="1"/>
  <c r="F1620" i="2" s="1"/>
  <c r="F1621" i="2" s="1"/>
  <c r="F1622" i="2" s="1"/>
  <c r="F1623" i="2" s="1"/>
  <c r="F1624" i="2" s="1"/>
  <c r="E173" i="4"/>
  <c r="G173" i="4" s="1"/>
  <c r="D173" i="4"/>
  <c r="O173" i="4"/>
  <c r="B174" i="4"/>
  <c r="E605" i="2"/>
  <c r="G605" i="2" s="1"/>
  <c r="B606" i="2"/>
  <c r="D605" i="2"/>
  <c r="O605" i="2"/>
  <c r="B78" i="6"/>
  <c r="E77" i="6"/>
  <c r="G77" i="6" s="1"/>
  <c r="O77" i="6"/>
  <c r="D77" i="6"/>
  <c r="B366" i="7"/>
  <c r="E365" i="7"/>
  <c r="G365" i="7" s="1"/>
  <c r="D365" i="7"/>
  <c r="O365" i="7"/>
  <c r="D125" i="20"/>
  <c r="B126" i="20"/>
  <c r="E125" i="20"/>
  <c r="G125" i="20" s="1"/>
  <c r="O125" i="20"/>
  <c r="E1373" i="2"/>
  <c r="G1373" i="2" s="1"/>
  <c r="D1373" i="2"/>
  <c r="O1373" i="2"/>
  <c r="B1374" i="2"/>
  <c r="B126" i="4"/>
  <c r="O125" i="4"/>
  <c r="E125" i="4"/>
  <c r="G125" i="4" s="1"/>
  <c r="D125" i="4"/>
  <c r="D653" i="2"/>
  <c r="E653" i="2"/>
  <c r="G653" i="2" s="1"/>
  <c r="B654" i="2"/>
  <c r="O653" i="2"/>
  <c r="F1518" i="2"/>
  <c r="F1519" i="2" s="1"/>
  <c r="F1520" i="2" s="1"/>
  <c r="F1521" i="2" s="1"/>
  <c r="F1522" i="2" s="1"/>
  <c r="F1523" i="2" s="1"/>
  <c r="F1524" i="2" s="1"/>
  <c r="F1525" i="2" s="1"/>
  <c r="F1526" i="2" s="1"/>
  <c r="F1527" i="2" s="1"/>
  <c r="F1528" i="2" s="1"/>
  <c r="O173" i="2"/>
  <c r="E173" i="2"/>
  <c r="G173" i="2" s="1"/>
  <c r="D173" i="2"/>
  <c r="B174" i="2"/>
  <c r="B270" i="8"/>
  <c r="E269" i="8"/>
  <c r="D269" i="8"/>
  <c r="B1566" i="2"/>
  <c r="E1565" i="2"/>
  <c r="G1565" i="2" s="1"/>
  <c r="D1565" i="2"/>
  <c r="O1565" i="2"/>
  <c r="B942" i="2"/>
  <c r="D941" i="2"/>
  <c r="E941" i="2"/>
  <c r="G941" i="2" s="1"/>
  <c r="O941" i="2"/>
  <c r="B1662" i="2"/>
  <c r="E1661" i="2"/>
  <c r="G1661" i="2" s="1"/>
  <c r="D1661" i="2"/>
  <c r="O1661" i="2"/>
  <c r="E269" i="6"/>
  <c r="G269" i="6" s="1"/>
  <c r="D269" i="6"/>
  <c r="O269" i="6"/>
  <c r="B270" i="6"/>
  <c r="B126" i="6"/>
  <c r="D125" i="6"/>
  <c r="E125" i="6"/>
  <c r="G125" i="6" s="1"/>
  <c r="O125" i="6"/>
  <c r="F798" i="2"/>
  <c r="F799" i="2" s="1"/>
  <c r="F800" i="2" s="1"/>
  <c r="F801" i="2" s="1"/>
  <c r="F802" i="2" s="1"/>
  <c r="F803" i="2" s="1"/>
  <c r="F804" i="2" s="1"/>
  <c r="F805" i="2" s="1"/>
  <c r="F806" i="2" s="1"/>
  <c r="F807" i="2" s="1"/>
  <c r="F808" i="2" s="1"/>
  <c r="F510" i="7"/>
  <c r="F511" i="7" s="1"/>
  <c r="F512" i="7" s="1"/>
  <c r="F513" i="7" s="1"/>
  <c r="F514" i="7" s="1"/>
  <c r="F515" i="7" s="1"/>
  <c r="F516" i="7" s="1"/>
  <c r="F517" i="7" s="1"/>
  <c r="F518" i="7" s="1"/>
  <c r="F519" i="7" s="1"/>
  <c r="F520" i="7" s="1"/>
  <c r="F174" i="8"/>
  <c r="F175" i="8" s="1"/>
  <c r="F176" i="8" s="1"/>
  <c r="F177" i="8" s="1"/>
  <c r="F178" i="8" s="1"/>
  <c r="F179" i="8" s="1"/>
  <c r="F180" i="8" s="1"/>
  <c r="F181" i="8" s="1"/>
  <c r="F182" i="8" s="1"/>
  <c r="F183" i="8" s="1"/>
  <c r="F184" i="8" s="1"/>
  <c r="D173" i="20"/>
  <c r="E173" i="20"/>
  <c r="O173" i="20"/>
  <c r="B174" i="20"/>
  <c r="B126" i="5"/>
  <c r="E125" i="5"/>
  <c r="G125" i="5" s="1"/>
  <c r="D125" i="5"/>
  <c r="O125" i="5"/>
  <c r="D221" i="4"/>
  <c r="B222" i="4"/>
  <c r="O221" i="4"/>
  <c r="E221" i="4"/>
  <c r="B558" i="2"/>
  <c r="O557" i="2"/>
  <c r="E557" i="2"/>
  <c r="G557" i="2" s="1"/>
  <c r="D557" i="2"/>
  <c r="F1182" i="2"/>
  <c r="O701" i="2"/>
  <c r="D701" i="2"/>
  <c r="B702" i="2"/>
  <c r="E701" i="2"/>
  <c r="G701" i="2" s="1"/>
  <c r="D1517" i="2"/>
  <c r="B1518" i="2"/>
  <c r="E1517" i="2"/>
  <c r="O1517" i="2"/>
  <c r="F366" i="4"/>
  <c r="F367" i="4" s="1"/>
  <c r="F368" i="4" s="1"/>
  <c r="F369" i="4" s="1"/>
  <c r="F370" i="4" s="1"/>
  <c r="F371" i="4" s="1"/>
  <c r="F372" i="4" s="1"/>
  <c r="F373" i="4" s="1"/>
  <c r="F374" i="4" s="1"/>
  <c r="F375" i="4" s="1"/>
  <c r="F376" i="4" s="1"/>
  <c r="E1613" i="2"/>
  <c r="D1613" i="2"/>
  <c r="O1613" i="2"/>
  <c r="B1614" i="2"/>
  <c r="F366" i="2"/>
  <c r="F367" i="2" s="1"/>
  <c r="F368" i="2" s="1"/>
  <c r="F369" i="2" s="1"/>
  <c r="F370" i="2" s="1"/>
  <c r="F371" i="2" s="1"/>
  <c r="F372" i="2" s="1"/>
  <c r="F373" i="2" s="1"/>
  <c r="F374" i="2" s="1"/>
  <c r="F375" i="2" s="1"/>
  <c r="F376" i="2" s="1"/>
  <c r="D126" i="19"/>
  <c r="D125" i="19"/>
  <c r="D127" i="19"/>
  <c r="D128" i="19"/>
  <c r="D129" i="19"/>
  <c r="D130" i="19"/>
  <c r="D131" i="19"/>
  <c r="D132" i="19"/>
  <c r="D133" i="19"/>
  <c r="D134" i="19"/>
  <c r="D135" i="19"/>
  <c r="D136" i="19"/>
  <c r="E29" i="5"/>
  <c r="B30" i="5"/>
  <c r="D29" i="5"/>
  <c r="O29" i="5"/>
  <c r="B798" i="2"/>
  <c r="D797" i="2"/>
  <c r="E797" i="2"/>
  <c r="G797" i="2" s="1"/>
  <c r="O797" i="2"/>
  <c r="F222" i="4"/>
  <c r="F223" i="4" s="1"/>
  <c r="F224" i="4" s="1"/>
  <c r="F225" i="4" s="1"/>
  <c r="F226" i="4" s="1"/>
  <c r="F227" i="4" s="1"/>
  <c r="F228" i="4" s="1"/>
  <c r="F229" i="4" s="1"/>
  <c r="F230" i="4" s="1"/>
  <c r="F231" i="4" s="1"/>
  <c r="F232" i="4" s="1"/>
  <c r="E221" i="8"/>
  <c r="G221" i="8" s="1"/>
  <c r="O221" i="8"/>
  <c r="B222" i="8"/>
  <c r="D221" i="8"/>
  <c r="D125" i="21"/>
  <c r="B126" i="21"/>
  <c r="E125" i="21"/>
  <c r="G125" i="21" s="1"/>
  <c r="O125" i="21"/>
  <c r="E989" i="2"/>
  <c r="G989" i="2" s="1"/>
  <c r="B990" i="2"/>
  <c r="O989" i="2"/>
  <c r="D989" i="2"/>
  <c r="B174" i="8"/>
  <c r="E173" i="8"/>
  <c r="G173" i="8" s="1"/>
  <c r="D173" i="8"/>
  <c r="O173" i="8"/>
  <c r="D77" i="21"/>
  <c r="E77" i="21"/>
  <c r="G77" i="21" s="1"/>
  <c r="B78" i="21"/>
  <c r="O77" i="21"/>
  <c r="F558" i="7"/>
  <c r="F559" i="7" s="1"/>
  <c r="F560" i="7" s="1"/>
  <c r="F561" i="7" s="1"/>
  <c r="F562" i="7" s="1"/>
  <c r="F563" i="7" s="1"/>
  <c r="F564" i="7" s="1"/>
  <c r="F565" i="7" s="1"/>
  <c r="F566" i="7" s="1"/>
  <c r="F567" i="7" s="1"/>
  <c r="F568" i="7" s="1"/>
  <c r="B222" i="6"/>
  <c r="D221" i="6"/>
  <c r="E221" i="6"/>
  <c r="G221" i="6" s="1"/>
  <c r="O221" i="6"/>
  <c r="F78" i="8"/>
  <c r="F79" i="8" s="1"/>
  <c r="F80" i="8" s="1"/>
  <c r="F81" i="8" s="1"/>
  <c r="F82" i="8" s="1"/>
  <c r="F83" i="8" s="1"/>
  <c r="F84" i="8" s="1"/>
  <c r="F85" i="8" s="1"/>
  <c r="F86" i="8" s="1"/>
  <c r="F87" i="8" s="1"/>
  <c r="F88" i="8" s="1"/>
  <c r="C126" i="19"/>
  <c r="C125" i="19"/>
  <c r="C127" i="19"/>
  <c r="C129" i="19"/>
  <c r="C128" i="19"/>
  <c r="C130" i="19"/>
  <c r="C131" i="19"/>
  <c r="C133" i="19"/>
  <c r="C132" i="19"/>
  <c r="C134" i="19"/>
  <c r="C135" i="19"/>
  <c r="C136" i="19"/>
  <c r="D269" i="7"/>
  <c r="O269" i="7"/>
  <c r="B270" i="7"/>
  <c r="E269" i="7"/>
  <c r="G269" i="7" s="1"/>
  <c r="E125" i="19"/>
  <c r="E126" i="19"/>
  <c r="E127" i="19"/>
  <c r="E128" i="19"/>
  <c r="E129" i="19"/>
  <c r="E130" i="19"/>
  <c r="E131" i="19"/>
  <c r="E132" i="19"/>
  <c r="E133" i="19"/>
  <c r="E134" i="19"/>
  <c r="E135" i="19"/>
  <c r="E136" i="19"/>
  <c r="B366" i="8"/>
  <c r="E365" i="8"/>
  <c r="N365" i="8" s="1"/>
  <c r="D365" i="8"/>
  <c r="O365" i="8"/>
  <c r="B462" i="2"/>
  <c r="D461" i="2"/>
  <c r="O461" i="2"/>
  <c r="E461" i="2"/>
  <c r="G461" i="2" s="1"/>
  <c r="F222" i="2"/>
  <c r="F414" i="8"/>
  <c r="F415" i="8" s="1"/>
  <c r="F416" i="8" s="1"/>
  <c r="F417" i="8" s="1"/>
  <c r="F418" i="8" s="1"/>
  <c r="F419" i="8" s="1"/>
  <c r="F420" i="8" s="1"/>
  <c r="F421" i="8" s="1"/>
  <c r="F422" i="8" s="1"/>
  <c r="F423" i="8" s="1"/>
  <c r="F424" i="8" s="1"/>
  <c r="B1182" i="2"/>
  <c r="E1181" i="2"/>
  <c r="G1181" i="2" s="1"/>
  <c r="D1181" i="2"/>
  <c r="O1181" i="2"/>
  <c r="B173" i="19"/>
  <c r="B174" i="19"/>
  <c r="B175" i="19"/>
  <c r="B176" i="19"/>
  <c r="B177" i="19"/>
  <c r="B178" i="19"/>
  <c r="B179" i="19"/>
  <c r="B180" i="19"/>
  <c r="B181" i="19"/>
  <c r="B182" i="19"/>
  <c r="B183" i="19"/>
  <c r="B184" i="19"/>
  <c r="F414" i="2"/>
  <c r="F415" i="2" s="1"/>
  <c r="F416" i="2" s="1"/>
  <c r="F417" i="2" s="1"/>
  <c r="F418" i="2" s="1"/>
  <c r="F419" i="2" s="1"/>
  <c r="F420" i="2" s="1"/>
  <c r="F421" i="2" s="1"/>
  <c r="F422" i="2" s="1"/>
  <c r="F423" i="2" s="1"/>
  <c r="F424" i="2" s="1"/>
  <c r="F270" i="4"/>
  <c r="F271" i="4" s="1"/>
  <c r="F272" i="4" s="1"/>
  <c r="F273" i="4" s="1"/>
  <c r="F274" i="4" s="1"/>
  <c r="F275" i="4" s="1"/>
  <c r="F276" i="4" s="1"/>
  <c r="F277" i="4" s="1"/>
  <c r="F278" i="4" s="1"/>
  <c r="F279" i="4" s="1"/>
  <c r="F280" i="4" s="1"/>
  <c r="D1037" i="2"/>
  <c r="O1037" i="2"/>
  <c r="E1037" i="2"/>
  <c r="G1037" i="2" s="1"/>
  <c r="B1038" i="2"/>
  <c r="B270" i="2"/>
  <c r="D269" i="2"/>
  <c r="O269" i="2"/>
  <c r="E269" i="2"/>
  <c r="G269" i="2" s="1"/>
  <c r="F126" i="2"/>
  <c r="B366" i="2"/>
  <c r="E365" i="2"/>
  <c r="G365" i="2" s="1"/>
  <c r="D365" i="2"/>
  <c r="O365" i="2"/>
  <c r="F1134" i="2"/>
  <c r="F1135" i="2" s="1"/>
  <c r="F1136" i="2" s="1"/>
  <c r="F1137" i="2" s="1"/>
  <c r="F1138" i="2" s="1"/>
  <c r="B174" i="6"/>
  <c r="O173" i="6"/>
  <c r="E173" i="6"/>
  <c r="G173" i="6" s="1"/>
  <c r="D173" i="6"/>
  <c r="F1278" i="2"/>
  <c r="F1279" i="2" s="1"/>
  <c r="F1280" i="2" s="1"/>
  <c r="F1281" i="2" s="1"/>
  <c r="F1282" i="2" s="1"/>
  <c r="F1283" i="2" s="1"/>
  <c r="F1284" i="2" s="1"/>
  <c r="F1285" i="2" s="1"/>
  <c r="F1286" i="2" s="1"/>
  <c r="F1287" i="2" s="1"/>
  <c r="F1288" i="2" s="1"/>
  <c r="F846" i="2"/>
  <c r="F847" i="2" s="1"/>
  <c r="F848" i="2" s="1"/>
  <c r="F849" i="2" s="1"/>
  <c r="F850" i="2" s="1"/>
  <c r="F851" i="2" s="1"/>
  <c r="F852" i="2" s="1"/>
  <c r="F853" i="2" s="1"/>
  <c r="F854" i="2" s="1"/>
  <c r="F855" i="2" s="1"/>
  <c r="F856" i="2" s="1"/>
  <c r="E77" i="7"/>
  <c r="G77" i="7" s="1"/>
  <c r="O77" i="7"/>
  <c r="B78" i="7"/>
  <c r="D77" i="7"/>
  <c r="F1230" i="2"/>
  <c r="F1231" i="2" s="1"/>
  <c r="F1232" i="2" s="1"/>
  <c r="F1233" i="2" s="1"/>
  <c r="F1234" i="2" s="1"/>
  <c r="F1235" i="2" s="1"/>
  <c r="F1236" i="2" s="1"/>
  <c r="F1237" i="2" s="1"/>
  <c r="F1238" i="2" s="1"/>
  <c r="F1239" i="2" s="1"/>
  <c r="F1240" i="2" s="1"/>
  <c r="B126" i="19"/>
  <c r="B127" i="19"/>
  <c r="B125" i="19"/>
  <c r="B129" i="19"/>
  <c r="B128" i="19"/>
  <c r="B130" i="19"/>
  <c r="B131" i="19"/>
  <c r="B132" i="19"/>
  <c r="B133" i="19"/>
  <c r="B134" i="19"/>
  <c r="B135" i="19"/>
  <c r="B136" i="19"/>
  <c r="E509" i="2"/>
  <c r="G509" i="2" s="1"/>
  <c r="D509" i="2"/>
  <c r="O509" i="2"/>
  <c r="B510" i="2"/>
  <c r="O317" i="6"/>
  <c r="E317" i="6"/>
  <c r="N317" i="6" s="1"/>
  <c r="D317" i="6"/>
  <c r="B318" i="6"/>
  <c r="O1421" i="2"/>
  <c r="E1421" i="2"/>
  <c r="D1421" i="2"/>
  <c r="B1422" i="2"/>
  <c r="B894" i="2"/>
  <c r="E893" i="2"/>
  <c r="G893" i="2" s="1"/>
  <c r="D893" i="2"/>
  <c r="O893" i="2"/>
  <c r="F473" i="7"/>
  <c r="D173" i="19"/>
  <c r="D174" i="19"/>
  <c r="D175" i="19"/>
  <c r="D176" i="19"/>
  <c r="D178" i="19"/>
  <c r="D177" i="19"/>
  <c r="D179" i="19"/>
  <c r="D180" i="19"/>
  <c r="D181" i="19"/>
  <c r="D182" i="19"/>
  <c r="D183" i="19"/>
  <c r="D184" i="19"/>
  <c r="B30" i="21"/>
  <c r="E29" i="21"/>
  <c r="O29" i="21"/>
  <c r="D29" i="21"/>
  <c r="F750" i="2"/>
  <c r="F751" i="2" s="1"/>
  <c r="F752" i="2" s="1"/>
  <c r="F753" i="2" s="1"/>
  <c r="F754" i="2" s="1"/>
  <c r="F755" i="2" s="1"/>
  <c r="F756" i="2" s="1"/>
  <c r="F757" i="2" s="1"/>
  <c r="F758" i="2" s="1"/>
  <c r="F759" i="2" s="1"/>
  <c r="F760" i="2" s="1"/>
  <c r="C173" i="19"/>
  <c r="C174" i="19"/>
  <c r="C175" i="19"/>
  <c r="C176" i="19"/>
  <c r="C177" i="19"/>
  <c r="C179" i="19"/>
  <c r="C178" i="19"/>
  <c r="C180" i="19"/>
  <c r="C181" i="19"/>
  <c r="C182" i="19"/>
  <c r="C183" i="19"/>
  <c r="C184" i="19"/>
  <c r="F222" i="7"/>
  <c r="F223" i="7" s="1"/>
  <c r="F224" i="7" s="1"/>
  <c r="F225" i="7" s="1"/>
  <c r="F226" i="7" s="1"/>
  <c r="F227" i="7" s="1"/>
  <c r="F228" i="7" s="1"/>
  <c r="F229" i="7" s="1"/>
  <c r="F230" i="7" s="1"/>
  <c r="F231" i="7" s="1"/>
  <c r="F232" i="7" s="1"/>
  <c r="B78" i="20"/>
  <c r="E77" i="20"/>
  <c r="G77" i="20" s="1"/>
  <c r="D77" i="20"/>
  <c r="O77" i="20"/>
  <c r="F271" i="8"/>
  <c r="F272" i="8" s="1"/>
  <c r="F273" i="8" s="1"/>
  <c r="F274" i="8" s="1"/>
  <c r="F275" i="8" s="1"/>
  <c r="F276" i="8" s="1"/>
  <c r="F277" i="8" s="1"/>
  <c r="F278" i="8" s="1"/>
  <c r="F279" i="8" s="1"/>
  <c r="F280" i="8" s="1"/>
  <c r="F1086" i="2"/>
  <c r="F1087" i="2" s="1"/>
  <c r="F1088" i="2" s="1"/>
  <c r="F1089" i="2" s="1"/>
  <c r="F1090" i="2" s="1"/>
  <c r="F1091" i="2" s="1"/>
  <c r="F1092" i="2" s="1"/>
  <c r="F1093" i="2" s="1"/>
  <c r="F1094" i="2" s="1"/>
  <c r="F30" i="4"/>
  <c r="F31" i="4" s="1"/>
  <c r="F32" i="4" s="1"/>
  <c r="F33" i="4" s="1"/>
  <c r="F34" i="4" s="1"/>
  <c r="F35" i="4" s="1"/>
  <c r="F36" i="4" s="1"/>
  <c r="F37" i="4" s="1"/>
  <c r="F38" i="4" s="1"/>
  <c r="O125" i="2"/>
  <c r="B126" i="2"/>
  <c r="D125" i="2"/>
  <c r="E125" i="2"/>
  <c r="B30" i="7"/>
  <c r="E29" i="7"/>
  <c r="G29" i="7" s="1"/>
  <c r="O29" i="7"/>
  <c r="D29" i="7"/>
  <c r="F30" i="8"/>
  <c r="F31" i="8" s="1"/>
  <c r="F32" i="8" s="1"/>
  <c r="F33" i="8" s="1"/>
  <c r="F34" i="8" s="1"/>
  <c r="F35" i="8" s="1"/>
  <c r="F36" i="8" s="1"/>
  <c r="F37" i="8" s="1"/>
  <c r="F38" i="8" s="1"/>
  <c r="F39" i="8" s="1"/>
  <c r="F40" i="8" s="1"/>
  <c r="F41" i="8" s="1"/>
  <c r="F270" i="6"/>
  <c r="F271" i="6" s="1"/>
  <c r="F272" i="6" s="1"/>
  <c r="F273" i="6" s="1"/>
  <c r="F274" i="6" s="1"/>
  <c r="F275" i="6" s="1"/>
  <c r="F276" i="6" s="1"/>
  <c r="F277" i="6" s="1"/>
  <c r="F278" i="6" s="1"/>
  <c r="F279" i="6" s="1"/>
  <c r="F280" i="6" s="1"/>
  <c r="C78" i="19"/>
  <c r="C77" i="19"/>
  <c r="C79" i="19"/>
  <c r="C80" i="19"/>
  <c r="C81" i="19"/>
  <c r="C82" i="19"/>
  <c r="C83" i="19"/>
  <c r="C84" i="19"/>
  <c r="C85" i="19"/>
  <c r="C86" i="19"/>
  <c r="C87" i="19"/>
  <c r="C88" i="19"/>
  <c r="B126" i="8"/>
  <c r="O125" i="8"/>
  <c r="D125" i="8"/>
  <c r="E125" i="8"/>
  <c r="G125" i="8" s="1"/>
  <c r="F126" i="6"/>
  <c r="F127" i="6" s="1"/>
  <c r="F128" i="6" s="1"/>
  <c r="B1134" i="2"/>
  <c r="E1133" i="2"/>
  <c r="D1133" i="2"/>
  <c r="O1133" i="2"/>
  <c r="F318" i="2"/>
  <c r="F78" i="6"/>
  <c r="F79" i="6" s="1"/>
  <c r="F80" i="6" s="1"/>
  <c r="F81" i="6" s="1"/>
  <c r="F82" i="6" s="1"/>
  <c r="F83" i="6" s="1"/>
  <c r="F84" i="6" s="1"/>
  <c r="F85" i="6" s="1"/>
  <c r="F86" i="6" s="1"/>
  <c r="F87" i="6" s="1"/>
  <c r="F88" i="6" s="1"/>
  <c r="F1470" i="2"/>
  <c r="F1471" i="2" s="1"/>
  <c r="F1472" i="2" s="1"/>
  <c r="F1473" i="2" s="1"/>
  <c r="F1474" i="2" s="1"/>
  <c r="F1475" i="2" s="1"/>
  <c r="F1476" i="2" s="1"/>
  <c r="F1477" i="2" s="1"/>
  <c r="F1478" i="2" s="1"/>
  <c r="F1479" i="2" s="1"/>
  <c r="F1480" i="2" s="1"/>
  <c r="E509" i="7"/>
  <c r="N509" i="7" s="1"/>
  <c r="D509" i="7"/>
  <c r="O509" i="7"/>
  <c r="B510" i="7"/>
  <c r="F462" i="2"/>
  <c r="F463" i="2" s="1"/>
  <c r="F464" i="2" s="1"/>
  <c r="F465" i="2" s="1"/>
  <c r="F466" i="2" s="1"/>
  <c r="F467" i="2" s="1"/>
  <c r="F468" i="2" s="1"/>
  <c r="F469" i="2" s="1"/>
  <c r="F470" i="2" s="1"/>
  <c r="F471" i="2" s="1"/>
  <c r="F472" i="2" s="1"/>
  <c r="E173" i="19"/>
  <c r="E174" i="19"/>
  <c r="E175" i="19"/>
  <c r="E176" i="19"/>
  <c r="E177" i="19"/>
  <c r="E178" i="19"/>
  <c r="E179" i="19"/>
  <c r="E180" i="19"/>
  <c r="E181" i="19"/>
  <c r="E182" i="19"/>
  <c r="E184" i="19"/>
  <c r="E183" i="19"/>
  <c r="E461" i="7"/>
  <c r="G461" i="7" s="1"/>
  <c r="B462" i="7"/>
  <c r="O462" i="7" s="1"/>
  <c r="D461" i="7"/>
  <c r="D269" i="4"/>
  <c r="O269" i="4"/>
  <c r="B270" i="4"/>
  <c r="E269" i="4"/>
  <c r="G269" i="4" s="1"/>
  <c r="F78" i="4"/>
  <c r="D1229" i="2"/>
  <c r="E1229" i="2"/>
  <c r="G1229" i="2" s="1"/>
  <c r="B1230" i="2"/>
  <c r="O1229" i="2"/>
  <c r="B78" i="8"/>
  <c r="O77" i="8"/>
  <c r="D77" i="8"/>
  <c r="E77" i="8"/>
  <c r="G77" i="8" s="1"/>
  <c r="F1326" i="2"/>
  <c r="F1327" i="2" s="1"/>
  <c r="F1328" i="2" s="1"/>
  <c r="F1329" i="2" s="1"/>
  <c r="F1330" i="2" s="1"/>
  <c r="F1331" i="2" s="1"/>
  <c r="F1332" i="2" s="1"/>
  <c r="F1333" i="2" s="1"/>
  <c r="F1334" i="2" s="1"/>
  <c r="F1335" i="2" s="1"/>
  <c r="F1336" i="2" s="1"/>
  <c r="O845" i="2"/>
  <c r="E845" i="2"/>
  <c r="D845" i="2"/>
  <c r="B846" i="2"/>
  <c r="E77" i="5"/>
  <c r="G77" i="5" s="1"/>
  <c r="D77" i="5"/>
  <c r="O77" i="5"/>
  <c r="B78" i="5"/>
  <c r="E317" i="8"/>
  <c r="N317" i="8" s="1"/>
  <c r="D317" i="8"/>
  <c r="O317" i="8"/>
  <c r="B318" i="8"/>
  <c r="B222" i="2"/>
  <c r="O221" i="2"/>
  <c r="D221" i="2"/>
  <c r="E221" i="2"/>
  <c r="G221" i="2" s="1"/>
  <c r="B750" i="2"/>
  <c r="E749" i="2"/>
  <c r="G749" i="2" s="1"/>
  <c r="D749" i="2"/>
  <c r="O749" i="2"/>
  <c r="F1374" i="2"/>
  <c r="F1375" i="2" s="1"/>
  <c r="F1376" i="2" s="1"/>
  <c r="F1377" i="2" s="1"/>
  <c r="F1378" i="2" s="1"/>
  <c r="F1379" i="2" s="1"/>
  <c r="F1380" i="2" s="1"/>
  <c r="F1381" i="2" s="1"/>
  <c r="F1382" i="2" s="1"/>
  <c r="F1383" i="2" s="1"/>
  <c r="F1384" i="2" s="1"/>
  <c r="B414" i="2"/>
  <c r="E413" i="2"/>
  <c r="G413" i="2" s="1"/>
  <c r="D413" i="2"/>
  <c r="O413" i="2"/>
  <c r="F174" i="2"/>
  <c r="F175" i="2" s="1"/>
  <c r="F176" i="2" s="1"/>
  <c r="F177" i="2" s="1"/>
  <c r="F178" i="2" s="1"/>
  <c r="F179" i="2" s="1"/>
  <c r="F180" i="2" s="1"/>
  <c r="F181" i="2" s="1"/>
  <c r="F182" i="2" s="1"/>
  <c r="F183" i="2" s="1"/>
  <c r="F184" i="2" s="1"/>
  <c r="O1085" i="2"/>
  <c r="B1086" i="2"/>
  <c r="D1085" i="2"/>
  <c r="E1085" i="2"/>
  <c r="G1085" i="2" s="1"/>
  <c r="E29" i="4"/>
  <c r="O29" i="4"/>
  <c r="D29" i="4"/>
  <c r="B30" i="4"/>
  <c r="F126" i="7"/>
  <c r="F127" i="7" s="1"/>
  <c r="F128" i="7" s="1"/>
  <c r="F129" i="7" s="1"/>
  <c r="F130" i="7" s="1"/>
  <c r="F131" i="7" s="1"/>
  <c r="F132" i="7" s="1"/>
  <c r="F133" i="7" s="1"/>
  <c r="F134" i="7" s="1"/>
  <c r="F135" i="7" s="1"/>
  <c r="F136" i="7" s="1"/>
  <c r="D77" i="19"/>
  <c r="D78" i="19"/>
  <c r="D79" i="19"/>
  <c r="D80" i="19"/>
  <c r="D81" i="19"/>
  <c r="D82" i="19"/>
  <c r="D83" i="19"/>
  <c r="D84" i="19"/>
  <c r="D85" i="19"/>
  <c r="D86" i="19"/>
  <c r="D87" i="19"/>
  <c r="D88" i="19"/>
  <c r="F174" i="4"/>
  <c r="E317" i="2"/>
  <c r="G317" i="2" s="1"/>
  <c r="B318" i="2"/>
  <c r="O317" i="2"/>
  <c r="D317" i="2"/>
  <c r="F606" i="2"/>
  <c r="F607" i="2" s="1"/>
  <c r="F608" i="2" s="1"/>
  <c r="F609" i="2" s="1"/>
  <c r="F610" i="2" s="1"/>
  <c r="B1470" i="2"/>
  <c r="E1469" i="2"/>
  <c r="G1469" i="2" s="1"/>
  <c r="D1469" i="2"/>
  <c r="O1469" i="2"/>
  <c r="F990" i="2"/>
  <c r="B174" i="5"/>
  <c r="E365" i="4"/>
  <c r="D365" i="4"/>
  <c r="O365" i="4"/>
  <c r="B366" i="4"/>
  <c r="E317" i="4"/>
  <c r="O317" i="4"/>
  <c r="D317" i="4"/>
  <c r="B318" i="4"/>
  <c r="F894" i="2"/>
  <c r="F895" i="2" s="1"/>
  <c r="F896" i="2" s="1"/>
  <c r="F897" i="2" s="1"/>
  <c r="F898" i="2" s="1"/>
  <c r="F899" i="2" s="1"/>
  <c r="F900" i="2" s="1"/>
  <c r="F901" i="2" s="1"/>
  <c r="F902" i="2" s="1"/>
  <c r="F903" i="2" s="1"/>
  <c r="F904" i="2" s="1"/>
  <c r="F222" i="8"/>
  <c r="F223" i="8" s="1"/>
  <c r="F224" i="8" s="1"/>
  <c r="F225" i="8" s="1"/>
  <c r="F226" i="8" s="1"/>
  <c r="F227" i="8" s="1"/>
  <c r="F228" i="8" s="1"/>
  <c r="F229" i="8" s="1"/>
  <c r="F230" i="8" s="1"/>
  <c r="F231" i="8" s="1"/>
  <c r="F232" i="8" s="1"/>
  <c r="F702" i="2"/>
  <c r="F703" i="2" s="1"/>
  <c r="F704" i="2" s="1"/>
  <c r="F705" i="2" s="1"/>
  <c r="F706" i="2" s="1"/>
  <c r="F707" i="2" s="1"/>
  <c r="F708" i="2" s="1"/>
  <c r="F709" i="2" s="1"/>
  <c r="F710" i="2" s="1"/>
  <c r="F711" i="2" s="1"/>
  <c r="F712" i="2" s="1"/>
  <c r="E221" i="7"/>
  <c r="G221" i="7" s="1"/>
  <c r="O221" i="7"/>
  <c r="B222" i="7"/>
  <c r="D221" i="7"/>
  <c r="F1566" i="2"/>
  <c r="E413" i="7"/>
  <c r="G413" i="7" s="1"/>
  <c r="D413" i="7"/>
  <c r="O413" i="7"/>
  <c r="B414" i="7"/>
  <c r="F174" i="7"/>
  <c r="F942" i="2"/>
  <c r="F943" i="2" s="1"/>
  <c r="F944" i="2" s="1"/>
  <c r="F945" i="2" s="1"/>
  <c r="F946" i="2" s="1"/>
  <c r="F947" i="2" s="1"/>
  <c r="F948" i="2" s="1"/>
  <c r="F949" i="2" s="1"/>
  <c r="F950" i="2" s="1"/>
  <c r="F951" i="2" s="1"/>
  <c r="F952" i="2" s="1"/>
  <c r="E29" i="8"/>
  <c r="B30" i="8"/>
  <c r="O29" i="8"/>
  <c r="D29" i="8"/>
  <c r="O557" i="7"/>
  <c r="E557" i="7"/>
  <c r="D557" i="7"/>
  <c r="B558" i="7"/>
  <c r="F1662" i="2"/>
  <c r="F1663" i="2" s="1"/>
  <c r="F1664" i="2" s="1"/>
  <c r="F1665" i="2" s="1"/>
  <c r="F1666" i="2" s="1"/>
  <c r="F1667" i="2" s="1"/>
  <c r="F1668" i="2" s="1"/>
  <c r="F1669" i="2" s="1"/>
  <c r="F1670" i="2" s="1"/>
  <c r="F1671" i="2" s="1"/>
  <c r="F1672" i="2" s="1"/>
  <c r="E78" i="19"/>
  <c r="E77" i="19"/>
  <c r="E79" i="19"/>
  <c r="E80" i="19"/>
  <c r="E81" i="19"/>
  <c r="E82" i="19"/>
  <c r="E83" i="19"/>
  <c r="E84" i="19"/>
  <c r="E85" i="19"/>
  <c r="E86" i="19"/>
  <c r="E87" i="19"/>
  <c r="E88" i="19"/>
  <c r="E1277" i="2"/>
  <c r="G1277" i="2" s="1"/>
  <c r="B1278" i="2"/>
  <c r="D1277" i="2"/>
  <c r="O1277" i="2"/>
  <c r="E317" i="7"/>
  <c r="D317" i="7"/>
  <c r="O317" i="7"/>
  <c r="B318" i="7"/>
  <c r="E413" i="8"/>
  <c r="D413" i="8"/>
  <c r="B414" i="8"/>
  <c r="O413" i="8"/>
  <c r="F126" i="4"/>
  <c r="F654" i="2"/>
  <c r="F270" i="7"/>
  <c r="F271" i="7" s="1"/>
  <c r="F272" i="7" s="1"/>
  <c r="F273" i="7" s="1"/>
  <c r="F274" i="7" s="1"/>
  <c r="F275" i="7" s="1"/>
  <c r="F276" i="7" s="1"/>
  <c r="F277" i="7" s="1"/>
  <c r="F278" i="7" s="1"/>
  <c r="F279" i="7" s="1"/>
  <c r="F280" i="7" s="1"/>
  <c r="E77" i="4"/>
  <c r="G77" i="4" s="1"/>
  <c r="B78" i="4"/>
  <c r="D77" i="4"/>
  <c r="O77" i="4"/>
  <c r="B126" i="7"/>
  <c r="D125" i="7"/>
  <c r="E125" i="7"/>
  <c r="G125" i="7" s="1"/>
  <c r="O125" i="7"/>
  <c r="B78" i="19"/>
  <c r="B77" i="19"/>
  <c r="B79" i="19"/>
  <c r="B80" i="19"/>
  <c r="B82" i="19"/>
  <c r="B81" i="19"/>
  <c r="B83" i="19"/>
  <c r="B84" i="19"/>
  <c r="B85" i="19"/>
  <c r="B86" i="19"/>
  <c r="B88" i="19"/>
  <c r="B87" i="19"/>
  <c r="D1325" i="2"/>
  <c r="E1325" i="2"/>
  <c r="O1325" i="2"/>
  <c r="B1326" i="2"/>
  <c r="R53" i="42"/>
  <c r="R49" i="42"/>
  <c r="S49" i="42" s="1"/>
  <c r="C43" i="34"/>
  <c r="K3" i="38" s="1"/>
  <c r="F27" i="38" s="1"/>
  <c r="E70" i="35"/>
  <c r="G70" i="35"/>
  <c r="C42" i="34"/>
  <c r="K2" i="38" s="1"/>
  <c r="E106" i="38" s="1"/>
  <c r="D21" i="39"/>
  <c r="J21" i="39" s="1"/>
  <c r="I21" i="39" s="1"/>
  <c r="C21" i="39"/>
  <c r="C134" i="40"/>
  <c r="H104" i="40"/>
  <c r="I104" i="40" s="1"/>
  <c r="H118" i="40"/>
  <c r="I118" i="40" s="1"/>
  <c r="G159" i="40"/>
  <c r="G161" i="40" s="1"/>
  <c r="G97" i="40"/>
  <c r="H159" i="40"/>
  <c r="I159" i="40" s="1"/>
  <c r="I161" i="40" s="1"/>
  <c r="C161" i="40"/>
  <c r="C170" i="40" s="1"/>
  <c r="G81" i="40"/>
  <c r="H110" i="40"/>
  <c r="I110" i="40" s="1"/>
  <c r="C149" i="40"/>
  <c r="C151" i="40" s="1"/>
  <c r="G147" i="40"/>
  <c r="G149" i="40" s="1"/>
  <c r="G151" i="40" s="1"/>
  <c r="G87" i="40"/>
  <c r="G125" i="40"/>
  <c r="H30" i="43"/>
  <c r="H31" i="43" s="1"/>
  <c r="G31" i="40"/>
  <c r="C33" i="40"/>
  <c r="H33" i="40" s="1"/>
  <c r="I33" i="40" s="1"/>
  <c r="H125" i="40"/>
  <c r="I125" i="40" s="1"/>
  <c r="F109" i="35"/>
  <c r="B55" i="41"/>
  <c r="G112" i="40"/>
  <c r="H87" i="40"/>
  <c r="I87" i="40" s="1"/>
  <c r="K3" i="40"/>
  <c r="E4" i="41" s="1"/>
  <c r="G106" i="38"/>
  <c r="G104" i="38"/>
  <c r="B70" i="35"/>
  <c r="E109" i="35"/>
  <c r="L70" i="35"/>
  <c r="I70" i="35"/>
  <c r="K70" i="35"/>
  <c r="C70" i="35"/>
  <c r="I109" i="35"/>
  <c r="D70" i="35"/>
  <c r="H70" i="35"/>
  <c r="B109" i="35"/>
  <c r="M70" i="35"/>
  <c r="J70" i="35"/>
  <c r="F70" i="35"/>
  <c r="K1" i="40"/>
  <c r="E2" i="41" s="1"/>
  <c r="N64" i="35"/>
  <c r="S55" i="42"/>
  <c r="N95" i="35"/>
  <c r="C36" i="39" s="1"/>
  <c r="N83" i="35"/>
  <c r="R20" i="42"/>
  <c r="E37" i="43" s="1"/>
  <c r="F37" i="43" s="1"/>
  <c r="H37" i="43" s="1"/>
  <c r="S12" i="42"/>
  <c r="S20" i="42" s="1"/>
  <c r="R23" i="42" s="1"/>
  <c r="R24" i="42" s="1"/>
  <c r="R37" i="42"/>
  <c r="E25" i="43" s="1"/>
  <c r="F25" i="43" s="1"/>
  <c r="H25" i="43" s="1"/>
  <c r="S37" i="42"/>
  <c r="R40" i="42" s="1"/>
  <c r="R41" i="42" s="1"/>
  <c r="S46" i="42"/>
  <c r="K2" i="40"/>
  <c r="K102" i="40" s="1"/>
  <c r="D8" i="39"/>
  <c r="G127" i="40"/>
  <c r="H134" i="40"/>
  <c r="I132" i="40"/>
  <c r="I134" i="40" s="1"/>
  <c r="I147" i="40"/>
  <c r="I149" i="40" s="1"/>
  <c r="H149" i="40"/>
  <c r="H168" i="40"/>
  <c r="I166" i="40"/>
  <c r="I168" i="40" s="1"/>
  <c r="N318" i="4" l="1"/>
  <c r="M318" i="4"/>
  <c r="K318" i="4"/>
  <c r="J318" i="4"/>
  <c r="I318" i="4"/>
  <c r="H318" i="4"/>
  <c r="L318" i="4"/>
  <c r="N1470" i="2"/>
  <c r="M1470" i="2"/>
  <c r="L1470" i="2"/>
  <c r="K1470" i="2"/>
  <c r="I1470" i="2"/>
  <c r="H1470" i="2"/>
  <c r="J1470" i="2"/>
  <c r="N1230" i="2"/>
  <c r="H1230" i="2"/>
  <c r="L1230" i="2"/>
  <c r="K1230" i="2"/>
  <c r="J1230" i="2"/>
  <c r="I1230" i="2"/>
  <c r="M1230" i="2"/>
  <c r="K126" i="2"/>
  <c r="N126" i="2"/>
  <c r="M126" i="2"/>
  <c r="L126" i="2"/>
  <c r="H126" i="2"/>
  <c r="J126" i="2"/>
  <c r="I126" i="2"/>
  <c r="J78" i="21"/>
  <c r="N78" i="21"/>
  <c r="H78" i="21"/>
  <c r="M78" i="21"/>
  <c r="K78" i="21"/>
  <c r="L78" i="21"/>
  <c r="I78" i="21"/>
  <c r="K1518" i="2"/>
  <c r="H1518" i="2"/>
  <c r="N1518" i="2"/>
  <c r="M1518" i="2"/>
  <c r="L1518" i="2"/>
  <c r="J1518" i="2"/>
  <c r="I1518" i="2"/>
  <c r="J126" i="21"/>
  <c r="M126" i="21"/>
  <c r="L126" i="21"/>
  <c r="K126" i="21"/>
  <c r="I126" i="21"/>
  <c r="H126" i="21"/>
  <c r="N126" i="21"/>
  <c r="M222" i="4"/>
  <c r="N222" i="4"/>
  <c r="L222" i="4"/>
  <c r="K222" i="4"/>
  <c r="J222" i="4"/>
  <c r="I222" i="4"/>
  <c r="H222" i="4"/>
  <c r="K1662" i="2"/>
  <c r="J1662" i="2"/>
  <c r="I1662" i="2"/>
  <c r="H1662" i="2"/>
  <c r="N1662" i="2"/>
  <c r="M1662" i="2"/>
  <c r="L1662" i="2"/>
  <c r="K126" i="4"/>
  <c r="J126" i="4"/>
  <c r="I126" i="4"/>
  <c r="H126" i="4"/>
  <c r="M126" i="4"/>
  <c r="N126" i="4"/>
  <c r="L126" i="4"/>
  <c r="M366" i="7"/>
  <c r="L366" i="7"/>
  <c r="K366" i="7"/>
  <c r="J366" i="7"/>
  <c r="I366" i="7"/>
  <c r="N366" i="7"/>
  <c r="H366" i="7"/>
  <c r="N1086" i="2"/>
  <c r="M1086" i="2"/>
  <c r="L1086" i="2"/>
  <c r="K1086" i="2"/>
  <c r="J1086" i="2"/>
  <c r="I1086" i="2"/>
  <c r="H1086" i="2"/>
  <c r="N846" i="2"/>
  <c r="M846" i="2"/>
  <c r="J846" i="2"/>
  <c r="L846" i="2"/>
  <c r="K846" i="2"/>
  <c r="I846" i="2"/>
  <c r="H846" i="2"/>
  <c r="N30" i="21"/>
  <c r="M30" i="21"/>
  <c r="I30" i="21"/>
  <c r="H30" i="21"/>
  <c r="K30" i="21"/>
  <c r="L30" i="21"/>
  <c r="J30" i="21"/>
  <c r="N1182" i="2"/>
  <c r="M1182" i="2"/>
  <c r="L1182" i="2"/>
  <c r="K1182" i="2"/>
  <c r="H1182" i="2"/>
  <c r="J1182" i="2"/>
  <c r="I1182" i="2"/>
  <c r="M270" i="7"/>
  <c r="L270" i="7"/>
  <c r="K270" i="7"/>
  <c r="J270" i="7"/>
  <c r="H270" i="7"/>
  <c r="N270" i="7"/>
  <c r="I270" i="7"/>
  <c r="N1374" i="2"/>
  <c r="M1374" i="2"/>
  <c r="H1374" i="2"/>
  <c r="L1374" i="2"/>
  <c r="K1374" i="2"/>
  <c r="J1374" i="2"/>
  <c r="I1374" i="2"/>
  <c r="N750" i="2"/>
  <c r="L750" i="2"/>
  <c r="K750" i="2"/>
  <c r="J750" i="2"/>
  <c r="I750" i="2"/>
  <c r="H750" i="2"/>
  <c r="M750" i="2"/>
  <c r="N366" i="4"/>
  <c r="M366" i="4"/>
  <c r="J366" i="4"/>
  <c r="I366" i="4"/>
  <c r="H366" i="4"/>
  <c r="L366" i="4"/>
  <c r="K366" i="4"/>
  <c r="M126" i="8"/>
  <c r="L126" i="8"/>
  <c r="K126" i="8"/>
  <c r="J126" i="8"/>
  <c r="I126" i="8"/>
  <c r="H126" i="8"/>
  <c r="N126" i="8"/>
  <c r="N702" i="2"/>
  <c r="M702" i="2"/>
  <c r="L702" i="2"/>
  <c r="K702" i="2"/>
  <c r="J702" i="2"/>
  <c r="I702" i="2"/>
  <c r="H702" i="2"/>
  <c r="N510" i="2"/>
  <c r="M510" i="2"/>
  <c r="L510" i="2"/>
  <c r="K510" i="2"/>
  <c r="J510" i="2"/>
  <c r="I510" i="2"/>
  <c r="H510" i="2"/>
  <c r="J270" i="2"/>
  <c r="L270" i="2"/>
  <c r="K270" i="2"/>
  <c r="N270" i="2"/>
  <c r="M270" i="2"/>
  <c r="I270" i="2"/>
  <c r="H270" i="2"/>
  <c r="M222" i="8"/>
  <c r="L222" i="8"/>
  <c r="K222" i="8"/>
  <c r="J222" i="8"/>
  <c r="I222" i="8"/>
  <c r="H222" i="8"/>
  <c r="N222" i="8"/>
  <c r="N1038" i="2"/>
  <c r="M1038" i="2"/>
  <c r="L1038" i="2"/>
  <c r="K1038" i="2"/>
  <c r="J1038" i="2"/>
  <c r="H1038" i="2"/>
  <c r="I1038" i="2"/>
  <c r="K1614" i="2"/>
  <c r="J1614" i="2"/>
  <c r="I1614" i="2"/>
  <c r="H1614" i="2"/>
  <c r="N1614" i="2"/>
  <c r="M1614" i="2"/>
  <c r="L1614" i="2"/>
  <c r="K126" i="6"/>
  <c r="J126" i="6"/>
  <c r="I126" i="6"/>
  <c r="H126" i="6"/>
  <c r="N126" i="6"/>
  <c r="M126" i="6"/>
  <c r="L126" i="6"/>
  <c r="N942" i="2"/>
  <c r="M942" i="2"/>
  <c r="L942" i="2"/>
  <c r="J942" i="2"/>
  <c r="K942" i="2"/>
  <c r="I942" i="2"/>
  <c r="H942" i="2"/>
  <c r="K78" i="6"/>
  <c r="J78" i="6"/>
  <c r="I78" i="6"/>
  <c r="H78" i="6"/>
  <c r="L78" i="6"/>
  <c r="N78" i="6"/>
  <c r="M78" i="6"/>
  <c r="M174" i="7"/>
  <c r="J174" i="7"/>
  <c r="L174" i="7"/>
  <c r="N174" i="7"/>
  <c r="K174" i="7"/>
  <c r="I174" i="7"/>
  <c r="H174" i="7"/>
  <c r="M126" i="7"/>
  <c r="J126" i="7"/>
  <c r="N126" i="7"/>
  <c r="I126" i="7"/>
  <c r="H126" i="7"/>
  <c r="K126" i="7"/>
  <c r="L126" i="7"/>
  <c r="M222" i="7"/>
  <c r="J222" i="7"/>
  <c r="H222" i="7"/>
  <c r="K222" i="7"/>
  <c r="N222" i="7"/>
  <c r="L222" i="7"/>
  <c r="I222" i="7"/>
  <c r="L222" i="2"/>
  <c r="J222" i="2"/>
  <c r="K222" i="2"/>
  <c r="N222" i="2"/>
  <c r="M222" i="2"/>
  <c r="I222" i="2"/>
  <c r="H222" i="2"/>
  <c r="N270" i="4"/>
  <c r="M270" i="4"/>
  <c r="L270" i="4"/>
  <c r="K270" i="4"/>
  <c r="J270" i="4"/>
  <c r="I270" i="4"/>
  <c r="H270" i="4"/>
  <c r="M174" i="8"/>
  <c r="L174" i="8"/>
  <c r="K174" i="8"/>
  <c r="J174" i="8"/>
  <c r="I174" i="8"/>
  <c r="H174" i="8"/>
  <c r="N174" i="8"/>
  <c r="M318" i="7"/>
  <c r="L318" i="7"/>
  <c r="K318" i="7"/>
  <c r="J318" i="7"/>
  <c r="N318" i="7"/>
  <c r="I318" i="7"/>
  <c r="H318" i="7"/>
  <c r="N894" i="2"/>
  <c r="M894" i="2"/>
  <c r="L894" i="2"/>
  <c r="J894" i="2"/>
  <c r="K894" i="2"/>
  <c r="I894" i="2"/>
  <c r="H894" i="2"/>
  <c r="N654" i="2"/>
  <c r="M654" i="2"/>
  <c r="L654" i="2"/>
  <c r="K654" i="2"/>
  <c r="J654" i="2"/>
  <c r="I654" i="2"/>
  <c r="H654" i="2"/>
  <c r="J318" i="2"/>
  <c r="K318" i="2"/>
  <c r="L318" i="2"/>
  <c r="N318" i="2"/>
  <c r="M318" i="2"/>
  <c r="I318" i="2"/>
  <c r="H318" i="2"/>
  <c r="K78" i="4"/>
  <c r="J78" i="4"/>
  <c r="I78" i="4"/>
  <c r="H78" i="4"/>
  <c r="M78" i="4"/>
  <c r="N78" i="4"/>
  <c r="L78" i="4"/>
  <c r="K30" i="4"/>
  <c r="J30" i="4"/>
  <c r="I30" i="4"/>
  <c r="H30" i="4"/>
  <c r="M30" i="4"/>
  <c r="N30" i="4"/>
  <c r="L30" i="4"/>
  <c r="K414" i="2"/>
  <c r="N414" i="2"/>
  <c r="M414" i="2"/>
  <c r="L414" i="2"/>
  <c r="J414" i="2"/>
  <c r="I414" i="2"/>
  <c r="H414" i="2"/>
  <c r="N1422" i="2"/>
  <c r="M1422" i="2"/>
  <c r="L1422" i="2"/>
  <c r="K1422" i="2"/>
  <c r="H1422" i="2"/>
  <c r="J1422" i="2"/>
  <c r="I1422" i="2"/>
  <c r="J462" i="2"/>
  <c r="I462" i="2"/>
  <c r="H462" i="2"/>
  <c r="N462" i="2"/>
  <c r="L462" i="2"/>
  <c r="M462" i="2"/>
  <c r="K462" i="2"/>
  <c r="N606" i="2"/>
  <c r="M606" i="2"/>
  <c r="L606" i="2"/>
  <c r="K606" i="2"/>
  <c r="J606" i="2"/>
  <c r="I606" i="2"/>
  <c r="H606" i="2"/>
  <c r="K30" i="7"/>
  <c r="J30" i="7"/>
  <c r="I30" i="7"/>
  <c r="H30" i="7"/>
  <c r="M30" i="7"/>
  <c r="L30" i="7"/>
  <c r="N30" i="7"/>
  <c r="N990" i="2"/>
  <c r="M990" i="2"/>
  <c r="L990" i="2"/>
  <c r="K990" i="2"/>
  <c r="J990" i="2"/>
  <c r="I990" i="2"/>
  <c r="H990" i="2"/>
  <c r="K1566" i="2"/>
  <c r="H1566" i="2"/>
  <c r="N1566" i="2"/>
  <c r="M1566" i="2"/>
  <c r="L1566" i="2"/>
  <c r="J1566" i="2"/>
  <c r="I1566" i="2"/>
  <c r="M30" i="8"/>
  <c r="L30" i="8"/>
  <c r="K30" i="8"/>
  <c r="J30" i="8"/>
  <c r="I30" i="8"/>
  <c r="H30" i="8"/>
  <c r="N30" i="8"/>
  <c r="N1326" i="2"/>
  <c r="H1326" i="2"/>
  <c r="L1326" i="2"/>
  <c r="K1326" i="2"/>
  <c r="J1326" i="2"/>
  <c r="I1326" i="2"/>
  <c r="M1326" i="2"/>
  <c r="N1278" i="2"/>
  <c r="H1278" i="2"/>
  <c r="M1278" i="2"/>
  <c r="L1278" i="2"/>
  <c r="K1278" i="2"/>
  <c r="J1278" i="2"/>
  <c r="I1278" i="2"/>
  <c r="M78" i="8"/>
  <c r="L78" i="8"/>
  <c r="K78" i="8"/>
  <c r="J78" i="8"/>
  <c r="I78" i="8"/>
  <c r="H78" i="8"/>
  <c r="N78" i="8"/>
  <c r="N1134" i="2"/>
  <c r="H1134" i="2"/>
  <c r="M1134" i="2"/>
  <c r="L1134" i="2"/>
  <c r="I1134" i="2"/>
  <c r="K1134" i="2"/>
  <c r="J1134" i="2"/>
  <c r="M78" i="7"/>
  <c r="J78" i="7"/>
  <c r="N78" i="7"/>
  <c r="L78" i="7"/>
  <c r="K78" i="7"/>
  <c r="I78" i="7"/>
  <c r="H78" i="7"/>
  <c r="N558" i="2"/>
  <c r="H558" i="2"/>
  <c r="M558" i="2"/>
  <c r="L558" i="2"/>
  <c r="K558" i="2"/>
  <c r="J558" i="2"/>
  <c r="I558" i="2"/>
  <c r="N174" i="4"/>
  <c r="M174" i="4"/>
  <c r="L174" i="4"/>
  <c r="K174" i="4"/>
  <c r="J174" i="4"/>
  <c r="I174" i="4"/>
  <c r="H174" i="4"/>
  <c r="L366" i="2"/>
  <c r="K366" i="2"/>
  <c r="N366" i="2"/>
  <c r="J366" i="2"/>
  <c r="M366" i="2"/>
  <c r="I366" i="2"/>
  <c r="H366" i="2"/>
  <c r="N798" i="2"/>
  <c r="M798" i="2"/>
  <c r="J798" i="2"/>
  <c r="H798" i="2"/>
  <c r="L798" i="2"/>
  <c r="K798" i="2"/>
  <c r="I798" i="2"/>
  <c r="N174" i="2"/>
  <c r="L174" i="2"/>
  <c r="J174" i="2"/>
  <c r="M174" i="2"/>
  <c r="K174" i="2"/>
  <c r="I174" i="2"/>
  <c r="H174" i="2"/>
  <c r="I221" i="13"/>
  <c r="O173" i="5"/>
  <c r="D173" i="5"/>
  <c r="N173" i="5" s="1"/>
  <c r="N77" i="13"/>
  <c r="M77" i="13"/>
  <c r="M269" i="13"/>
  <c r="H77" i="13"/>
  <c r="L269" i="13"/>
  <c r="K269" i="13"/>
  <c r="M221" i="13"/>
  <c r="L221" i="13"/>
  <c r="J221" i="13"/>
  <c r="K221" i="13"/>
  <c r="H221" i="13"/>
  <c r="I125" i="13"/>
  <c r="H125" i="13"/>
  <c r="L77" i="13"/>
  <c r="I77" i="13"/>
  <c r="K77" i="13"/>
  <c r="I269" i="13"/>
  <c r="B271" i="13"/>
  <c r="O270" i="13"/>
  <c r="E270" i="13"/>
  <c r="N270" i="13" s="1"/>
  <c r="D270" i="13"/>
  <c r="G221" i="13"/>
  <c r="E222" i="13"/>
  <c r="N222" i="13" s="1"/>
  <c r="O222" i="13"/>
  <c r="D222" i="13"/>
  <c r="B223" i="13"/>
  <c r="G222" i="13"/>
  <c r="D174" i="13"/>
  <c r="O174" i="13"/>
  <c r="E174" i="13"/>
  <c r="N174" i="13" s="1"/>
  <c r="B175" i="13"/>
  <c r="K125" i="13"/>
  <c r="J125" i="13"/>
  <c r="M125" i="13"/>
  <c r="G125" i="13"/>
  <c r="L125" i="13"/>
  <c r="N125" i="13"/>
  <c r="O126" i="13"/>
  <c r="B127" i="13"/>
  <c r="E126" i="13"/>
  <c r="D126" i="13"/>
  <c r="J77" i="13"/>
  <c r="B79" i="13"/>
  <c r="O78" i="13"/>
  <c r="E78" i="13"/>
  <c r="N78" i="13" s="1"/>
  <c r="D78" i="13"/>
  <c r="E21" i="39"/>
  <c r="N29" i="5"/>
  <c r="F127" i="4"/>
  <c r="F128" i="4" s="1"/>
  <c r="F129" i="4" s="1"/>
  <c r="F130" i="4" s="1"/>
  <c r="F131" i="4" s="1"/>
  <c r="F132" i="4" s="1"/>
  <c r="F133" i="4" s="1"/>
  <c r="F134" i="4" s="1"/>
  <c r="F135" i="4" s="1"/>
  <c r="F136" i="4" s="1"/>
  <c r="F39" i="4"/>
  <c r="F40" i="4" s="1"/>
  <c r="F1183" i="2"/>
  <c r="F1184" i="2" s="1"/>
  <c r="F1185" i="2" s="1"/>
  <c r="F1186" i="2" s="1"/>
  <c r="F1187" i="2" s="1"/>
  <c r="F1188" i="2" s="1"/>
  <c r="F1189" i="2" s="1"/>
  <c r="F1190" i="2" s="1"/>
  <c r="F1191" i="2" s="1"/>
  <c r="F1192" i="2" s="1"/>
  <c r="F1139" i="2"/>
  <c r="F1140" i="2" s="1"/>
  <c r="F1141" i="2" s="1"/>
  <c r="F1142" i="2" s="1"/>
  <c r="F1143" i="2" s="1"/>
  <c r="F1144" i="2" s="1"/>
  <c r="F1095" i="2"/>
  <c r="F1096" i="2" s="1"/>
  <c r="U989" i="2"/>
  <c r="F655" i="2"/>
  <c r="F656" i="2" s="1"/>
  <c r="F657" i="2" s="1"/>
  <c r="F658" i="2" s="1"/>
  <c r="F659" i="2" s="1"/>
  <c r="F660" i="2" s="1"/>
  <c r="F661" i="2" s="1"/>
  <c r="F662" i="2" s="1"/>
  <c r="F663" i="2" s="1"/>
  <c r="F664" i="2" s="1"/>
  <c r="F665" i="2" s="1"/>
  <c r="F611" i="2"/>
  <c r="F612" i="2" s="1"/>
  <c r="F613" i="2" s="1"/>
  <c r="F614" i="2" s="1"/>
  <c r="F615" i="2" s="1"/>
  <c r="F616" i="2" s="1"/>
  <c r="F569" i="2"/>
  <c r="V1325" i="2"/>
  <c r="L317" i="6"/>
  <c r="U1133" i="2"/>
  <c r="M221" i="6"/>
  <c r="U173" i="8"/>
  <c r="F761" i="2"/>
  <c r="N269" i="6"/>
  <c r="H461" i="7"/>
  <c r="F233" i="8"/>
  <c r="I509" i="7"/>
  <c r="J125" i="5"/>
  <c r="L269" i="6"/>
  <c r="V1085" i="2"/>
  <c r="V269" i="7"/>
  <c r="F132" i="19"/>
  <c r="H132" i="19" s="1"/>
  <c r="K557" i="7"/>
  <c r="F233" i="6"/>
  <c r="V1277" i="2"/>
  <c r="U1469" i="2"/>
  <c r="U29" i="21"/>
  <c r="V29" i="4"/>
  <c r="U221" i="2"/>
  <c r="U1613" i="2"/>
  <c r="J317" i="6"/>
  <c r="U1085" i="2"/>
  <c r="V893" i="2"/>
  <c r="U893" i="2"/>
  <c r="U605" i="2"/>
  <c r="F185" i="2"/>
  <c r="F281" i="2"/>
  <c r="F377" i="2"/>
  <c r="F473" i="2"/>
  <c r="U701" i="2"/>
  <c r="F713" i="2"/>
  <c r="F809" i="2"/>
  <c r="F857" i="2"/>
  <c r="F1337" i="2"/>
  <c r="F1385" i="2"/>
  <c r="F1481" i="2"/>
  <c r="U29" i="4"/>
  <c r="F233" i="4"/>
  <c r="F377" i="4"/>
  <c r="N173" i="20"/>
  <c r="H125" i="20"/>
  <c r="L29" i="5"/>
  <c r="K125" i="5"/>
  <c r="V29" i="21"/>
  <c r="U77" i="6"/>
  <c r="V77" i="6"/>
  <c r="N221" i="6"/>
  <c r="M269" i="6"/>
  <c r="J269" i="6"/>
  <c r="I269" i="6"/>
  <c r="K173" i="6"/>
  <c r="H173" i="6"/>
  <c r="F185" i="6"/>
  <c r="H317" i="6"/>
  <c r="G317" i="6"/>
  <c r="U29" i="7"/>
  <c r="U125" i="7"/>
  <c r="F137" i="7"/>
  <c r="U365" i="7"/>
  <c r="K509" i="7"/>
  <c r="K461" i="7"/>
  <c r="F521" i="7"/>
  <c r="I557" i="7"/>
  <c r="F137" i="8"/>
  <c r="J269" i="8"/>
  <c r="F281" i="8"/>
  <c r="F329" i="8"/>
  <c r="K317" i="8"/>
  <c r="G317" i="8"/>
  <c r="J317" i="8"/>
  <c r="M413" i="7"/>
  <c r="H413" i="7"/>
  <c r="L413" i="7"/>
  <c r="F319" i="2"/>
  <c r="F320" i="2" s="1"/>
  <c r="F321" i="2" s="1"/>
  <c r="F322" i="2" s="1"/>
  <c r="F323" i="2" s="1"/>
  <c r="F324" i="2" s="1"/>
  <c r="F325" i="2" s="1"/>
  <c r="F326" i="2" s="1"/>
  <c r="F327" i="2" s="1"/>
  <c r="F328" i="2" s="1"/>
  <c r="F991" i="2"/>
  <c r="F992" i="2" s="1"/>
  <c r="F993" i="2" s="1"/>
  <c r="F994" i="2" s="1"/>
  <c r="F995" i="2" s="1"/>
  <c r="F996" i="2" s="1"/>
  <c r="F997" i="2" s="1"/>
  <c r="F998" i="2" s="1"/>
  <c r="F999" i="2" s="1"/>
  <c r="F1000" i="2" s="1"/>
  <c r="G29" i="8"/>
  <c r="V29" i="8"/>
  <c r="V77" i="4"/>
  <c r="I413" i="8"/>
  <c r="H413" i="8"/>
  <c r="K77" i="5"/>
  <c r="U749" i="2"/>
  <c r="U317" i="2"/>
  <c r="G125" i="2"/>
  <c r="F1567" i="2"/>
  <c r="V125" i="2"/>
  <c r="G1421" i="2"/>
  <c r="U1421" i="2"/>
  <c r="U269" i="4"/>
  <c r="U221" i="7"/>
  <c r="F79" i="4"/>
  <c r="F175" i="7"/>
  <c r="F176" i="7" s="1"/>
  <c r="F177" i="7" s="1"/>
  <c r="F178" i="7" s="1"/>
  <c r="F179" i="7" s="1"/>
  <c r="F180" i="7" s="1"/>
  <c r="F181" i="7" s="1"/>
  <c r="F182" i="7" s="1"/>
  <c r="F183" i="7" s="1"/>
  <c r="F184" i="7" s="1"/>
  <c r="F175" i="4"/>
  <c r="F176" i="4" s="1"/>
  <c r="F177" i="4" s="1"/>
  <c r="F178" i="4" s="1"/>
  <c r="F179" i="4" s="1"/>
  <c r="F180" i="4" s="1"/>
  <c r="F181" i="4" s="1"/>
  <c r="F182" i="4" s="1"/>
  <c r="F183" i="4" s="1"/>
  <c r="F184" i="4" s="1"/>
  <c r="J557" i="7"/>
  <c r="N557" i="7"/>
  <c r="M557" i="7"/>
  <c r="H557" i="7"/>
  <c r="G557" i="7"/>
  <c r="P132" i="15"/>
  <c r="P130" i="15"/>
  <c r="F127" i="2"/>
  <c r="F128" i="2" s="1"/>
  <c r="F129" i="2" s="1"/>
  <c r="F130" i="2" s="1"/>
  <c r="F131" i="2" s="1"/>
  <c r="F132" i="2" s="1"/>
  <c r="F133" i="2" s="1"/>
  <c r="F134" i="2" s="1"/>
  <c r="F135" i="2" s="1"/>
  <c r="F136" i="2" s="1"/>
  <c r="G845" i="2"/>
  <c r="V845" i="2"/>
  <c r="U77" i="7"/>
  <c r="M173" i="5"/>
  <c r="L173" i="5"/>
  <c r="K173" i="5"/>
  <c r="U269" i="2"/>
  <c r="V269" i="2"/>
  <c r="K142" i="36"/>
  <c r="U1325" i="2"/>
  <c r="K413" i="8"/>
  <c r="P128" i="15"/>
  <c r="J69" i="37"/>
  <c r="P129" i="15"/>
  <c r="H317" i="8"/>
  <c r="J77" i="5"/>
  <c r="V29" i="7"/>
  <c r="J173" i="6"/>
  <c r="H365" i="8"/>
  <c r="J221" i="6"/>
  <c r="P135" i="15"/>
  <c r="V1517" i="2"/>
  <c r="U125" i="6"/>
  <c r="U941" i="2"/>
  <c r="N269" i="8"/>
  <c r="F181" i="19"/>
  <c r="I181" i="19" s="1"/>
  <c r="G29" i="5"/>
  <c r="L269" i="8"/>
  <c r="I77" i="20"/>
  <c r="F183" i="19"/>
  <c r="H183" i="19" s="1"/>
  <c r="F127" i="19"/>
  <c r="H127" i="19" s="1"/>
  <c r="P133" i="15"/>
  <c r="F180" i="19"/>
  <c r="L180" i="19" s="1"/>
  <c r="V989" i="2"/>
  <c r="L125" i="5"/>
  <c r="K173" i="20"/>
  <c r="H269" i="8"/>
  <c r="F1529" i="2"/>
  <c r="F281" i="6"/>
  <c r="P136" i="15"/>
  <c r="U125" i="2"/>
  <c r="D137" i="19"/>
  <c r="F89" i="6"/>
  <c r="P131" i="15"/>
  <c r="F178" i="19"/>
  <c r="I178" i="19" s="1"/>
  <c r="F281" i="7"/>
  <c r="F1433" i="2"/>
  <c r="P134" i="15"/>
  <c r="J67" i="37"/>
  <c r="U29" i="8"/>
  <c r="F953" i="2"/>
  <c r="J68" i="37"/>
  <c r="L77" i="5"/>
  <c r="F1241" i="2"/>
  <c r="F1289" i="2"/>
  <c r="U269" i="7"/>
  <c r="F905" i="2"/>
  <c r="F569" i="7"/>
  <c r="P127" i="15"/>
  <c r="L557" i="7"/>
  <c r="M77" i="5"/>
  <c r="E185" i="19"/>
  <c r="F425" i="2"/>
  <c r="F174" i="19"/>
  <c r="I174" i="19" s="1"/>
  <c r="F89" i="8"/>
  <c r="V221" i="4"/>
  <c r="L173" i="20"/>
  <c r="F1673" i="2"/>
  <c r="F233" i="7"/>
  <c r="F176" i="19"/>
  <c r="G176" i="19" s="1"/>
  <c r="F131" i="19"/>
  <c r="K131" i="19" s="1"/>
  <c r="I173" i="6"/>
  <c r="F130" i="19"/>
  <c r="G130" i="19" s="1"/>
  <c r="V221" i="8"/>
  <c r="V701" i="2"/>
  <c r="M173" i="20"/>
  <c r="V125" i="6"/>
  <c r="H269" i="6"/>
  <c r="V941" i="2"/>
  <c r="P125" i="15"/>
  <c r="F425" i="7"/>
  <c r="F281" i="4"/>
  <c r="F425" i="8"/>
  <c r="N173" i="6"/>
  <c r="I365" i="8"/>
  <c r="I221" i="6"/>
  <c r="G1517" i="2"/>
  <c r="G173" i="20"/>
  <c r="F185" i="8"/>
  <c r="F1625" i="2"/>
  <c r="B127" i="20"/>
  <c r="E126" i="20"/>
  <c r="D126" i="20"/>
  <c r="O126" i="20"/>
  <c r="U173" i="4"/>
  <c r="U173" i="7"/>
  <c r="D222" i="7"/>
  <c r="O222" i="7"/>
  <c r="B223" i="7"/>
  <c r="E222" i="7"/>
  <c r="G222" i="7" s="1"/>
  <c r="D30" i="4"/>
  <c r="O30" i="4"/>
  <c r="B31" i="4"/>
  <c r="E30" i="4"/>
  <c r="O318" i="4"/>
  <c r="E318" i="4"/>
  <c r="D318" i="4"/>
  <c r="B319" i="4"/>
  <c r="U365" i="4"/>
  <c r="U77" i="8"/>
  <c r="H509" i="7"/>
  <c r="F129" i="6"/>
  <c r="D30" i="7"/>
  <c r="O30" i="7"/>
  <c r="E30" i="7"/>
  <c r="G30" i="7" s="1"/>
  <c r="B31" i="7"/>
  <c r="L77" i="20"/>
  <c r="U509" i="2"/>
  <c r="F128" i="19"/>
  <c r="B185" i="19"/>
  <c r="F184" i="19"/>
  <c r="D366" i="8"/>
  <c r="O366" i="8"/>
  <c r="E366" i="8"/>
  <c r="N366" i="8" s="1"/>
  <c r="B367" i="8"/>
  <c r="D270" i="7"/>
  <c r="B271" i="7"/>
  <c r="O270" i="7"/>
  <c r="E270" i="7"/>
  <c r="F126" i="19"/>
  <c r="M413" i="8"/>
  <c r="U317" i="7"/>
  <c r="E89" i="19"/>
  <c r="K413" i="7"/>
  <c r="G317" i="4"/>
  <c r="V365" i="4"/>
  <c r="V1469" i="2"/>
  <c r="F78" i="19"/>
  <c r="V413" i="2"/>
  <c r="V221" i="2"/>
  <c r="V269" i="4"/>
  <c r="G509" i="7"/>
  <c r="V125" i="8"/>
  <c r="C185" i="19"/>
  <c r="I317" i="6"/>
  <c r="D510" i="2"/>
  <c r="E510" i="2"/>
  <c r="G510" i="2" s="1"/>
  <c r="O510" i="2"/>
  <c r="B511" i="2"/>
  <c r="F129" i="19"/>
  <c r="E366" i="2"/>
  <c r="G366" i="2" s="1"/>
  <c r="D366" i="2"/>
  <c r="O366" i="2"/>
  <c r="B367" i="2"/>
  <c r="V1181" i="2"/>
  <c r="E137" i="19"/>
  <c r="U221" i="4"/>
  <c r="N125" i="5"/>
  <c r="J173" i="20"/>
  <c r="B271" i="8"/>
  <c r="D270" i="8"/>
  <c r="E270" i="8"/>
  <c r="N270" i="8" s="1"/>
  <c r="O270" i="8"/>
  <c r="D126" i="4"/>
  <c r="E126" i="4"/>
  <c r="O126" i="4"/>
  <c r="B127" i="4"/>
  <c r="V173" i="4"/>
  <c r="V317" i="7"/>
  <c r="E318" i="7"/>
  <c r="G318" i="7" s="1"/>
  <c r="D318" i="7"/>
  <c r="B319" i="7"/>
  <c r="O318" i="7"/>
  <c r="V317" i="4"/>
  <c r="G365" i="4"/>
  <c r="B175" i="5"/>
  <c r="E174" i="5"/>
  <c r="O174" i="5"/>
  <c r="D174" i="5"/>
  <c r="U413" i="2"/>
  <c r="M509" i="7"/>
  <c r="B127" i="2"/>
  <c r="O126" i="2"/>
  <c r="E126" i="2"/>
  <c r="G126" i="2" s="1"/>
  <c r="D126" i="2"/>
  <c r="M77" i="20"/>
  <c r="E894" i="2"/>
  <c r="G894" i="2" s="1"/>
  <c r="D894" i="2"/>
  <c r="B895" i="2"/>
  <c r="O894" i="2"/>
  <c r="F125" i="19"/>
  <c r="B137" i="19"/>
  <c r="U1181" i="2"/>
  <c r="K365" i="8"/>
  <c r="E174" i="8"/>
  <c r="G174" i="8" s="1"/>
  <c r="D174" i="8"/>
  <c r="O174" i="8"/>
  <c r="B175" i="8"/>
  <c r="J29" i="5"/>
  <c r="B703" i="2"/>
  <c r="E702" i="2"/>
  <c r="G702" i="2" s="1"/>
  <c r="D702" i="2"/>
  <c r="O702" i="2"/>
  <c r="V1661" i="2"/>
  <c r="U1565" i="2"/>
  <c r="U653" i="2"/>
  <c r="K125" i="20"/>
  <c r="D174" i="4"/>
  <c r="E174" i="4"/>
  <c r="G174" i="4" s="1"/>
  <c r="O174" i="4"/>
  <c r="B175" i="4"/>
  <c r="E174" i="7"/>
  <c r="G174" i="7" s="1"/>
  <c r="B175" i="7"/>
  <c r="D174" i="7"/>
  <c r="O174" i="7"/>
  <c r="B31" i="8"/>
  <c r="O30" i="8"/>
  <c r="D30" i="8"/>
  <c r="E30" i="8"/>
  <c r="G30" i="8" s="1"/>
  <c r="F84" i="19"/>
  <c r="E1326" i="2"/>
  <c r="G1326" i="2" s="1"/>
  <c r="O1326" i="2"/>
  <c r="D1326" i="2"/>
  <c r="B1327" i="2"/>
  <c r="F77" i="19"/>
  <c r="B89" i="19"/>
  <c r="D78" i="4"/>
  <c r="O78" i="4"/>
  <c r="E78" i="4"/>
  <c r="G78" i="4" s="1"/>
  <c r="B79" i="4"/>
  <c r="G413" i="8"/>
  <c r="I413" i="7"/>
  <c r="E318" i="2"/>
  <c r="G318" i="2" s="1"/>
  <c r="D318" i="2"/>
  <c r="O318" i="2"/>
  <c r="B319" i="2"/>
  <c r="F87" i="19"/>
  <c r="V125" i="7"/>
  <c r="N413" i="8"/>
  <c r="N413" i="7"/>
  <c r="B1087" i="2"/>
  <c r="D1086" i="2"/>
  <c r="E1086" i="2"/>
  <c r="G1086" i="2" s="1"/>
  <c r="O1086" i="2"/>
  <c r="V77" i="8"/>
  <c r="I461" i="7"/>
  <c r="U125" i="8"/>
  <c r="O30" i="21"/>
  <c r="E30" i="21"/>
  <c r="D30" i="21"/>
  <c r="B31" i="21"/>
  <c r="F88" i="19"/>
  <c r="L413" i="8"/>
  <c r="J413" i="7"/>
  <c r="D366" i="4"/>
  <c r="O366" i="4"/>
  <c r="B367" i="4"/>
  <c r="E366" i="4"/>
  <c r="G366" i="4" s="1"/>
  <c r="D89" i="19"/>
  <c r="O750" i="2"/>
  <c r="D750" i="2"/>
  <c r="E750" i="2"/>
  <c r="G750" i="2" s="1"/>
  <c r="B751" i="2"/>
  <c r="I317" i="8"/>
  <c r="N77" i="5"/>
  <c r="B271" i="4"/>
  <c r="O270" i="4"/>
  <c r="E270" i="4"/>
  <c r="G270" i="4" s="1"/>
  <c r="D270" i="4"/>
  <c r="M461" i="7"/>
  <c r="J509" i="7"/>
  <c r="K77" i="20"/>
  <c r="F182" i="19"/>
  <c r="D185" i="19"/>
  <c r="K141" i="36"/>
  <c r="M317" i="6"/>
  <c r="O222" i="2"/>
  <c r="F223" i="2"/>
  <c r="L365" i="8"/>
  <c r="F134" i="19"/>
  <c r="C137" i="19"/>
  <c r="E222" i="6"/>
  <c r="N222" i="6" s="1"/>
  <c r="D222" i="6"/>
  <c r="O222" i="6"/>
  <c r="B223" i="6"/>
  <c r="V125" i="21"/>
  <c r="U797" i="2"/>
  <c r="H29" i="5"/>
  <c r="U1517" i="2"/>
  <c r="E222" i="4"/>
  <c r="G222" i="4" s="1"/>
  <c r="D222" i="4"/>
  <c r="O222" i="4"/>
  <c r="B223" i="4"/>
  <c r="I125" i="5"/>
  <c r="H173" i="20"/>
  <c r="B127" i="6"/>
  <c r="E126" i="6"/>
  <c r="G126" i="6" s="1"/>
  <c r="O126" i="6"/>
  <c r="D126" i="6"/>
  <c r="U1661" i="2"/>
  <c r="I269" i="8"/>
  <c r="V173" i="2"/>
  <c r="M125" i="20"/>
  <c r="V365" i="7"/>
  <c r="B79" i="6"/>
  <c r="O78" i="6"/>
  <c r="D78" i="6"/>
  <c r="E78" i="6"/>
  <c r="G78" i="6" s="1"/>
  <c r="G173" i="7"/>
  <c r="L461" i="7"/>
  <c r="L509" i="7"/>
  <c r="V1133" i="2"/>
  <c r="H77" i="20"/>
  <c r="E174" i="6"/>
  <c r="G174" i="6" s="1"/>
  <c r="D174" i="6"/>
  <c r="O174" i="6"/>
  <c r="B175" i="6"/>
  <c r="U461" i="2"/>
  <c r="J365" i="8"/>
  <c r="U125" i="21"/>
  <c r="V797" i="2"/>
  <c r="K29" i="5"/>
  <c r="D1614" i="2"/>
  <c r="B1615" i="2"/>
  <c r="E1614" i="2"/>
  <c r="G1614" i="2" s="1"/>
  <c r="O1614" i="2"/>
  <c r="U557" i="2"/>
  <c r="G269" i="8"/>
  <c r="B655" i="2"/>
  <c r="O654" i="2"/>
  <c r="E654" i="2"/>
  <c r="D654" i="2"/>
  <c r="J125" i="20"/>
  <c r="F85" i="19"/>
  <c r="G317" i="7"/>
  <c r="I173" i="5"/>
  <c r="E222" i="2"/>
  <c r="G222" i="2" s="1"/>
  <c r="D222" i="2"/>
  <c r="B223" i="2"/>
  <c r="H77" i="5"/>
  <c r="U845" i="2"/>
  <c r="J461" i="7"/>
  <c r="V1421" i="2"/>
  <c r="K317" i="6"/>
  <c r="F136" i="19"/>
  <c r="V77" i="7"/>
  <c r="F179" i="19"/>
  <c r="V461" i="2"/>
  <c r="M365" i="8"/>
  <c r="M29" i="5"/>
  <c r="G1613" i="2"/>
  <c r="V557" i="2"/>
  <c r="E174" i="20"/>
  <c r="G174" i="20" s="1"/>
  <c r="D174" i="20"/>
  <c r="O174" i="20"/>
  <c r="B175" i="20"/>
  <c r="B943" i="2"/>
  <c r="E942" i="2"/>
  <c r="O942" i="2"/>
  <c r="D942" i="2"/>
  <c r="V1565" i="2"/>
  <c r="U173" i="2"/>
  <c r="V653" i="2"/>
  <c r="V1373" i="2"/>
  <c r="V605" i="2"/>
  <c r="F86" i="19"/>
  <c r="E1470" i="2"/>
  <c r="G1470" i="2" s="1"/>
  <c r="B1471" i="2"/>
  <c r="D1470" i="2"/>
  <c r="O1470" i="2"/>
  <c r="B847" i="2"/>
  <c r="E846" i="2"/>
  <c r="G846" i="2" s="1"/>
  <c r="D846" i="2"/>
  <c r="O846" i="2"/>
  <c r="E78" i="8"/>
  <c r="O78" i="8"/>
  <c r="D78" i="8"/>
  <c r="B79" i="8"/>
  <c r="E1422" i="2"/>
  <c r="G1422" i="2" s="1"/>
  <c r="O1422" i="2"/>
  <c r="D1422" i="2"/>
  <c r="B1423" i="2"/>
  <c r="E318" i="6"/>
  <c r="N318" i="6" s="1"/>
  <c r="D318" i="6"/>
  <c r="O318" i="6"/>
  <c r="B319" i="6"/>
  <c r="F135" i="19"/>
  <c r="E270" i="2"/>
  <c r="G270" i="2" s="1"/>
  <c r="D270" i="2"/>
  <c r="O270" i="2"/>
  <c r="B271" i="2"/>
  <c r="D1566" i="2"/>
  <c r="O1566" i="2"/>
  <c r="B1567" i="2"/>
  <c r="E1566" i="2"/>
  <c r="G1566" i="2" s="1"/>
  <c r="B175" i="2"/>
  <c r="E174" i="2"/>
  <c r="O174" i="2"/>
  <c r="D174" i="2"/>
  <c r="F83" i="19"/>
  <c r="E510" i="7"/>
  <c r="N510" i="7" s="1"/>
  <c r="D510" i="7"/>
  <c r="B511" i="7"/>
  <c r="O510" i="7"/>
  <c r="G1133" i="2"/>
  <c r="U365" i="2"/>
  <c r="F177" i="19"/>
  <c r="D126" i="21"/>
  <c r="E126" i="21"/>
  <c r="G126" i="21" s="1"/>
  <c r="O126" i="21"/>
  <c r="B127" i="21"/>
  <c r="H125" i="5"/>
  <c r="M269" i="8"/>
  <c r="U1373" i="2"/>
  <c r="G1325" i="2"/>
  <c r="F81" i="19"/>
  <c r="D126" i="7"/>
  <c r="O126" i="7"/>
  <c r="E126" i="7"/>
  <c r="G126" i="7" s="1"/>
  <c r="B127" i="7"/>
  <c r="U77" i="4"/>
  <c r="O414" i="8"/>
  <c r="B415" i="8"/>
  <c r="D414" i="8"/>
  <c r="E414" i="8"/>
  <c r="H173" i="5"/>
  <c r="G29" i="4"/>
  <c r="B319" i="8"/>
  <c r="O318" i="8"/>
  <c r="D318" i="8"/>
  <c r="E318" i="8"/>
  <c r="N318" i="8" s="1"/>
  <c r="I77" i="5"/>
  <c r="U1229" i="2"/>
  <c r="N461" i="7"/>
  <c r="B127" i="8"/>
  <c r="E126" i="8"/>
  <c r="G126" i="8" s="1"/>
  <c r="D126" i="8"/>
  <c r="O126" i="8"/>
  <c r="J77" i="20"/>
  <c r="F133" i="19"/>
  <c r="B79" i="7"/>
  <c r="E78" i="7"/>
  <c r="G78" i="7" s="1"/>
  <c r="D78" i="7"/>
  <c r="O78" i="7"/>
  <c r="L173" i="6"/>
  <c r="V365" i="2"/>
  <c r="U1037" i="2"/>
  <c r="G365" i="8"/>
  <c r="L221" i="6"/>
  <c r="V173" i="8"/>
  <c r="B1519" i="2"/>
  <c r="O1518" i="2"/>
  <c r="D1518" i="2"/>
  <c r="E1518" i="2"/>
  <c r="G1518" i="2" s="1"/>
  <c r="K269" i="6"/>
  <c r="E1662" i="2"/>
  <c r="G1662" i="2" s="1"/>
  <c r="D1662" i="2"/>
  <c r="O1662" i="2"/>
  <c r="B1663" i="2"/>
  <c r="K269" i="8"/>
  <c r="U125" i="4"/>
  <c r="B1375" i="2"/>
  <c r="E1374" i="2"/>
  <c r="G1374" i="2" s="1"/>
  <c r="D1374" i="2"/>
  <c r="O1374" i="2"/>
  <c r="L125" i="20"/>
  <c r="D414" i="2"/>
  <c r="E414" i="2"/>
  <c r="G414" i="2" s="1"/>
  <c r="O414" i="2"/>
  <c r="B415" i="2"/>
  <c r="B1183" i="2"/>
  <c r="E1182" i="2"/>
  <c r="D1182" i="2"/>
  <c r="O1182" i="2"/>
  <c r="B127" i="5"/>
  <c r="D126" i="5"/>
  <c r="O126" i="5"/>
  <c r="E126" i="5"/>
  <c r="J413" i="8"/>
  <c r="B559" i="7"/>
  <c r="E558" i="7"/>
  <c r="N558" i="7" s="1"/>
  <c r="D558" i="7"/>
  <c r="O558" i="7"/>
  <c r="E414" i="7"/>
  <c r="N414" i="7" s="1"/>
  <c r="D414" i="7"/>
  <c r="B415" i="7"/>
  <c r="O414" i="7"/>
  <c r="J173" i="5"/>
  <c r="M317" i="8"/>
  <c r="V77" i="21"/>
  <c r="O990" i="2"/>
  <c r="E990" i="2"/>
  <c r="G990" i="2" s="1"/>
  <c r="B991" i="2"/>
  <c r="D990" i="2"/>
  <c r="V1613" i="2"/>
  <c r="I125" i="20"/>
  <c r="U1277" i="2"/>
  <c r="V221" i="7"/>
  <c r="V317" i="2"/>
  <c r="F82" i="19"/>
  <c r="V749" i="2"/>
  <c r="V1229" i="2"/>
  <c r="C89" i="19"/>
  <c r="D78" i="20"/>
  <c r="E78" i="20"/>
  <c r="G78" i="20" s="1"/>
  <c r="O78" i="20"/>
  <c r="B79" i="20"/>
  <c r="G29" i="21"/>
  <c r="M173" i="6"/>
  <c r="V1037" i="2"/>
  <c r="F175" i="19"/>
  <c r="K221" i="6"/>
  <c r="U77" i="21"/>
  <c r="U221" i="8"/>
  <c r="I29" i="5"/>
  <c r="E558" i="2"/>
  <c r="D558" i="2"/>
  <c r="B559" i="2"/>
  <c r="O558" i="2"/>
  <c r="M125" i="5"/>
  <c r="I173" i="20"/>
  <c r="D270" i="6"/>
  <c r="E270" i="6"/>
  <c r="O270" i="6"/>
  <c r="B271" i="6"/>
  <c r="V125" i="4"/>
  <c r="N125" i="20"/>
  <c r="O366" i="7"/>
  <c r="B367" i="7"/>
  <c r="E366" i="7"/>
  <c r="G366" i="7" s="1"/>
  <c r="D366" i="7"/>
  <c r="B607" i="2"/>
  <c r="E606" i="2"/>
  <c r="G606" i="2" s="1"/>
  <c r="D606" i="2"/>
  <c r="O606" i="2"/>
  <c r="F80" i="19"/>
  <c r="N77" i="20"/>
  <c r="E1038" i="2"/>
  <c r="G1038" i="2" s="1"/>
  <c r="D1038" i="2"/>
  <c r="O1038" i="2"/>
  <c r="B1039" i="2"/>
  <c r="D78" i="21"/>
  <c r="B79" i="21"/>
  <c r="E78" i="21"/>
  <c r="G78" i="21" s="1"/>
  <c r="O78" i="21"/>
  <c r="F79" i="19"/>
  <c r="O1278" i="2"/>
  <c r="E1278" i="2"/>
  <c r="B1279" i="2"/>
  <c r="D1278" i="2"/>
  <c r="U317" i="4"/>
  <c r="L317" i="8"/>
  <c r="B79" i="5"/>
  <c r="E78" i="5"/>
  <c r="G78" i="5" s="1"/>
  <c r="D78" i="5"/>
  <c r="O78" i="5"/>
  <c r="B1231" i="2"/>
  <c r="D1230" i="2"/>
  <c r="E1230" i="2"/>
  <c r="G1230" i="2" s="1"/>
  <c r="O1230" i="2"/>
  <c r="B463" i="7"/>
  <c r="E462" i="7"/>
  <c r="N462" i="7" s="1"/>
  <c r="D462" i="7"/>
  <c r="D1134" i="2"/>
  <c r="E1134" i="2"/>
  <c r="O1134" i="2"/>
  <c r="B1135" i="2"/>
  <c r="V509" i="2"/>
  <c r="F173" i="19"/>
  <c r="D462" i="2"/>
  <c r="O462" i="2"/>
  <c r="B463" i="2"/>
  <c r="E462" i="2"/>
  <c r="G462" i="2" s="1"/>
  <c r="H221" i="6"/>
  <c r="E222" i="8"/>
  <c r="G222" i="8" s="1"/>
  <c r="O222" i="8"/>
  <c r="D222" i="8"/>
  <c r="B223" i="8"/>
  <c r="B799" i="2"/>
  <c r="D798" i="2"/>
  <c r="E798" i="2"/>
  <c r="G798" i="2" s="1"/>
  <c r="O798" i="2"/>
  <c r="E30" i="5"/>
  <c r="G30" i="5" s="1"/>
  <c r="D30" i="5"/>
  <c r="O30" i="5"/>
  <c r="B31" i="5"/>
  <c r="G221" i="4"/>
  <c r="P126" i="15"/>
  <c r="V173" i="7"/>
  <c r="F106" i="38"/>
  <c r="F104" i="38"/>
  <c r="I36" i="39"/>
  <c r="K5" i="38"/>
  <c r="G80" i="38" s="1"/>
  <c r="E27" i="38"/>
  <c r="D27" i="38" s="1"/>
  <c r="E24" i="40" s="1"/>
  <c r="C45" i="34"/>
  <c r="E104" i="38"/>
  <c r="H161" i="40"/>
  <c r="L102" i="40"/>
  <c r="L24" i="40"/>
  <c r="N70" i="35"/>
  <c r="J102" i="40"/>
  <c r="J24" i="40"/>
  <c r="N109" i="35"/>
  <c r="C50" i="34" s="1"/>
  <c r="N96" i="35"/>
  <c r="I2" i="40" s="1"/>
  <c r="D3" i="41" s="1"/>
  <c r="W40" i="42"/>
  <c r="W41" i="42" s="1"/>
  <c r="C49" i="34"/>
  <c r="W23" i="42"/>
  <c r="W24" i="42" s="1"/>
  <c r="E12" i="43"/>
  <c r="F12" i="43" s="1"/>
  <c r="H12" i="43" s="1"/>
  <c r="E24" i="43"/>
  <c r="F24" i="43" s="1"/>
  <c r="H24" i="43" s="1"/>
  <c r="C48" i="34"/>
  <c r="N84" i="35"/>
  <c r="C35" i="39"/>
  <c r="E38" i="43"/>
  <c r="F38" i="43" s="1"/>
  <c r="H38" i="43" s="1"/>
  <c r="E13" i="43"/>
  <c r="F13" i="43" s="1"/>
  <c r="H13" i="43" s="1"/>
  <c r="E3" i="41"/>
  <c r="L2" i="40"/>
  <c r="K24" i="40"/>
  <c r="S53" i="42"/>
  <c r="S56" i="42" s="1"/>
  <c r="R59" i="42" s="1"/>
  <c r="R60" i="42" s="1"/>
  <c r="R56" i="42"/>
  <c r="C18" i="39"/>
  <c r="J8" i="39"/>
  <c r="I18" i="39" s="1"/>
  <c r="K1279" i="2" l="1"/>
  <c r="J1279" i="2"/>
  <c r="I1279" i="2"/>
  <c r="H1279" i="2"/>
  <c r="M1279" i="2"/>
  <c r="N1279" i="2"/>
  <c r="L1279" i="2"/>
  <c r="M1567" i="2"/>
  <c r="J1567" i="2"/>
  <c r="I1567" i="2"/>
  <c r="H1567" i="2"/>
  <c r="N1567" i="2"/>
  <c r="L1567" i="2"/>
  <c r="K1567" i="2"/>
  <c r="K1423" i="2"/>
  <c r="J1423" i="2"/>
  <c r="I1423" i="2"/>
  <c r="H1423" i="2"/>
  <c r="M1423" i="2"/>
  <c r="N1423" i="2"/>
  <c r="L1423" i="2"/>
  <c r="J367" i="2"/>
  <c r="I367" i="2"/>
  <c r="H367" i="2"/>
  <c r="N367" i="2"/>
  <c r="L367" i="2"/>
  <c r="M367" i="2"/>
  <c r="K367" i="2"/>
  <c r="K943" i="2"/>
  <c r="J943" i="2"/>
  <c r="I943" i="2"/>
  <c r="H943" i="2"/>
  <c r="L943" i="2"/>
  <c r="N943" i="2"/>
  <c r="M943" i="2"/>
  <c r="M175" i="7"/>
  <c r="L175" i="7"/>
  <c r="K175" i="7"/>
  <c r="J175" i="7"/>
  <c r="I175" i="7"/>
  <c r="H175" i="7"/>
  <c r="N175" i="7"/>
  <c r="K895" i="2"/>
  <c r="J895" i="2"/>
  <c r="I895" i="2"/>
  <c r="H895" i="2"/>
  <c r="L895" i="2"/>
  <c r="N895" i="2"/>
  <c r="M895" i="2"/>
  <c r="K1471" i="2"/>
  <c r="J1471" i="2"/>
  <c r="I1471" i="2"/>
  <c r="H1471" i="2"/>
  <c r="N1471" i="2"/>
  <c r="M1471" i="2"/>
  <c r="L1471" i="2"/>
  <c r="N127" i="6"/>
  <c r="M127" i="6"/>
  <c r="I127" i="6"/>
  <c r="H127" i="6"/>
  <c r="J127" i="6"/>
  <c r="L127" i="6"/>
  <c r="K127" i="6"/>
  <c r="J319" i="2"/>
  <c r="I319" i="2"/>
  <c r="H319" i="2"/>
  <c r="N319" i="2"/>
  <c r="L319" i="2"/>
  <c r="K319" i="2"/>
  <c r="M319" i="2"/>
  <c r="K1327" i="2"/>
  <c r="J1327" i="2"/>
  <c r="I1327" i="2"/>
  <c r="H1327" i="2"/>
  <c r="M1327" i="2"/>
  <c r="N1327" i="2"/>
  <c r="L1327" i="2"/>
  <c r="K703" i="2"/>
  <c r="J703" i="2"/>
  <c r="I703" i="2"/>
  <c r="H703" i="2"/>
  <c r="L703" i="2"/>
  <c r="N703" i="2"/>
  <c r="M703" i="2"/>
  <c r="N31" i="7"/>
  <c r="M31" i="7"/>
  <c r="L31" i="7"/>
  <c r="K31" i="7"/>
  <c r="J31" i="7"/>
  <c r="I31" i="7"/>
  <c r="H31" i="7"/>
  <c r="I463" i="2"/>
  <c r="N463" i="2"/>
  <c r="M463" i="2"/>
  <c r="L463" i="2"/>
  <c r="J463" i="2"/>
  <c r="K463" i="2"/>
  <c r="H463" i="2"/>
  <c r="M1519" i="2"/>
  <c r="H1519" i="2"/>
  <c r="N1519" i="2"/>
  <c r="L1519" i="2"/>
  <c r="K1519" i="2"/>
  <c r="J1519" i="2"/>
  <c r="I1519" i="2"/>
  <c r="J271" i="2"/>
  <c r="I271" i="2"/>
  <c r="H271" i="2"/>
  <c r="N271" i="2"/>
  <c r="L271" i="2"/>
  <c r="K271" i="2"/>
  <c r="M271" i="2"/>
  <c r="J175" i="4"/>
  <c r="I175" i="4"/>
  <c r="H175" i="4"/>
  <c r="L175" i="4"/>
  <c r="N175" i="4"/>
  <c r="M175" i="4"/>
  <c r="K175" i="4"/>
  <c r="N271" i="7"/>
  <c r="M271" i="7"/>
  <c r="L271" i="7"/>
  <c r="K271" i="7"/>
  <c r="J271" i="7"/>
  <c r="I271" i="7"/>
  <c r="H271" i="7"/>
  <c r="N31" i="4"/>
  <c r="M31" i="4"/>
  <c r="L31" i="4"/>
  <c r="H31" i="4"/>
  <c r="K31" i="4"/>
  <c r="J31" i="4"/>
  <c r="I31" i="4"/>
  <c r="M222" i="13"/>
  <c r="N175" i="8"/>
  <c r="M175" i="8"/>
  <c r="L175" i="8"/>
  <c r="K175" i="8"/>
  <c r="J175" i="8"/>
  <c r="I175" i="8"/>
  <c r="H175" i="8"/>
  <c r="K655" i="2"/>
  <c r="J655" i="2"/>
  <c r="I655" i="2"/>
  <c r="H655" i="2"/>
  <c r="N655" i="2"/>
  <c r="M655" i="2"/>
  <c r="L655" i="2"/>
  <c r="N79" i="6"/>
  <c r="M79" i="6"/>
  <c r="L79" i="6"/>
  <c r="J79" i="6"/>
  <c r="K79" i="6"/>
  <c r="I79" i="6"/>
  <c r="H79" i="6"/>
  <c r="J223" i="4"/>
  <c r="K223" i="4"/>
  <c r="I223" i="4"/>
  <c r="H223" i="4"/>
  <c r="M223" i="4"/>
  <c r="N223" i="4"/>
  <c r="L223" i="4"/>
  <c r="J367" i="4"/>
  <c r="I367" i="4"/>
  <c r="H367" i="4"/>
  <c r="N367" i="4"/>
  <c r="M367" i="4"/>
  <c r="L367" i="4"/>
  <c r="K367" i="4"/>
  <c r="I511" i="2"/>
  <c r="K511" i="2"/>
  <c r="J511" i="2"/>
  <c r="H511" i="2"/>
  <c r="N511" i="2"/>
  <c r="M511" i="2"/>
  <c r="L511" i="2"/>
  <c r="I319" i="7"/>
  <c r="H319" i="7"/>
  <c r="N319" i="7"/>
  <c r="M319" i="7"/>
  <c r="K319" i="7"/>
  <c r="L319" i="7"/>
  <c r="J319" i="7"/>
  <c r="I79" i="7"/>
  <c r="H79" i="7"/>
  <c r="M79" i="7"/>
  <c r="L79" i="7"/>
  <c r="K79" i="7"/>
  <c r="J79" i="7"/>
  <c r="N79" i="7"/>
  <c r="K1231" i="2"/>
  <c r="J1231" i="2"/>
  <c r="I1231" i="2"/>
  <c r="H1231" i="2"/>
  <c r="M1231" i="2"/>
  <c r="N1231" i="2"/>
  <c r="L1231" i="2"/>
  <c r="K799" i="2"/>
  <c r="J799" i="2"/>
  <c r="I799" i="2"/>
  <c r="H799" i="2"/>
  <c r="L799" i="2"/>
  <c r="N799" i="2"/>
  <c r="M799" i="2"/>
  <c r="K1135" i="2"/>
  <c r="J1135" i="2"/>
  <c r="I1135" i="2"/>
  <c r="H1135" i="2"/>
  <c r="N1135" i="2"/>
  <c r="M1135" i="2"/>
  <c r="L1135" i="2"/>
  <c r="K79" i="21"/>
  <c r="J79" i="21"/>
  <c r="I79" i="21"/>
  <c r="H79" i="21"/>
  <c r="N79" i="21"/>
  <c r="M79" i="21"/>
  <c r="L79" i="21"/>
  <c r="K1183" i="2"/>
  <c r="J1183" i="2"/>
  <c r="I1183" i="2"/>
  <c r="H1183" i="2"/>
  <c r="N1183" i="2"/>
  <c r="M1183" i="2"/>
  <c r="L1183" i="2"/>
  <c r="N1663" i="2"/>
  <c r="M1663" i="2"/>
  <c r="L1663" i="2"/>
  <c r="K1663" i="2"/>
  <c r="J1663" i="2"/>
  <c r="I1663" i="2"/>
  <c r="H1663" i="2"/>
  <c r="N127" i="8"/>
  <c r="M127" i="8"/>
  <c r="L127" i="8"/>
  <c r="K127" i="8"/>
  <c r="J127" i="8"/>
  <c r="H127" i="8"/>
  <c r="I127" i="8"/>
  <c r="N127" i="21"/>
  <c r="H127" i="21"/>
  <c r="M127" i="21"/>
  <c r="L127" i="21"/>
  <c r="J127" i="21"/>
  <c r="K127" i="21"/>
  <c r="I127" i="21"/>
  <c r="J223" i="2"/>
  <c r="I223" i="2"/>
  <c r="H223" i="2"/>
  <c r="N223" i="2"/>
  <c r="L223" i="2"/>
  <c r="K223" i="2"/>
  <c r="M223" i="2"/>
  <c r="N223" i="7"/>
  <c r="M223" i="7"/>
  <c r="L223" i="7"/>
  <c r="K223" i="7"/>
  <c r="J223" i="7"/>
  <c r="I223" i="7"/>
  <c r="H223" i="7"/>
  <c r="N79" i="8"/>
  <c r="M79" i="8"/>
  <c r="L79" i="8"/>
  <c r="K79" i="8"/>
  <c r="J79" i="8"/>
  <c r="I79" i="8"/>
  <c r="H79" i="8"/>
  <c r="K607" i="2"/>
  <c r="J607" i="2"/>
  <c r="I607" i="2"/>
  <c r="H607" i="2"/>
  <c r="N607" i="2"/>
  <c r="M607" i="2"/>
  <c r="L607" i="2"/>
  <c r="K559" i="2"/>
  <c r="J559" i="2"/>
  <c r="I559" i="2"/>
  <c r="H559" i="2"/>
  <c r="N559" i="2"/>
  <c r="M559" i="2"/>
  <c r="L559" i="2"/>
  <c r="J415" i="2"/>
  <c r="I415" i="2"/>
  <c r="H415" i="2"/>
  <c r="N415" i="2"/>
  <c r="L415" i="2"/>
  <c r="M415" i="2"/>
  <c r="K415" i="2"/>
  <c r="J271" i="4"/>
  <c r="I271" i="4"/>
  <c r="H271" i="4"/>
  <c r="N271" i="4"/>
  <c r="L271" i="4"/>
  <c r="M271" i="4"/>
  <c r="K271" i="4"/>
  <c r="N79" i="4"/>
  <c r="M79" i="4"/>
  <c r="L79" i="4"/>
  <c r="K79" i="4"/>
  <c r="J79" i="4"/>
  <c r="I79" i="4"/>
  <c r="H79" i="4"/>
  <c r="J127" i="2"/>
  <c r="I127" i="2"/>
  <c r="H127" i="2"/>
  <c r="N127" i="2"/>
  <c r="M127" i="2"/>
  <c r="L127" i="2"/>
  <c r="K127" i="2"/>
  <c r="L1039" i="2"/>
  <c r="K1039" i="2"/>
  <c r="J1039" i="2"/>
  <c r="I1039" i="2"/>
  <c r="H1039" i="2"/>
  <c r="M1039" i="2"/>
  <c r="N1039" i="2"/>
  <c r="N367" i="7"/>
  <c r="M367" i="7"/>
  <c r="L367" i="7"/>
  <c r="K367" i="7"/>
  <c r="J367" i="7"/>
  <c r="I367" i="7"/>
  <c r="H367" i="7"/>
  <c r="K991" i="2"/>
  <c r="J991" i="2"/>
  <c r="I991" i="2"/>
  <c r="H991" i="2"/>
  <c r="L991" i="2"/>
  <c r="M991" i="2"/>
  <c r="N991" i="2"/>
  <c r="N1087" i="2"/>
  <c r="M1087" i="2"/>
  <c r="L1087" i="2"/>
  <c r="K1087" i="2"/>
  <c r="H1087" i="2"/>
  <c r="J1087" i="2"/>
  <c r="I1087" i="2"/>
  <c r="N223" i="8"/>
  <c r="M223" i="8"/>
  <c r="L223" i="8"/>
  <c r="K223" i="8"/>
  <c r="J223" i="8"/>
  <c r="I223" i="8"/>
  <c r="H223" i="8"/>
  <c r="K127" i="7"/>
  <c r="J127" i="7"/>
  <c r="I127" i="7"/>
  <c r="H127" i="7"/>
  <c r="N127" i="7"/>
  <c r="M127" i="7"/>
  <c r="L127" i="7"/>
  <c r="N1615" i="2"/>
  <c r="M1615" i="2"/>
  <c r="L1615" i="2"/>
  <c r="K1615" i="2"/>
  <c r="J1615" i="2"/>
  <c r="I1615" i="2"/>
  <c r="H1615" i="2"/>
  <c r="N31" i="8"/>
  <c r="M31" i="8"/>
  <c r="K31" i="8"/>
  <c r="L31" i="8"/>
  <c r="J31" i="8"/>
  <c r="I31" i="8"/>
  <c r="H31" i="8"/>
  <c r="J319" i="4"/>
  <c r="I319" i="4"/>
  <c r="H319" i="4"/>
  <c r="N319" i="4"/>
  <c r="M319" i="4"/>
  <c r="K319" i="4"/>
  <c r="L319" i="4"/>
  <c r="K1375" i="2"/>
  <c r="J1375" i="2"/>
  <c r="I1375" i="2"/>
  <c r="H1375" i="2"/>
  <c r="M1375" i="2"/>
  <c r="L1375" i="2"/>
  <c r="N1375" i="2"/>
  <c r="K847" i="2"/>
  <c r="J847" i="2"/>
  <c r="I847" i="2"/>
  <c r="H847" i="2"/>
  <c r="L847" i="2"/>
  <c r="N847" i="2"/>
  <c r="M847" i="2"/>
  <c r="K751" i="2"/>
  <c r="J751" i="2"/>
  <c r="I751" i="2"/>
  <c r="H751" i="2"/>
  <c r="L751" i="2"/>
  <c r="N751" i="2"/>
  <c r="M751" i="2"/>
  <c r="J31" i="21"/>
  <c r="I31" i="21"/>
  <c r="H31" i="21"/>
  <c r="N31" i="21"/>
  <c r="M31" i="21"/>
  <c r="L31" i="21"/>
  <c r="K31" i="21"/>
  <c r="N127" i="4"/>
  <c r="M127" i="4"/>
  <c r="L127" i="4"/>
  <c r="K127" i="4"/>
  <c r="J127" i="4"/>
  <c r="I127" i="4"/>
  <c r="H127" i="4"/>
  <c r="N175" i="2"/>
  <c r="L175" i="2"/>
  <c r="K175" i="2"/>
  <c r="H175" i="2"/>
  <c r="J175" i="2"/>
  <c r="I175" i="2"/>
  <c r="M175" i="2"/>
  <c r="J270" i="13"/>
  <c r="K174" i="13"/>
  <c r="F1097" i="2"/>
  <c r="I222" i="13"/>
  <c r="P269" i="13"/>
  <c r="J222" i="13"/>
  <c r="M78" i="13"/>
  <c r="G270" i="13"/>
  <c r="J78" i="13"/>
  <c r="I270" i="13"/>
  <c r="L270" i="13"/>
  <c r="F1193" i="2"/>
  <c r="F617" i="2"/>
  <c r="P77" i="13"/>
  <c r="F41" i="4"/>
  <c r="P137" i="15"/>
  <c r="L222" i="13"/>
  <c r="P221" i="13"/>
  <c r="M174" i="13"/>
  <c r="G174" i="13"/>
  <c r="H174" i="13"/>
  <c r="I174" i="13"/>
  <c r="J174" i="13"/>
  <c r="L174" i="13"/>
  <c r="M126" i="13"/>
  <c r="H126" i="13"/>
  <c r="K126" i="13"/>
  <c r="L126" i="13"/>
  <c r="I126" i="13"/>
  <c r="J126" i="13"/>
  <c r="G126" i="13"/>
  <c r="H270" i="13"/>
  <c r="K270" i="13"/>
  <c r="D271" i="13"/>
  <c r="E271" i="13"/>
  <c r="G271" i="13" s="1"/>
  <c r="B272" i="13"/>
  <c r="O271" i="13"/>
  <c r="M270" i="13"/>
  <c r="K222" i="13"/>
  <c r="H222" i="13"/>
  <c r="E223" i="13"/>
  <c r="G223" i="13" s="1"/>
  <c r="O223" i="13"/>
  <c r="D223" i="13"/>
  <c r="B224" i="13"/>
  <c r="B176" i="13"/>
  <c r="O175" i="13"/>
  <c r="E175" i="13"/>
  <c r="G175" i="13" s="1"/>
  <c r="D175" i="13"/>
  <c r="P125" i="13"/>
  <c r="N126" i="13"/>
  <c r="B128" i="13"/>
  <c r="E127" i="13"/>
  <c r="G127" i="13" s="1"/>
  <c r="D127" i="13"/>
  <c r="O127" i="13"/>
  <c r="G78" i="13"/>
  <c r="L78" i="13"/>
  <c r="I78" i="13"/>
  <c r="K78" i="13"/>
  <c r="E79" i="13"/>
  <c r="G79" i="13" s="1"/>
  <c r="O79" i="13"/>
  <c r="B80" i="13"/>
  <c r="D79" i="13"/>
  <c r="H78" i="13"/>
  <c r="L132" i="19"/>
  <c r="G132" i="19"/>
  <c r="I132" i="19"/>
  <c r="J132" i="19"/>
  <c r="K132" i="19"/>
  <c r="G126" i="5"/>
  <c r="G126" i="20"/>
  <c r="G126" i="4"/>
  <c r="F137" i="4"/>
  <c r="G1182" i="2"/>
  <c r="F1145" i="2"/>
  <c r="V894" i="2"/>
  <c r="V1374" i="2"/>
  <c r="U1134" i="2"/>
  <c r="L178" i="19"/>
  <c r="M414" i="8"/>
  <c r="G510" i="7"/>
  <c r="V30" i="4"/>
  <c r="U1566" i="2"/>
  <c r="V1422" i="2"/>
  <c r="N30" i="5"/>
  <c r="L78" i="5"/>
  <c r="J174" i="19"/>
  <c r="V990" i="2"/>
  <c r="V366" i="4"/>
  <c r="L174" i="19"/>
  <c r="K174" i="19"/>
  <c r="G174" i="19"/>
  <c r="M30" i="5"/>
  <c r="H174" i="19"/>
  <c r="M174" i="19" s="1"/>
  <c r="U78" i="7"/>
  <c r="H318" i="6"/>
  <c r="L222" i="6"/>
  <c r="V366" i="2"/>
  <c r="F137" i="2"/>
  <c r="M414" i="7"/>
  <c r="V222" i="2"/>
  <c r="L130" i="19"/>
  <c r="V126" i="21"/>
  <c r="H174" i="5"/>
  <c r="J130" i="19"/>
  <c r="M130" i="19" s="1"/>
  <c r="L68" i="37"/>
  <c r="P142" i="15"/>
  <c r="O142" i="36" s="1"/>
  <c r="I130" i="19"/>
  <c r="K318" i="8"/>
  <c r="H130" i="19"/>
  <c r="K130" i="19"/>
  <c r="G318" i="6"/>
  <c r="N78" i="5"/>
  <c r="U366" i="2"/>
  <c r="V1134" i="2"/>
  <c r="G1134" i="2"/>
  <c r="F1001" i="2"/>
  <c r="U510" i="2"/>
  <c r="F329" i="2"/>
  <c r="U990" i="2"/>
  <c r="U1278" i="2"/>
  <c r="V126" i="4"/>
  <c r="U174" i="4"/>
  <c r="V174" i="4"/>
  <c r="V78" i="4"/>
  <c r="U126" i="4"/>
  <c r="F185" i="4"/>
  <c r="V318" i="4"/>
  <c r="G318" i="4"/>
  <c r="U366" i="4"/>
  <c r="J78" i="20"/>
  <c r="N126" i="20"/>
  <c r="P173" i="20"/>
  <c r="I78" i="20"/>
  <c r="M78" i="20"/>
  <c r="H78" i="20"/>
  <c r="L78" i="20"/>
  <c r="I30" i="5"/>
  <c r="I126" i="5"/>
  <c r="G174" i="5"/>
  <c r="N174" i="5"/>
  <c r="K174" i="5"/>
  <c r="M174" i="5"/>
  <c r="G127" i="19"/>
  <c r="J127" i="19"/>
  <c r="I131" i="19"/>
  <c r="J131" i="19"/>
  <c r="L131" i="19"/>
  <c r="K127" i="19"/>
  <c r="I127" i="19"/>
  <c r="L127" i="19"/>
  <c r="G131" i="19"/>
  <c r="H131" i="19"/>
  <c r="K181" i="19"/>
  <c r="J178" i="19"/>
  <c r="K178" i="19"/>
  <c r="G178" i="19"/>
  <c r="L181" i="19"/>
  <c r="G181" i="19"/>
  <c r="H178" i="19"/>
  <c r="H181" i="19"/>
  <c r="J181" i="19"/>
  <c r="H176" i="19"/>
  <c r="I176" i="19"/>
  <c r="L183" i="19"/>
  <c r="L176" i="19"/>
  <c r="H180" i="19"/>
  <c r="J183" i="19"/>
  <c r="J176" i="19"/>
  <c r="M176" i="19" s="1"/>
  <c r="I180" i="19"/>
  <c r="G183" i="19"/>
  <c r="M183" i="19" s="1"/>
  <c r="K176" i="19"/>
  <c r="J180" i="19"/>
  <c r="I183" i="19"/>
  <c r="K180" i="19"/>
  <c r="K183" i="19"/>
  <c r="G180" i="19"/>
  <c r="V78" i="6"/>
  <c r="L174" i="6"/>
  <c r="N174" i="6"/>
  <c r="H174" i="6"/>
  <c r="I222" i="6"/>
  <c r="K222" i="6"/>
  <c r="J222" i="6"/>
  <c r="M222" i="6"/>
  <c r="G222" i="6"/>
  <c r="H222" i="6"/>
  <c r="P269" i="6"/>
  <c r="U222" i="7"/>
  <c r="K462" i="7"/>
  <c r="G414" i="7"/>
  <c r="M558" i="7"/>
  <c r="H558" i="7"/>
  <c r="J558" i="7"/>
  <c r="U30" i="8"/>
  <c r="G270" i="8"/>
  <c r="H318" i="8"/>
  <c r="L318" i="8"/>
  <c r="G318" i="8"/>
  <c r="M366" i="8"/>
  <c r="K414" i="8"/>
  <c r="J414" i="8"/>
  <c r="G110" i="38"/>
  <c r="D104" i="38"/>
  <c r="E102" i="40" s="1"/>
  <c r="L104" i="40" s="1"/>
  <c r="L106" i="40" s="1"/>
  <c r="P461" i="7"/>
  <c r="P365" i="8"/>
  <c r="P317" i="6"/>
  <c r="J270" i="8"/>
  <c r="M270" i="8"/>
  <c r="H270" i="8"/>
  <c r="L270" i="8"/>
  <c r="K270" i="8"/>
  <c r="P77" i="5"/>
  <c r="V126" i="7"/>
  <c r="I174" i="20"/>
  <c r="M174" i="20"/>
  <c r="L174" i="20"/>
  <c r="K174" i="20"/>
  <c r="F1568" i="2"/>
  <c r="U1518" i="2"/>
  <c r="V1518" i="2"/>
  <c r="P125" i="5"/>
  <c r="G270" i="7"/>
  <c r="V270" i="7"/>
  <c r="P94" i="15"/>
  <c r="J141" i="36"/>
  <c r="P557" i="7"/>
  <c r="V1614" i="2"/>
  <c r="V78" i="7"/>
  <c r="H270" i="6"/>
  <c r="N270" i="6"/>
  <c r="V126" i="6"/>
  <c r="U126" i="6"/>
  <c r="V1230" i="2"/>
  <c r="U126" i="7"/>
  <c r="U270" i="2"/>
  <c r="V270" i="2"/>
  <c r="V558" i="2"/>
  <c r="J174" i="20"/>
  <c r="P173" i="5"/>
  <c r="G174" i="2"/>
  <c r="U126" i="2"/>
  <c r="V126" i="2"/>
  <c r="G654" i="2"/>
  <c r="K270" i="6"/>
  <c r="M270" i="6"/>
  <c r="U558" i="2"/>
  <c r="U606" i="2"/>
  <c r="V606" i="2"/>
  <c r="U1038" i="2"/>
  <c r="V1038" i="2"/>
  <c r="G78" i="8"/>
  <c r="G30" i="21"/>
  <c r="G366" i="8"/>
  <c r="V222" i="8"/>
  <c r="J318" i="8"/>
  <c r="U174" i="2"/>
  <c r="V174" i="2"/>
  <c r="U78" i="8"/>
  <c r="V78" i="8"/>
  <c r="M180" i="19"/>
  <c r="L174" i="5"/>
  <c r="U318" i="7"/>
  <c r="V654" i="2"/>
  <c r="U30" i="7"/>
  <c r="V30" i="7"/>
  <c r="J318" i="6"/>
  <c r="V366" i="7"/>
  <c r="U174" i="8"/>
  <c r="L366" i="8"/>
  <c r="H366" i="8"/>
  <c r="I366" i="8"/>
  <c r="U1662" i="2"/>
  <c r="V1662" i="2"/>
  <c r="U126" i="8"/>
  <c r="V126" i="8"/>
  <c r="I318" i="8"/>
  <c r="M510" i="7"/>
  <c r="G942" i="2"/>
  <c r="U222" i="2"/>
  <c r="K174" i="6"/>
  <c r="K366" i="8"/>
  <c r="P221" i="6"/>
  <c r="J78" i="5"/>
  <c r="M126" i="5"/>
  <c r="U126" i="21"/>
  <c r="M132" i="19"/>
  <c r="P317" i="8"/>
  <c r="V1326" i="2"/>
  <c r="V942" i="2"/>
  <c r="J366" i="8"/>
  <c r="V1182" i="2"/>
  <c r="U1182" i="2"/>
  <c r="G414" i="8"/>
  <c r="N414" i="8"/>
  <c r="V846" i="2"/>
  <c r="U894" i="2"/>
  <c r="F130" i="6"/>
  <c r="F131" i="6" s="1"/>
  <c r="F132" i="6" s="1"/>
  <c r="F133" i="6" s="1"/>
  <c r="F134" i="6" s="1"/>
  <c r="F135" i="6" s="1"/>
  <c r="F136" i="6" s="1"/>
  <c r="V174" i="7"/>
  <c r="K78" i="20"/>
  <c r="L558" i="7"/>
  <c r="U78" i="21"/>
  <c r="V78" i="21"/>
  <c r="H414" i="8"/>
  <c r="V462" i="2"/>
  <c r="U78" i="6"/>
  <c r="V222" i="4"/>
  <c r="U222" i="4"/>
  <c r="G30" i="4"/>
  <c r="V174" i="8"/>
  <c r="V318" i="7"/>
  <c r="U174" i="7"/>
  <c r="I78" i="5"/>
  <c r="H78" i="5"/>
  <c r="V1278" i="2"/>
  <c r="H510" i="7"/>
  <c r="U1470" i="2"/>
  <c r="V1470" i="2"/>
  <c r="I174" i="6"/>
  <c r="V270" i="4"/>
  <c r="U270" i="4"/>
  <c r="V414" i="2"/>
  <c r="F80" i="4"/>
  <c r="F81" i="4" s="1"/>
  <c r="F82" i="4" s="1"/>
  <c r="U798" i="2"/>
  <c r="V798" i="2"/>
  <c r="J126" i="5"/>
  <c r="N126" i="5"/>
  <c r="U1086" i="2"/>
  <c r="V1086" i="2"/>
  <c r="U78" i="4"/>
  <c r="U462" i="2"/>
  <c r="U414" i="2"/>
  <c r="U30" i="21"/>
  <c r="V30" i="21"/>
  <c r="P29" i="5"/>
  <c r="U702" i="2"/>
  <c r="U270" i="7"/>
  <c r="U30" i="4"/>
  <c r="P173" i="6"/>
  <c r="V750" i="2"/>
  <c r="U318" i="2"/>
  <c r="V318" i="2"/>
  <c r="P77" i="20"/>
  <c r="V1566" i="2"/>
  <c r="P125" i="20"/>
  <c r="V510" i="2"/>
  <c r="U318" i="4"/>
  <c r="V702" i="2"/>
  <c r="F185" i="7"/>
  <c r="V222" i="7"/>
  <c r="G558" i="7"/>
  <c r="U1422" i="2"/>
  <c r="U750" i="2"/>
  <c r="P413" i="7"/>
  <c r="I270" i="8"/>
  <c r="V30" i="8"/>
  <c r="O367" i="7"/>
  <c r="E367" i="7"/>
  <c r="G367" i="7" s="1"/>
  <c r="D367" i="7"/>
  <c r="B368" i="7"/>
  <c r="B32" i="21"/>
  <c r="O31" i="21"/>
  <c r="E31" i="21"/>
  <c r="D31" i="21"/>
  <c r="O127" i="5"/>
  <c r="D127" i="5"/>
  <c r="E127" i="5"/>
  <c r="G127" i="5" s="1"/>
  <c r="B128" i="5"/>
  <c r="B416" i="2"/>
  <c r="D415" i="2"/>
  <c r="E415" i="2"/>
  <c r="G415" i="2" s="1"/>
  <c r="O415" i="2"/>
  <c r="U1374" i="2"/>
  <c r="K81" i="19"/>
  <c r="I81" i="19"/>
  <c r="H81" i="19"/>
  <c r="G81" i="19"/>
  <c r="J81" i="19"/>
  <c r="L81" i="19"/>
  <c r="I510" i="7"/>
  <c r="L318" i="6"/>
  <c r="K136" i="19"/>
  <c r="H136" i="19"/>
  <c r="I136" i="19"/>
  <c r="J136" i="19"/>
  <c r="G136" i="19"/>
  <c r="L136" i="19"/>
  <c r="B224" i="2"/>
  <c r="E223" i="2"/>
  <c r="D223" i="2"/>
  <c r="G134" i="19"/>
  <c r="K134" i="19"/>
  <c r="J134" i="19"/>
  <c r="L134" i="19"/>
  <c r="I134" i="19"/>
  <c r="H134" i="19"/>
  <c r="G88" i="19"/>
  <c r="L88" i="19"/>
  <c r="K88" i="19"/>
  <c r="H88" i="19"/>
  <c r="J88" i="19"/>
  <c r="I88" i="19"/>
  <c r="P413" i="8"/>
  <c r="J126" i="20"/>
  <c r="E127" i="7"/>
  <c r="G127" i="7" s="1"/>
  <c r="D127" i="7"/>
  <c r="O127" i="7"/>
  <c r="B128" i="7"/>
  <c r="O319" i="2"/>
  <c r="D319" i="2"/>
  <c r="B320" i="2"/>
  <c r="E319" i="2"/>
  <c r="G319" i="2" s="1"/>
  <c r="B1280" i="2"/>
  <c r="O1279" i="2"/>
  <c r="E1279" i="2"/>
  <c r="D1279" i="2"/>
  <c r="H462" i="7"/>
  <c r="G1278" i="2"/>
  <c r="K414" i="7"/>
  <c r="O1663" i="2"/>
  <c r="B1664" i="2"/>
  <c r="D1663" i="2"/>
  <c r="E1663" i="2"/>
  <c r="G1663" i="2" s="1"/>
  <c r="B128" i="21"/>
  <c r="E127" i="21"/>
  <c r="G127" i="21" s="1"/>
  <c r="O127" i="21"/>
  <c r="D127" i="21"/>
  <c r="J510" i="7"/>
  <c r="E847" i="2"/>
  <c r="G847" i="2" s="1"/>
  <c r="O847" i="2"/>
  <c r="D847" i="2"/>
  <c r="B848" i="2"/>
  <c r="K179" i="19"/>
  <c r="L179" i="19"/>
  <c r="G179" i="19"/>
  <c r="H179" i="19"/>
  <c r="I179" i="19"/>
  <c r="J179" i="19"/>
  <c r="U654" i="2"/>
  <c r="J87" i="19"/>
  <c r="I87" i="19"/>
  <c r="H87" i="19"/>
  <c r="L87" i="19"/>
  <c r="G87" i="19"/>
  <c r="K87" i="19"/>
  <c r="J174" i="5"/>
  <c r="I126" i="20"/>
  <c r="B80" i="8"/>
  <c r="E79" i="8"/>
  <c r="G79" i="8" s="1"/>
  <c r="D79" i="8"/>
  <c r="O79" i="8"/>
  <c r="E511" i="7"/>
  <c r="G511" i="7" s="1"/>
  <c r="O511" i="7"/>
  <c r="B512" i="7"/>
  <c r="D511" i="7"/>
  <c r="O223" i="4"/>
  <c r="B224" i="4"/>
  <c r="D223" i="4"/>
  <c r="E223" i="4"/>
  <c r="G223" i="4" s="1"/>
  <c r="B32" i="5"/>
  <c r="D31" i="5"/>
  <c r="E31" i="5"/>
  <c r="O31" i="5"/>
  <c r="L462" i="7"/>
  <c r="D79" i="5"/>
  <c r="O79" i="5"/>
  <c r="B80" i="5"/>
  <c r="E79" i="5"/>
  <c r="G79" i="5" s="1"/>
  <c r="E607" i="2"/>
  <c r="G607" i="2" s="1"/>
  <c r="D607" i="2"/>
  <c r="O607" i="2"/>
  <c r="B608" i="2"/>
  <c r="H414" i="7"/>
  <c r="M462" i="7"/>
  <c r="D1231" i="2"/>
  <c r="O1231" i="2"/>
  <c r="B1232" i="2"/>
  <c r="E1231" i="2"/>
  <c r="G1231" i="2" s="1"/>
  <c r="J270" i="6"/>
  <c r="G270" i="6"/>
  <c r="L414" i="7"/>
  <c r="K133" i="19"/>
  <c r="J133" i="19"/>
  <c r="I133" i="19"/>
  <c r="L133" i="19"/>
  <c r="H133" i="19"/>
  <c r="G133" i="19"/>
  <c r="L414" i="8"/>
  <c r="L510" i="7"/>
  <c r="K318" i="6"/>
  <c r="H174" i="20"/>
  <c r="P269" i="8"/>
  <c r="D127" i="6"/>
  <c r="E127" i="6"/>
  <c r="G127" i="6" s="1"/>
  <c r="B128" i="6"/>
  <c r="O127" i="6"/>
  <c r="D1087" i="2"/>
  <c r="E1087" i="2"/>
  <c r="G1087" i="2" s="1"/>
  <c r="O1087" i="2"/>
  <c r="B1088" i="2"/>
  <c r="E79" i="4"/>
  <c r="G79" i="4" s="1"/>
  <c r="B80" i="4"/>
  <c r="O79" i="4"/>
  <c r="D79" i="4"/>
  <c r="B176" i="8"/>
  <c r="D175" i="8"/>
  <c r="E175" i="8"/>
  <c r="G175" i="8" s="1"/>
  <c r="O175" i="8"/>
  <c r="B896" i="2"/>
  <c r="O895" i="2"/>
  <c r="D895" i="2"/>
  <c r="E895" i="2"/>
  <c r="G895" i="2" s="1"/>
  <c r="I174" i="5"/>
  <c r="O271" i="7"/>
  <c r="B272" i="7"/>
  <c r="E271" i="7"/>
  <c r="G271" i="7" s="1"/>
  <c r="D271" i="7"/>
  <c r="B176" i="2"/>
  <c r="E175" i="2"/>
  <c r="G175" i="2" s="1"/>
  <c r="D175" i="2"/>
  <c r="O175" i="2"/>
  <c r="E655" i="2"/>
  <c r="G655" i="2" s="1"/>
  <c r="B656" i="2"/>
  <c r="O655" i="2"/>
  <c r="D655" i="2"/>
  <c r="H173" i="19"/>
  <c r="G173" i="19"/>
  <c r="L173" i="19"/>
  <c r="K173" i="19"/>
  <c r="J173" i="19"/>
  <c r="I173" i="19"/>
  <c r="J462" i="7"/>
  <c r="B80" i="21"/>
  <c r="E79" i="21"/>
  <c r="G79" i="21" s="1"/>
  <c r="O79" i="21"/>
  <c r="D79" i="21"/>
  <c r="U366" i="7"/>
  <c r="K83" i="19"/>
  <c r="J83" i="19"/>
  <c r="I83" i="19"/>
  <c r="G83" i="19"/>
  <c r="L83" i="19"/>
  <c r="H83" i="19"/>
  <c r="U942" i="2"/>
  <c r="O223" i="2"/>
  <c r="F224" i="2"/>
  <c r="U1326" i="2"/>
  <c r="F185" i="19"/>
  <c r="J84" i="36" s="1"/>
  <c r="I184" i="19"/>
  <c r="H184" i="19"/>
  <c r="G184" i="19"/>
  <c r="K184" i="19"/>
  <c r="L184" i="19"/>
  <c r="J184" i="19"/>
  <c r="G462" i="7"/>
  <c r="M78" i="5"/>
  <c r="I67" i="37"/>
  <c r="M67" i="37"/>
  <c r="N67" i="37"/>
  <c r="L67" i="37"/>
  <c r="L80" i="19"/>
  <c r="I80" i="19"/>
  <c r="K80" i="19"/>
  <c r="J80" i="19"/>
  <c r="H80" i="19"/>
  <c r="G80" i="19"/>
  <c r="I270" i="6"/>
  <c r="J414" i="7"/>
  <c r="B560" i="7"/>
  <c r="O559" i="7"/>
  <c r="E559" i="7"/>
  <c r="N559" i="7" s="1"/>
  <c r="D559" i="7"/>
  <c r="L126" i="5"/>
  <c r="D1375" i="2"/>
  <c r="E1375" i="2"/>
  <c r="G1375" i="2" s="1"/>
  <c r="O1375" i="2"/>
  <c r="B1376" i="2"/>
  <c r="E319" i="8"/>
  <c r="G319" i="8" s="1"/>
  <c r="D319" i="8"/>
  <c r="O319" i="8"/>
  <c r="B320" i="8"/>
  <c r="K510" i="7"/>
  <c r="B272" i="2"/>
  <c r="O271" i="2"/>
  <c r="E271" i="2"/>
  <c r="G271" i="2" s="1"/>
  <c r="D271" i="2"/>
  <c r="I69" i="37"/>
  <c r="N69" i="37"/>
  <c r="B32" i="8"/>
  <c r="E31" i="8"/>
  <c r="D31" i="8"/>
  <c r="O31" i="8"/>
  <c r="E703" i="2"/>
  <c r="G703" i="2" s="1"/>
  <c r="D703" i="2"/>
  <c r="O703" i="2"/>
  <c r="B704" i="2"/>
  <c r="O127" i="4"/>
  <c r="B128" i="4"/>
  <c r="D127" i="4"/>
  <c r="E127" i="4"/>
  <c r="G127" i="4" s="1"/>
  <c r="H128" i="19"/>
  <c r="G128" i="19"/>
  <c r="L128" i="19"/>
  <c r="K128" i="19"/>
  <c r="J128" i="19"/>
  <c r="I128" i="19"/>
  <c r="B32" i="4"/>
  <c r="E31" i="4"/>
  <c r="G31" i="4" s="1"/>
  <c r="O31" i="4"/>
  <c r="D31" i="4"/>
  <c r="D319" i="6"/>
  <c r="O319" i="6"/>
  <c r="B320" i="6"/>
  <c r="E319" i="6"/>
  <c r="G319" i="6" s="1"/>
  <c r="B80" i="6"/>
  <c r="D79" i="6"/>
  <c r="O79" i="6"/>
  <c r="E79" i="6"/>
  <c r="G79" i="6" s="1"/>
  <c r="D367" i="8"/>
  <c r="O367" i="8"/>
  <c r="E367" i="8"/>
  <c r="G367" i="8" s="1"/>
  <c r="B368" i="8"/>
  <c r="E1519" i="2"/>
  <c r="B1520" i="2"/>
  <c r="O1519" i="2"/>
  <c r="D1519" i="2"/>
  <c r="D223" i="6"/>
  <c r="B224" i="6"/>
  <c r="E223" i="6"/>
  <c r="G223" i="6" s="1"/>
  <c r="O223" i="6"/>
  <c r="E127" i="2"/>
  <c r="O127" i="2"/>
  <c r="B128" i="2"/>
  <c r="D127" i="2"/>
  <c r="O1135" i="2"/>
  <c r="B1136" i="2"/>
  <c r="D1135" i="2"/>
  <c r="E1135" i="2"/>
  <c r="G1135" i="2" s="1"/>
  <c r="J175" i="19"/>
  <c r="I175" i="19"/>
  <c r="H175" i="19"/>
  <c r="G175" i="19"/>
  <c r="L175" i="19"/>
  <c r="K175" i="19"/>
  <c r="G82" i="19"/>
  <c r="K82" i="19"/>
  <c r="J82" i="19"/>
  <c r="L82" i="19"/>
  <c r="I82" i="19"/>
  <c r="H82" i="19"/>
  <c r="E127" i="8"/>
  <c r="G127" i="8" s="1"/>
  <c r="D127" i="8"/>
  <c r="B128" i="8"/>
  <c r="O127" i="8"/>
  <c r="D943" i="2"/>
  <c r="O943" i="2"/>
  <c r="E943" i="2"/>
  <c r="G943" i="2" s="1"/>
  <c r="B944" i="2"/>
  <c r="L30" i="5"/>
  <c r="O271" i="6"/>
  <c r="E271" i="6"/>
  <c r="G271" i="6" s="1"/>
  <c r="D271" i="6"/>
  <c r="B272" i="6"/>
  <c r="O991" i="2"/>
  <c r="D991" i="2"/>
  <c r="E991" i="2"/>
  <c r="G991" i="2" s="1"/>
  <c r="B992" i="2"/>
  <c r="H126" i="5"/>
  <c r="L177" i="19"/>
  <c r="H177" i="19"/>
  <c r="K177" i="19"/>
  <c r="I177" i="19"/>
  <c r="G177" i="19"/>
  <c r="J177" i="19"/>
  <c r="E1567" i="2"/>
  <c r="G1567" i="2" s="1"/>
  <c r="D1567" i="2"/>
  <c r="O1567" i="2"/>
  <c r="B1568" i="2"/>
  <c r="B1616" i="2"/>
  <c r="O1615" i="2"/>
  <c r="D1615" i="2"/>
  <c r="E1615" i="2"/>
  <c r="G1615" i="2" s="1"/>
  <c r="M174" i="6"/>
  <c r="E175" i="7"/>
  <c r="G175" i="7" s="1"/>
  <c r="D175" i="7"/>
  <c r="B176" i="7"/>
  <c r="O175" i="7"/>
  <c r="G125" i="19"/>
  <c r="J125" i="19"/>
  <c r="K125" i="19"/>
  <c r="I125" i="19"/>
  <c r="H125" i="19"/>
  <c r="L125" i="19"/>
  <c r="F137" i="19"/>
  <c r="J83" i="36" s="1"/>
  <c r="E367" i="2"/>
  <c r="G367" i="2" s="1"/>
  <c r="D367" i="2"/>
  <c r="O367" i="2"/>
  <c r="B368" i="2"/>
  <c r="D511" i="2"/>
  <c r="B512" i="2"/>
  <c r="E511" i="2"/>
  <c r="G511" i="2" s="1"/>
  <c r="O511" i="2"/>
  <c r="B320" i="4"/>
  <c r="D319" i="4"/>
  <c r="O319" i="4"/>
  <c r="E319" i="4"/>
  <c r="G319" i="4" s="1"/>
  <c r="M126" i="20"/>
  <c r="B800" i="2"/>
  <c r="E799" i="2"/>
  <c r="G799" i="2" s="1"/>
  <c r="D799" i="2"/>
  <c r="O799" i="2"/>
  <c r="D463" i="7"/>
  <c r="E463" i="7"/>
  <c r="N463" i="7" s="1"/>
  <c r="O463" i="7"/>
  <c r="B464" i="7"/>
  <c r="K78" i="5"/>
  <c r="L79" i="19"/>
  <c r="H79" i="19"/>
  <c r="K79" i="19"/>
  <c r="J79" i="19"/>
  <c r="G79" i="19"/>
  <c r="I79" i="19"/>
  <c r="N142" i="36"/>
  <c r="J142" i="36"/>
  <c r="J30" i="5"/>
  <c r="U222" i="8"/>
  <c r="I462" i="7"/>
  <c r="L270" i="6"/>
  <c r="G558" i="2"/>
  <c r="I414" i="7"/>
  <c r="K558" i="7"/>
  <c r="M318" i="8"/>
  <c r="I414" i="8"/>
  <c r="U846" i="2"/>
  <c r="U1614" i="2"/>
  <c r="J174" i="6"/>
  <c r="I182" i="19"/>
  <c r="H182" i="19"/>
  <c r="G182" i="19"/>
  <c r="L182" i="19"/>
  <c r="K182" i="19"/>
  <c r="J182" i="19"/>
  <c r="J77" i="19"/>
  <c r="H77" i="19"/>
  <c r="K77" i="19"/>
  <c r="I77" i="19"/>
  <c r="G77" i="19"/>
  <c r="L77" i="19"/>
  <c r="F89" i="19"/>
  <c r="J82" i="36" s="1"/>
  <c r="P509" i="7"/>
  <c r="G78" i="19"/>
  <c r="K78" i="19"/>
  <c r="L78" i="19"/>
  <c r="J78" i="19"/>
  <c r="I78" i="19"/>
  <c r="H78" i="19"/>
  <c r="K126" i="19"/>
  <c r="G126" i="19"/>
  <c r="I126" i="19"/>
  <c r="L126" i="19"/>
  <c r="J126" i="19"/>
  <c r="H126" i="19"/>
  <c r="E31" i="7"/>
  <c r="G31" i="7" s="1"/>
  <c r="O31" i="7"/>
  <c r="B32" i="7"/>
  <c r="D31" i="7"/>
  <c r="B224" i="7"/>
  <c r="O223" i="7"/>
  <c r="E223" i="7"/>
  <c r="G223" i="7" s="1"/>
  <c r="D223" i="7"/>
  <c r="K126" i="20"/>
  <c r="B1472" i="2"/>
  <c r="E1471" i="2"/>
  <c r="G1471" i="2" s="1"/>
  <c r="O1471" i="2"/>
  <c r="D1471" i="2"/>
  <c r="D1327" i="2"/>
  <c r="E1327" i="2"/>
  <c r="O1327" i="2"/>
  <c r="B1328" i="2"/>
  <c r="G129" i="19"/>
  <c r="K129" i="19"/>
  <c r="J129" i="19"/>
  <c r="I129" i="19"/>
  <c r="H129" i="19"/>
  <c r="L129" i="19"/>
  <c r="D127" i="20"/>
  <c r="O127" i="20"/>
  <c r="E127" i="20"/>
  <c r="G127" i="20" s="1"/>
  <c r="B128" i="20"/>
  <c r="B416" i="7"/>
  <c r="D415" i="7"/>
  <c r="O415" i="7"/>
  <c r="E415" i="7"/>
  <c r="G415" i="7" s="1"/>
  <c r="O175" i="20"/>
  <c r="B176" i="20"/>
  <c r="D175" i="20"/>
  <c r="E175" i="20"/>
  <c r="G175" i="20" s="1"/>
  <c r="K30" i="5"/>
  <c r="L126" i="20"/>
  <c r="H30" i="5"/>
  <c r="U1230" i="2"/>
  <c r="N78" i="20"/>
  <c r="O1183" i="2"/>
  <c r="B1184" i="2"/>
  <c r="D1183" i="2"/>
  <c r="E1183" i="2"/>
  <c r="D79" i="7"/>
  <c r="E79" i="7"/>
  <c r="B80" i="7"/>
  <c r="O79" i="7"/>
  <c r="I318" i="6"/>
  <c r="I85" i="19"/>
  <c r="J85" i="19"/>
  <c r="G85" i="19"/>
  <c r="L85" i="19"/>
  <c r="K85" i="19"/>
  <c r="H85" i="19"/>
  <c r="B176" i="6"/>
  <c r="D175" i="6"/>
  <c r="E175" i="6"/>
  <c r="G175" i="6" s="1"/>
  <c r="O175" i="6"/>
  <c r="B752" i="2"/>
  <c r="D751" i="2"/>
  <c r="E751" i="2"/>
  <c r="G751" i="2" s="1"/>
  <c r="O751" i="2"/>
  <c r="O319" i="7"/>
  <c r="D319" i="7"/>
  <c r="E319" i="7"/>
  <c r="G319" i="7" s="1"/>
  <c r="B320" i="7"/>
  <c r="H126" i="20"/>
  <c r="E223" i="8"/>
  <c r="G223" i="8" s="1"/>
  <c r="D223" i="8"/>
  <c r="B224" i="8"/>
  <c r="O223" i="8"/>
  <c r="O463" i="2"/>
  <c r="E463" i="2"/>
  <c r="G463" i="2" s="1"/>
  <c r="B464" i="2"/>
  <c r="D463" i="2"/>
  <c r="O1039" i="2"/>
  <c r="D1039" i="2"/>
  <c r="B1040" i="2"/>
  <c r="E1039" i="2"/>
  <c r="G1039" i="2" s="1"/>
  <c r="B560" i="2"/>
  <c r="D559" i="2"/>
  <c r="O559" i="2"/>
  <c r="E559" i="2"/>
  <c r="G559" i="2" s="1"/>
  <c r="B80" i="20"/>
  <c r="D79" i="20"/>
  <c r="O79" i="20"/>
  <c r="E79" i="20"/>
  <c r="I558" i="7"/>
  <c r="K126" i="5"/>
  <c r="M68" i="37"/>
  <c r="I68" i="37"/>
  <c r="N68" i="37"/>
  <c r="O415" i="8"/>
  <c r="D415" i="8"/>
  <c r="E415" i="8"/>
  <c r="B416" i="8"/>
  <c r="J135" i="19"/>
  <c r="I135" i="19"/>
  <c r="H135" i="19"/>
  <c r="L135" i="19"/>
  <c r="G135" i="19"/>
  <c r="K135" i="19"/>
  <c r="M318" i="6"/>
  <c r="B1424" i="2"/>
  <c r="O1423" i="2"/>
  <c r="D1423" i="2"/>
  <c r="E1423" i="2"/>
  <c r="G1423" i="2" s="1"/>
  <c r="G86" i="19"/>
  <c r="J86" i="19"/>
  <c r="K86" i="19"/>
  <c r="L86" i="19"/>
  <c r="H86" i="19"/>
  <c r="I86" i="19"/>
  <c r="N174" i="20"/>
  <c r="E271" i="4"/>
  <c r="G271" i="4" s="1"/>
  <c r="D271" i="4"/>
  <c r="O271" i="4"/>
  <c r="B272" i="4"/>
  <c r="B368" i="4"/>
  <c r="E367" i="4"/>
  <c r="O367" i="4"/>
  <c r="D367" i="4"/>
  <c r="L84" i="19"/>
  <c r="K84" i="19"/>
  <c r="J84" i="19"/>
  <c r="I84" i="19"/>
  <c r="H84" i="19"/>
  <c r="G84" i="19"/>
  <c r="B176" i="4"/>
  <c r="E175" i="4"/>
  <c r="G175" i="4" s="1"/>
  <c r="O175" i="4"/>
  <c r="D175" i="4"/>
  <c r="E175" i="5"/>
  <c r="G175" i="5" s="1"/>
  <c r="O175" i="5"/>
  <c r="B176" i="5"/>
  <c r="D175" i="5"/>
  <c r="O271" i="8"/>
  <c r="E271" i="8"/>
  <c r="B272" i="8"/>
  <c r="D271" i="8"/>
  <c r="G66" i="38"/>
  <c r="G72" i="38"/>
  <c r="G146" i="38"/>
  <c r="G83" i="38"/>
  <c r="G139" i="38"/>
  <c r="G35" i="38"/>
  <c r="G88" i="38"/>
  <c r="G121" i="38"/>
  <c r="G45" i="38"/>
  <c r="G55" i="38"/>
  <c r="G94" i="38"/>
  <c r="G132" i="38"/>
  <c r="G47" i="38"/>
  <c r="G97" i="38"/>
  <c r="G76" i="38"/>
  <c r="G147" i="38"/>
  <c r="G75" i="38"/>
  <c r="G137" i="38"/>
  <c r="G111" i="38"/>
  <c r="G120" i="38"/>
  <c r="G68" i="38"/>
  <c r="G95" i="38"/>
  <c r="G90" i="38"/>
  <c r="G89" i="38"/>
  <c r="G82" i="38"/>
  <c r="G98" i="38"/>
  <c r="G81" i="38"/>
  <c r="G99" i="38"/>
  <c r="G78" i="38"/>
  <c r="G138" i="38"/>
  <c r="G84" i="38"/>
  <c r="G73" i="38"/>
  <c r="G96" i="38"/>
  <c r="G136" i="38"/>
  <c r="G133" i="38"/>
  <c r="G148" i="38"/>
  <c r="G36" i="38"/>
  <c r="G134" i="38"/>
  <c r="G100" i="38"/>
  <c r="G114" i="38"/>
  <c r="G79" i="38"/>
  <c r="G77" i="38"/>
  <c r="G125" i="38"/>
  <c r="G135" i="38"/>
  <c r="G74" i="38"/>
  <c r="G57" i="38"/>
  <c r="G58" i="38"/>
  <c r="F35" i="38"/>
  <c r="F80" i="38"/>
  <c r="E135" i="38"/>
  <c r="F139" i="38"/>
  <c r="F125" i="38"/>
  <c r="F121" i="38"/>
  <c r="E148" i="38"/>
  <c r="F133" i="38"/>
  <c r="F78" i="38"/>
  <c r="F147" i="38"/>
  <c r="F88" i="38"/>
  <c r="F81" i="38"/>
  <c r="E81" i="38"/>
  <c r="F55" i="38"/>
  <c r="E68" i="38"/>
  <c r="F98" i="38"/>
  <c r="F137" i="38"/>
  <c r="E98" i="38"/>
  <c r="F58" i="38"/>
  <c r="E97" i="38"/>
  <c r="E83" i="38"/>
  <c r="E77" i="38"/>
  <c r="F77" i="38"/>
  <c r="E96" i="38"/>
  <c r="E79" i="38"/>
  <c r="D29" i="38"/>
  <c r="G29" i="38" s="1"/>
  <c r="G32" i="38" s="1"/>
  <c r="F95" i="38"/>
  <c r="E137" i="38"/>
  <c r="E125" i="38"/>
  <c r="E146" i="38"/>
  <c r="F72" i="38"/>
  <c r="E55" i="38"/>
  <c r="E121" i="38"/>
  <c r="F47" i="38"/>
  <c r="F120" i="38"/>
  <c r="E78" i="38"/>
  <c r="F100" i="38"/>
  <c r="F114" i="38"/>
  <c r="E139" i="38"/>
  <c r="E45" i="38"/>
  <c r="E138" i="38"/>
  <c r="E76" i="38"/>
  <c r="F148" i="38"/>
  <c r="E100" i="38"/>
  <c r="F96" i="38"/>
  <c r="E110" i="38"/>
  <c r="E80" i="38"/>
  <c r="F74" i="38"/>
  <c r="F75" i="38"/>
  <c r="E94" i="38"/>
  <c r="E90" i="38"/>
  <c r="F97" i="38"/>
  <c r="E147" i="38"/>
  <c r="F84" i="38"/>
  <c r="E35" i="38"/>
  <c r="E74" i="38"/>
  <c r="E47" i="38"/>
  <c r="E114" i="38"/>
  <c r="E136" i="38"/>
  <c r="E66" i="38"/>
  <c r="F82" i="38"/>
  <c r="F110" i="38"/>
  <c r="F138" i="38"/>
  <c r="F99" i="38"/>
  <c r="E133" i="38"/>
  <c r="F66" i="38"/>
  <c r="F136" i="38"/>
  <c r="F146" i="38"/>
  <c r="E89" i="38"/>
  <c r="F94" i="38"/>
  <c r="F111" i="38"/>
  <c r="F134" i="38"/>
  <c r="E120" i="38"/>
  <c r="E57" i="38"/>
  <c r="F73" i="38"/>
  <c r="E72" i="38"/>
  <c r="E88" i="38"/>
  <c r="E95" i="38"/>
  <c r="F79" i="38"/>
  <c r="F57" i="38"/>
  <c r="F83" i="38"/>
  <c r="F36" i="38"/>
  <c r="E73" i="38"/>
  <c r="F68" i="38"/>
  <c r="F76" i="38"/>
  <c r="E132" i="38"/>
  <c r="E111" i="38"/>
  <c r="F132" i="38"/>
  <c r="E134" i="38"/>
  <c r="F90" i="38"/>
  <c r="E36" i="38"/>
  <c r="E75" i="38"/>
  <c r="E84" i="38"/>
  <c r="E82" i="38"/>
  <c r="F135" i="38"/>
  <c r="F89" i="38"/>
  <c r="E58" i="38"/>
  <c r="E99" i="38"/>
  <c r="F45" i="38"/>
  <c r="I35" i="39"/>
  <c r="K73" i="40"/>
  <c r="L92" i="40"/>
  <c r="L71" i="40"/>
  <c r="L29" i="40"/>
  <c r="L80" i="40"/>
  <c r="L41" i="40"/>
  <c r="L77" i="40"/>
  <c r="L75" i="40"/>
  <c r="L84" i="40"/>
  <c r="L72" i="40"/>
  <c r="L96" i="40"/>
  <c r="L140" i="40"/>
  <c r="L144" i="40"/>
  <c r="L69" i="40"/>
  <c r="L43" i="40"/>
  <c r="L143" i="40"/>
  <c r="L145" i="40"/>
  <c r="L142" i="40"/>
  <c r="L79" i="40"/>
  <c r="L146" i="40"/>
  <c r="L86" i="40"/>
  <c r="L76" i="40"/>
  <c r="L64" i="40"/>
  <c r="L73" i="40"/>
  <c r="L90" i="40"/>
  <c r="L91" i="40"/>
  <c r="L74" i="40"/>
  <c r="L93" i="40"/>
  <c r="L157" i="40"/>
  <c r="L70" i="40"/>
  <c r="L141" i="40"/>
  <c r="L94" i="40"/>
  <c r="L115" i="40"/>
  <c r="L85" i="40"/>
  <c r="L156" i="40"/>
  <c r="L130" i="40"/>
  <c r="L54" i="40"/>
  <c r="L62" i="40"/>
  <c r="L158" i="40"/>
  <c r="L51" i="40"/>
  <c r="L123" i="40"/>
  <c r="L30" i="40"/>
  <c r="L139" i="40"/>
  <c r="L68" i="40"/>
  <c r="L124" i="40"/>
  <c r="E39" i="41" s="1"/>
  <c r="L95" i="40"/>
  <c r="L78" i="40"/>
  <c r="L109" i="40"/>
  <c r="L110" i="40" s="1"/>
  <c r="L112" i="40" s="1"/>
  <c r="E35" i="41" s="1"/>
  <c r="L53" i="40"/>
  <c r="C54" i="34"/>
  <c r="I3" i="38"/>
  <c r="C37" i="39"/>
  <c r="I37" i="39" s="1"/>
  <c r="N110" i="35"/>
  <c r="N111" i="35" s="1"/>
  <c r="C51" i="34"/>
  <c r="C72" i="34" s="1"/>
  <c r="H48" i="43"/>
  <c r="H49" i="43"/>
  <c r="K62" i="40"/>
  <c r="K158" i="40"/>
  <c r="K93" i="40"/>
  <c r="K72" i="40"/>
  <c r="K80" i="40"/>
  <c r="K41" i="40"/>
  <c r="K84" i="40"/>
  <c r="K95" i="40"/>
  <c r="K71" i="40"/>
  <c r="K146" i="40"/>
  <c r="K130" i="40"/>
  <c r="K54" i="40"/>
  <c r="K70" i="40"/>
  <c r="K75" i="40"/>
  <c r="K76" i="40"/>
  <c r="K64" i="40"/>
  <c r="K109" i="40"/>
  <c r="K110" i="40" s="1"/>
  <c r="K112" i="40" s="1"/>
  <c r="D35" i="41" s="1"/>
  <c r="K124" i="40"/>
  <c r="D39" i="41" s="1"/>
  <c r="K53" i="40"/>
  <c r="K78" i="40"/>
  <c r="K79" i="40"/>
  <c r="K68" i="40"/>
  <c r="K143" i="40"/>
  <c r="K94" i="40"/>
  <c r="K139" i="40"/>
  <c r="K30" i="40"/>
  <c r="K140" i="40"/>
  <c r="K29" i="40"/>
  <c r="K91" i="40"/>
  <c r="K86" i="40"/>
  <c r="K123" i="40"/>
  <c r="K85" i="40"/>
  <c r="K92" i="40"/>
  <c r="K96" i="40"/>
  <c r="K142" i="40"/>
  <c r="K51" i="40"/>
  <c r="K74" i="40"/>
  <c r="K69" i="40"/>
  <c r="K115" i="40"/>
  <c r="K43" i="40"/>
  <c r="K156" i="40"/>
  <c r="K77" i="40"/>
  <c r="K144" i="40"/>
  <c r="K141" i="40"/>
  <c r="K157" i="40"/>
  <c r="K90" i="40"/>
  <c r="K145" i="40"/>
  <c r="I1" i="40"/>
  <c r="C53" i="34"/>
  <c r="I2" i="38"/>
  <c r="E5" i="41"/>
  <c r="J96" i="40"/>
  <c r="J41" i="40"/>
  <c r="J142" i="40"/>
  <c r="J29" i="40"/>
  <c r="J91" i="40"/>
  <c r="J72" i="40"/>
  <c r="J146" i="40"/>
  <c r="J143" i="40"/>
  <c r="J80" i="40"/>
  <c r="J109" i="40"/>
  <c r="J110" i="40" s="1"/>
  <c r="J112" i="40" s="1"/>
  <c r="C35" i="41" s="1"/>
  <c r="J123" i="40"/>
  <c r="J69" i="40"/>
  <c r="J139" i="40"/>
  <c r="J156" i="40"/>
  <c r="J75" i="40"/>
  <c r="J95" i="40"/>
  <c r="J90" i="40"/>
  <c r="J130" i="40"/>
  <c r="J94" i="40"/>
  <c r="J93" i="40"/>
  <c r="J157" i="40"/>
  <c r="J115" i="40"/>
  <c r="J86" i="40"/>
  <c r="J92" i="40"/>
  <c r="J144" i="40"/>
  <c r="J140" i="40"/>
  <c r="J141" i="40"/>
  <c r="J71" i="40"/>
  <c r="J43" i="40"/>
  <c r="J70" i="40"/>
  <c r="J78" i="40"/>
  <c r="J73" i="40"/>
  <c r="J68" i="40"/>
  <c r="J79" i="40"/>
  <c r="J85" i="40"/>
  <c r="J158" i="40"/>
  <c r="J51" i="40"/>
  <c r="J145" i="40"/>
  <c r="J62" i="40"/>
  <c r="J30" i="40"/>
  <c r="J77" i="40"/>
  <c r="J84" i="40"/>
  <c r="J54" i="40"/>
  <c r="J76" i="40"/>
  <c r="J124" i="40"/>
  <c r="C39" i="41" s="1"/>
  <c r="J74" i="40"/>
  <c r="J53" i="40"/>
  <c r="J64" i="40"/>
  <c r="W59" i="42"/>
  <c r="W60" i="42" s="1"/>
  <c r="E39" i="43"/>
  <c r="E14" i="43"/>
  <c r="E26" i="43"/>
  <c r="G24" i="40"/>
  <c r="A40" i="1"/>
  <c r="N320" i="4" l="1"/>
  <c r="M320" i="4"/>
  <c r="L320" i="4"/>
  <c r="K320" i="4"/>
  <c r="J320" i="4"/>
  <c r="I320" i="4"/>
  <c r="H320" i="4"/>
  <c r="I1616" i="2"/>
  <c r="H1616" i="2"/>
  <c r="N1616" i="2"/>
  <c r="M1616" i="2"/>
  <c r="L1616" i="2"/>
  <c r="K1616" i="2"/>
  <c r="J1616" i="2"/>
  <c r="N992" i="2"/>
  <c r="M992" i="2"/>
  <c r="L992" i="2"/>
  <c r="K992" i="2"/>
  <c r="J992" i="2"/>
  <c r="I992" i="2"/>
  <c r="H992" i="2"/>
  <c r="I32" i="4"/>
  <c r="H32" i="4"/>
  <c r="K32" i="4"/>
  <c r="N32" i="4"/>
  <c r="M32" i="4"/>
  <c r="L32" i="4"/>
  <c r="J32" i="4"/>
  <c r="I272" i="2"/>
  <c r="N272" i="2"/>
  <c r="H272" i="2"/>
  <c r="M272" i="2"/>
  <c r="L272" i="2"/>
  <c r="K272" i="2"/>
  <c r="J272" i="2"/>
  <c r="N656" i="2"/>
  <c r="M656" i="2"/>
  <c r="L656" i="2"/>
  <c r="I656" i="2"/>
  <c r="H656" i="2"/>
  <c r="K656" i="2"/>
  <c r="J656" i="2"/>
  <c r="N752" i="2"/>
  <c r="M752" i="2"/>
  <c r="L752" i="2"/>
  <c r="K752" i="2"/>
  <c r="J752" i="2"/>
  <c r="I752" i="2"/>
  <c r="H752" i="2"/>
  <c r="I1568" i="2"/>
  <c r="N1568" i="2"/>
  <c r="M1568" i="2"/>
  <c r="L1568" i="2"/>
  <c r="K1568" i="2"/>
  <c r="J1568" i="2"/>
  <c r="H1568" i="2"/>
  <c r="K80" i="7"/>
  <c r="H80" i="7"/>
  <c r="N80" i="7"/>
  <c r="M80" i="7"/>
  <c r="L80" i="7"/>
  <c r="J80" i="7"/>
  <c r="I80" i="7"/>
  <c r="K128" i="8"/>
  <c r="J128" i="8"/>
  <c r="I128" i="8"/>
  <c r="H128" i="8"/>
  <c r="M128" i="8"/>
  <c r="N128" i="8"/>
  <c r="L128" i="8"/>
  <c r="H80" i="21"/>
  <c r="N80" i="21"/>
  <c r="M80" i="21"/>
  <c r="L80" i="21"/>
  <c r="K80" i="21"/>
  <c r="J80" i="21"/>
  <c r="I80" i="21"/>
  <c r="N896" i="2"/>
  <c r="M896" i="2"/>
  <c r="L896" i="2"/>
  <c r="K896" i="2"/>
  <c r="J896" i="2"/>
  <c r="H896" i="2"/>
  <c r="I896" i="2"/>
  <c r="N1280" i="2"/>
  <c r="M1280" i="2"/>
  <c r="L1280" i="2"/>
  <c r="J1280" i="2"/>
  <c r="I1280" i="2"/>
  <c r="H1280" i="2"/>
  <c r="K1280" i="2"/>
  <c r="N176" i="4"/>
  <c r="M176" i="4"/>
  <c r="L176" i="4"/>
  <c r="K176" i="4"/>
  <c r="J176" i="4"/>
  <c r="I176" i="4"/>
  <c r="H176" i="4"/>
  <c r="N1472" i="2"/>
  <c r="M1472" i="2"/>
  <c r="L1472" i="2"/>
  <c r="K1472" i="2"/>
  <c r="J1472" i="2"/>
  <c r="I1472" i="2"/>
  <c r="H1472" i="2"/>
  <c r="N512" i="2"/>
  <c r="M512" i="2"/>
  <c r="L512" i="2"/>
  <c r="K512" i="2"/>
  <c r="J512" i="2"/>
  <c r="I512" i="2"/>
  <c r="H512" i="2"/>
  <c r="N608" i="2"/>
  <c r="M608" i="2"/>
  <c r="L608" i="2"/>
  <c r="J608" i="2"/>
  <c r="I608" i="2"/>
  <c r="H608" i="2"/>
  <c r="K608" i="2"/>
  <c r="K80" i="8"/>
  <c r="J80" i="8"/>
  <c r="I80" i="8"/>
  <c r="H80" i="8"/>
  <c r="N80" i="8"/>
  <c r="M80" i="8"/>
  <c r="L80" i="8"/>
  <c r="H128" i="21"/>
  <c r="L128" i="21"/>
  <c r="K128" i="21"/>
  <c r="J128" i="21"/>
  <c r="I128" i="21"/>
  <c r="N128" i="21"/>
  <c r="M128" i="21"/>
  <c r="N224" i="2"/>
  <c r="J224" i="2"/>
  <c r="H224" i="2"/>
  <c r="M224" i="2"/>
  <c r="I224" i="2"/>
  <c r="L224" i="2"/>
  <c r="K224" i="2"/>
  <c r="I80" i="6"/>
  <c r="H80" i="6"/>
  <c r="N80" i="6"/>
  <c r="M80" i="6"/>
  <c r="L80" i="6"/>
  <c r="K80" i="6"/>
  <c r="J80" i="6"/>
  <c r="I128" i="6"/>
  <c r="H128" i="6"/>
  <c r="N128" i="6"/>
  <c r="M128" i="6"/>
  <c r="K128" i="6"/>
  <c r="J128" i="6"/>
  <c r="L128" i="6"/>
  <c r="N320" i="2"/>
  <c r="M320" i="2"/>
  <c r="L320" i="2"/>
  <c r="K320" i="2"/>
  <c r="I320" i="2"/>
  <c r="H320" i="2"/>
  <c r="J320" i="2"/>
  <c r="K176" i="7"/>
  <c r="H176" i="7"/>
  <c r="M176" i="7"/>
  <c r="N176" i="7"/>
  <c r="L176" i="7"/>
  <c r="J176" i="7"/>
  <c r="I176" i="7"/>
  <c r="N1424" i="2"/>
  <c r="M1424" i="2"/>
  <c r="L1424" i="2"/>
  <c r="K1424" i="2"/>
  <c r="J1424" i="2"/>
  <c r="I1424" i="2"/>
  <c r="H1424" i="2"/>
  <c r="K32" i="8"/>
  <c r="J32" i="8"/>
  <c r="I32" i="8"/>
  <c r="H32" i="8"/>
  <c r="N32" i="8"/>
  <c r="M32" i="8"/>
  <c r="L32" i="8"/>
  <c r="N1376" i="2"/>
  <c r="M1376" i="2"/>
  <c r="L1376" i="2"/>
  <c r="K1376" i="2"/>
  <c r="J1376" i="2"/>
  <c r="I1376" i="2"/>
  <c r="H1376" i="2"/>
  <c r="K176" i="8"/>
  <c r="J176" i="8"/>
  <c r="I176" i="8"/>
  <c r="H176" i="8"/>
  <c r="N176" i="8"/>
  <c r="M176" i="8"/>
  <c r="L176" i="8"/>
  <c r="K224" i="4"/>
  <c r="N224" i="4"/>
  <c r="M224" i="4"/>
  <c r="L224" i="4"/>
  <c r="J224" i="4"/>
  <c r="I224" i="4"/>
  <c r="H224" i="4"/>
  <c r="I1664" i="2"/>
  <c r="H1664" i="2"/>
  <c r="M1664" i="2"/>
  <c r="L1664" i="2"/>
  <c r="K1664" i="2"/>
  <c r="J1664" i="2"/>
  <c r="N1664" i="2"/>
  <c r="N32" i="21"/>
  <c r="M32" i="21"/>
  <c r="L32" i="21"/>
  <c r="K32" i="21"/>
  <c r="J32" i="21"/>
  <c r="I32" i="21"/>
  <c r="H32" i="21"/>
  <c r="K320" i="7"/>
  <c r="J320" i="7"/>
  <c r="I320" i="7"/>
  <c r="H320" i="7"/>
  <c r="N320" i="7"/>
  <c r="M320" i="7"/>
  <c r="L320" i="7"/>
  <c r="N1184" i="2"/>
  <c r="M1184" i="2"/>
  <c r="L1184" i="2"/>
  <c r="J1184" i="2"/>
  <c r="I1184" i="2"/>
  <c r="H1184" i="2"/>
  <c r="K1184" i="2"/>
  <c r="N800" i="2"/>
  <c r="M800" i="2"/>
  <c r="L800" i="2"/>
  <c r="K800" i="2"/>
  <c r="H800" i="2"/>
  <c r="J800" i="2"/>
  <c r="I800" i="2"/>
  <c r="N1136" i="2"/>
  <c r="M1136" i="2"/>
  <c r="L1136" i="2"/>
  <c r="K1136" i="2"/>
  <c r="J1136" i="2"/>
  <c r="I1136" i="2"/>
  <c r="H1136" i="2"/>
  <c r="I1520" i="2"/>
  <c r="N1520" i="2"/>
  <c r="M1520" i="2"/>
  <c r="L1520" i="2"/>
  <c r="K1520" i="2"/>
  <c r="J1520" i="2"/>
  <c r="H1520" i="2"/>
  <c r="N848" i="2"/>
  <c r="M848" i="2"/>
  <c r="L848" i="2"/>
  <c r="K848" i="2"/>
  <c r="H848" i="2"/>
  <c r="J848" i="2"/>
  <c r="I848" i="2"/>
  <c r="K128" i="7"/>
  <c r="H128" i="7"/>
  <c r="N128" i="7"/>
  <c r="M128" i="7"/>
  <c r="L128" i="7"/>
  <c r="J128" i="7"/>
  <c r="I128" i="7"/>
  <c r="K368" i="7"/>
  <c r="J368" i="7"/>
  <c r="I368" i="7"/>
  <c r="H368" i="7"/>
  <c r="M368" i="7"/>
  <c r="L368" i="7"/>
  <c r="N368" i="7"/>
  <c r="K224" i="8"/>
  <c r="J224" i="8"/>
  <c r="I224" i="8"/>
  <c r="H224" i="8"/>
  <c r="N224" i="8"/>
  <c r="M224" i="8"/>
  <c r="L224" i="8"/>
  <c r="N1328" i="2"/>
  <c r="M1328" i="2"/>
  <c r="L1328" i="2"/>
  <c r="K1328" i="2"/>
  <c r="J1328" i="2"/>
  <c r="I1328" i="2"/>
  <c r="H1328" i="2"/>
  <c r="K224" i="7"/>
  <c r="H224" i="7"/>
  <c r="I224" i="7"/>
  <c r="L224" i="7"/>
  <c r="N224" i="7"/>
  <c r="M224" i="7"/>
  <c r="J224" i="7"/>
  <c r="K272" i="7"/>
  <c r="J272" i="7"/>
  <c r="I272" i="7"/>
  <c r="H272" i="7"/>
  <c r="N272" i="7"/>
  <c r="M272" i="7"/>
  <c r="L272" i="7"/>
  <c r="J368" i="2"/>
  <c r="I368" i="2"/>
  <c r="N368" i="2"/>
  <c r="H368" i="2"/>
  <c r="M368" i="2"/>
  <c r="L368" i="2"/>
  <c r="K368" i="2"/>
  <c r="N944" i="2"/>
  <c r="M944" i="2"/>
  <c r="L944" i="2"/>
  <c r="K944" i="2"/>
  <c r="J944" i="2"/>
  <c r="H944" i="2"/>
  <c r="I944" i="2"/>
  <c r="I128" i="4"/>
  <c r="H128" i="4"/>
  <c r="K128" i="4"/>
  <c r="N128" i="4"/>
  <c r="M128" i="4"/>
  <c r="L128" i="4"/>
  <c r="J128" i="4"/>
  <c r="I80" i="4"/>
  <c r="H80" i="4"/>
  <c r="K80" i="4"/>
  <c r="N80" i="4"/>
  <c r="M80" i="4"/>
  <c r="L80" i="4"/>
  <c r="J80" i="4"/>
  <c r="N560" i="2"/>
  <c r="M560" i="2"/>
  <c r="L560" i="2"/>
  <c r="K560" i="2"/>
  <c r="J560" i="2"/>
  <c r="I560" i="2"/>
  <c r="H560" i="2"/>
  <c r="L1040" i="2"/>
  <c r="N1040" i="2"/>
  <c r="M1040" i="2"/>
  <c r="K1040" i="2"/>
  <c r="J1040" i="2"/>
  <c r="I1040" i="2"/>
  <c r="H1040" i="2"/>
  <c r="N464" i="2"/>
  <c r="I464" i="2"/>
  <c r="H464" i="2"/>
  <c r="M464" i="2"/>
  <c r="K464" i="2"/>
  <c r="L464" i="2"/>
  <c r="J464" i="2"/>
  <c r="I32" i="7"/>
  <c r="H32" i="7"/>
  <c r="J32" i="7"/>
  <c r="N32" i="7"/>
  <c r="M32" i="7"/>
  <c r="L32" i="7"/>
  <c r="K32" i="7"/>
  <c r="N128" i="2"/>
  <c r="J128" i="2"/>
  <c r="M128" i="2"/>
  <c r="L128" i="2"/>
  <c r="I128" i="2"/>
  <c r="K128" i="2"/>
  <c r="H128" i="2"/>
  <c r="N1232" i="2"/>
  <c r="M1232" i="2"/>
  <c r="L1232" i="2"/>
  <c r="K1232" i="2"/>
  <c r="J1232" i="2"/>
  <c r="I1232" i="2"/>
  <c r="H1232" i="2"/>
  <c r="N416" i="2"/>
  <c r="M416" i="2"/>
  <c r="I416" i="2"/>
  <c r="L416" i="2"/>
  <c r="K416" i="2"/>
  <c r="J416" i="2"/>
  <c r="H416" i="2"/>
  <c r="N368" i="4"/>
  <c r="M368" i="4"/>
  <c r="L368" i="4"/>
  <c r="K368" i="4"/>
  <c r="J368" i="4"/>
  <c r="I368" i="4"/>
  <c r="H368" i="4"/>
  <c r="N272" i="4"/>
  <c r="M272" i="4"/>
  <c r="L272" i="4"/>
  <c r="K272" i="4"/>
  <c r="J272" i="4"/>
  <c r="I272" i="4"/>
  <c r="H272" i="4"/>
  <c r="N704" i="2"/>
  <c r="M704" i="2"/>
  <c r="L704" i="2"/>
  <c r="J704" i="2"/>
  <c r="I704" i="2"/>
  <c r="H704" i="2"/>
  <c r="K704" i="2"/>
  <c r="N1088" i="2"/>
  <c r="M1088" i="2"/>
  <c r="L1088" i="2"/>
  <c r="K1088" i="2"/>
  <c r="J1088" i="2"/>
  <c r="I1088" i="2"/>
  <c r="H1088" i="2"/>
  <c r="N176" i="2"/>
  <c r="L176" i="2"/>
  <c r="K176" i="2"/>
  <c r="M176" i="2"/>
  <c r="H176" i="2"/>
  <c r="J176" i="2"/>
  <c r="I176" i="2"/>
  <c r="P989" i="2"/>
  <c r="P1133" i="2"/>
  <c r="N127" i="13"/>
  <c r="J127" i="13"/>
  <c r="N223" i="13"/>
  <c r="J271" i="13"/>
  <c r="P222" i="13"/>
  <c r="P174" i="13"/>
  <c r="E272" i="13"/>
  <c r="N272" i="13" s="1"/>
  <c r="O272" i="13"/>
  <c r="D272" i="13"/>
  <c r="B273" i="13"/>
  <c r="I271" i="13"/>
  <c r="L271" i="13"/>
  <c r="M271" i="13"/>
  <c r="N271" i="13"/>
  <c r="K271" i="13"/>
  <c r="P270" i="13"/>
  <c r="H271" i="13"/>
  <c r="E224" i="13"/>
  <c r="N224" i="13" s="1"/>
  <c r="D224" i="13"/>
  <c r="K224" i="13" s="1"/>
  <c r="O224" i="13"/>
  <c r="B225" i="13"/>
  <c r="H223" i="13"/>
  <c r="K223" i="13"/>
  <c r="L223" i="13"/>
  <c r="M223" i="13"/>
  <c r="J223" i="13"/>
  <c r="I223" i="13"/>
  <c r="N175" i="13"/>
  <c r="E176" i="13"/>
  <c r="G176" i="13" s="1"/>
  <c r="O176" i="13"/>
  <c r="B177" i="13"/>
  <c r="D176" i="13"/>
  <c r="K175" i="13"/>
  <c r="H175" i="13"/>
  <c r="J175" i="13"/>
  <c r="M175" i="13"/>
  <c r="I175" i="13"/>
  <c r="L175" i="13"/>
  <c r="H127" i="13"/>
  <c r="M127" i="13"/>
  <c r="L127" i="13"/>
  <c r="P126" i="13"/>
  <c r="K127" i="13"/>
  <c r="I127" i="13"/>
  <c r="O128" i="13"/>
  <c r="E128" i="13"/>
  <c r="N128" i="13" s="1"/>
  <c r="B129" i="13"/>
  <c r="D128" i="13"/>
  <c r="I79" i="13"/>
  <c r="M79" i="13"/>
  <c r="J79" i="13"/>
  <c r="H79" i="13"/>
  <c r="K79" i="13"/>
  <c r="N79" i="13"/>
  <c r="D80" i="13"/>
  <c r="B81" i="13"/>
  <c r="E80" i="13"/>
  <c r="O80" i="13"/>
  <c r="P78" i="13"/>
  <c r="L79" i="13"/>
  <c r="O141" i="36"/>
  <c r="M181" i="19"/>
  <c r="N181" i="19" s="1"/>
  <c r="M178" i="19"/>
  <c r="N178" i="19" s="1"/>
  <c r="N132" i="19"/>
  <c r="M127" i="19"/>
  <c r="N127" i="19" s="1"/>
  <c r="M131" i="19"/>
  <c r="M133" i="19"/>
  <c r="N133" i="19" s="1"/>
  <c r="I31" i="5"/>
  <c r="F83" i="4"/>
  <c r="F84" i="4" s="1"/>
  <c r="F85" i="4" s="1"/>
  <c r="F86" i="4" s="1"/>
  <c r="F87" i="4" s="1"/>
  <c r="F88" i="4" s="1"/>
  <c r="P221" i="2"/>
  <c r="P173" i="8"/>
  <c r="M175" i="20"/>
  <c r="P1469" i="2"/>
  <c r="P1613" i="2"/>
  <c r="U79" i="6"/>
  <c r="M79" i="20"/>
  <c r="P1421" i="2"/>
  <c r="P605" i="2"/>
  <c r="P29" i="4"/>
  <c r="P893" i="2"/>
  <c r="P365" i="7"/>
  <c r="P1085" i="2"/>
  <c r="P29" i="21"/>
  <c r="P125" i="7"/>
  <c r="D107" i="38"/>
  <c r="G107" i="38"/>
  <c r="F107" i="38"/>
  <c r="J104" i="40"/>
  <c r="C33" i="41" s="1"/>
  <c r="N174" i="19"/>
  <c r="U319" i="4"/>
  <c r="N130" i="19"/>
  <c r="V79" i="21"/>
  <c r="P701" i="2"/>
  <c r="V223" i="7"/>
  <c r="I463" i="7"/>
  <c r="U1567" i="2"/>
  <c r="H559" i="7"/>
  <c r="U1279" i="2"/>
  <c r="J31" i="5"/>
  <c r="H271" i="8"/>
  <c r="U1471" i="2"/>
  <c r="K175" i="5"/>
  <c r="H127" i="5"/>
  <c r="H127" i="20"/>
  <c r="N175" i="5"/>
  <c r="H175" i="5"/>
  <c r="V1327" i="2"/>
  <c r="P125" i="2"/>
  <c r="P1325" i="2"/>
  <c r="U751" i="2"/>
  <c r="U1135" i="2"/>
  <c r="G1327" i="2"/>
  <c r="U367" i="4"/>
  <c r="G367" i="4"/>
  <c r="G79" i="20"/>
  <c r="N31" i="5"/>
  <c r="L31" i="5"/>
  <c r="M31" i="5"/>
  <c r="K31" i="5"/>
  <c r="P78" i="5"/>
  <c r="N127" i="5"/>
  <c r="M127" i="5"/>
  <c r="L127" i="5"/>
  <c r="K127" i="5"/>
  <c r="N131" i="19"/>
  <c r="P96" i="15"/>
  <c r="N176" i="19"/>
  <c r="N180" i="19"/>
  <c r="N183" i="19"/>
  <c r="V127" i="21"/>
  <c r="U127" i="21"/>
  <c r="P77" i="6"/>
  <c r="P222" i="6"/>
  <c r="N175" i="6"/>
  <c r="N271" i="6"/>
  <c r="I319" i="6"/>
  <c r="P29" i="7"/>
  <c r="P77" i="7"/>
  <c r="P221" i="7"/>
  <c r="V367" i="7"/>
  <c r="U367" i="7"/>
  <c r="L415" i="7"/>
  <c r="I511" i="7"/>
  <c r="G559" i="7"/>
  <c r="K319" i="8"/>
  <c r="N367" i="8"/>
  <c r="K104" i="40"/>
  <c r="D33" i="41" s="1"/>
  <c r="E107" i="38"/>
  <c r="G102" i="40"/>
  <c r="G104" i="40" s="1"/>
  <c r="P366" i="8"/>
  <c r="P173" i="7"/>
  <c r="P144" i="15"/>
  <c r="E104" i="40"/>
  <c r="B33" i="41" s="1"/>
  <c r="P269" i="2"/>
  <c r="U1039" i="2"/>
  <c r="V1039" i="2"/>
  <c r="P1181" i="2"/>
  <c r="M79" i="19"/>
  <c r="N79" i="19" s="1"/>
  <c r="U127" i="8"/>
  <c r="V127" i="8"/>
  <c r="U31" i="4"/>
  <c r="V31" i="4"/>
  <c r="P653" i="2"/>
  <c r="K319" i="6"/>
  <c r="N319" i="6"/>
  <c r="I175" i="6"/>
  <c r="H175" i="6"/>
  <c r="K175" i="6"/>
  <c r="J175" i="6"/>
  <c r="L175" i="6"/>
  <c r="M175" i="6"/>
  <c r="U271" i="7"/>
  <c r="V271" i="7"/>
  <c r="U1423" i="2"/>
  <c r="V1423" i="2"/>
  <c r="V463" i="2"/>
  <c r="U319" i="7"/>
  <c r="V319" i="7"/>
  <c r="J559" i="7"/>
  <c r="I559" i="7"/>
  <c r="M559" i="7"/>
  <c r="L559" i="7"/>
  <c r="K559" i="7"/>
  <c r="G31" i="8"/>
  <c r="V31" i="8"/>
  <c r="P1229" i="2"/>
  <c r="U127" i="4"/>
  <c r="V127" i="4"/>
  <c r="P749" i="2"/>
  <c r="P221" i="4"/>
  <c r="G1183" i="2"/>
  <c r="U1183" i="2"/>
  <c r="P125" i="8"/>
  <c r="M415" i="7"/>
  <c r="I415" i="7"/>
  <c r="U31" i="7"/>
  <c r="P174" i="6"/>
  <c r="U511" i="2"/>
  <c r="V511" i="2"/>
  <c r="H319" i="6"/>
  <c r="U175" i="2"/>
  <c r="V175" i="2"/>
  <c r="G415" i="8"/>
  <c r="K415" i="8"/>
  <c r="J415" i="8"/>
  <c r="G271" i="8"/>
  <c r="L271" i="8"/>
  <c r="N271" i="8"/>
  <c r="M271" i="8"/>
  <c r="K271" i="8"/>
  <c r="V1471" i="2"/>
  <c r="U367" i="2"/>
  <c r="V367" i="2"/>
  <c r="P221" i="8"/>
  <c r="K463" i="7"/>
  <c r="H463" i="7"/>
  <c r="M463" i="7"/>
  <c r="L463" i="7"/>
  <c r="V943" i="2"/>
  <c r="U127" i="2"/>
  <c r="G127" i="2"/>
  <c r="U895" i="2"/>
  <c r="V895" i="2"/>
  <c r="P126" i="5"/>
  <c r="M175" i="19"/>
  <c r="N175" i="19" s="1"/>
  <c r="M319" i="6"/>
  <c r="V1183" i="2"/>
  <c r="M86" i="19"/>
  <c r="N86" i="19" s="1"/>
  <c r="P126" i="20"/>
  <c r="M84" i="19"/>
  <c r="N84" i="19" s="1"/>
  <c r="M126" i="19"/>
  <c r="N126" i="19" s="1"/>
  <c r="M177" i="19"/>
  <c r="N177" i="19" s="1"/>
  <c r="V79" i="6"/>
  <c r="P1565" i="2"/>
  <c r="M80" i="19"/>
  <c r="U223" i="2"/>
  <c r="P78" i="20"/>
  <c r="U127" i="7"/>
  <c r="V127" i="7"/>
  <c r="I271" i="8"/>
  <c r="V271" i="4"/>
  <c r="I415" i="8"/>
  <c r="P30" i="5"/>
  <c r="J415" i="7"/>
  <c r="M129" i="19"/>
  <c r="N129" i="19" s="1"/>
  <c r="V31" i="7"/>
  <c r="P1661" i="2"/>
  <c r="I79" i="5"/>
  <c r="J79" i="5"/>
  <c r="K79" i="5"/>
  <c r="H79" i="5"/>
  <c r="N79" i="5"/>
  <c r="L79" i="5"/>
  <c r="U223" i="4"/>
  <c r="V223" i="4"/>
  <c r="M88" i="19"/>
  <c r="N88" i="19" s="1"/>
  <c r="U463" i="2"/>
  <c r="M182" i="19"/>
  <c r="N182" i="19" s="1"/>
  <c r="U799" i="2"/>
  <c r="V799" i="2"/>
  <c r="V319" i="4"/>
  <c r="M271" i="6"/>
  <c r="I271" i="6"/>
  <c r="J367" i="8"/>
  <c r="I367" i="8"/>
  <c r="K367" i="8"/>
  <c r="L367" i="8"/>
  <c r="P461" i="2"/>
  <c r="U319" i="2"/>
  <c r="P941" i="2"/>
  <c r="I175" i="20"/>
  <c r="I127" i="20"/>
  <c r="M78" i="19"/>
  <c r="N78" i="19" s="1"/>
  <c r="V1615" i="2"/>
  <c r="U991" i="2"/>
  <c r="V991" i="2"/>
  <c r="M367" i="8"/>
  <c r="M184" i="19"/>
  <c r="P557" i="2"/>
  <c r="M135" i="19"/>
  <c r="N135" i="19" s="1"/>
  <c r="U559" i="2"/>
  <c r="V559" i="2"/>
  <c r="J271" i="8"/>
  <c r="I175" i="5"/>
  <c r="U175" i="4"/>
  <c r="V175" i="4"/>
  <c r="V367" i="4"/>
  <c r="M85" i="19"/>
  <c r="N85" i="19" s="1"/>
  <c r="P797" i="2"/>
  <c r="M125" i="19"/>
  <c r="N125" i="19" s="1"/>
  <c r="V1135" i="2"/>
  <c r="M223" i="6"/>
  <c r="I223" i="6"/>
  <c r="H367" i="8"/>
  <c r="L319" i="6"/>
  <c r="L319" i="8"/>
  <c r="I319" i="8"/>
  <c r="P173" i="4"/>
  <c r="P77" i="4"/>
  <c r="V607" i="2"/>
  <c r="U607" i="2"/>
  <c r="V751" i="2"/>
  <c r="P414" i="7"/>
  <c r="P462" i="7"/>
  <c r="P509" i="2"/>
  <c r="P270" i="6"/>
  <c r="G31" i="21"/>
  <c r="P1037" i="2"/>
  <c r="U79" i="7"/>
  <c r="G89" i="19"/>
  <c r="K82" i="36" s="1"/>
  <c r="M77" i="19"/>
  <c r="P365" i="2"/>
  <c r="V1519" i="2"/>
  <c r="U271" i="2"/>
  <c r="V271" i="2"/>
  <c r="V1375" i="2"/>
  <c r="U1375" i="2"/>
  <c r="M79" i="5"/>
  <c r="U223" i="8"/>
  <c r="V223" i="8"/>
  <c r="P318" i="6"/>
  <c r="V79" i="7"/>
  <c r="U175" i="7"/>
  <c r="V175" i="7"/>
  <c r="P845" i="2"/>
  <c r="M82" i="19"/>
  <c r="N82" i="19" s="1"/>
  <c r="M128" i="19"/>
  <c r="N128" i="19" s="1"/>
  <c r="V223" i="2"/>
  <c r="P173" i="2"/>
  <c r="V1567" i="2"/>
  <c r="P174" i="5"/>
  <c r="V655" i="2"/>
  <c r="U79" i="4"/>
  <c r="P1373" i="2"/>
  <c r="P510" i="7"/>
  <c r="V127" i="2"/>
  <c r="U1519" i="2"/>
  <c r="U703" i="2"/>
  <c r="V703" i="2"/>
  <c r="G185" i="19"/>
  <c r="K84" i="36" s="1"/>
  <c r="M173" i="19"/>
  <c r="N173" i="19" s="1"/>
  <c r="P125" i="21"/>
  <c r="M81" i="19"/>
  <c r="N81" i="19" s="1"/>
  <c r="G31" i="5"/>
  <c r="P77" i="21"/>
  <c r="V79" i="4"/>
  <c r="F1569" i="2"/>
  <c r="F1570" i="2" s="1"/>
  <c r="F1571" i="2" s="1"/>
  <c r="F1572" i="2" s="1"/>
  <c r="F1573" i="2" s="1"/>
  <c r="F1574" i="2" s="1"/>
  <c r="F1575" i="2" s="1"/>
  <c r="F1576" i="2" s="1"/>
  <c r="U1087" i="2"/>
  <c r="V1087" i="2"/>
  <c r="P174" i="20"/>
  <c r="H31" i="5"/>
  <c r="J511" i="7"/>
  <c r="P1517" i="2"/>
  <c r="V319" i="2"/>
  <c r="M134" i="19"/>
  <c r="N134" i="19" s="1"/>
  <c r="V415" i="2"/>
  <c r="P269" i="4"/>
  <c r="U31" i="8"/>
  <c r="P365" i="4"/>
  <c r="M83" i="19"/>
  <c r="N83" i="19" s="1"/>
  <c r="M511" i="7"/>
  <c r="P1277" i="2"/>
  <c r="P77" i="8"/>
  <c r="U847" i="2"/>
  <c r="V847" i="2"/>
  <c r="M136" i="19"/>
  <c r="N136" i="19" s="1"/>
  <c r="U415" i="2"/>
  <c r="J127" i="5"/>
  <c r="I127" i="5"/>
  <c r="V1279" i="2"/>
  <c r="U127" i="6"/>
  <c r="V127" i="6"/>
  <c r="U1231" i="2"/>
  <c r="G137" i="19"/>
  <c r="K83" i="36" s="1"/>
  <c r="P558" i="7"/>
  <c r="P29" i="8"/>
  <c r="V79" i="8"/>
  <c r="U79" i="21"/>
  <c r="U175" i="8"/>
  <c r="V175" i="8"/>
  <c r="G1279" i="2"/>
  <c r="P317" i="7"/>
  <c r="P317" i="2"/>
  <c r="M87" i="19"/>
  <c r="N87" i="19" s="1"/>
  <c r="U1663" i="2"/>
  <c r="V1663" i="2"/>
  <c r="P413" i="2"/>
  <c r="P414" i="8"/>
  <c r="P125" i="6"/>
  <c r="V1231" i="2"/>
  <c r="P318" i="8"/>
  <c r="F137" i="6"/>
  <c r="P270" i="8"/>
  <c r="M179" i="19"/>
  <c r="N179" i="19" s="1"/>
  <c r="V31" i="21"/>
  <c r="P125" i="4"/>
  <c r="P269" i="7"/>
  <c r="E560" i="2"/>
  <c r="G560" i="2" s="1"/>
  <c r="D560" i="2"/>
  <c r="O560" i="2"/>
  <c r="B561" i="2"/>
  <c r="E512" i="2"/>
  <c r="G512" i="2" s="1"/>
  <c r="D512" i="2"/>
  <c r="O512" i="2"/>
  <c r="B513" i="2"/>
  <c r="E128" i="8"/>
  <c r="G128" i="8" s="1"/>
  <c r="B129" i="8"/>
  <c r="D128" i="8"/>
  <c r="O128" i="8"/>
  <c r="B561" i="7"/>
  <c r="E560" i="7"/>
  <c r="G560" i="7" s="1"/>
  <c r="D560" i="7"/>
  <c r="O560" i="7"/>
  <c r="B273" i="7"/>
  <c r="E272" i="7"/>
  <c r="G272" i="7" s="1"/>
  <c r="D272" i="7"/>
  <c r="O272" i="7"/>
  <c r="L175" i="5"/>
  <c r="N415" i="8"/>
  <c r="N175" i="20"/>
  <c r="N415" i="7"/>
  <c r="O128" i="20"/>
  <c r="E128" i="20"/>
  <c r="G128" i="20" s="1"/>
  <c r="B129" i="20"/>
  <c r="D128" i="20"/>
  <c r="U943" i="2"/>
  <c r="E224" i="6"/>
  <c r="G224" i="6" s="1"/>
  <c r="D224" i="6"/>
  <c r="O224" i="6"/>
  <c r="B225" i="6"/>
  <c r="B321" i="8"/>
  <c r="O320" i="8"/>
  <c r="E320" i="8"/>
  <c r="G320" i="8" s="1"/>
  <c r="D320" i="8"/>
  <c r="B657" i="2"/>
  <c r="D656" i="2"/>
  <c r="E656" i="2"/>
  <c r="G656" i="2" s="1"/>
  <c r="O656" i="2"/>
  <c r="H511" i="7"/>
  <c r="U79" i="8"/>
  <c r="E224" i="2"/>
  <c r="G224" i="2" s="1"/>
  <c r="D224" i="2"/>
  <c r="B225" i="2"/>
  <c r="U31" i="21"/>
  <c r="E176" i="4"/>
  <c r="G176" i="4" s="1"/>
  <c r="B177" i="4"/>
  <c r="D176" i="4"/>
  <c r="O176" i="4"/>
  <c r="G79" i="7"/>
  <c r="M175" i="5"/>
  <c r="E1424" i="2"/>
  <c r="G1424" i="2" s="1"/>
  <c r="D1424" i="2"/>
  <c r="O1424" i="2"/>
  <c r="B1425" i="2"/>
  <c r="L415" i="8"/>
  <c r="J175" i="20"/>
  <c r="N127" i="20"/>
  <c r="U223" i="7"/>
  <c r="K223" i="6"/>
  <c r="P317" i="4"/>
  <c r="O272" i="2"/>
  <c r="B273" i="2"/>
  <c r="E272" i="2"/>
  <c r="G272" i="2" s="1"/>
  <c r="D272" i="2"/>
  <c r="E176" i="8"/>
  <c r="G176" i="8" s="1"/>
  <c r="D176" i="8"/>
  <c r="O176" i="8"/>
  <c r="B177" i="8"/>
  <c r="E320" i="2"/>
  <c r="G320" i="2" s="1"/>
  <c r="O320" i="2"/>
  <c r="B321" i="2"/>
  <c r="D320" i="2"/>
  <c r="B417" i="8"/>
  <c r="D416" i="8"/>
  <c r="E416" i="8"/>
  <c r="O416" i="8"/>
  <c r="H79" i="20"/>
  <c r="O464" i="2"/>
  <c r="E464" i="2"/>
  <c r="G464" i="2" s="1"/>
  <c r="D464" i="2"/>
  <c r="B465" i="2"/>
  <c r="D320" i="7"/>
  <c r="O320" i="7"/>
  <c r="B321" i="7"/>
  <c r="E320" i="7"/>
  <c r="G320" i="7" s="1"/>
  <c r="H415" i="7"/>
  <c r="L127" i="20"/>
  <c r="U1327" i="2"/>
  <c r="J463" i="7"/>
  <c r="E800" i="2"/>
  <c r="G800" i="2" s="1"/>
  <c r="D800" i="2"/>
  <c r="O800" i="2"/>
  <c r="B801" i="2"/>
  <c r="E944" i="2"/>
  <c r="G944" i="2" s="1"/>
  <c r="D944" i="2"/>
  <c r="B945" i="2"/>
  <c r="O944" i="2"/>
  <c r="B129" i="2"/>
  <c r="E128" i="2"/>
  <c r="G128" i="2" s="1"/>
  <c r="D128" i="2"/>
  <c r="O128" i="2"/>
  <c r="O32" i="4"/>
  <c r="B33" i="4"/>
  <c r="E32" i="4"/>
  <c r="G32" i="4" s="1"/>
  <c r="D32" i="4"/>
  <c r="O224" i="2"/>
  <c r="F225" i="2"/>
  <c r="B129" i="6"/>
  <c r="D128" i="6"/>
  <c r="E128" i="6"/>
  <c r="O128" i="6"/>
  <c r="E512" i="7"/>
  <c r="G512" i="7" s="1"/>
  <c r="D512" i="7"/>
  <c r="B513" i="7"/>
  <c r="O512" i="7"/>
  <c r="E848" i="2"/>
  <c r="G848" i="2" s="1"/>
  <c r="B849" i="2"/>
  <c r="D848" i="2"/>
  <c r="O848" i="2"/>
  <c r="L175" i="20"/>
  <c r="B225" i="7"/>
  <c r="E224" i="7"/>
  <c r="G224" i="7" s="1"/>
  <c r="D224" i="7"/>
  <c r="O224" i="7"/>
  <c r="U1615" i="2"/>
  <c r="E1568" i="2"/>
  <c r="G1568" i="2" s="1"/>
  <c r="B1569" i="2"/>
  <c r="D1568" i="2"/>
  <c r="O1568" i="2"/>
  <c r="J271" i="6"/>
  <c r="B129" i="4"/>
  <c r="E128" i="4"/>
  <c r="G128" i="4" s="1"/>
  <c r="D128" i="4"/>
  <c r="O128" i="4"/>
  <c r="E80" i="4"/>
  <c r="O80" i="4"/>
  <c r="D80" i="4"/>
  <c r="B81" i="4"/>
  <c r="E608" i="2"/>
  <c r="G608" i="2" s="1"/>
  <c r="D608" i="2"/>
  <c r="O608" i="2"/>
  <c r="B609" i="2"/>
  <c r="E80" i="20"/>
  <c r="G80" i="20" s="1"/>
  <c r="D80" i="20"/>
  <c r="O80" i="20"/>
  <c r="B81" i="20"/>
  <c r="O80" i="7"/>
  <c r="B81" i="7"/>
  <c r="E80" i="7"/>
  <c r="G80" i="7" s="1"/>
  <c r="D80" i="7"/>
  <c r="B465" i="7"/>
  <c r="D464" i="7"/>
  <c r="E464" i="7"/>
  <c r="G464" i="7" s="1"/>
  <c r="O464" i="7"/>
  <c r="O320" i="4"/>
  <c r="B321" i="4"/>
  <c r="E320" i="4"/>
  <c r="G320" i="4" s="1"/>
  <c r="D320" i="4"/>
  <c r="E176" i="7"/>
  <c r="G176" i="7" s="1"/>
  <c r="B177" i="7"/>
  <c r="O176" i="7"/>
  <c r="D176" i="7"/>
  <c r="J223" i="6"/>
  <c r="B753" i="2"/>
  <c r="D752" i="2"/>
  <c r="O752" i="2"/>
  <c r="E752" i="2"/>
  <c r="G752" i="2" s="1"/>
  <c r="B1329" i="2"/>
  <c r="E1328" i="2"/>
  <c r="G1328" i="2" s="1"/>
  <c r="D1328" i="2"/>
  <c r="O1328" i="2"/>
  <c r="O32" i="21"/>
  <c r="B33" i="21"/>
  <c r="D32" i="21"/>
  <c r="E32" i="21"/>
  <c r="G32" i="21" s="1"/>
  <c r="J79" i="20"/>
  <c r="K271" i="6"/>
  <c r="N223" i="6"/>
  <c r="O320" i="6"/>
  <c r="B321" i="6"/>
  <c r="D320" i="6"/>
  <c r="E320" i="6"/>
  <c r="G320" i="6" s="1"/>
  <c r="N319" i="8"/>
  <c r="E896" i="2"/>
  <c r="G896" i="2" s="1"/>
  <c r="D896" i="2"/>
  <c r="O896" i="2"/>
  <c r="B897" i="2"/>
  <c r="E128" i="5"/>
  <c r="G128" i="5" s="1"/>
  <c r="D128" i="5"/>
  <c r="O128" i="5"/>
  <c r="B129" i="5"/>
  <c r="B273" i="8"/>
  <c r="D272" i="8"/>
  <c r="E272" i="8"/>
  <c r="N272" i="8" s="1"/>
  <c r="O272" i="8"/>
  <c r="U271" i="4"/>
  <c r="L79" i="20"/>
  <c r="K175" i="20"/>
  <c r="B417" i="7"/>
  <c r="D416" i="7"/>
  <c r="E416" i="7"/>
  <c r="N416" i="7" s="1"/>
  <c r="O416" i="7"/>
  <c r="K127" i="20"/>
  <c r="O1616" i="2"/>
  <c r="E1616" i="2"/>
  <c r="G1616" i="2" s="1"/>
  <c r="D1616" i="2"/>
  <c r="B1617" i="2"/>
  <c r="L271" i="6"/>
  <c r="O1136" i="2"/>
  <c r="B1137" i="2"/>
  <c r="E1136" i="2"/>
  <c r="D1136" i="2"/>
  <c r="H223" i="6"/>
  <c r="G1519" i="2"/>
  <c r="B369" i="8"/>
  <c r="E368" i="8"/>
  <c r="G368" i="8" s="1"/>
  <c r="D368" i="8"/>
  <c r="O368" i="8"/>
  <c r="J319" i="8"/>
  <c r="B1377" i="2"/>
  <c r="E1376" i="2"/>
  <c r="G1376" i="2" s="1"/>
  <c r="D1376" i="2"/>
  <c r="O1376" i="2"/>
  <c r="D176" i="2"/>
  <c r="O176" i="2"/>
  <c r="E176" i="2"/>
  <c r="G176" i="2" s="1"/>
  <c r="B177" i="2"/>
  <c r="N511" i="7"/>
  <c r="B369" i="2"/>
  <c r="O368" i="2"/>
  <c r="E368" i="2"/>
  <c r="G368" i="2" s="1"/>
  <c r="D368" i="2"/>
  <c r="E128" i="21"/>
  <c r="G128" i="21" s="1"/>
  <c r="D128" i="21"/>
  <c r="O128" i="21"/>
  <c r="B129" i="21"/>
  <c r="O368" i="4"/>
  <c r="D368" i="4"/>
  <c r="B369" i="4"/>
  <c r="E368" i="4"/>
  <c r="G368" i="4" s="1"/>
  <c r="D176" i="20"/>
  <c r="B177" i="20"/>
  <c r="E176" i="20"/>
  <c r="O176" i="20"/>
  <c r="H271" i="6"/>
  <c r="E224" i="4"/>
  <c r="G224" i="4" s="1"/>
  <c r="D224" i="4"/>
  <c r="B225" i="4"/>
  <c r="O224" i="4"/>
  <c r="E80" i="8"/>
  <c r="G80" i="8" s="1"/>
  <c r="B81" i="8"/>
  <c r="O80" i="8"/>
  <c r="D80" i="8"/>
  <c r="O368" i="7"/>
  <c r="B369" i="7"/>
  <c r="E368" i="7"/>
  <c r="G368" i="7" s="1"/>
  <c r="D368" i="7"/>
  <c r="O1040" i="2"/>
  <c r="E1040" i="2"/>
  <c r="G1040" i="2" s="1"/>
  <c r="D1040" i="2"/>
  <c r="B1041" i="2"/>
  <c r="B273" i="4"/>
  <c r="E272" i="4"/>
  <c r="G272" i="4" s="1"/>
  <c r="D272" i="4"/>
  <c r="O272" i="4"/>
  <c r="N79" i="20"/>
  <c r="J127" i="20"/>
  <c r="B1473" i="2"/>
  <c r="E1472" i="2"/>
  <c r="G1472" i="2" s="1"/>
  <c r="D1472" i="2"/>
  <c r="O1472" i="2"/>
  <c r="E32" i="7"/>
  <c r="G32" i="7" s="1"/>
  <c r="O32" i="7"/>
  <c r="D32" i="7"/>
  <c r="B33" i="7"/>
  <c r="B993" i="2"/>
  <c r="D992" i="2"/>
  <c r="E992" i="2"/>
  <c r="G992" i="2" s="1"/>
  <c r="O992" i="2"/>
  <c r="J319" i="6"/>
  <c r="M319" i="8"/>
  <c r="B81" i="5"/>
  <c r="E80" i="5"/>
  <c r="D80" i="5"/>
  <c r="O80" i="5"/>
  <c r="L511" i="7"/>
  <c r="B1281" i="2"/>
  <c r="D1280" i="2"/>
  <c r="O1280" i="2"/>
  <c r="E1280" i="2"/>
  <c r="G1280" i="2" s="1"/>
  <c r="B129" i="7"/>
  <c r="O128" i="7"/>
  <c r="D128" i="7"/>
  <c r="E128" i="7"/>
  <c r="G128" i="7" s="1"/>
  <c r="G223" i="2"/>
  <c r="H415" i="8"/>
  <c r="I79" i="20"/>
  <c r="B225" i="8"/>
  <c r="E224" i="8"/>
  <c r="G224" i="8" s="1"/>
  <c r="D224" i="8"/>
  <c r="O224" i="8"/>
  <c r="B1185" i="2"/>
  <c r="D1184" i="2"/>
  <c r="O1184" i="2"/>
  <c r="E1184" i="2"/>
  <c r="G1184" i="2" s="1"/>
  <c r="K415" i="7"/>
  <c r="M127" i="20"/>
  <c r="D272" i="6"/>
  <c r="O272" i="6"/>
  <c r="E272" i="6"/>
  <c r="B273" i="6"/>
  <c r="L223" i="6"/>
  <c r="H319" i="8"/>
  <c r="B1089" i="2"/>
  <c r="E1088" i="2"/>
  <c r="G1088" i="2" s="1"/>
  <c r="D1088" i="2"/>
  <c r="O1088" i="2"/>
  <c r="B1233" i="2"/>
  <c r="E1232" i="2"/>
  <c r="G1232" i="2" s="1"/>
  <c r="D1232" i="2"/>
  <c r="O1232" i="2"/>
  <c r="B33" i="5"/>
  <c r="E32" i="5"/>
  <c r="G32" i="5" s="1"/>
  <c r="D32" i="5"/>
  <c r="O32" i="5"/>
  <c r="K511" i="7"/>
  <c r="B417" i="2"/>
  <c r="E416" i="2"/>
  <c r="G416" i="2" s="1"/>
  <c r="D416" i="2"/>
  <c r="O416" i="2"/>
  <c r="J175" i="5"/>
  <c r="D176" i="5"/>
  <c r="E176" i="5"/>
  <c r="G176" i="5" s="1"/>
  <c r="O176" i="5"/>
  <c r="B177" i="5"/>
  <c r="M415" i="8"/>
  <c r="K79" i="20"/>
  <c r="B177" i="6"/>
  <c r="O176" i="6"/>
  <c r="E176" i="6"/>
  <c r="N176" i="6" s="1"/>
  <c r="D176" i="6"/>
  <c r="H175" i="20"/>
  <c r="G463" i="7"/>
  <c r="E1520" i="2"/>
  <c r="G1520" i="2" s="1"/>
  <c r="D1520" i="2"/>
  <c r="O1520" i="2"/>
  <c r="B1521" i="2"/>
  <c r="E80" i="6"/>
  <c r="G80" i="6" s="1"/>
  <c r="D80" i="6"/>
  <c r="B81" i="6"/>
  <c r="O80" i="6"/>
  <c r="B705" i="2"/>
  <c r="E704" i="2"/>
  <c r="G704" i="2" s="1"/>
  <c r="D704" i="2"/>
  <c r="O704" i="2"/>
  <c r="E32" i="8"/>
  <c r="G32" i="8" s="1"/>
  <c r="D32" i="8"/>
  <c r="O32" i="8"/>
  <c r="B33" i="8"/>
  <c r="D80" i="21"/>
  <c r="B81" i="21"/>
  <c r="O80" i="21"/>
  <c r="E80" i="21"/>
  <c r="G80" i="21" s="1"/>
  <c r="U655" i="2"/>
  <c r="O1664" i="2"/>
  <c r="E1664" i="2"/>
  <c r="G1664" i="2" s="1"/>
  <c r="B1665" i="2"/>
  <c r="D1664" i="2"/>
  <c r="G122" i="38"/>
  <c r="G37" i="38"/>
  <c r="G91" i="38"/>
  <c r="G101" i="38"/>
  <c r="G85" i="38"/>
  <c r="G140" i="38"/>
  <c r="G142" i="38" s="1"/>
  <c r="G149" i="38" s="1"/>
  <c r="F37" i="38"/>
  <c r="F122" i="38"/>
  <c r="F91" i="38"/>
  <c r="E122" i="38"/>
  <c r="E91" i="38"/>
  <c r="E140" i="38"/>
  <c r="E142" i="38" s="1"/>
  <c r="F29" i="38"/>
  <c r="F32" i="38" s="1"/>
  <c r="E25" i="40"/>
  <c r="J25" i="40" s="1"/>
  <c r="J26" i="40" s="1"/>
  <c r="E29" i="38"/>
  <c r="E32" i="38" s="1"/>
  <c r="F140" i="38"/>
  <c r="F142" i="38" s="1"/>
  <c r="E85" i="38"/>
  <c r="F101" i="38"/>
  <c r="E101" i="38"/>
  <c r="D32" i="38"/>
  <c r="F85" i="38"/>
  <c r="E37" i="38"/>
  <c r="O17" i="1"/>
  <c r="L147" i="40"/>
  <c r="L149" i="40" s="1"/>
  <c r="L151" i="40" s="1"/>
  <c r="C49" i="41"/>
  <c r="C55" i="41" s="1"/>
  <c r="E49" i="41"/>
  <c r="E55" i="41" s="1"/>
  <c r="L97" i="40"/>
  <c r="L125" i="40"/>
  <c r="L127" i="40" s="1"/>
  <c r="L159" i="40"/>
  <c r="L161" i="40" s="1"/>
  <c r="L31" i="40"/>
  <c r="L87" i="40"/>
  <c r="C55" i="34"/>
  <c r="C56" i="34" s="1"/>
  <c r="L81" i="40"/>
  <c r="E33" i="41"/>
  <c r="I4" i="38"/>
  <c r="I5" i="38" s="1"/>
  <c r="I3" i="40"/>
  <c r="D4" i="41" s="1"/>
  <c r="K31" i="40"/>
  <c r="K87" i="40"/>
  <c r="K125" i="40"/>
  <c r="K127" i="40" s="1"/>
  <c r="J125" i="40"/>
  <c r="J127" i="40" s="1"/>
  <c r="K81" i="40"/>
  <c r="K97" i="40"/>
  <c r="K147" i="40"/>
  <c r="K149" i="40" s="1"/>
  <c r="K151" i="40" s="1"/>
  <c r="D49" i="41"/>
  <c r="D55" i="41" s="1"/>
  <c r="D2" i="41"/>
  <c r="J31" i="40"/>
  <c r="J147" i="40"/>
  <c r="J81" i="40"/>
  <c r="J97" i="40"/>
  <c r="J87" i="40"/>
  <c r="F26" i="43"/>
  <c r="H26" i="43" s="1"/>
  <c r="H27" i="43" s="1"/>
  <c r="E27" i="43"/>
  <c r="F14" i="43"/>
  <c r="H14" i="43" s="1"/>
  <c r="E15" i="43"/>
  <c r="H18" i="43" s="1"/>
  <c r="H19" i="43" s="1"/>
  <c r="F39" i="43"/>
  <c r="H39" i="43" s="1"/>
  <c r="H40" i="43" s="1"/>
  <c r="E40" i="43"/>
  <c r="H43" i="43" s="1"/>
  <c r="H44" i="43" s="1"/>
  <c r="W70" i="42"/>
  <c r="I9" i="14"/>
  <c r="A32" i="1"/>
  <c r="A37" i="1"/>
  <c r="A30" i="1"/>
  <c r="A36" i="1"/>
  <c r="A38" i="1"/>
  <c r="A31" i="1"/>
  <c r="A34" i="1"/>
  <c r="A39" i="1"/>
  <c r="A29" i="1"/>
  <c r="A33" i="1"/>
  <c r="A35" i="1"/>
  <c r="F26" i="23"/>
  <c r="B26" i="23"/>
  <c r="M81" i="21" l="1"/>
  <c r="J81" i="21"/>
  <c r="I81" i="21"/>
  <c r="H81" i="21"/>
  <c r="K81" i="21"/>
  <c r="N81" i="21"/>
  <c r="L81" i="21"/>
  <c r="H369" i="2"/>
  <c r="M369" i="2"/>
  <c r="N369" i="2"/>
  <c r="L369" i="2"/>
  <c r="J369" i="2"/>
  <c r="I369" i="2"/>
  <c r="K369" i="2"/>
  <c r="N225" i="7"/>
  <c r="M225" i="7"/>
  <c r="L225" i="7"/>
  <c r="K225" i="7"/>
  <c r="J225" i="7"/>
  <c r="I225" i="7"/>
  <c r="H225" i="7"/>
  <c r="I561" i="2"/>
  <c r="H561" i="2"/>
  <c r="N561" i="2"/>
  <c r="M561" i="2"/>
  <c r="L561" i="2"/>
  <c r="K561" i="2"/>
  <c r="J561" i="2"/>
  <c r="I993" i="2"/>
  <c r="H993" i="2"/>
  <c r="N993" i="2"/>
  <c r="M993" i="2"/>
  <c r="J993" i="2"/>
  <c r="L993" i="2"/>
  <c r="K993" i="2"/>
  <c r="I1329" i="2"/>
  <c r="H1329" i="2"/>
  <c r="K1329" i="2"/>
  <c r="N1329" i="2"/>
  <c r="M1329" i="2"/>
  <c r="L1329" i="2"/>
  <c r="J1329" i="2"/>
  <c r="H321" i="4"/>
  <c r="L321" i="4"/>
  <c r="K321" i="4"/>
  <c r="J321" i="4"/>
  <c r="I321" i="4"/>
  <c r="N321" i="4"/>
  <c r="M321" i="4"/>
  <c r="N129" i="6"/>
  <c r="M129" i="6"/>
  <c r="L129" i="6"/>
  <c r="K129" i="6"/>
  <c r="J129" i="6"/>
  <c r="I129" i="6"/>
  <c r="H129" i="6"/>
  <c r="I945" i="2"/>
  <c r="H945" i="2"/>
  <c r="M945" i="2"/>
  <c r="J945" i="2"/>
  <c r="N945" i="2"/>
  <c r="L945" i="2"/>
  <c r="K945" i="2"/>
  <c r="N321" i="7"/>
  <c r="M321" i="7"/>
  <c r="K321" i="7"/>
  <c r="J321" i="7"/>
  <c r="I321" i="7"/>
  <c r="H321" i="7"/>
  <c r="L321" i="7"/>
  <c r="H369" i="4"/>
  <c r="K369" i="4"/>
  <c r="J369" i="4"/>
  <c r="I369" i="4"/>
  <c r="M369" i="4"/>
  <c r="N369" i="4"/>
  <c r="L369" i="4"/>
  <c r="N129" i="4"/>
  <c r="M129" i="4"/>
  <c r="L129" i="4"/>
  <c r="K129" i="4"/>
  <c r="J129" i="4"/>
  <c r="I129" i="4"/>
  <c r="H129" i="4"/>
  <c r="H321" i="2"/>
  <c r="N321" i="2"/>
  <c r="M321" i="2"/>
  <c r="L321" i="2"/>
  <c r="J321" i="2"/>
  <c r="K321" i="2"/>
  <c r="I321" i="2"/>
  <c r="I657" i="2"/>
  <c r="H657" i="2"/>
  <c r="N657" i="2"/>
  <c r="M657" i="2"/>
  <c r="L657" i="2"/>
  <c r="K657" i="2"/>
  <c r="J657" i="2"/>
  <c r="N225" i="8"/>
  <c r="M225" i="8"/>
  <c r="L225" i="8"/>
  <c r="K225" i="8"/>
  <c r="J225" i="8"/>
  <c r="I225" i="8"/>
  <c r="H225" i="8"/>
  <c r="H273" i="4"/>
  <c r="M273" i="4"/>
  <c r="L273" i="4"/>
  <c r="K273" i="4"/>
  <c r="J273" i="4"/>
  <c r="I273" i="4"/>
  <c r="N273" i="4"/>
  <c r="I609" i="2"/>
  <c r="H609" i="2"/>
  <c r="N609" i="2"/>
  <c r="M609" i="2"/>
  <c r="L609" i="2"/>
  <c r="K609" i="2"/>
  <c r="J609" i="2"/>
  <c r="H177" i="4"/>
  <c r="I177" i="4"/>
  <c r="N177" i="4"/>
  <c r="K177" i="4"/>
  <c r="M177" i="4"/>
  <c r="L177" i="4"/>
  <c r="J177" i="4"/>
  <c r="I849" i="2"/>
  <c r="H849" i="2"/>
  <c r="M849" i="2"/>
  <c r="J849" i="2"/>
  <c r="K849" i="2"/>
  <c r="N849" i="2"/>
  <c r="L849" i="2"/>
  <c r="I801" i="2"/>
  <c r="H801" i="2"/>
  <c r="M801" i="2"/>
  <c r="J801" i="2"/>
  <c r="N801" i="2"/>
  <c r="L801" i="2"/>
  <c r="K801" i="2"/>
  <c r="N465" i="2"/>
  <c r="I465" i="2"/>
  <c r="M465" i="2"/>
  <c r="L465" i="2"/>
  <c r="K465" i="2"/>
  <c r="J465" i="2"/>
  <c r="H465" i="2"/>
  <c r="N177" i="8"/>
  <c r="M177" i="8"/>
  <c r="L177" i="8"/>
  <c r="K177" i="8"/>
  <c r="J177" i="8"/>
  <c r="I177" i="8"/>
  <c r="H177" i="8"/>
  <c r="K1041" i="2"/>
  <c r="J1041" i="2"/>
  <c r="I1041" i="2"/>
  <c r="H1041" i="2"/>
  <c r="L1041" i="2"/>
  <c r="N1041" i="2"/>
  <c r="M1041" i="2"/>
  <c r="N1569" i="2"/>
  <c r="K1569" i="2"/>
  <c r="J1569" i="2"/>
  <c r="I1569" i="2"/>
  <c r="H1569" i="2"/>
  <c r="M1569" i="2"/>
  <c r="L1569" i="2"/>
  <c r="H225" i="2"/>
  <c r="N225" i="2"/>
  <c r="M225" i="2"/>
  <c r="L225" i="2"/>
  <c r="J225" i="2"/>
  <c r="I225" i="2"/>
  <c r="K225" i="2"/>
  <c r="N129" i="8"/>
  <c r="M129" i="8"/>
  <c r="L129" i="8"/>
  <c r="K129" i="8"/>
  <c r="J129" i="8"/>
  <c r="I129" i="8"/>
  <c r="H129" i="8"/>
  <c r="H225" i="4"/>
  <c r="K225" i="4"/>
  <c r="J225" i="4"/>
  <c r="I225" i="4"/>
  <c r="M225" i="4"/>
  <c r="N225" i="4"/>
  <c r="L225" i="4"/>
  <c r="I1233" i="2"/>
  <c r="H1233" i="2"/>
  <c r="K1233" i="2"/>
  <c r="N1233" i="2"/>
  <c r="M1233" i="2"/>
  <c r="L1233" i="2"/>
  <c r="J1233" i="2"/>
  <c r="I1137" i="2"/>
  <c r="H1137" i="2"/>
  <c r="N1137" i="2"/>
  <c r="M1137" i="2"/>
  <c r="J1137" i="2"/>
  <c r="K1137" i="2"/>
  <c r="L1137" i="2"/>
  <c r="N81" i="4"/>
  <c r="M81" i="4"/>
  <c r="L81" i="4"/>
  <c r="K81" i="4"/>
  <c r="J81" i="4"/>
  <c r="I81" i="4"/>
  <c r="H81" i="4"/>
  <c r="I1425" i="2"/>
  <c r="H1425" i="2"/>
  <c r="N1425" i="2"/>
  <c r="K1425" i="2"/>
  <c r="J1425" i="2"/>
  <c r="M1425" i="2"/>
  <c r="L1425" i="2"/>
  <c r="N81" i="8"/>
  <c r="M81" i="8"/>
  <c r="L81" i="8"/>
  <c r="K81" i="8"/>
  <c r="J81" i="8"/>
  <c r="I81" i="8"/>
  <c r="H81" i="8"/>
  <c r="N1665" i="2"/>
  <c r="M1665" i="2"/>
  <c r="L1665" i="2"/>
  <c r="K1665" i="2"/>
  <c r="J1665" i="2"/>
  <c r="I1665" i="2"/>
  <c r="H1665" i="2"/>
  <c r="H33" i="21"/>
  <c r="J33" i="21"/>
  <c r="I33" i="21"/>
  <c r="N33" i="21"/>
  <c r="L33" i="21"/>
  <c r="K33" i="21"/>
  <c r="M33" i="21"/>
  <c r="J513" i="2"/>
  <c r="I513" i="2"/>
  <c r="H513" i="2"/>
  <c r="N513" i="2"/>
  <c r="M513" i="2"/>
  <c r="L513" i="2"/>
  <c r="K513" i="2"/>
  <c r="K80" i="13"/>
  <c r="N33" i="8"/>
  <c r="M33" i="8"/>
  <c r="L33" i="8"/>
  <c r="K33" i="8"/>
  <c r="I33" i="8"/>
  <c r="J33" i="8"/>
  <c r="H33" i="8"/>
  <c r="I1281" i="2"/>
  <c r="H1281" i="2"/>
  <c r="K1281" i="2"/>
  <c r="N1281" i="2"/>
  <c r="M1281" i="2"/>
  <c r="L1281" i="2"/>
  <c r="J1281" i="2"/>
  <c r="I753" i="2"/>
  <c r="H753" i="2"/>
  <c r="J753" i="2"/>
  <c r="N753" i="2"/>
  <c r="M753" i="2"/>
  <c r="L753" i="2"/>
  <c r="K753" i="2"/>
  <c r="I705" i="2"/>
  <c r="H705" i="2"/>
  <c r="J705" i="2"/>
  <c r="N705" i="2"/>
  <c r="M705" i="2"/>
  <c r="L705" i="2"/>
  <c r="K705" i="2"/>
  <c r="I1473" i="2"/>
  <c r="H1473" i="2"/>
  <c r="N1473" i="2"/>
  <c r="L1473" i="2"/>
  <c r="K1473" i="2"/>
  <c r="M1473" i="2"/>
  <c r="J1473" i="2"/>
  <c r="I1377" i="2"/>
  <c r="H1377" i="2"/>
  <c r="N1377" i="2"/>
  <c r="K1377" i="2"/>
  <c r="M1377" i="2"/>
  <c r="L1377" i="2"/>
  <c r="J1377" i="2"/>
  <c r="M177" i="7"/>
  <c r="N177" i="7"/>
  <c r="L177" i="7"/>
  <c r="K177" i="7"/>
  <c r="J177" i="7"/>
  <c r="I177" i="7"/>
  <c r="H177" i="7"/>
  <c r="M81" i="7"/>
  <c r="I81" i="7"/>
  <c r="H81" i="7"/>
  <c r="N81" i="7"/>
  <c r="L81" i="7"/>
  <c r="K81" i="7"/>
  <c r="J81" i="7"/>
  <c r="N1521" i="2"/>
  <c r="K1521" i="2"/>
  <c r="H1521" i="2"/>
  <c r="M1521" i="2"/>
  <c r="L1521" i="2"/>
  <c r="J1521" i="2"/>
  <c r="I1521" i="2"/>
  <c r="M129" i="21"/>
  <c r="N129" i="21"/>
  <c r="L129" i="21"/>
  <c r="K129" i="21"/>
  <c r="J129" i="21"/>
  <c r="I129" i="21"/>
  <c r="H129" i="21"/>
  <c r="H417" i="2"/>
  <c r="N417" i="2"/>
  <c r="M417" i="2"/>
  <c r="L417" i="2"/>
  <c r="J417" i="2"/>
  <c r="K417" i="2"/>
  <c r="I417" i="2"/>
  <c r="M129" i="7"/>
  <c r="K129" i="7"/>
  <c r="J129" i="7"/>
  <c r="I129" i="7"/>
  <c r="H129" i="7"/>
  <c r="N129" i="7"/>
  <c r="L129" i="7"/>
  <c r="N369" i="7"/>
  <c r="M369" i="7"/>
  <c r="L369" i="7"/>
  <c r="K369" i="7"/>
  <c r="J369" i="7"/>
  <c r="I369" i="7"/>
  <c r="H369" i="7"/>
  <c r="N1617" i="2"/>
  <c r="M1617" i="2"/>
  <c r="L1617" i="2"/>
  <c r="K1617" i="2"/>
  <c r="J1617" i="2"/>
  <c r="I1617" i="2"/>
  <c r="H1617" i="2"/>
  <c r="N33" i="7"/>
  <c r="M33" i="7"/>
  <c r="L33" i="7"/>
  <c r="K33" i="7"/>
  <c r="J33" i="7"/>
  <c r="H33" i="7"/>
  <c r="I33" i="7"/>
  <c r="I897" i="2"/>
  <c r="H897" i="2"/>
  <c r="M897" i="2"/>
  <c r="J897" i="2"/>
  <c r="N897" i="2"/>
  <c r="L897" i="2"/>
  <c r="K897" i="2"/>
  <c r="N33" i="4"/>
  <c r="M33" i="4"/>
  <c r="L33" i="4"/>
  <c r="K33" i="4"/>
  <c r="J33" i="4"/>
  <c r="I33" i="4"/>
  <c r="H33" i="4"/>
  <c r="N81" i="6"/>
  <c r="M81" i="6"/>
  <c r="L81" i="6"/>
  <c r="K81" i="6"/>
  <c r="J81" i="6"/>
  <c r="I81" i="6"/>
  <c r="H81" i="6"/>
  <c r="I1089" i="2"/>
  <c r="H1089" i="2"/>
  <c r="J1089" i="2"/>
  <c r="N1089" i="2"/>
  <c r="K1089" i="2"/>
  <c r="M1089" i="2"/>
  <c r="L1089" i="2"/>
  <c r="I1185" i="2"/>
  <c r="H1185" i="2"/>
  <c r="K1185" i="2"/>
  <c r="N1185" i="2"/>
  <c r="M1185" i="2"/>
  <c r="L1185" i="2"/>
  <c r="J1185" i="2"/>
  <c r="H129" i="2"/>
  <c r="N129" i="2"/>
  <c r="L129" i="2"/>
  <c r="K129" i="2"/>
  <c r="J129" i="2"/>
  <c r="I129" i="2"/>
  <c r="M129" i="2"/>
  <c r="H273" i="2"/>
  <c r="M273" i="2"/>
  <c r="N273" i="2"/>
  <c r="L273" i="2"/>
  <c r="J273" i="2"/>
  <c r="I273" i="2"/>
  <c r="K273" i="2"/>
  <c r="N273" i="7"/>
  <c r="M273" i="7"/>
  <c r="L273" i="7"/>
  <c r="K273" i="7"/>
  <c r="I273" i="7"/>
  <c r="H273" i="7"/>
  <c r="J273" i="7"/>
  <c r="N177" i="2"/>
  <c r="M177" i="2"/>
  <c r="I177" i="2"/>
  <c r="H177" i="2"/>
  <c r="J177" i="2"/>
  <c r="L177" i="2"/>
  <c r="K177" i="2"/>
  <c r="I272" i="13"/>
  <c r="G272" i="13"/>
  <c r="J272" i="13"/>
  <c r="K272" i="13"/>
  <c r="M272" i="13"/>
  <c r="H272" i="13"/>
  <c r="J224" i="13"/>
  <c r="M224" i="13"/>
  <c r="N176" i="13"/>
  <c r="I176" i="13"/>
  <c r="K176" i="13"/>
  <c r="M176" i="13"/>
  <c r="P127" i="13"/>
  <c r="E273" i="13"/>
  <c r="N273" i="13" s="1"/>
  <c r="B274" i="13"/>
  <c r="D273" i="13"/>
  <c r="O273" i="13"/>
  <c r="P271" i="13"/>
  <c r="L272" i="13"/>
  <c r="P223" i="13"/>
  <c r="E225" i="13"/>
  <c r="N225" i="13" s="1"/>
  <c r="D225" i="13"/>
  <c r="O225" i="13"/>
  <c r="B226" i="13"/>
  <c r="G224" i="13"/>
  <c r="H224" i="13"/>
  <c r="L224" i="13"/>
  <c r="I224" i="13"/>
  <c r="P175" i="13"/>
  <c r="H176" i="13"/>
  <c r="L176" i="13"/>
  <c r="D177" i="13"/>
  <c r="E177" i="13"/>
  <c r="N177" i="13" s="1"/>
  <c r="B178" i="13"/>
  <c r="O177" i="13"/>
  <c r="J176" i="13"/>
  <c r="G128" i="13"/>
  <c r="H128" i="13"/>
  <c r="L128" i="13"/>
  <c r="K128" i="13"/>
  <c r="J128" i="13"/>
  <c r="E129" i="13"/>
  <c r="G129" i="13" s="1"/>
  <c r="B130" i="13"/>
  <c r="D129" i="13"/>
  <c r="O129" i="13"/>
  <c r="M128" i="13"/>
  <c r="I128" i="13"/>
  <c r="J80" i="13"/>
  <c r="P79" i="13"/>
  <c r="G80" i="13"/>
  <c r="N80" i="13"/>
  <c r="H80" i="13"/>
  <c r="L80" i="13"/>
  <c r="I80" i="13"/>
  <c r="D81" i="13"/>
  <c r="E81" i="13"/>
  <c r="M81" i="13" s="1"/>
  <c r="O81" i="13"/>
  <c r="B82" i="13"/>
  <c r="M80" i="13"/>
  <c r="O114" i="19"/>
  <c r="N80" i="19"/>
  <c r="F89" i="4"/>
  <c r="V464" i="2"/>
  <c r="U704" i="2"/>
  <c r="U224" i="8"/>
  <c r="U560" i="2"/>
  <c r="P174" i="4"/>
  <c r="P1038" i="2"/>
  <c r="P1134" i="2"/>
  <c r="P318" i="4"/>
  <c r="P366" i="2"/>
  <c r="J106" i="40"/>
  <c r="E106" i="40"/>
  <c r="G106" i="40" s="1"/>
  <c r="P990" i="2"/>
  <c r="U272" i="7"/>
  <c r="N80" i="20"/>
  <c r="V272" i="2"/>
  <c r="V128" i="6"/>
  <c r="K464" i="7"/>
  <c r="U32" i="8"/>
  <c r="I176" i="20"/>
  <c r="M320" i="6"/>
  <c r="P126" i="4"/>
  <c r="M32" i="5"/>
  <c r="U320" i="2"/>
  <c r="V80" i="21"/>
  <c r="M368" i="8"/>
  <c r="P1518" i="2"/>
  <c r="P270" i="4"/>
  <c r="P1566" i="2"/>
  <c r="P1470" i="2"/>
  <c r="U1424" i="2"/>
  <c r="U1328" i="2"/>
  <c r="P894" i="2"/>
  <c r="P798" i="2"/>
  <c r="V608" i="2"/>
  <c r="P510" i="2"/>
  <c r="U464" i="2"/>
  <c r="U416" i="2"/>
  <c r="P174" i="2"/>
  <c r="U272" i="2"/>
  <c r="V560" i="2"/>
  <c r="P606" i="2"/>
  <c r="U608" i="2"/>
  <c r="V752" i="2"/>
  <c r="P1182" i="2"/>
  <c r="P1422" i="2"/>
  <c r="P1662" i="2"/>
  <c r="U1664" i="2"/>
  <c r="U128" i="4"/>
  <c r="V128" i="4"/>
  <c r="K106" i="40"/>
  <c r="P366" i="4"/>
  <c r="V368" i="4"/>
  <c r="J80" i="20"/>
  <c r="J176" i="20"/>
  <c r="H80" i="20"/>
  <c r="L32" i="5"/>
  <c r="K32" i="5"/>
  <c r="P79" i="5"/>
  <c r="P30" i="21"/>
  <c r="P78" i="6"/>
  <c r="U128" i="6"/>
  <c r="P175" i="6"/>
  <c r="J272" i="6"/>
  <c r="J320" i="6"/>
  <c r="H320" i="6"/>
  <c r="L320" i="6"/>
  <c r="U32" i="7"/>
  <c r="P174" i="7"/>
  <c r="P222" i="7"/>
  <c r="P318" i="7"/>
  <c r="P78" i="7"/>
  <c r="U128" i="7"/>
  <c r="P270" i="7"/>
  <c r="U368" i="7"/>
  <c r="J416" i="7"/>
  <c r="G416" i="7"/>
  <c r="P463" i="7"/>
  <c r="V32" i="8"/>
  <c r="P78" i="8"/>
  <c r="P174" i="8"/>
  <c r="H320" i="8"/>
  <c r="L320" i="8"/>
  <c r="J320" i="8"/>
  <c r="K320" i="8"/>
  <c r="P367" i="8"/>
  <c r="P1278" i="2"/>
  <c r="P559" i="7"/>
  <c r="P30" i="8"/>
  <c r="P415" i="7"/>
  <c r="P942" i="2"/>
  <c r="P222" i="4"/>
  <c r="P462" i="2"/>
  <c r="P126" i="7"/>
  <c r="P511" i="7"/>
  <c r="P366" i="7"/>
  <c r="U1184" i="2"/>
  <c r="G80" i="5"/>
  <c r="J80" i="5"/>
  <c r="U1568" i="2"/>
  <c r="V1568" i="2"/>
  <c r="P318" i="2"/>
  <c r="M185" i="19"/>
  <c r="O84" i="36" s="1"/>
  <c r="N184" i="19"/>
  <c r="N368" i="8"/>
  <c r="G416" i="8"/>
  <c r="N416" i="8"/>
  <c r="H272" i="6"/>
  <c r="H416" i="8"/>
  <c r="I416" i="8"/>
  <c r="M416" i="8"/>
  <c r="K560" i="7"/>
  <c r="I560" i="7"/>
  <c r="N137" i="19"/>
  <c r="L107" i="19"/>
  <c r="C83" i="36" s="1"/>
  <c r="N77" i="19"/>
  <c r="M89" i="19"/>
  <c r="O82" i="36" s="1"/>
  <c r="V656" i="2"/>
  <c r="P270" i="2"/>
  <c r="P78" i="21"/>
  <c r="V1088" i="2"/>
  <c r="G80" i="4"/>
  <c r="V80" i="4"/>
  <c r="V176" i="8"/>
  <c r="U176" i="8"/>
  <c r="V1184" i="2"/>
  <c r="P654" i="2"/>
  <c r="U848" i="2"/>
  <c r="V848" i="2"/>
  <c r="V416" i="2"/>
  <c r="V128" i="7"/>
  <c r="U176" i="2"/>
  <c r="V176" i="2"/>
  <c r="H368" i="8"/>
  <c r="I368" i="8"/>
  <c r="L368" i="8"/>
  <c r="N128" i="5"/>
  <c r="K416" i="8"/>
  <c r="P126" i="6"/>
  <c r="P558" i="2"/>
  <c r="K368" i="8"/>
  <c r="K320" i="6"/>
  <c r="I320" i="6"/>
  <c r="V320" i="7"/>
  <c r="U320" i="7"/>
  <c r="V1424" i="2"/>
  <c r="P319" i="8"/>
  <c r="P126" i="21"/>
  <c r="P319" i="6"/>
  <c r="U656" i="2"/>
  <c r="M272" i="6"/>
  <c r="N272" i="6"/>
  <c r="G272" i="6"/>
  <c r="V944" i="2"/>
  <c r="K80" i="5"/>
  <c r="P1614" i="2"/>
  <c r="V224" i="4"/>
  <c r="U224" i="4"/>
  <c r="U32" i="4"/>
  <c r="V32" i="4"/>
  <c r="V32" i="21"/>
  <c r="P175" i="20"/>
  <c r="I80" i="5"/>
  <c r="L176" i="20"/>
  <c r="U1376" i="2"/>
  <c r="V1376" i="2"/>
  <c r="P414" i="2"/>
  <c r="P127" i="20"/>
  <c r="U368" i="2"/>
  <c r="V368" i="2"/>
  <c r="V1472" i="2"/>
  <c r="V320" i="4"/>
  <c r="U1472" i="2"/>
  <c r="L512" i="7"/>
  <c r="I512" i="7"/>
  <c r="K512" i="7"/>
  <c r="M512" i="7"/>
  <c r="J512" i="7"/>
  <c r="U80" i="21"/>
  <c r="V1520" i="2"/>
  <c r="V368" i="7"/>
  <c r="M416" i="7"/>
  <c r="I416" i="7"/>
  <c r="U128" i="8"/>
  <c r="V128" i="8"/>
  <c r="P30" i="4"/>
  <c r="V224" i="7"/>
  <c r="V80" i="6"/>
  <c r="U80" i="6"/>
  <c r="H80" i="5"/>
  <c r="P1230" i="2"/>
  <c r="U32" i="21"/>
  <c r="N80" i="5"/>
  <c r="V1616" i="2"/>
  <c r="U1088" i="2"/>
  <c r="L80" i="5"/>
  <c r="G1136" i="2"/>
  <c r="V1328" i="2"/>
  <c r="U800" i="2"/>
  <c r="P175" i="5"/>
  <c r="U1232" i="2"/>
  <c r="V1232" i="2"/>
  <c r="V992" i="2"/>
  <c r="V1136" i="2"/>
  <c r="L272" i="8"/>
  <c r="I272" i="8"/>
  <c r="V80" i="7"/>
  <c r="U224" i="7"/>
  <c r="P30" i="7"/>
  <c r="P126" i="2"/>
  <c r="U1520" i="2"/>
  <c r="I272" i="6"/>
  <c r="I128" i="5"/>
  <c r="G128" i="6"/>
  <c r="P78" i="4"/>
  <c r="P31" i="5"/>
  <c r="P127" i="5"/>
  <c r="I320" i="8"/>
  <c r="K224" i="6"/>
  <c r="I224" i="6"/>
  <c r="V704" i="2"/>
  <c r="H176" i="6"/>
  <c r="M80" i="5"/>
  <c r="U1040" i="2"/>
  <c r="U368" i="4"/>
  <c r="P1374" i="2"/>
  <c r="U752" i="2"/>
  <c r="L80" i="20"/>
  <c r="V320" i="2"/>
  <c r="U512" i="2"/>
  <c r="V1664" i="2"/>
  <c r="P1086" i="2"/>
  <c r="V32" i="7"/>
  <c r="P846" i="2"/>
  <c r="L176" i="6"/>
  <c r="V224" i="8"/>
  <c r="U992" i="2"/>
  <c r="P222" i="8"/>
  <c r="U128" i="21"/>
  <c r="H272" i="8"/>
  <c r="J464" i="7"/>
  <c r="I464" i="7"/>
  <c r="P79" i="20"/>
  <c r="P1326" i="2"/>
  <c r="N320" i="8"/>
  <c r="F1577" i="2"/>
  <c r="P750" i="2"/>
  <c r="U224" i="2"/>
  <c r="V224" i="2"/>
  <c r="V800" i="2"/>
  <c r="M176" i="6"/>
  <c r="L272" i="6"/>
  <c r="U1280" i="2"/>
  <c r="V1280" i="2"/>
  <c r="V1040" i="2"/>
  <c r="P223" i="6"/>
  <c r="U896" i="2"/>
  <c r="V176" i="7"/>
  <c r="K80" i="20"/>
  <c r="H128" i="20"/>
  <c r="V128" i="21"/>
  <c r="V80" i="8"/>
  <c r="V128" i="2"/>
  <c r="P222" i="2"/>
  <c r="V896" i="2"/>
  <c r="I176" i="6"/>
  <c r="K272" i="6"/>
  <c r="U272" i="4"/>
  <c r="V272" i="4"/>
  <c r="P271" i="6"/>
  <c r="U1136" i="2"/>
  <c r="U80" i="7"/>
  <c r="U176" i="4"/>
  <c r="V176" i="4"/>
  <c r="V272" i="7"/>
  <c r="V512" i="2"/>
  <c r="P702" i="2"/>
  <c r="P271" i="8"/>
  <c r="P126" i="8"/>
  <c r="P415" i="8"/>
  <c r="M137" i="19"/>
  <c r="O83" i="36" s="1"/>
  <c r="D1521" i="2"/>
  <c r="O1521" i="2"/>
  <c r="E1521" i="2"/>
  <c r="G1521" i="2" s="1"/>
  <c r="B1522" i="2"/>
  <c r="K176" i="6"/>
  <c r="J32" i="5"/>
  <c r="B1186" i="2"/>
  <c r="O1185" i="2"/>
  <c r="D1185" i="2"/>
  <c r="E1185" i="2"/>
  <c r="G1185" i="2" s="1"/>
  <c r="B370" i="7"/>
  <c r="D369" i="7"/>
  <c r="O369" i="7"/>
  <c r="E369" i="7"/>
  <c r="G369" i="7" s="1"/>
  <c r="M176" i="20"/>
  <c r="O369" i="4"/>
  <c r="B370" i="4"/>
  <c r="D369" i="4"/>
  <c r="E369" i="4"/>
  <c r="G369" i="4" s="1"/>
  <c r="L416" i="7"/>
  <c r="K272" i="8"/>
  <c r="M128" i="5"/>
  <c r="D321" i="6"/>
  <c r="B322" i="6"/>
  <c r="E321" i="6"/>
  <c r="O321" i="6"/>
  <c r="B34" i="21"/>
  <c r="D33" i="21"/>
  <c r="O33" i="21"/>
  <c r="E33" i="21"/>
  <c r="G33" i="21" s="1"/>
  <c r="L464" i="7"/>
  <c r="D849" i="2"/>
  <c r="O849" i="2"/>
  <c r="B850" i="2"/>
  <c r="E849" i="2"/>
  <c r="G849" i="2" s="1"/>
  <c r="D321" i="8"/>
  <c r="E321" i="8"/>
  <c r="N321" i="8" s="1"/>
  <c r="O321" i="8"/>
  <c r="B322" i="8"/>
  <c r="B130" i="20"/>
  <c r="E129" i="20"/>
  <c r="D129" i="20"/>
  <c r="B82" i="4"/>
  <c r="O81" i="4"/>
  <c r="D81" i="4"/>
  <c r="E81" i="4"/>
  <c r="G81" i="4" s="1"/>
  <c r="J176" i="6"/>
  <c r="N176" i="5"/>
  <c r="H32" i="5"/>
  <c r="U80" i="8"/>
  <c r="K176" i="20"/>
  <c r="O369" i="2"/>
  <c r="E369" i="2"/>
  <c r="G369" i="2" s="1"/>
  <c r="D369" i="2"/>
  <c r="B370" i="2"/>
  <c r="D1377" i="2"/>
  <c r="O1377" i="2"/>
  <c r="B1378" i="2"/>
  <c r="E1377" i="2"/>
  <c r="G1377" i="2" s="1"/>
  <c r="M272" i="8"/>
  <c r="K128" i="5"/>
  <c r="U320" i="4"/>
  <c r="H464" i="7"/>
  <c r="M80" i="20"/>
  <c r="U80" i="4"/>
  <c r="U944" i="2"/>
  <c r="D465" i="2"/>
  <c r="O465" i="2"/>
  <c r="B466" i="2"/>
  <c r="E465" i="2"/>
  <c r="G465" i="2" s="1"/>
  <c r="O417" i="8"/>
  <c r="D417" i="8"/>
  <c r="E417" i="8"/>
  <c r="G417" i="8" s="1"/>
  <c r="B418" i="8"/>
  <c r="D177" i="8"/>
  <c r="E177" i="8"/>
  <c r="G177" i="8" s="1"/>
  <c r="O177" i="8"/>
  <c r="B178" i="8"/>
  <c r="D657" i="2"/>
  <c r="B658" i="2"/>
  <c r="E657" i="2"/>
  <c r="G657" i="2" s="1"/>
  <c r="O657" i="2"/>
  <c r="G176" i="6"/>
  <c r="N32" i="5"/>
  <c r="B1234" i="2"/>
  <c r="E1233" i="2"/>
  <c r="G1233" i="2" s="1"/>
  <c r="D1233" i="2"/>
  <c r="O1233" i="2"/>
  <c r="B1282" i="2"/>
  <c r="D1281" i="2"/>
  <c r="E1281" i="2"/>
  <c r="G1281" i="2" s="1"/>
  <c r="O1281" i="2"/>
  <c r="G176" i="20"/>
  <c r="D129" i="21"/>
  <c r="E129" i="21"/>
  <c r="G129" i="21" s="1"/>
  <c r="B130" i="21"/>
  <c r="O129" i="21"/>
  <c r="O177" i="2"/>
  <c r="D177" i="2"/>
  <c r="E177" i="2"/>
  <c r="G177" i="2" s="1"/>
  <c r="B178" i="2"/>
  <c r="U1616" i="2"/>
  <c r="J272" i="8"/>
  <c r="D129" i="5"/>
  <c r="O129" i="5"/>
  <c r="B130" i="5"/>
  <c r="E129" i="5"/>
  <c r="G129" i="5" s="1"/>
  <c r="I80" i="20"/>
  <c r="H512" i="7"/>
  <c r="J416" i="8"/>
  <c r="D561" i="7"/>
  <c r="O561" i="7"/>
  <c r="E561" i="7"/>
  <c r="G561" i="7" s="1"/>
  <c r="B562" i="7"/>
  <c r="O369" i="8"/>
  <c r="B370" i="8"/>
  <c r="E369" i="8"/>
  <c r="N369" i="8" s="1"/>
  <c r="D369" i="8"/>
  <c r="E1329" i="2"/>
  <c r="G1329" i="2" s="1"/>
  <c r="D1329" i="2"/>
  <c r="O1329" i="2"/>
  <c r="B1330" i="2"/>
  <c r="N224" i="6"/>
  <c r="N128" i="20"/>
  <c r="B274" i="7"/>
  <c r="E273" i="7"/>
  <c r="G273" i="7" s="1"/>
  <c r="O273" i="7"/>
  <c r="D273" i="7"/>
  <c r="B418" i="7"/>
  <c r="E417" i="7"/>
  <c r="G417" i="7" s="1"/>
  <c r="D417" i="7"/>
  <c r="O417" i="7"/>
  <c r="E321" i="4"/>
  <c r="G321" i="4" s="1"/>
  <c r="D321" i="4"/>
  <c r="O321" i="4"/>
  <c r="B322" i="4"/>
  <c r="E945" i="2"/>
  <c r="G945" i="2" s="1"/>
  <c r="D945" i="2"/>
  <c r="O945" i="2"/>
  <c r="B946" i="2"/>
  <c r="L224" i="6"/>
  <c r="L128" i="20"/>
  <c r="B130" i="8"/>
  <c r="D129" i="8"/>
  <c r="E129" i="8"/>
  <c r="O129" i="8"/>
  <c r="E1665" i="2"/>
  <c r="G1665" i="2" s="1"/>
  <c r="O1665" i="2"/>
  <c r="D1665" i="2"/>
  <c r="B1666" i="2"/>
  <c r="E81" i="21"/>
  <c r="G81" i="21" s="1"/>
  <c r="O81" i="21"/>
  <c r="D81" i="21"/>
  <c r="B82" i="21"/>
  <c r="I176" i="5"/>
  <c r="D465" i="7"/>
  <c r="O465" i="7"/>
  <c r="E465" i="7"/>
  <c r="G465" i="7" s="1"/>
  <c r="B466" i="7"/>
  <c r="B82" i="20"/>
  <c r="D81" i="20"/>
  <c r="E81" i="20"/>
  <c r="G81" i="20" s="1"/>
  <c r="O81" i="20"/>
  <c r="B1570" i="2"/>
  <c r="E1569" i="2"/>
  <c r="G1569" i="2" s="1"/>
  <c r="D1569" i="2"/>
  <c r="O1569" i="2"/>
  <c r="B226" i="7"/>
  <c r="D225" i="7"/>
  <c r="E225" i="7"/>
  <c r="G225" i="7" s="1"/>
  <c r="O225" i="7"/>
  <c r="D33" i="4"/>
  <c r="O33" i="4"/>
  <c r="B34" i="4"/>
  <c r="E33" i="4"/>
  <c r="G33" i="4" s="1"/>
  <c r="E177" i="4"/>
  <c r="G177" i="4" s="1"/>
  <c r="D177" i="4"/>
  <c r="O177" i="4"/>
  <c r="B178" i="4"/>
  <c r="M320" i="8"/>
  <c r="M224" i="6"/>
  <c r="K128" i="20"/>
  <c r="H560" i="7"/>
  <c r="B82" i="5"/>
  <c r="E81" i="5"/>
  <c r="G81" i="5" s="1"/>
  <c r="D81" i="5"/>
  <c r="O81" i="5"/>
  <c r="D129" i="2"/>
  <c r="B130" i="2"/>
  <c r="O129" i="2"/>
  <c r="E129" i="2"/>
  <c r="G129" i="2" s="1"/>
  <c r="B1474" i="2"/>
  <c r="O1473" i="2"/>
  <c r="D1473" i="2"/>
  <c r="E1473" i="2"/>
  <c r="K176" i="5"/>
  <c r="E273" i="4"/>
  <c r="G273" i="4" s="1"/>
  <c r="D273" i="4"/>
  <c r="O273" i="4"/>
  <c r="B274" i="4"/>
  <c r="E177" i="20"/>
  <c r="G177" i="20" s="1"/>
  <c r="B178" i="20"/>
  <c r="O177" i="20"/>
  <c r="D177" i="20"/>
  <c r="O273" i="8"/>
  <c r="E273" i="8"/>
  <c r="G273" i="8" s="1"/>
  <c r="D273" i="8"/>
  <c r="B274" i="8"/>
  <c r="D1425" i="2"/>
  <c r="E1425" i="2"/>
  <c r="G1425" i="2" s="1"/>
  <c r="O1425" i="2"/>
  <c r="B1426" i="2"/>
  <c r="H224" i="6"/>
  <c r="I128" i="20"/>
  <c r="J560" i="7"/>
  <c r="B226" i="2"/>
  <c r="E225" i="2"/>
  <c r="G225" i="2" s="1"/>
  <c r="D225" i="2"/>
  <c r="E1041" i="2"/>
  <c r="G1041" i="2" s="1"/>
  <c r="D1041" i="2"/>
  <c r="O1041" i="2"/>
  <c r="B1042" i="2"/>
  <c r="E33" i="8"/>
  <c r="O33" i="8"/>
  <c r="D33" i="8"/>
  <c r="B34" i="8"/>
  <c r="O177" i="6"/>
  <c r="B178" i="6"/>
  <c r="E177" i="6"/>
  <c r="G177" i="6" s="1"/>
  <c r="D177" i="6"/>
  <c r="J177" i="6" s="1"/>
  <c r="J176" i="5"/>
  <c r="B274" i="6"/>
  <c r="O273" i="6"/>
  <c r="E273" i="6"/>
  <c r="G273" i="6" s="1"/>
  <c r="D273" i="6"/>
  <c r="B226" i="8"/>
  <c r="E225" i="8"/>
  <c r="D225" i="8"/>
  <c r="O225" i="8"/>
  <c r="D129" i="7"/>
  <c r="E129" i="7"/>
  <c r="G129" i="7" s="1"/>
  <c r="O129" i="7"/>
  <c r="B130" i="7"/>
  <c r="E993" i="2"/>
  <c r="G993" i="2" s="1"/>
  <c r="D993" i="2"/>
  <c r="O993" i="2"/>
  <c r="B994" i="2"/>
  <c r="B34" i="7"/>
  <c r="E33" i="7"/>
  <c r="G33" i="7" s="1"/>
  <c r="D33" i="7"/>
  <c r="O33" i="7"/>
  <c r="H176" i="20"/>
  <c r="J368" i="8"/>
  <c r="U176" i="7"/>
  <c r="N464" i="7"/>
  <c r="B610" i="2"/>
  <c r="E609" i="2"/>
  <c r="G609" i="2" s="1"/>
  <c r="D609" i="2"/>
  <c r="O609" i="2"/>
  <c r="B130" i="6"/>
  <c r="E129" i="6"/>
  <c r="G129" i="6" s="1"/>
  <c r="D129" i="6"/>
  <c r="O129" i="6"/>
  <c r="J224" i="6"/>
  <c r="M128" i="20"/>
  <c r="L560" i="7"/>
  <c r="E513" i="2"/>
  <c r="G513" i="2" s="1"/>
  <c r="D513" i="2"/>
  <c r="O513" i="2"/>
  <c r="B514" i="2"/>
  <c r="E561" i="2"/>
  <c r="G561" i="2" s="1"/>
  <c r="D561" i="2"/>
  <c r="O561" i="2"/>
  <c r="B562" i="2"/>
  <c r="D705" i="2"/>
  <c r="O705" i="2"/>
  <c r="B706" i="2"/>
  <c r="E705" i="2"/>
  <c r="G705" i="2" s="1"/>
  <c r="O81" i="8"/>
  <c r="B82" i="8"/>
  <c r="E81" i="8"/>
  <c r="G81" i="8" s="1"/>
  <c r="D81" i="8"/>
  <c r="M176" i="5"/>
  <c r="D417" i="2"/>
  <c r="O417" i="2"/>
  <c r="B418" i="2"/>
  <c r="E417" i="2"/>
  <c r="G417" i="2" s="1"/>
  <c r="B34" i="5"/>
  <c r="E33" i="5"/>
  <c r="G33" i="5" s="1"/>
  <c r="D33" i="5"/>
  <c r="O33" i="5"/>
  <c r="O225" i="4"/>
  <c r="B226" i="4"/>
  <c r="D225" i="4"/>
  <c r="E225" i="4"/>
  <c r="G225" i="4" s="1"/>
  <c r="K416" i="7"/>
  <c r="G272" i="8"/>
  <c r="H128" i="5"/>
  <c r="E897" i="2"/>
  <c r="G897" i="2" s="1"/>
  <c r="B898" i="2"/>
  <c r="D897" i="2"/>
  <c r="O897" i="2"/>
  <c r="N320" i="6"/>
  <c r="B754" i="2"/>
  <c r="D753" i="2"/>
  <c r="O753" i="2"/>
  <c r="E753" i="2"/>
  <c r="G753" i="2" s="1"/>
  <c r="M464" i="7"/>
  <c r="N512" i="7"/>
  <c r="U128" i="2"/>
  <c r="B322" i="7"/>
  <c r="D321" i="7"/>
  <c r="O321" i="7"/>
  <c r="E321" i="7"/>
  <c r="G321" i="7" s="1"/>
  <c r="L416" i="8"/>
  <c r="B322" i="2"/>
  <c r="O321" i="2"/>
  <c r="D321" i="2"/>
  <c r="E321" i="2"/>
  <c r="G321" i="2" s="1"/>
  <c r="J128" i="20"/>
  <c r="M560" i="7"/>
  <c r="B178" i="5"/>
  <c r="D177" i="5"/>
  <c r="O177" i="5"/>
  <c r="E177" i="5"/>
  <c r="G177" i="5" s="1"/>
  <c r="I32" i="5"/>
  <c r="N176" i="20"/>
  <c r="D1137" i="2"/>
  <c r="B1138" i="2"/>
  <c r="O1137" i="2"/>
  <c r="E1137" i="2"/>
  <c r="G1137" i="2" s="1"/>
  <c r="H416" i="7"/>
  <c r="J128" i="5"/>
  <c r="O81" i="7"/>
  <c r="B82" i="7"/>
  <c r="E81" i="7"/>
  <c r="G81" i="7" s="1"/>
  <c r="D81" i="7"/>
  <c r="B130" i="4"/>
  <c r="O129" i="4"/>
  <c r="E129" i="4"/>
  <c r="G129" i="4" s="1"/>
  <c r="D129" i="4"/>
  <c r="D513" i="7"/>
  <c r="O513" i="7"/>
  <c r="B514" i="7"/>
  <c r="E513" i="7"/>
  <c r="G513" i="7" s="1"/>
  <c r="E801" i="2"/>
  <c r="G801" i="2" s="1"/>
  <c r="D801" i="2"/>
  <c r="O801" i="2"/>
  <c r="B802" i="2"/>
  <c r="O273" i="2"/>
  <c r="E273" i="2"/>
  <c r="G273" i="2" s="1"/>
  <c r="D273" i="2"/>
  <c r="B274" i="2"/>
  <c r="B226" i="6"/>
  <c r="D225" i="6"/>
  <c r="E225" i="6"/>
  <c r="N225" i="6" s="1"/>
  <c r="O225" i="6"/>
  <c r="N560" i="7"/>
  <c r="E1617" i="2"/>
  <c r="G1617" i="2" s="1"/>
  <c r="D1617" i="2"/>
  <c r="O1617" i="2"/>
  <c r="B1618" i="2"/>
  <c r="H176" i="5"/>
  <c r="D81" i="6"/>
  <c r="B82" i="6"/>
  <c r="E81" i="6"/>
  <c r="G81" i="6" s="1"/>
  <c r="O81" i="6"/>
  <c r="L176" i="5"/>
  <c r="E1089" i="2"/>
  <c r="G1089" i="2" s="1"/>
  <c r="D1089" i="2"/>
  <c r="O1089" i="2"/>
  <c r="B1090" i="2"/>
  <c r="L128" i="5"/>
  <c r="O177" i="7"/>
  <c r="B178" i="7"/>
  <c r="D177" i="7"/>
  <c r="E177" i="7"/>
  <c r="G177" i="7" s="1"/>
  <c r="O225" i="2"/>
  <c r="F226" i="2"/>
  <c r="F227" i="2" s="1"/>
  <c r="F228" i="2" s="1"/>
  <c r="F229" i="2" s="1"/>
  <c r="F230" i="2" s="1"/>
  <c r="F231" i="2" s="1"/>
  <c r="F232" i="2" s="1"/>
  <c r="F233" i="2" s="1"/>
  <c r="L25" i="40"/>
  <c r="L26" i="40" s="1"/>
  <c r="L33" i="40" s="1"/>
  <c r="E29" i="41" s="1"/>
  <c r="G25" i="40"/>
  <c r="J33" i="40"/>
  <c r="C29" i="41" s="1"/>
  <c r="E149" i="38"/>
  <c r="E26" i="40"/>
  <c r="G26" i="40" s="1"/>
  <c r="G33" i="40" s="1"/>
  <c r="K25" i="40"/>
  <c r="K26" i="40" s="1"/>
  <c r="K33" i="40" s="1"/>
  <c r="D29" i="41" s="1"/>
  <c r="F149" i="38"/>
  <c r="C34" i="1"/>
  <c r="O11" i="1"/>
  <c r="O10" i="1"/>
  <c r="A14" i="1"/>
  <c r="C29" i="1"/>
  <c r="O6" i="1"/>
  <c r="C36" i="1"/>
  <c r="O13" i="1"/>
  <c r="O9" i="1"/>
  <c r="C32" i="1"/>
  <c r="O15" i="1"/>
  <c r="O14" i="1"/>
  <c r="C37" i="1"/>
  <c r="O16" i="1"/>
  <c r="O8" i="1"/>
  <c r="C30" i="1"/>
  <c r="O7" i="1"/>
  <c r="C35" i="1"/>
  <c r="O12" i="1"/>
  <c r="G2" i="40"/>
  <c r="K159" i="40"/>
  <c r="K161" i="40" s="1"/>
  <c r="J149" i="40"/>
  <c r="J151" i="40" s="1"/>
  <c r="J159" i="40" s="1"/>
  <c r="J161" i="40" s="1"/>
  <c r="H15" i="43"/>
  <c r="H50" i="43"/>
  <c r="W71" i="42" s="1"/>
  <c r="H20" i="43"/>
  <c r="A17" i="2"/>
  <c r="A16" i="2"/>
  <c r="B16" i="2" s="1"/>
  <c r="A15" i="2"/>
  <c r="B15" i="2" s="1"/>
  <c r="M226" i="2" l="1"/>
  <c r="L226" i="2"/>
  <c r="K226" i="2"/>
  <c r="J226" i="2"/>
  <c r="I226" i="2"/>
  <c r="H226" i="2"/>
  <c r="N226" i="2"/>
  <c r="N1474" i="2"/>
  <c r="M1474" i="2"/>
  <c r="L1474" i="2"/>
  <c r="K1474" i="2"/>
  <c r="J1474" i="2"/>
  <c r="I1474" i="2"/>
  <c r="H1474" i="2"/>
  <c r="I226" i="7"/>
  <c r="H226" i="7"/>
  <c r="L226" i="7"/>
  <c r="K226" i="7"/>
  <c r="J226" i="7"/>
  <c r="N226" i="7"/>
  <c r="M226" i="7"/>
  <c r="K130" i="21"/>
  <c r="J130" i="21"/>
  <c r="I130" i="21"/>
  <c r="H130" i="21"/>
  <c r="M130" i="21"/>
  <c r="N130" i="21"/>
  <c r="L130" i="21"/>
  <c r="M178" i="4"/>
  <c r="I178" i="4"/>
  <c r="N178" i="4"/>
  <c r="L178" i="4"/>
  <c r="K178" i="4"/>
  <c r="J178" i="4"/>
  <c r="H178" i="4"/>
  <c r="I130" i="8"/>
  <c r="H130" i="8"/>
  <c r="N130" i="8"/>
  <c r="M130" i="8"/>
  <c r="K130" i="8"/>
  <c r="L130" i="8"/>
  <c r="J130" i="8"/>
  <c r="I370" i="7"/>
  <c r="H370" i="7"/>
  <c r="N370" i="7"/>
  <c r="M370" i="7"/>
  <c r="L370" i="7"/>
  <c r="K370" i="7"/>
  <c r="J370" i="7"/>
  <c r="N562" i="2"/>
  <c r="M562" i="2"/>
  <c r="L562" i="2"/>
  <c r="K562" i="2"/>
  <c r="J562" i="2"/>
  <c r="I562" i="2"/>
  <c r="H562" i="2"/>
  <c r="I34" i="8"/>
  <c r="H34" i="8"/>
  <c r="N34" i="8"/>
  <c r="J34" i="8"/>
  <c r="M34" i="8"/>
  <c r="L34" i="8"/>
  <c r="K34" i="8"/>
  <c r="N82" i="21"/>
  <c r="M82" i="21"/>
  <c r="L82" i="21"/>
  <c r="K82" i="21"/>
  <c r="J82" i="21"/>
  <c r="I82" i="21"/>
  <c r="H82" i="21"/>
  <c r="N1378" i="2"/>
  <c r="M1378" i="2"/>
  <c r="L1378" i="2"/>
  <c r="K1378" i="2"/>
  <c r="J1378" i="2"/>
  <c r="I1378" i="2"/>
  <c r="H1378" i="2"/>
  <c r="N850" i="2"/>
  <c r="M850" i="2"/>
  <c r="L850" i="2"/>
  <c r="K850" i="2"/>
  <c r="J850" i="2"/>
  <c r="I850" i="2"/>
  <c r="H850" i="2"/>
  <c r="M130" i="2"/>
  <c r="L130" i="2"/>
  <c r="K130" i="2"/>
  <c r="J130" i="2"/>
  <c r="H130" i="2"/>
  <c r="I130" i="2"/>
  <c r="N130" i="2"/>
  <c r="L466" i="2"/>
  <c r="H466" i="2"/>
  <c r="N466" i="2"/>
  <c r="M466" i="2"/>
  <c r="J466" i="2"/>
  <c r="I466" i="2"/>
  <c r="K466" i="2"/>
  <c r="L34" i="7"/>
  <c r="K34" i="7"/>
  <c r="J34" i="7"/>
  <c r="I34" i="7"/>
  <c r="H34" i="7"/>
  <c r="M34" i="7"/>
  <c r="N34" i="7"/>
  <c r="N1426" i="2"/>
  <c r="M1426" i="2"/>
  <c r="L1426" i="2"/>
  <c r="K1426" i="2"/>
  <c r="J1426" i="2"/>
  <c r="I1426" i="2"/>
  <c r="H1426" i="2"/>
  <c r="M274" i="4"/>
  <c r="L274" i="4"/>
  <c r="K274" i="4"/>
  <c r="J274" i="4"/>
  <c r="I274" i="4"/>
  <c r="H274" i="4"/>
  <c r="N274" i="4"/>
  <c r="N1570" i="2"/>
  <c r="M1570" i="2"/>
  <c r="L1570" i="2"/>
  <c r="K1570" i="2"/>
  <c r="J1570" i="2"/>
  <c r="I1570" i="2"/>
  <c r="H1570" i="2"/>
  <c r="N946" i="2"/>
  <c r="M946" i="2"/>
  <c r="L946" i="2"/>
  <c r="K946" i="2"/>
  <c r="J946" i="2"/>
  <c r="I946" i="2"/>
  <c r="H946" i="2"/>
  <c r="N658" i="2"/>
  <c r="M658" i="2"/>
  <c r="L658" i="2"/>
  <c r="K658" i="2"/>
  <c r="J658" i="2"/>
  <c r="I658" i="2"/>
  <c r="H658" i="2"/>
  <c r="M370" i="2"/>
  <c r="L370" i="2"/>
  <c r="K370" i="2"/>
  <c r="J370" i="2"/>
  <c r="I370" i="2"/>
  <c r="H370" i="2"/>
  <c r="N370" i="2"/>
  <c r="N82" i="4"/>
  <c r="M82" i="4"/>
  <c r="I82" i="4"/>
  <c r="L82" i="4"/>
  <c r="K82" i="4"/>
  <c r="J82" i="4"/>
  <c r="H82" i="4"/>
  <c r="N1186" i="2"/>
  <c r="M1186" i="2"/>
  <c r="L1186" i="2"/>
  <c r="K1186" i="2"/>
  <c r="J1186" i="2"/>
  <c r="I1186" i="2"/>
  <c r="H1186" i="2"/>
  <c r="I82" i="7"/>
  <c r="N82" i="7"/>
  <c r="M82" i="7"/>
  <c r="L82" i="7"/>
  <c r="K82" i="7"/>
  <c r="J82" i="7"/>
  <c r="H82" i="7"/>
  <c r="J1042" i="2"/>
  <c r="N1042" i="2"/>
  <c r="M1042" i="2"/>
  <c r="L1042" i="2"/>
  <c r="K1042" i="2"/>
  <c r="I1042" i="2"/>
  <c r="H1042" i="2"/>
  <c r="N1666" i="2"/>
  <c r="M1666" i="2"/>
  <c r="L1666" i="2"/>
  <c r="K1666" i="2"/>
  <c r="J1666" i="2"/>
  <c r="I1666" i="2"/>
  <c r="H1666" i="2"/>
  <c r="I178" i="8"/>
  <c r="H178" i="8"/>
  <c r="N178" i="8"/>
  <c r="M178" i="8"/>
  <c r="L178" i="8"/>
  <c r="K178" i="8"/>
  <c r="J178" i="8"/>
  <c r="N1090" i="2"/>
  <c r="M1090" i="2"/>
  <c r="L1090" i="2"/>
  <c r="K1090" i="2"/>
  <c r="J1090" i="2"/>
  <c r="I1090" i="2"/>
  <c r="H1090" i="2"/>
  <c r="L418" i="2"/>
  <c r="N418" i="2"/>
  <c r="M418" i="2"/>
  <c r="K418" i="2"/>
  <c r="J418" i="2"/>
  <c r="I418" i="2"/>
  <c r="H418" i="2"/>
  <c r="L514" i="2"/>
  <c r="N514" i="2"/>
  <c r="M514" i="2"/>
  <c r="K514" i="2"/>
  <c r="J514" i="2"/>
  <c r="I514" i="2"/>
  <c r="H514" i="2"/>
  <c r="I34" i="4"/>
  <c r="K34" i="4"/>
  <c r="J34" i="4"/>
  <c r="H34" i="4"/>
  <c r="N34" i="4"/>
  <c r="M34" i="4"/>
  <c r="L34" i="4"/>
  <c r="N82" i="6"/>
  <c r="M82" i="6"/>
  <c r="L82" i="6"/>
  <c r="K82" i="6"/>
  <c r="I82" i="6"/>
  <c r="J82" i="6"/>
  <c r="H82" i="6"/>
  <c r="M274" i="2"/>
  <c r="L274" i="2"/>
  <c r="K274" i="2"/>
  <c r="J274" i="2"/>
  <c r="H274" i="2"/>
  <c r="I274" i="2"/>
  <c r="N274" i="2"/>
  <c r="N1138" i="2"/>
  <c r="M1138" i="2"/>
  <c r="L1138" i="2"/>
  <c r="K1138" i="2"/>
  <c r="J1138" i="2"/>
  <c r="I1138" i="2"/>
  <c r="H1138" i="2"/>
  <c r="M226" i="4"/>
  <c r="I226" i="4"/>
  <c r="N226" i="4"/>
  <c r="L226" i="4"/>
  <c r="K226" i="4"/>
  <c r="J226" i="4"/>
  <c r="H226" i="4"/>
  <c r="I274" i="7"/>
  <c r="H274" i="7"/>
  <c r="N274" i="7"/>
  <c r="M274" i="7"/>
  <c r="L274" i="7"/>
  <c r="K274" i="7"/>
  <c r="J274" i="7"/>
  <c r="N1282" i="2"/>
  <c r="M1282" i="2"/>
  <c r="L1282" i="2"/>
  <c r="K1282" i="2"/>
  <c r="J1282" i="2"/>
  <c r="I1282" i="2"/>
  <c r="H1282" i="2"/>
  <c r="M370" i="4"/>
  <c r="L370" i="4"/>
  <c r="K370" i="4"/>
  <c r="J370" i="4"/>
  <c r="I370" i="4"/>
  <c r="N370" i="4"/>
  <c r="H370" i="4"/>
  <c r="H130" i="6"/>
  <c r="M130" i="6"/>
  <c r="L130" i="6"/>
  <c r="N130" i="6"/>
  <c r="K130" i="6"/>
  <c r="J130" i="6"/>
  <c r="I130" i="6"/>
  <c r="M322" i="2"/>
  <c r="L322" i="2"/>
  <c r="H322" i="2"/>
  <c r="K322" i="2"/>
  <c r="J322" i="2"/>
  <c r="I322" i="2"/>
  <c r="N322" i="2"/>
  <c r="N754" i="2"/>
  <c r="M754" i="2"/>
  <c r="L754" i="2"/>
  <c r="K754" i="2"/>
  <c r="J754" i="2"/>
  <c r="H754" i="2"/>
  <c r="I754" i="2"/>
  <c r="I82" i="8"/>
  <c r="H82" i="8"/>
  <c r="N82" i="8"/>
  <c r="M82" i="8"/>
  <c r="L82" i="8"/>
  <c r="K82" i="8"/>
  <c r="J82" i="8"/>
  <c r="N610" i="2"/>
  <c r="M610" i="2"/>
  <c r="L610" i="2"/>
  <c r="K610" i="2"/>
  <c r="J610" i="2"/>
  <c r="I610" i="2"/>
  <c r="H610" i="2"/>
  <c r="M322" i="4"/>
  <c r="L322" i="4"/>
  <c r="K322" i="4"/>
  <c r="J322" i="4"/>
  <c r="I322" i="4"/>
  <c r="N322" i="4"/>
  <c r="H322" i="4"/>
  <c r="N1522" i="2"/>
  <c r="M1522" i="2"/>
  <c r="L1522" i="2"/>
  <c r="K1522" i="2"/>
  <c r="J1522" i="2"/>
  <c r="I1522" i="2"/>
  <c r="H1522" i="2"/>
  <c r="I178" i="7"/>
  <c r="M178" i="7"/>
  <c r="H178" i="7"/>
  <c r="N178" i="7"/>
  <c r="L178" i="7"/>
  <c r="J178" i="7"/>
  <c r="K178" i="7"/>
  <c r="I130" i="7"/>
  <c r="N130" i="7"/>
  <c r="H130" i="7"/>
  <c r="M130" i="7"/>
  <c r="L130" i="7"/>
  <c r="J130" i="7"/>
  <c r="K130" i="7"/>
  <c r="M34" i="21"/>
  <c r="L34" i="21"/>
  <c r="K34" i="21"/>
  <c r="J34" i="21"/>
  <c r="I34" i="21"/>
  <c r="N34" i="21"/>
  <c r="H34" i="21"/>
  <c r="N898" i="2"/>
  <c r="M898" i="2"/>
  <c r="L898" i="2"/>
  <c r="K898" i="2"/>
  <c r="J898" i="2"/>
  <c r="I898" i="2"/>
  <c r="H898" i="2"/>
  <c r="N1330" i="2"/>
  <c r="M1330" i="2"/>
  <c r="L1330" i="2"/>
  <c r="K1330" i="2"/>
  <c r="J1330" i="2"/>
  <c r="I1330" i="2"/>
  <c r="H1330" i="2"/>
  <c r="I322" i="7"/>
  <c r="H322" i="7"/>
  <c r="N322" i="7"/>
  <c r="M322" i="7"/>
  <c r="L322" i="7"/>
  <c r="K322" i="7"/>
  <c r="J322" i="7"/>
  <c r="I226" i="8"/>
  <c r="H226" i="8"/>
  <c r="N226" i="8"/>
  <c r="M226" i="8"/>
  <c r="L226" i="8"/>
  <c r="K226" i="8"/>
  <c r="J226" i="8"/>
  <c r="N994" i="2"/>
  <c r="M994" i="2"/>
  <c r="L994" i="2"/>
  <c r="K994" i="2"/>
  <c r="J994" i="2"/>
  <c r="I994" i="2"/>
  <c r="H994" i="2"/>
  <c r="N1618" i="2"/>
  <c r="M1618" i="2"/>
  <c r="L1618" i="2"/>
  <c r="K1618" i="2"/>
  <c r="J1618" i="2"/>
  <c r="I1618" i="2"/>
  <c r="H1618" i="2"/>
  <c r="M130" i="4"/>
  <c r="N130" i="4"/>
  <c r="I130" i="4"/>
  <c r="L130" i="4"/>
  <c r="K130" i="4"/>
  <c r="J130" i="4"/>
  <c r="H130" i="4"/>
  <c r="N802" i="2"/>
  <c r="M802" i="2"/>
  <c r="L802" i="2"/>
  <c r="K802" i="2"/>
  <c r="J802" i="2"/>
  <c r="I802" i="2"/>
  <c r="H802" i="2"/>
  <c r="N706" i="2"/>
  <c r="M706" i="2"/>
  <c r="L706" i="2"/>
  <c r="K706" i="2"/>
  <c r="J706" i="2"/>
  <c r="I706" i="2"/>
  <c r="H706" i="2"/>
  <c r="N1234" i="2"/>
  <c r="M1234" i="2"/>
  <c r="L1234" i="2"/>
  <c r="K1234" i="2"/>
  <c r="J1234" i="2"/>
  <c r="H1234" i="2"/>
  <c r="I1234" i="2"/>
  <c r="N178" i="2"/>
  <c r="J178" i="2"/>
  <c r="M178" i="2"/>
  <c r="I178" i="2"/>
  <c r="H178" i="2"/>
  <c r="K178" i="2"/>
  <c r="L178" i="2"/>
  <c r="I129" i="13"/>
  <c r="L129" i="13"/>
  <c r="K129" i="13"/>
  <c r="P272" i="13"/>
  <c r="L273" i="13"/>
  <c r="M273" i="13"/>
  <c r="K273" i="13"/>
  <c r="G225" i="13"/>
  <c r="H225" i="13"/>
  <c r="J225" i="13"/>
  <c r="M225" i="13"/>
  <c r="P176" i="13"/>
  <c r="M177" i="13"/>
  <c r="J81" i="13"/>
  <c r="B275" i="13"/>
  <c r="O274" i="13"/>
  <c r="E274" i="13"/>
  <c r="G274" i="13" s="1"/>
  <c r="D274" i="13"/>
  <c r="H273" i="13"/>
  <c r="J273" i="13"/>
  <c r="G273" i="13"/>
  <c r="I273" i="13"/>
  <c r="L225" i="13"/>
  <c r="I225" i="13"/>
  <c r="P224" i="13"/>
  <c r="D226" i="13"/>
  <c r="O226" i="13"/>
  <c r="E226" i="13"/>
  <c r="N226" i="13" s="1"/>
  <c r="B227" i="13"/>
  <c r="K225" i="13"/>
  <c r="O178" i="13"/>
  <c r="B179" i="13"/>
  <c r="D178" i="13"/>
  <c r="E178" i="13"/>
  <c r="G177" i="13"/>
  <c r="L177" i="13"/>
  <c r="I177" i="13"/>
  <c r="J177" i="13"/>
  <c r="K177" i="13"/>
  <c r="H177" i="13"/>
  <c r="E130" i="13"/>
  <c r="G130" i="13" s="1"/>
  <c r="B131" i="13"/>
  <c r="D130" i="13"/>
  <c r="O130" i="13"/>
  <c r="M129" i="13"/>
  <c r="J129" i="13"/>
  <c r="H129" i="13"/>
  <c r="N129" i="13"/>
  <c r="P128" i="13"/>
  <c r="I81" i="13"/>
  <c r="G81" i="13"/>
  <c r="L81" i="13"/>
  <c r="K81" i="13"/>
  <c r="H81" i="13"/>
  <c r="O82" i="13"/>
  <c r="B83" i="13"/>
  <c r="E82" i="13"/>
  <c r="G82" i="13" s="1"/>
  <c r="D82" i="13"/>
  <c r="N81" i="13"/>
  <c r="P80" i="13"/>
  <c r="U945" i="2"/>
  <c r="U81" i="7"/>
  <c r="H177" i="5"/>
  <c r="U129" i="8"/>
  <c r="J177" i="5"/>
  <c r="L33" i="5"/>
  <c r="U321" i="4"/>
  <c r="U33" i="4"/>
  <c r="H417" i="8"/>
  <c r="P1567" i="2"/>
  <c r="P1183" i="2"/>
  <c r="P1135" i="2"/>
  <c r="P751" i="2"/>
  <c r="U225" i="7"/>
  <c r="L81" i="20"/>
  <c r="V129" i="21"/>
  <c r="L561" i="7"/>
  <c r="P895" i="2"/>
  <c r="P367" i="4"/>
  <c r="P127" i="21"/>
  <c r="P319" i="4"/>
  <c r="L129" i="5"/>
  <c r="N273" i="6"/>
  <c r="U1473" i="2"/>
  <c r="H129" i="5"/>
  <c r="P271" i="2"/>
  <c r="P1087" i="2"/>
  <c r="P703" i="2"/>
  <c r="P1423" i="2"/>
  <c r="P127" i="2"/>
  <c r="V1569" i="2"/>
  <c r="P1519" i="2"/>
  <c r="V657" i="2"/>
  <c r="P607" i="2"/>
  <c r="V609" i="2"/>
  <c r="P511" i="2"/>
  <c r="P463" i="2"/>
  <c r="P415" i="2"/>
  <c r="V369" i="2"/>
  <c r="P319" i="2"/>
  <c r="U561" i="2"/>
  <c r="U753" i="2"/>
  <c r="P799" i="2"/>
  <c r="P847" i="2"/>
  <c r="P991" i="2"/>
  <c r="V1041" i="2"/>
  <c r="U1089" i="2"/>
  <c r="P1375" i="2"/>
  <c r="U1569" i="2"/>
  <c r="P31" i="4"/>
  <c r="P127" i="4"/>
  <c r="P175" i="4"/>
  <c r="P79" i="4"/>
  <c r="H177" i="20"/>
  <c r="P32" i="5"/>
  <c r="N81" i="5"/>
  <c r="K81" i="5"/>
  <c r="I129" i="5"/>
  <c r="M129" i="5"/>
  <c r="N129" i="5"/>
  <c r="K129" i="5"/>
  <c r="L108" i="19"/>
  <c r="N142" i="19" s="1"/>
  <c r="P79" i="21"/>
  <c r="U81" i="21"/>
  <c r="U129" i="21"/>
  <c r="P127" i="6"/>
  <c r="U129" i="6"/>
  <c r="H177" i="6"/>
  <c r="M177" i="6"/>
  <c r="M225" i="6"/>
  <c r="K273" i="6"/>
  <c r="K177" i="6"/>
  <c r="H225" i="6"/>
  <c r="J225" i="6"/>
  <c r="K225" i="6"/>
  <c r="P320" i="6"/>
  <c r="L321" i="6"/>
  <c r="P31" i="7"/>
  <c r="U177" i="7"/>
  <c r="U321" i="7"/>
  <c r="P319" i="7"/>
  <c r="P367" i="7"/>
  <c r="M417" i="7"/>
  <c r="H417" i="7"/>
  <c r="J417" i="7"/>
  <c r="M561" i="7"/>
  <c r="N561" i="7"/>
  <c r="P127" i="8"/>
  <c r="P175" i="8"/>
  <c r="U225" i="8"/>
  <c r="V225" i="8"/>
  <c r="P223" i="8"/>
  <c r="J273" i="8"/>
  <c r="P320" i="8"/>
  <c r="H369" i="8"/>
  <c r="P128" i="5"/>
  <c r="P223" i="2"/>
  <c r="P127" i="7"/>
  <c r="P175" i="2"/>
  <c r="P1231" i="2"/>
  <c r="P367" i="2"/>
  <c r="P559" i="2"/>
  <c r="U1233" i="2"/>
  <c r="V1233" i="2"/>
  <c r="V801" i="2"/>
  <c r="V273" i="4"/>
  <c r="U33" i="7"/>
  <c r="V33" i="7"/>
  <c r="V945" i="2"/>
  <c r="P271" i="4"/>
  <c r="P176" i="20"/>
  <c r="U81" i="6"/>
  <c r="L513" i="7"/>
  <c r="V417" i="2"/>
  <c r="I225" i="6"/>
  <c r="N513" i="7"/>
  <c r="H33" i="5"/>
  <c r="U513" i="2"/>
  <c r="U993" i="2"/>
  <c r="V993" i="2"/>
  <c r="J273" i="6"/>
  <c r="V1425" i="2"/>
  <c r="G1473" i="2"/>
  <c r="U129" i="2"/>
  <c r="M81" i="20"/>
  <c r="P1327" i="2"/>
  <c r="L417" i="7"/>
  <c r="U1329" i="2"/>
  <c r="L369" i="8"/>
  <c r="U465" i="2"/>
  <c r="V1377" i="2"/>
  <c r="U369" i="7"/>
  <c r="V369" i="7"/>
  <c r="U1185" i="2"/>
  <c r="V1617" i="2"/>
  <c r="P416" i="7"/>
  <c r="G33" i="8"/>
  <c r="V225" i="2"/>
  <c r="G369" i="8"/>
  <c r="V1281" i="2"/>
  <c r="U177" i="8"/>
  <c r="V177" i="8"/>
  <c r="P271" i="7"/>
  <c r="U801" i="2"/>
  <c r="H513" i="7"/>
  <c r="I513" i="7"/>
  <c r="U1137" i="2"/>
  <c r="V897" i="2"/>
  <c r="J33" i="5"/>
  <c r="V81" i="8"/>
  <c r="L273" i="8"/>
  <c r="I273" i="8"/>
  <c r="L177" i="20"/>
  <c r="V1473" i="2"/>
  <c r="G129" i="8"/>
  <c r="N417" i="7"/>
  <c r="V321" i="7"/>
  <c r="K33" i="5"/>
  <c r="J177" i="20"/>
  <c r="P512" i="7"/>
  <c r="V1521" i="2"/>
  <c r="N89" i="19"/>
  <c r="O66" i="19"/>
  <c r="U129" i="4"/>
  <c r="V129" i="4"/>
  <c r="N33" i="5"/>
  <c r="P1615" i="2"/>
  <c r="U33" i="8"/>
  <c r="V33" i="8"/>
  <c r="M177" i="20"/>
  <c r="U177" i="4"/>
  <c r="V1329" i="2"/>
  <c r="K369" i="8"/>
  <c r="M369" i="8"/>
  <c r="I369" i="8"/>
  <c r="V465" i="2"/>
  <c r="L59" i="19"/>
  <c r="C82" i="36" s="1"/>
  <c r="P31" i="8"/>
  <c r="U705" i="2"/>
  <c r="V705" i="2"/>
  <c r="V1089" i="2"/>
  <c r="K465" i="7"/>
  <c r="I465" i="7"/>
  <c r="V81" i="21"/>
  <c r="M417" i="8"/>
  <c r="I417" i="8"/>
  <c r="K417" i="8"/>
  <c r="J417" i="8"/>
  <c r="P128" i="20"/>
  <c r="P464" i="7"/>
  <c r="V177" i="7"/>
  <c r="L225" i="6"/>
  <c r="V1137" i="2"/>
  <c r="P272" i="8"/>
  <c r="U609" i="2"/>
  <c r="U129" i="7"/>
  <c r="V129" i="7"/>
  <c r="V129" i="8"/>
  <c r="I417" i="7"/>
  <c r="N417" i="8"/>
  <c r="U33" i="21"/>
  <c r="V33" i="21"/>
  <c r="I321" i="8"/>
  <c r="G225" i="6"/>
  <c r="J513" i="7"/>
  <c r="V81" i="7"/>
  <c r="V561" i="2"/>
  <c r="V129" i="6"/>
  <c r="G225" i="8"/>
  <c r="N177" i="6"/>
  <c r="U1041" i="2"/>
  <c r="P224" i="6"/>
  <c r="V33" i="4"/>
  <c r="V321" i="4"/>
  <c r="P176" i="6"/>
  <c r="U1377" i="2"/>
  <c r="U321" i="2"/>
  <c r="V321" i="2"/>
  <c r="H561" i="7"/>
  <c r="J561" i="7"/>
  <c r="I561" i="7"/>
  <c r="P80" i="20"/>
  <c r="U177" i="2"/>
  <c r="U1281" i="2"/>
  <c r="V369" i="4"/>
  <c r="P175" i="7"/>
  <c r="P368" i="8"/>
  <c r="V849" i="2"/>
  <c r="V513" i="2"/>
  <c r="L177" i="6"/>
  <c r="I177" i="6"/>
  <c r="P176" i="5"/>
  <c r="U273" i="2"/>
  <c r="V273" i="2"/>
  <c r="K513" i="7"/>
  <c r="V753" i="2"/>
  <c r="U225" i="4"/>
  <c r="V225" i="4"/>
  <c r="I33" i="5"/>
  <c r="H273" i="6"/>
  <c r="I273" i="6"/>
  <c r="P79" i="8"/>
  <c r="K561" i="7"/>
  <c r="N321" i="6"/>
  <c r="G321" i="6"/>
  <c r="V129" i="2"/>
  <c r="P1279" i="2"/>
  <c r="V1185" i="2"/>
  <c r="V177" i="4"/>
  <c r="V225" i="7"/>
  <c r="V1665" i="2"/>
  <c r="U225" i="2"/>
  <c r="P560" i="7"/>
  <c r="U273" i="7"/>
  <c r="V273" i="7"/>
  <c r="P31" i="21"/>
  <c r="V81" i="6"/>
  <c r="V177" i="2"/>
  <c r="P79" i="7"/>
  <c r="P655" i="2"/>
  <c r="M321" i="8"/>
  <c r="J321" i="8"/>
  <c r="K321" i="6"/>
  <c r="P1039" i="2"/>
  <c r="V81" i="4"/>
  <c r="U1521" i="2"/>
  <c r="P1663" i="2"/>
  <c r="L155" i="19"/>
  <c r="O162" i="19"/>
  <c r="N185" i="19"/>
  <c r="P80" i="5"/>
  <c r="J129" i="5"/>
  <c r="U369" i="2"/>
  <c r="U81" i="4"/>
  <c r="P79" i="6"/>
  <c r="P416" i="8"/>
  <c r="P272" i="6"/>
  <c r="P1471" i="2"/>
  <c r="P943" i="2"/>
  <c r="P223" i="7"/>
  <c r="M321" i="6"/>
  <c r="U369" i="4"/>
  <c r="P223" i="4"/>
  <c r="I321" i="6"/>
  <c r="L321" i="8"/>
  <c r="J321" i="6"/>
  <c r="B995" i="2"/>
  <c r="E994" i="2"/>
  <c r="G994" i="2" s="1"/>
  <c r="O994" i="2"/>
  <c r="D994" i="2"/>
  <c r="K177" i="5"/>
  <c r="B323" i="2"/>
  <c r="E322" i="2"/>
  <c r="G322" i="2" s="1"/>
  <c r="D322" i="2"/>
  <c r="O322" i="2"/>
  <c r="B899" i="2"/>
  <c r="D898" i="2"/>
  <c r="O898" i="2"/>
  <c r="E898" i="2"/>
  <c r="G898" i="2" s="1"/>
  <c r="U417" i="2"/>
  <c r="B275" i="6"/>
  <c r="O274" i="6"/>
  <c r="D274" i="6"/>
  <c r="E274" i="6"/>
  <c r="G274" i="6" s="1"/>
  <c r="U1425" i="2"/>
  <c r="J81" i="5"/>
  <c r="J81" i="20"/>
  <c r="D466" i="7"/>
  <c r="B467" i="7"/>
  <c r="O466" i="7"/>
  <c r="E466" i="7"/>
  <c r="B371" i="8"/>
  <c r="E370" i="8"/>
  <c r="G370" i="8" s="1"/>
  <c r="D370" i="8"/>
  <c r="O370" i="8"/>
  <c r="O178" i="8"/>
  <c r="D178" i="8"/>
  <c r="E178" i="8"/>
  <c r="G178" i="8" s="1"/>
  <c r="B179" i="8"/>
  <c r="G321" i="8"/>
  <c r="B1187" i="2"/>
  <c r="E1186" i="2"/>
  <c r="G1186" i="2" s="1"/>
  <c r="O1186" i="2"/>
  <c r="D1186" i="2"/>
  <c r="E514" i="7"/>
  <c r="D514" i="7"/>
  <c r="B515" i="7"/>
  <c r="O514" i="7"/>
  <c r="B803" i="2"/>
  <c r="D802" i="2"/>
  <c r="E802" i="2"/>
  <c r="G802" i="2" s="1"/>
  <c r="O802" i="2"/>
  <c r="B947" i="2"/>
  <c r="D946" i="2"/>
  <c r="E946" i="2"/>
  <c r="O946" i="2"/>
  <c r="D34" i="21"/>
  <c r="E34" i="21"/>
  <c r="B35" i="21"/>
  <c r="O34" i="21"/>
  <c r="B323" i="4"/>
  <c r="E322" i="4"/>
  <c r="G322" i="4" s="1"/>
  <c r="O322" i="4"/>
  <c r="D322" i="4"/>
  <c r="E1138" i="2"/>
  <c r="D1138" i="2"/>
  <c r="O1138" i="2"/>
  <c r="B1139" i="2"/>
  <c r="I177" i="5"/>
  <c r="M273" i="8"/>
  <c r="D34" i="4"/>
  <c r="O34" i="4"/>
  <c r="B35" i="4"/>
  <c r="E34" i="4"/>
  <c r="D274" i="7"/>
  <c r="O274" i="7"/>
  <c r="B275" i="7"/>
  <c r="E274" i="7"/>
  <c r="O178" i="2"/>
  <c r="D178" i="2"/>
  <c r="B179" i="2"/>
  <c r="E178" i="2"/>
  <c r="G178" i="2" s="1"/>
  <c r="B1379" i="2"/>
  <c r="O1378" i="2"/>
  <c r="E1378" i="2"/>
  <c r="G1378" i="2" s="1"/>
  <c r="D1378" i="2"/>
  <c r="U849" i="2"/>
  <c r="D370" i="7"/>
  <c r="O370" i="7"/>
  <c r="E370" i="7"/>
  <c r="G370" i="7" s="1"/>
  <c r="B371" i="7"/>
  <c r="B83" i="6"/>
  <c r="D82" i="6"/>
  <c r="O82" i="6"/>
  <c r="E82" i="6"/>
  <c r="G82" i="6" s="1"/>
  <c r="B1331" i="2"/>
  <c r="D1330" i="2"/>
  <c r="E1330" i="2"/>
  <c r="G1330" i="2" s="1"/>
  <c r="O1330" i="2"/>
  <c r="B755" i="2"/>
  <c r="E754" i="2"/>
  <c r="G754" i="2" s="1"/>
  <c r="O754" i="2"/>
  <c r="D754" i="2"/>
  <c r="B83" i="20"/>
  <c r="D82" i="20"/>
  <c r="O82" i="20"/>
  <c r="E82" i="20"/>
  <c r="U1617" i="2"/>
  <c r="B83" i="7"/>
  <c r="E82" i="7"/>
  <c r="G82" i="7" s="1"/>
  <c r="O82" i="7"/>
  <c r="D82" i="7"/>
  <c r="M177" i="5"/>
  <c r="M273" i="6"/>
  <c r="D226" i="2"/>
  <c r="B227" i="2"/>
  <c r="E226" i="2"/>
  <c r="G226" i="2" s="1"/>
  <c r="O226" i="2"/>
  <c r="K273" i="8"/>
  <c r="B179" i="20"/>
  <c r="D178" i="20"/>
  <c r="O178" i="20"/>
  <c r="E178" i="20"/>
  <c r="G178" i="20" s="1"/>
  <c r="B1475" i="2"/>
  <c r="O1474" i="2"/>
  <c r="E1474" i="2"/>
  <c r="D1474" i="2"/>
  <c r="H81" i="5"/>
  <c r="O226" i="7"/>
  <c r="B227" i="7"/>
  <c r="D226" i="7"/>
  <c r="E226" i="7"/>
  <c r="G226" i="7" s="1"/>
  <c r="L465" i="7"/>
  <c r="J369" i="8"/>
  <c r="B131" i="20"/>
  <c r="D130" i="20"/>
  <c r="O130" i="20"/>
  <c r="E130" i="20"/>
  <c r="B851" i="2"/>
  <c r="E850" i="2"/>
  <c r="G850" i="2" s="1"/>
  <c r="D850" i="2"/>
  <c r="O850" i="2"/>
  <c r="D1426" i="2"/>
  <c r="B1427" i="2"/>
  <c r="E1426" i="2"/>
  <c r="G1426" i="2" s="1"/>
  <c r="O1426" i="2"/>
  <c r="O562" i="7"/>
  <c r="E562" i="7"/>
  <c r="G562" i="7" s="1"/>
  <c r="D562" i="7"/>
  <c r="B563" i="7"/>
  <c r="O1618" i="2"/>
  <c r="B1619" i="2"/>
  <c r="D1618" i="2"/>
  <c r="E1618" i="2"/>
  <c r="G1618" i="2" s="1"/>
  <c r="D274" i="2"/>
  <c r="E274" i="2"/>
  <c r="G274" i="2" s="1"/>
  <c r="O274" i="2"/>
  <c r="B275" i="2"/>
  <c r="B179" i="5"/>
  <c r="D178" i="5"/>
  <c r="O178" i="5"/>
  <c r="E178" i="5"/>
  <c r="O322" i="7"/>
  <c r="E322" i="7"/>
  <c r="G322" i="7" s="1"/>
  <c r="B323" i="7"/>
  <c r="D322" i="7"/>
  <c r="M33" i="5"/>
  <c r="L273" i="6"/>
  <c r="H273" i="8"/>
  <c r="U273" i="4"/>
  <c r="D82" i="5"/>
  <c r="O82" i="5"/>
  <c r="B83" i="5"/>
  <c r="E82" i="5"/>
  <c r="N81" i="20"/>
  <c r="N465" i="7"/>
  <c r="D418" i="8"/>
  <c r="O418" i="8"/>
  <c r="E418" i="8"/>
  <c r="G418" i="8" s="1"/>
  <c r="B419" i="8"/>
  <c r="H321" i="6"/>
  <c r="B1523" i="2"/>
  <c r="D1522" i="2"/>
  <c r="E1522" i="2"/>
  <c r="G1522" i="2" s="1"/>
  <c r="O1522" i="2"/>
  <c r="E418" i="2"/>
  <c r="G418" i="2" s="1"/>
  <c r="O418" i="2"/>
  <c r="D418" i="2"/>
  <c r="B419" i="2"/>
  <c r="E562" i="2"/>
  <c r="D562" i="2"/>
  <c r="O562" i="2"/>
  <c r="B563" i="2"/>
  <c r="D322" i="8"/>
  <c r="O322" i="8"/>
  <c r="B323" i="8"/>
  <c r="E322" i="8"/>
  <c r="N322" i="8" s="1"/>
  <c r="B467" i="2"/>
  <c r="O466" i="2"/>
  <c r="D466" i="2"/>
  <c r="E466" i="2"/>
  <c r="G466" i="2" s="1"/>
  <c r="B179" i="7"/>
  <c r="E178" i="7"/>
  <c r="O178" i="7"/>
  <c r="D178" i="7"/>
  <c r="U897" i="2"/>
  <c r="U81" i="8"/>
  <c r="E130" i="6"/>
  <c r="G130" i="6" s="1"/>
  <c r="D130" i="6"/>
  <c r="B131" i="6"/>
  <c r="O130" i="6"/>
  <c r="E226" i="8"/>
  <c r="G226" i="8" s="1"/>
  <c r="D226" i="8"/>
  <c r="O226" i="8"/>
  <c r="B227" i="8"/>
  <c r="N273" i="8"/>
  <c r="I81" i="5"/>
  <c r="H81" i="20"/>
  <c r="H465" i="7"/>
  <c r="U1665" i="2"/>
  <c r="B131" i="8"/>
  <c r="D130" i="8"/>
  <c r="E130" i="8"/>
  <c r="G130" i="8" s="1"/>
  <c r="O130" i="8"/>
  <c r="B419" i="7"/>
  <c r="O418" i="7"/>
  <c r="E418" i="7"/>
  <c r="G418" i="7" s="1"/>
  <c r="D418" i="7"/>
  <c r="E130" i="5"/>
  <c r="G130" i="5" s="1"/>
  <c r="B131" i="5"/>
  <c r="O130" i="5"/>
  <c r="D130" i="5"/>
  <c r="B1283" i="2"/>
  <c r="D1282" i="2"/>
  <c r="E1282" i="2"/>
  <c r="G1282" i="2" s="1"/>
  <c r="O1282" i="2"/>
  <c r="O370" i="2"/>
  <c r="E370" i="2"/>
  <c r="G370" i="2" s="1"/>
  <c r="D370" i="2"/>
  <c r="B371" i="2"/>
  <c r="B371" i="4"/>
  <c r="E370" i="4"/>
  <c r="G370" i="4" s="1"/>
  <c r="O370" i="4"/>
  <c r="D370" i="4"/>
  <c r="B35" i="8"/>
  <c r="O34" i="8"/>
  <c r="E34" i="8"/>
  <c r="D34" i="8"/>
  <c r="E178" i="4"/>
  <c r="G178" i="4" s="1"/>
  <c r="D178" i="4"/>
  <c r="O178" i="4"/>
  <c r="B179" i="4"/>
  <c r="E82" i="4"/>
  <c r="D82" i="4"/>
  <c r="O82" i="4"/>
  <c r="B83" i="4"/>
  <c r="D130" i="2"/>
  <c r="B131" i="2"/>
  <c r="E130" i="2"/>
  <c r="G130" i="2" s="1"/>
  <c r="O130" i="2"/>
  <c r="M513" i="7"/>
  <c r="E514" i="2"/>
  <c r="G514" i="2" s="1"/>
  <c r="O514" i="2"/>
  <c r="B515" i="2"/>
  <c r="D514" i="2"/>
  <c r="B1043" i="2"/>
  <c r="D1042" i="2"/>
  <c r="E1042" i="2"/>
  <c r="O1042" i="2"/>
  <c r="D34" i="5"/>
  <c r="O34" i="5"/>
  <c r="E34" i="5"/>
  <c r="G34" i="5" s="1"/>
  <c r="B35" i="5"/>
  <c r="O610" i="2"/>
  <c r="D610" i="2"/>
  <c r="B611" i="2"/>
  <c r="E610" i="2"/>
  <c r="N177" i="20"/>
  <c r="M81" i="5"/>
  <c r="K81" i="20"/>
  <c r="J465" i="7"/>
  <c r="B1667" i="2"/>
  <c r="E1666" i="2"/>
  <c r="G1666" i="2" s="1"/>
  <c r="O1666" i="2"/>
  <c r="D1666" i="2"/>
  <c r="L417" i="8"/>
  <c r="K321" i="8"/>
  <c r="D82" i="21"/>
  <c r="E82" i="21"/>
  <c r="G82" i="21" s="1"/>
  <c r="O82" i="21"/>
  <c r="B83" i="21"/>
  <c r="B227" i="6"/>
  <c r="D226" i="6"/>
  <c r="E226" i="6"/>
  <c r="O226" i="6"/>
  <c r="E130" i="7"/>
  <c r="G130" i="7" s="1"/>
  <c r="O130" i="7"/>
  <c r="D130" i="7"/>
  <c r="B131" i="7"/>
  <c r="I177" i="20"/>
  <c r="L81" i="5"/>
  <c r="I81" i="20"/>
  <c r="M465" i="7"/>
  <c r="E130" i="21"/>
  <c r="G130" i="21" s="1"/>
  <c r="D130" i="21"/>
  <c r="O130" i="21"/>
  <c r="B131" i="21"/>
  <c r="U657" i="2"/>
  <c r="H321" i="8"/>
  <c r="B131" i="4"/>
  <c r="E130" i="4"/>
  <c r="G130" i="4" s="1"/>
  <c r="D130" i="4"/>
  <c r="O130" i="4"/>
  <c r="B1235" i="2"/>
  <c r="E1234" i="2"/>
  <c r="G1234" i="2" s="1"/>
  <c r="D1234" i="2"/>
  <c r="O1234" i="2"/>
  <c r="B1091" i="2"/>
  <c r="D1090" i="2"/>
  <c r="E1090" i="2"/>
  <c r="G1090" i="2" s="1"/>
  <c r="O1090" i="2"/>
  <c r="E274" i="4"/>
  <c r="G274" i="4" s="1"/>
  <c r="D274" i="4"/>
  <c r="O274" i="4"/>
  <c r="B275" i="4"/>
  <c r="L177" i="5"/>
  <c r="O706" i="2"/>
  <c r="B707" i="2"/>
  <c r="D706" i="2"/>
  <c r="E706" i="2"/>
  <c r="G706" i="2" s="1"/>
  <c r="E34" i="7"/>
  <c r="D34" i="7"/>
  <c r="O34" i="7"/>
  <c r="B35" i="7"/>
  <c r="B179" i="6"/>
  <c r="E178" i="6"/>
  <c r="D178" i="6"/>
  <c r="O178" i="6"/>
  <c r="B275" i="8"/>
  <c r="D274" i="8"/>
  <c r="E274" i="8"/>
  <c r="N274" i="8" s="1"/>
  <c r="O274" i="8"/>
  <c r="N177" i="5"/>
  <c r="O226" i="4"/>
  <c r="E226" i="4"/>
  <c r="G226" i="4" s="1"/>
  <c r="B227" i="4"/>
  <c r="D226" i="4"/>
  <c r="D82" i="8"/>
  <c r="E82" i="8"/>
  <c r="G82" i="8" s="1"/>
  <c r="B83" i="8"/>
  <c r="O82" i="8"/>
  <c r="K177" i="20"/>
  <c r="B1571" i="2"/>
  <c r="E1570" i="2"/>
  <c r="G1570" i="2" s="1"/>
  <c r="D1570" i="2"/>
  <c r="O1570" i="2"/>
  <c r="K417" i="7"/>
  <c r="O658" i="2"/>
  <c r="D658" i="2"/>
  <c r="B659" i="2"/>
  <c r="E658" i="2"/>
  <c r="G658" i="2" s="1"/>
  <c r="D322" i="6"/>
  <c r="B323" i="6"/>
  <c r="E322" i="6"/>
  <c r="N322" i="6" s="1"/>
  <c r="O322" i="6"/>
  <c r="E33" i="40"/>
  <c r="B29" i="41" s="1"/>
  <c r="L15" i="40"/>
  <c r="D5" i="41"/>
  <c r="C24" i="41" s="1"/>
  <c r="K15" i="40"/>
  <c r="J15" i="40"/>
  <c r="N83" i="8" l="1"/>
  <c r="M83" i="8"/>
  <c r="L83" i="8"/>
  <c r="K83" i="8"/>
  <c r="J83" i="8"/>
  <c r="I83" i="8"/>
  <c r="H83" i="8"/>
  <c r="I1235" i="2"/>
  <c r="N1235" i="2"/>
  <c r="M1235" i="2"/>
  <c r="L1235" i="2"/>
  <c r="K1235" i="2"/>
  <c r="J1235" i="2"/>
  <c r="H1235" i="2"/>
  <c r="J1043" i="2"/>
  <c r="I1043" i="2"/>
  <c r="H1043" i="2"/>
  <c r="N1043" i="2"/>
  <c r="K1043" i="2"/>
  <c r="M1043" i="2"/>
  <c r="L1043" i="2"/>
  <c r="L1523" i="2"/>
  <c r="I1523" i="2"/>
  <c r="H1523" i="2"/>
  <c r="N1523" i="2"/>
  <c r="M1523" i="2"/>
  <c r="K1523" i="2"/>
  <c r="J1523" i="2"/>
  <c r="M275" i="2"/>
  <c r="N275" i="2"/>
  <c r="L275" i="2"/>
  <c r="K275" i="2"/>
  <c r="J275" i="2"/>
  <c r="H275" i="2"/>
  <c r="I275" i="2"/>
  <c r="N371" i="4"/>
  <c r="M371" i="4"/>
  <c r="L371" i="4"/>
  <c r="K371" i="4"/>
  <c r="J371" i="4"/>
  <c r="I371" i="4"/>
  <c r="H371" i="4"/>
  <c r="L563" i="2"/>
  <c r="K563" i="2"/>
  <c r="J563" i="2"/>
  <c r="I563" i="2"/>
  <c r="H563" i="2"/>
  <c r="N563" i="2"/>
  <c r="M563" i="2"/>
  <c r="N83" i="7"/>
  <c r="K83" i="7"/>
  <c r="I83" i="7"/>
  <c r="H83" i="7"/>
  <c r="L83" i="7"/>
  <c r="J83" i="7"/>
  <c r="M83" i="7"/>
  <c r="L35" i="4"/>
  <c r="K35" i="4"/>
  <c r="J35" i="4"/>
  <c r="I35" i="4"/>
  <c r="H35" i="4"/>
  <c r="N35" i="4"/>
  <c r="M35" i="4"/>
  <c r="N323" i="4"/>
  <c r="M323" i="4"/>
  <c r="L323" i="4"/>
  <c r="K323" i="4"/>
  <c r="J323" i="4"/>
  <c r="I323" i="4"/>
  <c r="H323" i="4"/>
  <c r="N803" i="2"/>
  <c r="K803" i="2"/>
  <c r="H803" i="2"/>
  <c r="I803" i="2"/>
  <c r="M803" i="2"/>
  <c r="L803" i="2"/>
  <c r="J803" i="2"/>
  <c r="M323" i="2"/>
  <c r="L323" i="2"/>
  <c r="N323" i="2"/>
  <c r="K323" i="2"/>
  <c r="J323" i="2"/>
  <c r="H323" i="2"/>
  <c r="I323" i="2"/>
  <c r="I515" i="2"/>
  <c r="H515" i="2"/>
  <c r="N515" i="2"/>
  <c r="M515" i="2"/>
  <c r="L515" i="2"/>
  <c r="K515" i="2"/>
  <c r="J515" i="2"/>
  <c r="N131" i="7"/>
  <c r="K131" i="7"/>
  <c r="L131" i="7"/>
  <c r="J131" i="7"/>
  <c r="I131" i="7"/>
  <c r="H131" i="7"/>
  <c r="M131" i="7"/>
  <c r="N227" i="8"/>
  <c r="M227" i="8"/>
  <c r="L227" i="8"/>
  <c r="K227" i="8"/>
  <c r="J227" i="8"/>
  <c r="I227" i="8"/>
  <c r="H227" i="8"/>
  <c r="N1379" i="2"/>
  <c r="M1379" i="2"/>
  <c r="L1379" i="2"/>
  <c r="I1379" i="2"/>
  <c r="K1379" i="2"/>
  <c r="J1379" i="2"/>
  <c r="H1379" i="2"/>
  <c r="N35" i="21"/>
  <c r="M35" i="21"/>
  <c r="L35" i="21"/>
  <c r="K35" i="21"/>
  <c r="J35" i="21"/>
  <c r="I35" i="21"/>
  <c r="H35" i="21"/>
  <c r="K611" i="2"/>
  <c r="J611" i="2"/>
  <c r="I611" i="2"/>
  <c r="H611" i="2"/>
  <c r="N611" i="2"/>
  <c r="M611" i="2"/>
  <c r="L611" i="2"/>
  <c r="N227" i="7"/>
  <c r="M227" i="7"/>
  <c r="L227" i="7"/>
  <c r="K227" i="7"/>
  <c r="J227" i="7"/>
  <c r="I227" i="7"/>
  <c r="H227" i="7"/>
  <c r="N275" i="4"/>
  <c r="M275" i="4"/>
  <c r="L275" i="4"/>
  <c r="K275" i="4"/>
  <c r="J275" i="4"/>
  <c r="I275" i="4"/>
  <c r="H275" i="4"/>
  <c r="N227" i="4"/>
  <c r="K227" i="4"/>
  <c r="J227" i="4"/>
  <c r="I227" i="4"/>
  <c r="H227" i="4"/>
  <c r="M227" i="4"/>
  <c r="L227" i="4"/>
  <c r="M227" i="2"/>
  <c r="N227" i="2"/>
  <c r="K227" i="2"/>
  <c r="L227" i="2"/>
  <c r="J227" i="2"/>
  <c r="H227" i="2"/>
  <c r="I227" i="2"/>
  <c r="N179" i="4"/>
  <c r="I179" i="4"/>
  <c r="H179" i="4"/>
  <c r="K179" i="4"/>
  <c r="M179" i="4"/>
  <c r="L179" i="4"/>
  <c r="J179" i="4"/>
  <c r="N419" i="2"/>
  <c r="M419" i="2"/>
  <c r="L419" i="2"/>
  <c r="K419" i="2"/>
  <c r="I419" i="2"/>
  <c r="H419" i="2"/>
  <c r="J419" i="2"/>
  <c r="L1619" i="2"/>
  <c r="K1619" i="2"/>
  <c r="J1619" i="2"/>
  <c r="I1619" i="2"/>
  <c r="H1619" i="2"/>
  <c r="N1619" i="2"/>
  <c r="M1619" i="2"/>
  <c r="L83" i="6"/>
  <c r="K83" i="6"/>
  <c r="J83" i="6"/>
  <c r="I83" i="6"/>
  <c r="M83" i="6"/>
  <c r="H83" i="6"/>
  <c r="N83" i="6"/>
  <c r="K131" i="21"/>
  <c r="N131" i="21"/>
  <c r="M131" i="21"/>
  <c r="L131" i="21"/>
  <c r="J131" i="21"/>
  <c r="I131" i="21"/>
  <c r="H131" i="21"/>
  <c r="N851" i="2"/>
  <c r="M851" i="2"/>
  <c r="K851" i="2"/>
  <c r="H851" i="2"/>
  <c r="L851" i="2"/>
  <c r="J851" i="2"/>
  <c r="I851" i="2"/>
  <c r="N371" i="7"/>
  <c r="M371" i="7"/>
  <c r="L371" i="7"/>
  <c r="K371" i="7"/>
  <c r="J371" i="7"/>
  <c r="I371" i="7"/>
  <c r="H371" i="7"/>
  <c r="N995" i="2"/>
  <c r="M995" i="2"/>
  <c r="L995" i="2"/>
  <c r="K995" i="2"/>
  <c r="H995" i="2"/>
  <c r="J995" i="2"/>
  <c r="I995" i="2"/>
  <c r="N179" i="7"/>
  <c r="K179" i="7"/>
  <c r="M179" i="7"/>
  <c r="L179" i="7"/>
  <c r="J179" i="7"/>
  <c r="I179" i="7"/>
  <c r="H179" i="7"/>
  <c r="L1139" i="2"/>
  <c r="K1139" i="2"/>
  <c r="J1139" i="2"/>
  <c r="I1139" i="2"/>
  <c r="H1139" i="2"/>
  <c r="M1139" i="2"/>
  <c r="N1139" i="2"/>
  <c r="M1091" i="2"/>
  <c r="L1091" i="2"/>
  <c r="K1091" i="2"/>
  <c r="J1091" i="2"/>
  <c r="I1091" i="2"/>
  <c r="H1091" i="2"/>
  <c r="N1091" i="2"/>
  <c r="L1667" i="2"/>
  <c r="K1667" i="2"/>
  <c r="J1667" i="2"/>
  <c r="I1667" i="2"/>
  <c r="H1667" i="2"/>
  <c r="N1667" i="2"/>
  <c r="M1667" i="2"/>
  <c r="M131" i="2"/>
  <c r="L131" i="2"/>
  <c r="N131" i="2"/>
  <c r="J131" i="2"/>
  <c r="I131" i="2"/>
  <c r="K131" i="2"/>
  <c r="H131" i="2"/>
  <c r="L131" i="6"/>
  <c r="K131" i="6"/>
  <c r="J131" i="6"/>
  <c r="I131" i="6"/>
  <c r="N131" i="6"/>
  <c r="M131" i="6"/>
  <c r="H131" i="6"/>
  <c r="N467" i="2"/>
  <c r="M467" i="2"/>
  <c r="L467" i="2"/>
  <c r="H467" i="2"/>
  <c r="K467" i="2"/>
  <c r="J467" i="2"/>
  <c r="I467" i="2"/>
  <c r="N1331" i="2"/>
  <c r="I1331" i="2"/>
  <c r="H1331" i="2"/>
  <c r="M1331" i="2"/>
  <c r="J1331" i="2"/>
  <c r="L1331" i="2"/>
  <c r="K1331" i="2"/>
  <c r="I1283" i="2"/>
  <c r="M1283" i="2"/>
  <c r="L1283" i="2"/>
  <c r="K1283" i="2"/>
  <c r="J1283" i="2"/>
  <c r="H1283" i="2"/>
  <c r="N1283" i="2"/>
  <c r="N275" i="7"/>
  <c r="M275" i="7"/>
  <c r="L275" i="7"/>
  <c r="K275" i="7"/>
  <c r="I275" i="7"/>
  <c r="H275" i="7"/>
  <c r="J275" i="7"/>
  <c r="N947" i="2"/>
  <c r="M947" i="2"/>
  <c r="K947" i="2"/>
  <c r="H947" i="2"/>
  <c r="L947" i="2"/>
  <c r="J947" i="2"/>
  <c r="I947" i="2"/>
  <c r="I1187" i="2"/>
  <c r="M1187" i="2"/>
  <c r="L1187" i="2"/>
  <c r="K1187" i="2"/>
  <c r="J1187" i="2"/>
  <c r="H1187" i="2"/>
  <c r="N1187" i="2"/>
  <c r="M82" i="13"/>
  <c r="H178" i="13"/>
  <c r="M131" i="4"/>
  <c r="L131" i="4"/>
  <c r="K131" i="4"/>
  <c r="J131" i="4"/>
  <c r="I131" i="4"/>
  <c r="H131" i="4"/>
  <c r="N131" i="4"/>
  <c r="N323" i="7"/>
  <c r="M323" i="7"/>
  <c r="L323" i="7"/>
  <c r="K323" i="7"/>
  <c r="J323" i="7"/>
  <c r="I323" i="7"/>
  <c r="H323" i="7"/>
  <c r="L1571" i="2"/>
  <c r="I1571" i="2"/>
  <c r="K1571" i="2"/>
  <c r="J1571" i="2"/>
  <c r="H1571" i="2"/>
  <c r="N1571" i="2"/>
  <c r="M1571" i="2"/>
  <c r="N35" i="8"/>
  <c r="M35" i="8"/>
  <c r="L35" i="8"/>
  <c r="K35" i="8"/>
  <c r="J35" i="8"/>
  <c r="I35" i="8"/>
  <c r="H35" i="8"/>
  <c r="N131" i="8"/>
  <c r="M131" i="8"/>
  <c r="L131" i="8"/>
  <c r="K131" i="8"/>
  <c r="J131" i="8"/>
  <c r="I131" i="8"/>
  <c r="H131" i="8"/>
  <c r="L83" i="4"/>
  <c r="K83" i="4"/>
  <c r="J83" i="4"/>
  <c r="I83" i="4"/>
  <c r="H83" i="4"/>
  <c r="N83" i="4"/>
  <c r="M83" i="4"/>
  <c r="L1475" i="2"/>
  <c r="N1475" i="2"/>
  <c r="M1475" i="2"/>
  <c r="K1475" i="2"/>
  <c r="J1475" i="2"/>
  <c r="I1475" i="2"/>
  <c r="H1475" i="2"/>
  <c r="H755" i="2"/>
  <c r="N755" i="2"/>
  <c r="M755" i="2"/>
  <c r="L755" i="2"/>
  <c r="K755" i="2"/>
  <c r="J755" i="2"/>
  <c r="I755" i="2"/>
  <c r="N899" i="2"/>
  <c r="M899" i="2"/>
  <c r="K899" i="2"/>
  <c r="H899" i="2"/>
  <c r="L899" i="2"/>
  <c r="J899" i="2"/>
  <c r="I899" i="2"/>
  <c r="J659" i="2"/>
  <c r="I659" i="2"/>
  <c r="H659" i="2"/>
  <c r="N659" i="2"/>
  <c r="M659" i="2"/>
  <c r="L659" i="2"/>
  <c r="K659" i="2"/>
  <c r="M371" i="2"/>
  <c r="L371" i="2"/>
  <c r="N371" i="2"/>
  <c r="K371" i="2"/>
  <c r="J371" i="2"/>
  <c r="H371" i="2"/>
  <c r="I371" i="2"/>
  <c r="N1427" i="2"/>
  <c r="M1427" i="2"/>
  <c r="L1427" i="2"/>
  <c r="J1427" i="2"/>
  <c r="I1427" i="2"/>
  <c r="K1427" i="2"/>
  <c r="H1427" i="2"/>
  <c r="L35" i="7"/>
  <c r="K35" i="7"/>
  <c r="J35" i="7"/>
  <c r="I35" i="7"/>
  <c r="N35" i="7"/>
  <c r="M35" i="7"/>
  <c r="H35" i="7"/>
  <c r="H707" i="2"/>
  <c r="M707" i="2"/>
  <c r="L707" i="2"/>
  <c r="K707" i="2"/>
  <c r="J707" i="2"/>
  <c r="I707" i="2"/>
  <c r="N707" i="2"/>
  <c r="K83" i="21"/>
  <c r="I83" i="21"/>
  <c r="H83" i="21"/>
  <c r="N83" i="21"/>
  <c r="M83" i="21"/>
  <c r="L83" i="21"/>
  <c r="J83" i="21"/>
  <c r="N179" i="8"/>
  <c r="M179" i="8"/>
  <c r="L179" i="8"/>
  <c r="K179" i="8"/>
  <c r="J179" i="8"/>
  <c r="I179" i="8"/>
  <c r="H179" i="8"/>
  <c r="N179" i="2"/>
  <c r="L179" i="2"/>
  <c r="H179" i="2"/>
  <c r="J179" i="2"/>
  <c r="M179" i="2"/>
  <c r="K179" i="2"/>
  <c r="I179" i="2"/>
  <c r="K226" i="13"/>
  <c r="J226" i="13"/>
  <c r="L226" i="13"/>
  <c r="I274" i="13"/>
  <c r="P225" i="13"/>
  <c r="L178" i="13"/>
  <c r="I178" i="13"/>
  <c r="M178" i="13"/>
  <c r="J178" i="13"/>
  <c r="N130" i="13"/>
  <c r="J130" i="13"/>
  <c r="M130" i="13"/>
  <c r="H130" i="13"/>
  <c r="P273" i="13"/>
  <c r="K274" i="13"/>
  <c r="J274" i="13"/>
  <c r="H274" i="13"/>
  <c r="E275" i="13"/>
  <c r="G275" i="13" s="1"/>
  <c r="O275" i="13"/>
  <c r="D275" i="13"/>
  <c r="B276" i="13"/>
  <c r="N274" i="13"/>
  <c r="L274" i="13"/>
  <c r="M274" i="13"/>
  <c r="M226" i="13"/>
  <c r="E227" i="13"/>
  <c r="N227" i="13" s="1"/>
  <c r="O227" i="13"/>
  <c r="B228" i="13"/>
  <c r="D227" i="13"/>
  <c r="H226" i="13"/>
  <c r="I226" i="13"/>
  <c r="G226" i="13"/>
  <c r="K178" i="13"/>
  <c r="P177" i="13"/>
  <c r="G178" i="13"/>
  <c r="O179" i="13"/>
  <c r="B180" i="13"/>
  <c r="D179" i="13"/>
  <c r="E179" i="13"/>
  <c r="N179" i="13" s="1"/>
  <c r="N178" i="13"/>
  <c r="P129" i="13"/>
  <c r="K130" i="13"/>
  <c r="I130" i="13"/>
  <c r="D131" i="13"/>
  <c r="O131" i="13"/>
  <c r="B132" i="13"/>
  <c r="E131" i="13"/>
  <c r="L130" i="13"/>
  <c r="P81" i="13"/>
  <c r="I82" i="13"/>
  <c r="K82" i="13"/>
  <c r="H82" i="13"/>
  <c r="E83" i="13"/>
  <c r="O83" i="13"/>
  <c r="B84" i="13"/>
  <c r="D83" i="13"/>
  <c r="N82" i="13"/>
  <c r="J82" i="13"/>
  <c r="L82" i="13"/>
  <c r="C84" i="36"/>
  <c r="G82" i="5"/>
  <c r="G82" i="20"/>
  <c r="G82" i="4"/>
  <c r="G1138" i="2"/>
  <c r="G610" i="2"/>
  <c r="V418" i="2"/>
  <c r="V322" i="4"/>
  <c r="V1186" i="2"/>
  <c r="I562" i="7"/>
  <c r="U322" i="4"/>
  <c r="V178" i="4"/>
  <c r="V1570" i="2"/>
  <c r="P272" i="2"/>
  <c r="P704" i="2"/>
  <c r="P464" i="2"/>
  <c r="P560" i="2"/>
  <c r="P32" i="8"/>
  <c r="P320" i="2"/>
  <c r="P608" i="2"/>
  <c r="P128" i="4"/>
  <c r="P1568" i="2"/>
  <c r="U322" i="7"/>
  <c r="M82" i="20"/>
  <c r="V130" i="6"/>
  <c r="V610" i="2"/>
  <c r="P1664" i="2"/>
  <c r="V130" i="21"/>
  <c r="V130" i="7"/>
  <c r="V1090" i="2"/>
  <c r="I141" i="19"/>
  <c r="O141" i="19" s="1"/>
  <c r="N140" i="19"/>
  <c r="O140" i="19" s="1"/>
  <c r="N83" i="36" s="1"/>
  <c r="N139" i="19"/>
  <c r="L139" i="19"/>
  <c r="O139" i="19" s="1"/>
  <c r="O142" i="19"/>
  <c r="P83" i="36" s="1"/>
  <c r="N141" i="19"/>
  <c r="K141" i="19"/>
  <c r="V34" i="7"/>
  <c r="M274" i="8"/>
  <c r="U130" i="4"/>
  <c r="V130" i="8"/>
  <c r="M418" i="8"/>
  <c r="V274" i="2"/>
  <c r="I370" i="8"/>
  <c r="P416" i="2"/>
  <c r="M178" i="20"/>
  <c r="V898" i="2"/>
  <c r="U226" i="4"/>
  <c r="I322" i="6"/>
  <c r="H418" i="7"/>
  <c r="P224" i="4"/>
  <c r="P176" i="2"/>
  <c r="P1424" i="2"/>
  <c r="P129" i="5"/>
  <c r="P1280" i="2"/>
  <c r="P1328" i="2"/>
  <c r="P1232" i="2"/>
  <c r="P1184" i="2"/>
  <c r="P1088" i="2"/>
  <c r="V946" i="2"/>
  <c r="U850" i="2"/>
  <c r="P848" i="2"/>
  <c r="U802" i="2"/>
  <c r="P752" i="2"/>
  <c r="V706" i="2"/>
  <c r="P512" i="2"/>
  <c r="U466" i="2"/>
  <c r="U274" i="2"/>
  <c r="V178" i="2"/>
  <c r="P224" i="2"/>
  <c r="U370" i="2"/>
  <c r="U610" i="2"/>
  <c r="P656" i="2"/>
  <c r="U898" i="2"/>
  <c r="P1136" i="2"/>
  <c r="U1186" i="2"/>
  <c r="V1618" i="2"/>
  <c r="U274" i="4"/>
  <c r="U370" i="4"/>
  <c r="J130" i="20"/>
  <c r="L178" i="20"/>
  <c r="N178" i="20"/>
  <c r="I130" i="20"/>
  <c r="N130" i="20"/>
  <c r="P81" i="20"/>
  <c r="I82" i="20"/>
  <c r="N82" i="5"/>
  <c r="K130" i="5"/>
  <c r="L156" i="19"/>
  <c r="N190" i="19" s="1"/>
  <c r="P80" i="21"/>
  <c r="U82" i="21"/>
  <c r="V82" i="21"/>
  <c r="P128" i="21"/>
  <c r="P80" i="6"/>
  <c r="P128" i="6"/>
  <c r="P177" i="6"/>
  <c r="J322" i="6"/>
  <c r="G34" i="7"/>
  <c r="V82" i="7"/>
  <c r="P128" i="7"/>
  <c r="V226" i="7"/>
  <c r="U274" i="7"/>
  <c r="P320" i="7"/>
  <c r="P368" i="7"/>
  <c r="I466" i="7"/>
  <c r="P561" i="7"/>
  <c r="U130" i="8"/>
  <c r="V178" i="8"/>
  <c r="P176" i="8"/>
  <c r="U178" i="8"/>
  <c r="P224" i="8"/>
  <c r="P273" i="8"/>
  <c r="I274" i="8"/>
  <c r="K274" i="8"/>
  <c r="G274" i="8"/>
  <c r="J274" i="8"/>
  <c r="L274" i="8"/>
  <c r="H274" i="8"/>
  <c r="G322" i="8"/>
  <c r="L418" i="8"/>
  <c r="L60" i="19"/>
  <c r="N94" i="19" s="1"/>
  <c r="P417" i="7"/>
  <c r="P368" i="4"/>
  <c r="P465" i="7"/>
  <c r="P80" i="4"/>
  <c r="P177" i="20"/>
  <c r="P224" i="7"/>
  <c r="P513" i="7"/>
  <c r="P177" i="5"/>
  <c r="G562" i="2"/>
  <c r="U562" i="2"/>
  <c r="V562" i="2"/>
  <c r="U322" i="2"/>
  <c r="V322" i="2"/>
  <c r="G1042" i="2"/>
  <c r="V1042" i="2"/>
  <c r="U1234" i="2"/>
  <c r="V1234" i="2"/>
  <c r="G1474" i="2"/>
  <c r="G946" i="2"/>
  <c r="P272" i="7"/>
  <c r="P33" i="5"/>
  <c r="V370" i="4"/>
  <c r="J178" i="6"/>
  <c r="I178" i="6"/>
  <c r="M178" i="6"/>
  <c r="L178" i="6"/>
  <c r="N178" i="6"/>
  <c r="G178" i="6"/>
  <c r="P896" i="2"/>
  <c r="U34" i="8"/>
  <c r="J514" i="7"/>
  <c r="L514" i="7"/>
  <c r="G466" i="7"/>
  <c r="P176" i="7"/>
  <c r="U994" i="2"/>
  <c r="V994" i="2"/>
  <c r="U1522" i="2"/>
  <c r="U178" i="2"/>
  <c r="G178" i="7"/>
  <c r="V178" i="7"/>
  <c r="I178" i="5"/>
  <c r="M178" i="5"/>
  <c r="J178" i="5"/>
  <c r="U754" i="2"/>
  <c r="V754" i="2"/>
  <c r="V658" i="2"/>
  <c r="I514" i="7"/>
  <c r="G514" i="7"/>
  <c r="N514" i="7"/>
  <c r="U1042" i="2"/>
  <c r="P417" i="8"/>
  <c r="P273" i="6"/>
  <c r="G226" i="6"/>
  <c r="G34" i="8"/>
  <c r="P1616" i="2"/>
  <c r="P1472" i="2"/>
  <c r="U1282" i="2"/>
  <c r="V1282" i="2"/>
  <c r="P1520" i="2"/>
  <c r="H322" i="6"/>
  <c r="I82" i="5"/>
  <c r="U1426" i="2"/>
  <c r="I178" i="20"/>
  <c r="U1378" i="2"/>
  <c r="P320" i="4"/>
  <c r="V850" i="2"/>
  <c r="I226" i="6"/>
  <c r="P321" i="6"/>
  <c r="V802" i="2"/>
  <c r="V130" i="2"/>
  <c r="P800" i="2"/>
  <c r="V466" i="2"/>
  <c r="U226" i="8"/>
  <c r="U1330" i="2"/>
  <c r="U82" i="8"/>
  <c r="U226" i="2"/>
  <c r="P1376" i="2"/>
  <c r="P944" i="2"/>
  <c r="P1040" i="2"/>
  <c r="V1330" i="2"/>
  <c r="P128" i="2"/>
  <c r="U1570" i="2"/>
  <c r="U34" i="7"/>
  <c r="P81" i="5"/>
  <c r="U178" i="4"/>
  <c r="J418" i="7"/>
  <c r="M322" i="8"/>
  <c r="I418" i="8"/>
  <c r="H130" i="20"/>
  <c r="U226" i="7"/>
  <c r="L82" i="20"/>
  <c r="U82" i="6"/>
  <c r="U34" i="4"/>
  <c r="U1138" i="2"/>
  <c r="P321" i="8"/>
  <c r="P225" i="6"/>
  <c r="P32" i="21"/>
  <c r="P32" i="4"/>
  <c r="P272" i="4"/>
  <c r="V226" i="4"/>
  <c r="U370" i="7"/>
  <c r="P80" i="7"/>
  <c r="V130" i="4"/>
  <c r="P369" i="8"/>
  <c r="P32" i="7"/>
  <c r="U946" i="2"/>
  <c r="V82" i="8"/>
  <c r="P992" i="2"/>
  <c r="P128" i="8"/>
  <c r="L418" i="7"/>
  <c r="M130" i="20"/>
  <c r="L274" i="6"/>
  <c r="I274" i="6"/>
  <c r="I322" i="8"/>
  <c r="I418" i="7"/>
  <c r="V34" i="8"/>
  <c r="V1522" i="2"/>
  <c r="L226" i="6"/>
  <c r="G34" i="4"/>
  <c r="V34" i="4"/>
  <c r="L466" i="7"/>
  <c r="U130" i="2"/>
  <c r="P368" i="2"/>
  <c r="V322" i="7"/>
  <c r="V82" i="4"/>
  <c r="L322" i="6"/>
  <c r="U706" i="2"/>
  <c r="U1090" i="2"/>
  <c r="U130" i="21"/>
  <c r="U130" i="7"/>
  <c r="U1666" i="2"/>
  <c r="K418" i="7"/>
  <c r="U1618" i="2"/>
  <c r="K562" i="7"/>
  <c r="P176" i="4"/>
  <c r="V1666" i="2"/>
  <c r="V82" i="6"/>
  <c r="V1426" i="2"/>
  <c r="V226" i="2"/>
  <c r="V1474" i="2"/>
  <c r="V1378" i="2"/>
  <c r="U658" i="2"/>
  <c r="U514" i="2"/>
  <c r="V514" i="2"/>
  <c r="G274" i="7"/>
  <c r="V274" i="7"/>
  <c r="P80" i="8"/>
  <c r="G322" i="6"/>
  <c r="H82" i="5"/>
  <c r="G34" i="21"/>
  <c r="V34" i="21"/>
  <c r="V370" i="7"/>
  <c r="U82" i="4"/>
  <c r="H34" i="5"/>
  <c r="K322" i="6"/>
  <c r="K34" i="5"/>
  <c r="K178" i="5"/>
  <c r="U1474" i="2"/>
  <c r="V1138" i="2"/>
  <c r="V226" i="8"/>
  <c r="V370" i="2"/>
  <c r="V274" i="4"/>
  <c r="B132" i="21"/>
  <c r="E131" i="21"/>
  <c r="G131" i="21" s="1"/>
  <c r="D131" i="21"/>
  <c r="O131" i="21"/>
  <c r="B180" i="4"/>
  <c r="O179" i="4"/>
  <c r="D179" i="4"/>
  <c r="E179" i="4"/>
  <c r="E323" i="7"/>
  <c r="G323" i="7" s="1"/>
  <c r="D323" i="7"/>
  <c r="O323" i="7"/>
  <c r="B324" i="7"/>
  <c r="D659" i="2"/>
  <c r="E659" i="2"/>
  <c r="G659" i="2" s="1"/>
  <c r="O659" i="2"/>
  <c r="B660" i="2"/>
  <c r="J226" i="6"/>
  <c r="L34" i="5"/>
  <c r="E515" i="2"/>
  <c r="G515" i="2" s="1"/>
  <c r="O515" i="2"/>
  <c r="B516" i="2"/>
  <c r="D515" i="2"/>
  <c r="M130" i="5"/>
  <c r="U130" i="6"/>
  <c r="B324" i="8"/>
  <c r="E323" i="8"/>
  <c r="G323" i="8" s="1"/>
  <c r="O323" i="8"/>
  <c r="D323" i="8"/>
  <c r="B1524" i="2"/>
  <c r="E1523" i="2"/>
  <c r="G1523" i="2" s="1"/>
  <c r="D1523" i="2"/>
  <c r="O1523" i="2"/>
  <c r="J82" i="5"/>
  <c r="N178" i="5"/>
  <c r="H562" i="7"/>
  <c r="B84" i="6"/>
  <c r="O83" i="6"/>
  <c r="D83" i="6"/>
  <c r="E83" i="6"/>
  <c r="G83" i="6" s="1"/>
  <c r="B1380" i="2"/>
  <c r="E1379" i="2"/>
  <c r="D1379" i="2"/>
  <c r="O1379" i="2"/>
  <c r="E803" i="2"/>
  <c r="G803" i="2" s="1"/>
  <c r="D803" i="2"/>
  <c r="O803" i="2"/>
  <c r="B804" i="2"/>
  <c r="K466" i="7"/>
  <c r="K274" i="6"/>
  <c r="E1283" i="2"/>
  <c r="G1283" i="2" s="1"/>
  <c r="O1283" i="2"/>
  <c r="B1284" i="2"/>
  <c r="D1283" i="2"/>
  <c r="E1235" i="2"/>
  <c r="G1235" i="2" s="1"/>
  <c r="D1235" i="2"/>
  <c r="O1235" i="2"/>
  <c r="B1236" i="2"/>
  <c r="N130" i="5"/>
  <c r="D323" i="6"/>
  <c r="O323" i="6"/>
  <c r="B324" i="6"/>
  <c r="E323" i="6"/>
  <c r="N323" i="6" s="1"/>
  <c r="O275" i="8"/>
  <c r="E275" i="8"/>
  <c r="N275" i="8" s="1"/>
  <c r="D275" i="8"/>
  <c r="B276" i="8"/>
  <c r="K178" i="6"/>
  <c r="E1091" i="2"/>
  <c r="D1091" i="2"/>
  <c r="O1091" i="2"/>
  <c r="B1092" i="2"/>
  <c r="E131" i="7"/>
  <c r="D131" i="7"/>
  <c r="O131" i="7"/>
  <c r="B132" i="7"/>
  <c r="D131" i="2"/>
  <c r="O131" i="2"/>
  <c r="E131" i="2"/>
  <c r="G131" i="2" s="1"/>
  <c r="B132" i="2"/>
  <c r="O371" i="2"/>
  <c r="B372" i="2"/>
  <c r="E371" i="2"/>
  <c r="G371" i="2" s="1"/>
  <c r="D371" i="2"/>
  <c r="H130" i="5"/>
  <c r="E179" i="7"/>
  <c r="G179" i="7" s="1"/>
  <c r="D179" i="7"/>
  <c r="O179" i="7"/>
  <c r="B180" i="7"/>
  <c r="K82" i="5"/>
  <c r="H178" i="5"/>
  <c r="M562" i="7"/>
  <c r="E1427" i="2"/>
  <c r="G1427" i="2" s="1"/>
  <c r="D1427" i="2"/>
  <c r="B1428" i="2"/>
  <c r="O1427" i="2"/>
  <c r="L130" i="20"/>
  <c r="J178" i="20"/>
  <c r="H82" i="20"/>
  <c r="E1139" i="2"/>
  <c r="G1139" i="2" s="1"/>
  <c r="D1139" i="2"/>
  <c r="O1139" i="2"/>
  <c r="B1140" i="2"/>
  <c r="M514" i="7"/>
  <c r="J370" i="8"/>
  <c r="J274" i="6"/>
  <c r="E83" i="8"/>
  <c r="G83" i="8" s="1"/>
  <c r="D83" i="8"/>
  <c r="O83" i="8"/>
  <c r="B84" i="8"/>
  <c r="B132" i="6"/>
  <c r="E131" i="6"/>
  <c r="D131" i="6"/>
  <c r="O131" i="6"/>
  <c r="O563" i="7"/>
  <c r="E563" i="7"/>
  <c r="N563" i="7" s="1"/>
  <c r="D563" i="7"/>
  <c r="B564" i="7"/>
  <c r="E227" i="7"/>
  <c r="G227" i="7" s="1"/>
  <c r="B228" i="7"/>
  <c r="D227" i="7"/>
  <c r="O227" i="7"/>
  <c r="B84" i="7"/>
  <c r="E83" i="7"/>
  <c r="G83" i="7" s="1"/>
  <c r="D83" i="7"/>
  <c r="O83" i="7"/>
  <c r="O371" i="7"/>
  <c r="E371" i="7"/>
  <c r="G371" i="7" s="1"/>
  <c r="D371" i="7"/>
  <c r="B372" i="7"/>
  <c r="M274" i="6"/>
  <c r="H178" i="6"/>
  <c r="D83" i="21"/>
  <c r="O83" i="21"/>
  <c r="B84" i="21"/>
  <c r="E83" i="21"/>
  <c r="N34" i="5"/>
  <c r="O419" i="7"/>
  <c r="E419" i="7"/>
  <c r="D419" i="7"/>
  <c r="B420" i="7"/>
  <c r="K418" i="8"/>
  <c r="M82" i="5"/>
  <c r="G178" i="5"/>
  <c r="D275" i="2"/>
  <c r="O275" i="2"/>
  <c r="B276" i="2"/>
  <c r="E275" i="2"/>
  <c r="N562" i="7"/>
  <c r="B852" i="2"/>
  <c r="O851" i="2"/>
  <c r="E851" i="2"/>
  <c r="G851" i="2" s="1"/>
  <c r="D851" i="2"/>
  <c r="K178" i="20"/>
  <c r="K82" i="20"/>
  <c r="D1187" i="2"/>
  <c r="B1188" i="2"/>
  <c r="O1187" i="2"/>
  <c r="E1187" i="2"/>
  <c r="B372" i="8"/>
  <c r="D371" i="8"/>
  <c r="E371" i="8"/>
  <c r="G371" i="8" s="1"/>
  <c r="O371" i="8"/>
  <c r="E467" i="7"/>
  <c r="G467" i="7" s="1"/>
  <c r="B468" i="7"/>
  <c r="D467" i="7"/>
  <c r="O467" i="7"/>
  <c r="E323" i="2"/>
  <c r="G323" i="2" s="1"/>
  <c r="D323" i="2"/>
  <c r="B324" i="2"/>
  <c r="O323" i="2"/>
  <c r="B612" i="2"/>
  <c r="D611" i="2"/>
  <c r="E611" i="2"/>
  <c r="O611" i="2"/>
  <c r="E131" i="5"/>
  <c r="G131" i="5" s="1"/>
  <c r="D131" i="5"/>
  <c r="O131" i="5"/>
  <c r="B132" i="5"/>
  <c r="B132" i="20"/>
  <c r="D131" i="20"/>
  <c r="E131" i="20"/>
  <c r="G131" i="20" s="1"/>
  <c r="O131" i="20"/>
  <c r="B180" i="2"/>
  <c r="E179" i="2"/>
  <c r="G179" i="2" s="1"/>
  <c r="O179" i="2"/>
  <c r="D179" i="2"/>
  <c r="E995" i="2"/>
  <c r="G995" i="2" s="1"/>
  <c r="D995" i="2"/>
  <c r="O995" i="2"/>
  <c r="B996" i="2"/>
  <c r="K322" i="8"/>
  <c r="E419" i="8"/>
  <c r="G419" i="8" s="1"/>
  <c r="B420" i="8"/>
  <c r="O419" i="8"/>
  <c r="D419" i="8"/>
  <c r="H178" i="20"/>
  <c r="B228" i="2"/>
  <c r="D227" i="2"/>
  <c r="O227" i="2"/>
  <c r="E227" i="2"/>
  <c r="G227" i="2" s="1"/>
  <c r="J82" i="20"/>
  <c r="B756" i="2"/>
  <c r="O755" i="2"/>
  <c r="E755" i="2"/>
  <c r="G755" i="2" s="1"/>
  <c r="D755" i="2"/>
  <c r="B1332" i="2"/>
  <c r="E1331" i="2"/>
  <c r="D1331" i="2"/>
  <c r="O1331" i="2"/>
  <c r="E947" i="2"/>
  <c r="D947" i="2"/>
  <c r="B948" i="2"/>
  <c r="O947" i="2"/>
  <c r="O515" i="7"/>
  <c r="E515" i="7"/>
  <c r="D515" i="7"/>
  <c r="B516" i="7"/>
  <c r="E227" i="6"/>
  <c r="N227" i="6" s="1"/>
  <c r="O227" i="6"/>
  <c r="D227" i="6"/>
  <c r="B228" i="6"/>
  <c r="B228" i="8"/>
  <c r="E227" i="8"/>
  <c r="D227" i="8"/>
  <c r="O227" i="8"/>
  <c r="O275" i="6"/>
  <c r="B276" i="6"/>
  <c r="E275" i="6"/>
  <c r="N275" i="6" s="1"/>
  <c r="D275" i="6"/>
  <c r="B1044" i="2"/>
  <c r="E1043" i="2"/>
  <c r="G1043" i="2" s="1"/>
  <c r="O1043" i="2"/>
  <c r="D1043" i="2"/>
  <c r="H322" i="8"/>
  <c r="J418" i="8"/>
  <c r="K370" i="8"/>
  <c r="M322" i="6"/>
  <c r="J130" i="5"/>
  <c r="U178" i="7"/>
  <c r="O467" i="2"/>
  <c r="E467" i="2"/>
  <c r="D467" i="2"/>
  <c r="B468" i="2"/>
  <c r="J322" i="8"/>
  <c r="U418" i="2"/>
  <c r="H418" i="8"/>
  <c r="D179" i="8"/>
  <c r="O179" i="8"/>
  <c r="E179" i="8"/>
  <c r="G179" i="8" s="1"/>
  <c r="B180" i="8"/>
  <c r="M370" i="8"/>
  <c r="H466" i="7"/>
  <c r="O899" i="2"/>
  <c r="B900" i="2"/>
  <c r="E899" i="2"/>
  <c r="G899" i="2" s="1"/>
  <c r="D899" i="2"/>
  <c r="B324" i="4"/>
  <c r="D323" i="4"/>
  <c r="O323" i="4"/>
  <c r="E323" i="4"/>
  <c r="H226" i="6"/>
  <c r="B1572" i="2"/>
  <c r="O1571" i="2"/>
  <c r="E1571" i="2"/>
  <c r="G1571" i="2" s="1"/>
  <c r="D1571" i="2"/>
  <c r="M226" i="6"/>
  <c r="D131" i="4"/>
  <c r="E131" i="4"/>
  <c r="B132" i="4"/>
  <c r="O131" i="4"/>
  <c r="K226" i="6"/>
  <c r="E1667" i="2"/>
  <c r="G1667" i="2" s="1"/>
  <c r="D1667" i="2"/>
  <c r="O1667" i="2"/>
  <c r="B1668" i="2"/>
  <c r="I34" i="5"/>
  <c r="I130" i="5"/>
  <c r="N418" i="7"/>
  <c r="L322" i="8"/>
  <c r="B420" i="2"/>
  <c r="E419" i="2"/>
  <c r="G419" i="2" s="1"/>
  <c r="D419" i="2"/>
  <c r="O419" i="2"/>
  <c r="L178" i="5"/>
  <c r="J562" i="7"/>
  <c r="G130" i="20"/>
  <c r="N82" i="20"/>
  <c r="E35" i="21"/>
  <c r="G35" i="21" s="1"/>
  <c r="O35" i="21"/>
  <c r="B36" i="21"/>
  <c r="D35" i="21"/>
  <c r="H514" i="7"/>
  <c r="N370" i="8"/>
  <c r="M466" i="7"/>
  <c r="H274" i="6"/>
  <c r="E275" i="4"/>
  <c r="G275" i="4" s="1"/>
  <c r="D275" i="4"/>
  <c r="B276" i="4"/>
  <c r="O275" i="4"/>
  <c r="D35" i="8"/>
  <c r="O35" i="8"/>
  <c r="B36" i="8"/>
  <c r="E35" i="8"/>
  <c r="L130" i="5"/>
  <c r="E179" i="6"/>
  <c r="N179" i="6" s="1"/>
  <c r="D179" i="6"/>
  <c r="O179" i="6"/>
  <c r="B180" i="6"/>
  <c r="O707" i="2"/>
  <c r="E707" i="2"/>
  <c r="G707" i="2" s="1"/>
  <c r="B708" i="2"/>
  <c r="D707" i="2"/>
  <c r="M34" i="5"/>
  <c r="B372" i="4"/>
  <c r="E371" i="4"/>
  <c r="G371" i="4" s="1"/>
  <c r="D371" i="4"/>
  <c r="O371" i="4"/>
  <c r="M418" i="7"/>
  <c r="N418" i="8"/>
  <c r="L82" i="5"/>
  <c r="B180" i="5"/>
  <c r="D179" i="5"/>
  <c r="E179" i="5"/>
  <c r="G179" i="5" s="1"/>
  <c r="O179" i="5"/>
  <c r="E1619" i="2"/>
  <c r="D1619" i="2"/>
  <c r="O1619" i="2"/>
  <c r="B1620" i="2"/>
  <c r="K130" i="20"/>
  <c r="E1475" i="2"/>
  <c r="D1475" i="2"/>
  <c r="B1476" i="2"/>
  <c r="O1475" i="2"/>
  <c r="U82" i="7"/>
  <c r="E83" i="20"/>
  <c r="G83" i="20" s="1"/>
  <c r="D83" i="20"/>
  <c r="O83" i="20"/>
  <c r="B84" i="20"/>
  <c r="E275" i="7"/>
  <c r="G275" i="7" s="1"/>
  <c r="D275" i="7"/>
  <c r="O275" i="7"/>
  <c r="B276" i="7"/>
  <c r="K514" i="7"/>
  <c r="H370" i="8"/>
  <c r="N466" i="7"/>
  <c r="N274" i="6"/>
  <c r="D35" i="7"/>
  <c r="B36" i="7"/>
  <c r="O35" i="7"/>
  <c r="E35" i="7"/>
  <c r="G35" i="7" s="1"/>
  <c r="B36" i="5"/>
  <c r="O35" i="5"/>
  <c r="E35" i="5"/>
  <c r="G35" i="5" s="1"/>
  <c r="D35" i="5"/>
  <c r="D83" i="5"/>
  <c r="E83" i="5"/>
  <c r="G83" i="5" s="1"/>
  <c r="O83" i="5"/>
  <c r="B84" i="5"/>
  <c r="O563" i="2"/>
  <c r="B564" i="2"/>
  <c r="D563" i="2"/>
  <c r="E563" i="2"/>
  <c r="G563" i="2" s="1"/>
  <c r="J466" i="7"/>
  <c r="E227" i="4"/>
  <c r="G227" i="4" s="1"/>
  <c r="D227" i="4"/>
  <c r="O227" i="4"/>
  <c r="B228" i="4"/>
  <c r="J34" i="5"/>
  <c r="N226" i="6"/>
  <c r="E83" i="4"/>
  <c r="D83" i="4"/>
  <c r="O83" i="4"/>
  <c r="B84" i="4"/>
  <c r="B132" i="8"/>
  <c r="D131" i="8"/>
  <c r="O131" i="8"/>
  <c r="E131" i="8"/>
  <c r="G131" i="8" s="1"/>
  <c r="L562" i="7"/>
  <c r="D179" i="20"/>
  <c r="E179" i="20"/>
  <c r="G179" i="20" s="1"/>
  <c r="O179" i="20"/>
  <c r="B180" i="20"/>
  <c r="D35" i="4"/>
  <c r="O35" i="4"/>
  <c r="E35" i="4"/>
  <c r="G35" i="4" s="1"/>
  <c r="B36" i="4"/>
  <c r="U34" i="21"/>
  <c r="L370" i="8"/>
  <c r="D24" i="41"/>
  <c r="E24" i="41"/>
  <c r="W69" i="42"/>
  <c r="H51" i="43"/>
  <c r="W72" i="42" s="1"/>
  <c r="L708" i="2" l="1"/>
  <c r="K708" i="2"/>
  <c r="J708" i="2"/>
  <c r="I708" i="2"/>
  <c r="H708" i="2"/>
  <c r="M708" i="2"/>
  <c r="N708" i="2"/>
  <c r="N1668" i="2"/>
  <c r="M1668" i="2"/>
  <c r="L1668" i="2"/>
  <c r="K1668" i="2"/>
  <c r="J1668" i="2"/>
  <c r="I1668" i="2"/>
  <c r="H1668" i="2"/>
  <c r="N228" i="7"/>
  <c r="M228" i="7"/>
  <c r="L228" i="7"/>
  <c r="K228" i="7"/>
  <c r="J228" i="7"/>
  <c r="I228" i="7"/>
  <c r="H228" i="7"/>
  <c r="L1092" i="2"/>
  <c r="K1092" i="2"/>
  <c r="J1092" i="2"/>
  <c r="I1092" i="2"/>
  <c r="H1092" i="2"/>
  <c r="N1092" i="2"/>
  <c r="M1092" i="2"/>
  <c r="L804" i="2"/>
  <c r="K804" i="2"/>
  <c r="J804" i="2"/>
  <c r="I804" i="2"/>
  <c r="H804" i="2"/>
  <c r="M804" i="2"/>
  <c r="N804" i="2"/>
  <c r="N180" i="8"/>
  <c r="M180" i="8"/>
  <c r="L180" i="8"/>
  <c r="K180" i="8"/>
  <c r="J180" i="8"/>
  <c r="I180" i="8"/>
  <c r="H180" i="8"/>
  <c r="L756" i="2"/>
  <c r="K756" i="2"/>
  <c r="J756" i="2"/>
  <c r="I756" i="2"/>
  <c r="H756" i="2"/>
  <c r="M756" i="2"/>
  <c r="N756" i="2"/>
  <c r="L996" i="2"/>
  <c r="K996" i="2"/>
  <c r="J996" i="2"/>
  <c r="I996" i="2"/>
  <c r="H996" i="2"/>
  <c r="M996" i="2"/>
  <c r="N996" i="2"/>
  <c r="L1428" i="2"/>
  <c r="K1428" i="2"/>
  <c r="J1428" i="2"/>
  <c r="I1428" i="2"/>
  <c r="H1428" i="2"/>
  <c r="N1428" i="2"/>
  <c r="M1428" i="2"/>
  <c r="N372" i="7"/>
  <c r="M372" i="7"/>
  <c r="L372" i="7"/>
  <c r="K372" i="7"/>
  <c r="J372" i="7"/>
  <c r="I372" i="7"/>
  <c r="H372" i="7"/>
  <c r="K372" i="2"/>
  <c r="J372" i="2"/>
  <c r="I372" i="2"/>
  <c r="H372" i="2"/>
  <c r="M372" i="2"/>
  <c r="L372" i="2"/>
  <c r="N372" i="2"/>
  <c r="L1236" i="2"/>
  <c r="K1236" i="2"/>
  <c r="J1236" i="2"/>
  <c r="I1236" i="2"/>
  <c r="H1236" i="2"/>
  <c r="N1236" i="2"/>
  <c r="M1236" i="2"/>
  <c r="J516" i="2"/>
  <c r="N516" i="2"/>
  <c r="M516" i="2"/>
  <c r="L516" i="2"/>
  <c r="K516" i="2"/>
  <c r="I516" i="2"/>
  <c r="H516" i="2"/>
  <c r="N1476" i="2"/>
  <c r="M1476" i="2"/>
  <c r="L1476" i="2"/>
  <c r="K1476" i="2"/>
  <c r="J1476" i="2"/>
  <c r="I1476" i="2"/>
  <c r="H1476" i="2"/>
  <c r="L948" i="2"/>
  <c r="K948" i="2"/>
  <c r="J948" i="2"/>
  <c r="I948" i="2"/>
  <c r="H948" i="2"/>
  <c r="M948" i="2"/>
  <c r="N948" i="2"/>
  <c r="K132" i="2"/>
  <c r="J132" i="2"/>
  <c r="I132" i="2"/>
  <c r="H132" i="2"/>
  <c r="M132" i="2"/>
  <c r="N132" i="2"/>
  <c r="L132" i="2"/>
  <c r="K276" i="4"/>
  <c r="J276" i="4"/>
  <c r="I276" i="4"/>
  <c r="H276" i="4"/>
  <c r="N276" i="4"/>
  <c r="M276" i="4"/>
  <c r="L276" i="4"/>
  <c r="N1524" i="2"/>
  <c r="M1524" i="2"/>
  <c r="L1524" i="2"/>
  <c r="K1524" i="2"/>
  <c r="J1524" i="2"/>
  <c r="I1524" i="2"/>
  <c r="H1524" i="2"/>
  <c r="K180" i="4"/>
  <c r="N180" i="4"/>
  <c r="M180" i="4"/>
  <c r="L180" i="4"/>
  <c r="J180" i="4"/>
  <c r="I180" i="4"/>
  <c r="H180" i="4"/>
  <c r="K228" i="4"/>
  <c r="N228" i="4"/>
  <c r="M228" i="4"/>
  <c r="L228" i="4"/>
  <c r="J228" i="4"/>
  <c r="I228" i="4"/>
  <c r="H228" i="4"/>
  <c r="N228" i="8"/>
  <c r="M228" i="8"/>
  <c r="L228" i="8"/>
  <c r="K228" i="8"/>
  <c r="J228" i="8"/>
  <c r="I228" i="8"/>
  <c r="H228" i="8"/>
  <c r="L1140" i="2"/>
  <c r="K1140" i="2"/>
  <c r="J1140" i="2"/>
  <c r="I1140" i="2"/>
  <c r="H1140" i="2"/>
  <c r="N1140" i="2"/>
  <c r="M1140" i="2"/>
  <c r="N1620" i="2"/>
  <c r="M1620" i="2"/>
  <c r="H1620" i="2"/>
  <c r="L1620" i="2"/>
  <c r="K1620" i="2"/>
  <c r="J1620" i="2"/>
  <c r="I1620" i="2"/>
  <c r="J420" i="2"/>
  <c r="M420" i="2"/>
  <c r="L420" i="2"/>
  <c r="K420" i="2"/>
  <c r="I420" i="2"/>
  <c r="H420" i="2"/>
  <c r="N420" i="2"/>
  <c r="H180" i="7"/>
  <c r="M180" i="7"/>
  <c r="N180" i="7"/>
  <c r="L180" i="7"/>
  <c r="K180" i="7"/>
  <c r="J180" i="7"/>
  <c r="I180" i="7"/>
  <c r="L1284" i="2"/>
  <c r="K1284" i="2"/>
  <c r="J1284" i="2"/>
  <c r="I1284" i="2"/>
  <c r="H1284" i="2"/>
  <c r="N1284" i="2"/>
  <c r="M1284" i="2"/>
  <c r="L1380" i="2"/>
  <c r="K1380" i="2"/>
  <c r="J1380" i="2"/>
  <c r="I1380" i="2"/>
  <c r="H1380" i="2"/>
  <c r="N1380" i="2"/>
  <c r="M1380" i="2"/>
  <c r="L660" i="2"/>
  <c r="K660" i="2"/>
  <c r="J660" i="2"/>
  <c r="I660" i="2"/>
  <c r="H660" i="2"/>
  <c r="N660" i="2"/>
  <c r="M660" i="2"/>
  <c r="N1572" i="2"/>
  <c r="M1572" i="2"/>
  <c r="L1572" i="2"/>
  <c r="K1572" i="2"/>
  <c r="J1572" i="2"/>
  <c r="I1572" i="2"/>
  <c r="H1572" i="2"/>
  <c r="K324" i="4"/>
  <c r="J324" i="4"/>
  <c r="I324" i="4"/>
  <c r="H324" i="4"/>
  <c r="M324" i="4"/>
  <c r="L324" i="4"/>
  <c r="N324" i="4"/>
  <c r="K228" i="2"/>
  <c r="J228" i="2"/>
  <c r="I228" i="2"/>
  <c r="H228" i="2"/>
  <c r="M228" i="2"/>
  <c r="L228" i="2"/>
  <c r="N228" i="2"/>
  <c r="J468" i="2"/>
  <c r="N468" i="2"/>
  <c r="M468" i="2"/>
  <c r="L468" i="2"/>
  <c r="I468" i="2"/>
  <c r="K468" i="2"/>
  <c r="H468" i="2"/>
  <c r="L612" i="2"/>
  <c r="K612" i="2"/>
  <c r="J612" i="2"/>
  <c r="I612" i="2"/>
  <c r="H612" i="2"/>
  <c r="N612" i="2"/>
  <c r="M612" i="2"/>
  <c r="N132" i="7"/>
  <c r="M132" i="7"/>
  <c r="L132" i="7"/>
  <c r="K132" i="7"/>
  <c r="J132" i="7"/>
  <c r="I132" i="7"/>
  <c r="H132" i="7"/>
  <c r="N36" i="8"/>
  <c r="L36" i="8"/>
  <c r="M36" i="8"/>
  <c r="K36" i="8"/>
  <c r="J36" i="8"/>
  <c r="I36" i="8"/>
  <c r="H36" i="8"/>
  <c r="K36" i="21"/>
  <c r="J36" i="21"/>
  <c r="I36" i="21"/>
  <c r="H36" i="21"/>
  <c r="M36" i="21"/>
  <c r="N36" i="21"/>
  <c r="L36" i="21"/>
  <c r="L900" i="2"/>
  <c r="K900" i="2"/>
  <c r="J900" i="2"/>
  <c r="I900" i="2"/>
  <c r="H900" i="2"/>
  <c r="M900" i="2"/>
  <c r="N900" i="2"/>
  <c r="H1044" i="2"/>
  <c r="N1044" i="2"/>
  <c r="M1044" i="2"/>
  <c r="L1044" i="2"/>
  <c r="K1044" i="2"/>
  <c r="J1044" i="2"/>
  <c r="I1044" i="2"/>
  <c r="L1332" i="2"/>
  <c r="K1332" i="2"/>
  <c r="J1332" i="2"/>
  <c r="I1332" i="2"/>
  <c r="H1332" i="2"/>
  <c r="N1332" i="2"/>
  <c r="M1332" i="2"/>
  <c r="K276" i="2"/>
  <c r="J276" i="2"/>
  <c r="I276" i="2"/>
  <c r="H276" i="2"/>
  <c r="M276" i="2"/>
  <c r="N276" i="2"/>
  <c r="L276" i="2"/>
  <c r="N84" i="21"/>
  <c r="M84" i="21"/>
  <c r="L84" i="21"/>
  <c r="K84" i="21"/>
  <c r="I84" i="21"/>
  <c r="H84" i="21"/>
  <c r="J84" i="21"/>
  <c r="N84" i="7"/>
  <c r="M84" i="7"/>
  <c r="L84" i="7"/>
  <c r="K84" i="7"/>
  <c r="J84" i="7"/>
  <c r="I84" i="7"/>
  <c r="H84" i="7"/>
  <c r="N132" i="6"/>
  <c r="J132" i="6"/>
  <c r="I132" i="6"/>
  <c r="H132" i="6"/>
  <c r="M132" i="6"/>
  <c r="L132" i="6"/>
  <c r="K132" i="6"/>
  <c r="N276" i="7"/>
  <c r="M276" i="7"/>
  <c r="L276" i="7"/>
  <c r="K276" i="7"/>
  <c r="J276" i="7"/>
  <c r="H276" i="7"/>
  <c r="I276" i="7"/>
  <c r="K132" i="4"/>
  <c r="N132" i="4"/>
  <c r="M132" i="4"/>
  <c r="H132" i="4"/>
  <c r="L132" i="4"/>
  <c r="J132" i="4"/>
  <c r="I132" i="4"/>
  <c r="L852" i="2"/>
  <c r="K852" i="2"/>
  <c r="J852" i="2"/>
  <c r="I852" i="2"/>
  <c r="H852" i="2"/>
  <c r="M852" i="2"/>
  <c r="N852" i="2"/>
  <c r="N132" i="8"/>
  <c r="M132" i="8"/>
  <c r="L132" i="8"/>
  <c r="K132" i="8"/>
  <c r="J132" i="8"/>
  <c r="I132" i="8"/>
  <c r="H132" i="8"/>
  <c r="N84" i="4"/>
  <c r="M84" i="4"/>
  <c r="L84" i="4"/>
  <c r="K84" i="4"/>
  <c r="J84" i="4"/>
  <c r="I84" i="4"/>
  <c r="H84" i="4"/>
  <c r="K324" i="2"/>
  <c r="J324" i="2"/>
  <c r="I324" i="2"/>
  <c r="H324" i="2"/>
  <c r="M324" i="2"/>
  <c r="N324" i="2"/>
  <c r="L324" i="2"/>
  <c r="N84" i="8"/>
  <c r="M84" i="8"/>
  <c r="L84" i="8"/>
  <c r="I84" i="8"/>
  <c r="K84" i="8"/>
  <c r="J84" i="8"/>
  <c r="H84" i="8"/>
  <c r="J132" i="21"/>
  <c r="I132" i="21"/>
  <c r="H132" i="21"/>
  <c r="N132" i="21"/>
  <c r="M132" i="21"/>
  <c r="L132" i="21"/>
  <c r="K132" i="21"/>
  <c r="N36" i="4"/>
  <c r="M36" i="4"/>
  <c r="K36" i="4"/>
  <c r="L36" i="4"/>
  <c r="J36" i="4"/>
  <c r="I36" i="4"/>
  <c r="H36" i="4"/>
  <c r="K372" i="4"/>
  <c r="J372" i="4"/>
  <c r="I372" i="4"/>
  <c r="H372" i="4"/>
  <c r="L372" i="4"/>
  <c r="N372" i="4"/>
  <c r="M372" i="4"/>
  <c r="L564" i="2"/>
  <c r="K564" i="2"/>
  <c r="J564" i="2"/>
  <c r="I564" i="2"/>
  <c r="H564" i="2"/>
  <c r="N564" i="2"/>
  <c r="M564" i="2"/>
  <c r="N36" i="7"/>
  <c r="M36" i="7"/>
  <c r="L36" i="7"/>
  <c r="K36" i="7"/>
  <c r="J36" i="7"/>
  <c r="I36" i="7"/>
  <c r="H36" i="7"/>
  <c r="L1188" i="2"/>
  <c r="K1188" i="2"/>
  <c r="J1188" i="2"/>
  <c r="I1188" i="2"/>
  <c r="H1188" i="2"/>
  <c r="N1188" i="2"/>
  <c r="M1188" i="2"/>
  <c r="N84" i="6"/>
  <c r="M84" i="6"/>
  <c r="K84" i="6"/>
  <c r="H84" i="6"/>
  <c r="J84" i="6"/>
  <c r="L84" i="6"/>
  <c r="I84" i="6"/>
  <c r="J324" i="7"/>
  <c r="I324" i="7"/>
  <c r="H324" i="7"/>
  <c r="N324" i="7"/>
  <c r="M324" i="7"/>
  <c r="L324" i="7"/>
  <c r="K324" i="7"/>
  <c r="N180" i="2"/>
  <c r="H180" i="2"/>
  <c r="M180" i="2"/>
  <c r="I180" i="2"/>
  <c r="K180" i="2"/>
  <c r="L180" i="2"/>
  <c r="J180" i="2"/>
  <c r="L275" i="13"/>
  <c r="L323" i="8"/>
  <c r="N275" i="13"/>
  <c r="O94" i="19"/>
  <c r="P82" i="36" s="1"/>
  <c r="M275" i="13"/>
  <c r="M83" i="13"/>
  <c r="H275" i="13"/>
  <c r="G227" i="13"/>
  <c r="L227" i="13"/>
  <c r="H227" i="13"/>
  <c r="K179" i="13"/>
  <c r="P274" i="13"/>
  <c r="E276" i="13"/>
  <c r="N276" i="13" s="1"/>
  <c r="D276" i="13"/>
  <c r="H276" i="13"/>
  <c r="K276" i="13"/>
  <c r="B277" i="13"/>
  <c r="M276" i="13"/>
  <c r="J276" i="13"/>
  <c r="O276" i="13"/>
  <c r="I275" i="13"/>
  <c r="K275" i="13"/>
  <c r="J275" i="13"/>
  <c r="J227" i="13"/>
  <c r="M227" i="13"/>
  <c r="P226" i="13"/>
  <c r="E228" i="13"/>
  <c r="N228" i="13" s="1"/>
  <c r="O228" i="13"/>
  <c r="B229" i="13"/>
  <c r="D228" i="13"/>
  <c r="I227" i="13"/>
  <c r="K227" i="13"/>
  <c r="H179" i="13"/>
  <c r="J179" i="13"/>
  <c r="M179" i="13"/>
  <c r="L179" i="13"/>
  <c r="P178" i="13"/>
  <c r="B181" i="13"/>
  <c r="E180" i="13"/>
  <c r="G180" i="13" s="1"/>
  <c r="D180" i="13"/>
  <c r="O180" i="13"/>
  <c r="G179" i="13"/>
  <c r="I179" i="13"/>
  <c r="H131" i="13"/>
  <c r="P130" i="13"/>
  <c r="G131" i="13"/>
  <c r="I131" i="13"/>
  <c r="D132" i="13"/>
  <c r="B133" i="13"/>
  <c r="E132" i="13"/>
  <c r="N132" i="13" s="1"/>
  <c r="G132" i="13"/>
  <c r="O132" i="13"/>
  <c r="L131" i="13"/>
  <c r="M131" i="13"/>
  <c r="J131" i="13"/>
  <c r="K131" i="13"/>
  <c r="N131" i="13"/>
  <c r="O84" i="13"/>
  <c r="D84" i="13"/>
  <c r="B85" i="13"/>
  <c r="E84" i="13"/>
  <c r="L84" i="13" s="1"/>
  <c r="G83" i="13"/>
  <c r="I83" i="13"/>
  <c r="N83" i="13"/>
  <c r="J83" i="13"/>
  <c r="L83" i="13"/>
  <c r="K83" i="13"/>
  <c r="H83" i="13"/>
  <c r="P82" i="13"/>
  <c r="O190" i="19"/>
  <c r="P84" i="36" s="1"/>
  <c r="V323" i="4"/>
  <c r="V227" i="7"/>
  <c r="V131" i="21"/>
  <c r="L83" i="20"/>
  <c r="M275" i="6"/>
  <c r="V419" i="2"/>
  <c r="U227" i="8"/>
  <c r="I515" i="7"/>
  <c r="L131" i="5"/>
  <c r="U323" i="7"/>
  <c r="I83" i="5"/>
  <c r="V1043" i="2"/>
  <c r="U659" i="2"/>
  <c r="P129" i="8"/>
  <c r="P1473" i="2"/>
  <c r="P129" i="21"/>
  <c r="P321" i="4"/>
  <c r="P609" i="2"/>
  <c r="G84" i="36"/>
  <c r="P225" i="8"/>
  <c r="M179" i="20"/>
  <c r="P369" i="4"/>
  <c r="U371" i="7"/>
  <c r="M563" i="7"/>
  <c r="P129" i="2"/>
  <c r="U323" i="4"/>
  <c r="U803" i="2"/>
  <c r="J83" i="5"/>
  <c r="I35" i="5"/>
  <c r="N189" i="19"/>
  <c r="I189" i="19"/>
  <c r="O189" i="19" s="1"/>
  <c r="K189" i="19"/>
  <c r="N188" i="19"/>
  <c r="O188" i="19" s="1"/>
  <c r="N84" i="36" s="1"/>
  <c r="N187" i="19"/>
  <c r="L187" i="19"/>
  <c r="L179" i="20"/>
  <c r="V563" i="2"/>
  <c r="V323" i="7"/>
  <c r="P1329" i="2"/>
  <c r="U35" i="7"/>
  <c r="M419" i="8"/>
  <c r="U1667" i="2"/>
  <c r="U131" i="2"/>
  <c r="P753" i="2"/>
  <c r="P801" i="2"/>
  <c r="P33" i="8"/>
  <c r="P561" i="2"/>
  <c r="P1569" i="2"/>
  <c r="V1475" i="2"/>
  <c r="U1331" i="2"/>
  <c r="U1139" i="2"/>
  <c r="U995" i="2"/>
  <c r="P993" i="2"/>
  <c r="U947" i="2"/>
  <c r="P945" i="2"/>
  <c r="V755" i="2"/>
  <c r="U611" i="2"/>
  <c r="U563" i="2"/>
  <c r="U419" i="2"/>
  <c r="U371" i="2"/>
  <c r="U227" i="2"/>
  <c r="V659" i="2"/>
  <c r="V1091" i="2"/>
  <c r="U1187" i="2"/>
  <c r="U1523" i="2"/>
  <c r="P81" i="4"/>
  <c r="V371" i="4"/>
  <c r="N83" i="20"/>
  <c r="K131" i="20"/>
  <c r="H179" i="20"/>
  <c r="N179" i="20"/>
  <c r="M83" i="5"/>
  <c r="N131" i="5"/>
  <c r="M179" i="5"/>
  <c r="N93" i="19"/>
  <c r="K93" i="19"/>
  <c r="I93" i="19"/>
  <c r="O93" i="19" s="1"/>
  <c r="N92" i="19"/>
  <c r="O92" i="19" s="1"/>
  <c r="N82" i="36" s="1"/>
  <c r="N91" i="19"/>
  <c r="L91" i="19"/>
  <c r="M83" i="36"/>
  <c r="O143" i="19"/>
  <c r="P33" i="21"/>
  <c r="P81" i="21"/>
  <c r="I227" i="6"/>
  <c r="P274" i="6"/>
  <c r="K323" i="6"/>
  <c r="P33" i="7"/>
  <c r="P177" i="7"/>
  <c r="U179" i="7"/>
  <c r="P225" i="7"/>
  <c r="P369" i="7"/>
  <c r="I419" i="7"/>
  <c r="L515" i="7"/>
  <c r="G563" i="7"/>
  <c r="U35" i="8"/>
  <c r="U83" i="8"/>
  <c r="H275" i="8"/>
  <c r="P274" i="8"/>
  <c r="J275" i="8"/>
  <c r="M275" i="8"/>
  <c r="L275" i="8"/>
  <c r="K275" i="8"/>
  <c r="L371" i="8"/>
  <c r="M371" i="8"/>
  <c r="H371" i="8"/>
  <c r="P370" i="8"/>
  <c r="P1425" i="2"/>
  <c r="P130" i="5"/>
  <c r="P129" i="7"/>
  <c r="P1089" i="2"/>
  <c r="P34" i="5"/>
  <c r="P418" i="8"/>
  <c r="P178" i="20"/>
  <c r="P322" i="8"/>
  <c r="P418" i="7"/>
  <c r="P130" i="20"/>
  <c r="P562" i="7"/>
  <c r="P321" i="2"/>
  <c r="P82" i="20"/>
  <c r="P82" i="5"/>
  <c r="U275" i="2"/>
  <c r="P178" i="5"/>
  <c r="U131" i="7"/>
  <c r="P273" i="7"/>
  <c r="V1667" i="2"/>
  <c r="P321" i="7"/>
  <c r="L179" i="5"/>
  <c r="U275" i="4"/>
  <c r="K275" i="6"/>
  <c r="P514" i="7"/>
  <c r="V995" i="2"/>
  <c r="I467" i="7"/>
  <c r="P177" i="8"/>
  <c r="P81" i="6"/>
  <c r="V515" i="2"/>
  <c r="U899" i="2"/>
  <c r="G467" i="2"/>
  <c r="V467" i="2"/>
  <c r="G179" i="4"/>
  <c r="V179" i="4"/>
  <c r="V899" i="2"/>
  <c r="U1427" i="2"/>
  <c r="G1379" i="2"/>
  <c r="V1379" i="2"/>
  <c r="V1523" i="2"/>
  <c r="I179" i="6"/>
  <c r="H83" i="20"/>
  <c r="P1665" i="2"/>
  <c r="K83" i="20"/>
  <c r="P273" i="2"/>
  <c r="P225" i="4"/>
  <c r="G947" i="2"/>
  <c r="V947" i="2"/>
  <c r="P465" i="2"/>
  <c r="U179" i="4"/>
  <c r="H131" i="20"/>
  <c r="P225" i="2"/>
  <c r="J179" i="20"/>
  <c r="G1091" i="2"/>
  <c r="J323" i="8"/>
  <c r="I179" i="20"/>
  <c r="H35" i="5"/>
  <c r="H227" i="6"/>
  <c r="G1331" i="2"/>
  <c r="V1331" i="2"/>
  <c r="L563" i="7"/>
  <c r="K323" i="8"/>
  <c r="V803" i="2"/>
  <c r="P705" i="2"/>
  <c r="U83" i="4"/>
  <c r="K35" i="5"/>
  <c r="P897" i="2"/>
  <c r="G275" i="6"/>
  <c r="G227" i="6"/>
  <c r="H419" i="7"/>
  <c r="H563" i="7"/>
  <c r="H323" i="8"/>
  <c r="P322" i="6"/>
  <c r="V179" i="8"/>
  <c r="P1377" i="2"/>
  <c r="P1281" i="2"/>
  <c r="V1571" i="2"/>
  <c r="U1091" i="2"/>
  <c r="I563" i="7"/>
  <c r="P1185" i="2"/>
  <c r="G83" i="4"/>
  <c r="V83" i="4"/>
  <c r="M35" i="5"/>
  <c r="U1619" i="2"/>
  <c r="G35" i="8"/>
  <c r="V35" i="8"/>
  <c r="P273" i="4"/>
  <c r="U179" i="8"/>
  <c r="H515" i="7"/>
  <c r="U755" i="2"/>
  <c r="P1617" i="2"/>
  <c r="G611" i="2"/>
  <c r="V611" i="2"/>
  <c r="U323" i="2"/>
  <c r="K371" i="8"/>
  <c r="I371" i="8"/>
  <c r="K563" i="7"/>
  <c r="V1139" i="2"/>
  <c r="G275" i="8"/>
  <c r="I275" i="8"/>
  <c r="P369" i="2"/>
  <c r="V35" i="21"/>
  <c r="P1041" i="2"/>
  <c r="P226" i="6"/>
  <c r="V179" i="2"/>
  <c r="V323" i="2"/>
  <c r="U1475" i="2"/>
  <c r="G131" i="7"/>
  <c r="V131" i="7"/>
  <c r="V83" i="8"/>
  <c r="K179" i="20"/>
  <c r="I83" i="20"/>
  <c r="G227" i="8"/>
  <c r="V227" i="8"/>
  <c r="V371" i="2"/>
  <c r="H275" i="6"/>
  <c r="J275" i="6"/>
  <c r="V275" i="4"/>
  <c r="N83" i="5"/>
  <c r="J35" i="5"/>
  <c r="M83" i="20"/>
  <c r="G1619" i="2"/>
  <c r="V1619" i="2"/>
  <c r="M179" i="6"/>
  <c r="G131" i="4"/>
  <c r="V131" i="4"/>
  <c r="L275" i="6"/>
  <c r="I275" i="6"/>
  <c r="L227" i="6"/>
  <c r="U83" i="7"/>
  <c r="V83" i="7"/>
  <c r="V131" i="2"/>
  <c r="U1235" i="2"/>
  <c r="V1235" i="2"/>
  <c r="M323" i="8"/>
  <c r="U131" i="21"/>
  <c r="V371" i="7"/>
  <c r="I323" i="6"/>
  <c r="P33" i="4"/>
  <c r="V227" i="2"/>
  <c r="V1427" i="2"/>
  <c r="P81" i="7"/>
  <c r="P129" i="6"/>
  <c r="P177" i="4"/>
  <c r="V1283" i="2"/>
  <c r="P177" i="2"/>
  <c r="V35" i="4"/>
  <c r="U707" i="2"/>
  <c r="V35" i="7"/>
  <c r="J179" i="5"/>
  <c r="U131" i="4"/>
  <c r="H467" i="7"/>
  <c r="G275" i="2"/>
  <c r="V275" i="2"/>
  <c r="V83" i="21"/>
  <c r="H323" i="6"/>
  <c r="K83" i="5"/>
  <c r="I179" i="5"/>
  <c r="U35" i="21"/>
  <c r="J563" i="7"/>
  <c r="P129" i="4"/>
  <c r="V179" i="7"/>
  <c r="P466" i="7"/>
  <c r="P178" i="6"/>
  <c r="V707" i="2"/>
  <c r="P849" i="2"/>
  <c r="V131" i="8"/>
  <c r="U227" i="4"/>
  <c r="V227" i="4"/>
  <c r="N419" i="8"/>
  <c r="U179" i="2"/>
  <c r="I131" i="20"/>
  <c r="P513" i="2"/>
  <c r="U467" i="2"/>
  <c r="H419" i="8"/>
  <c r="I419" i="8"/>
  <c r="P81" i="8"/>
  <c r="L131" i="20"/>
  <c r="G1187" i="2"/>
  <c r="V1187" i="2"/>
  <c r="U131" i="6"/>
  <c r="L323" i="6"/>
  <c r="U131" i="8"/>
  <c r="P657" i="2"/>
  <c r="V275" i="7"/>
  <c r="G1475" i="2"/>
  <c r="K179" i="5"/>
  <c r="G323" i="4"/>
  <c r="M131" i="20"/>
  <c r="P417" i="2"/>
  <c r="U227" i="7"/>
  <c r="G131" i="6"/>
  <c r="V131" i="6"/>
  <c r="J323" i="6"/>
  <c r="U1379" i="2"/>
  <c r="N323" i="8"/>
  <c r="I323" i="8"/>
  <c r="V851" i="2"/>
  <c r="P1233" i="2"/>
  <c r="P1137" i="2"/>
  <c r="V83" i="6"/>
  <c r="P1521" i="2"/>
  <c r="K179" i="6"/>
  <c r="U1571" i="2"/>
  <c r="J515" i="7"/>
  <c r="J419" i="8"/>
  <c r="M131" i="5"/>
  <c r="B85" i="6"/>
  <c r="E84" i="6"/>
  <c r="O84" i="6"/>
  <c r="D84" i="6"/>
  <c r="D180" i="6"/>
  <c r="E180" i="6"/>
  <c r="G180" i="6" s="1"/>
  <c r="O180" i="6"/>
  <c r="B181" i="6"/>
  <c r="D1476" i="2"/>
  <c r="O1476" i="2"/>
  <c r="B1477" i="2"/>
  <c r="E1476" i="2"/>
  <c r="D276" i="4"/>
  <c r="O276" i="4"/>
  <c r="E276" i="4"/>
  <c r="B277" i="4"/>
  <c r="O36" i="21"/>
  <c r="B37" i="21"/>
  <c r="E36" i="21"/>
  <c r="G36" i="21" s="1"/>
  <c r="D36" i="21"/>
  <c r="E1044" i="2"/>
  <c r="B1045" i="2"/>
  <c r="D1044" i="2"/>
  <c r="O1044" i="2"/>
  <c r="D228" i="6"/>
  <c r="O228" i="6"/>
  <c r="B229" i="6"/>
  <c r="E228" i="6"/>
  <c r="G228" i="6" s="1"/>
  <c r="B133" i="5"/>
  <c r="E132" i="5"/>
  <c r="G132" i="5" s="1"/>
  <c r="D132" i="5"/>
  <c r="O132" i="5"/>
  <c r="B853" i="2"/>
  <c r="O852" i="2"/>
  <c r="D852" i="2"/>
  <c r="E852" i="2"/>
  <c r="B85" i="7"/>
  <c r="D84" i="7"/>
  <c r="O84" i="7"/>
  <c r="E84" i="7"/>
  <c r="E1236" i="2"/>
  <c r="D1236" i="2"/>
  <c r="O1236" i="2"/>
  <c r="B1237" i="2"/>
  <c r="D180" i="4"/>
  <c r="E180" i="4"/>
  <c r="G180" i="4" s="1"/>
  <c r="O180" i="4"/>
  <c r="B181" i="4"/>
  <c r="B1429" i="2"/>
  <c r="D1428" i="2"/>
  <c r="E1428" i="2"/>
  <c r="G1428" i="2" s="1"/>
  <c r="O1428" i="2"/>
  <c r="D132" i="2"/>
  <c r="O132" i="2"/>
  <c r="B133" i="2"/>
  <c r="E132" i="2"/>
  <c r="L83" i="5"/>
  <c r="N35" i="5"/>
  <c r="U275" i="7"/>
  <c r="E84" i="20"/>
  <c r="G84" i="20" s="1"/>
  <c r="O84" i="20"/>
  <c r="D84" i="20"/>
  <c r="B85" i="20"/>
  <c r="H179" i="5"/>
  <c r="U371" i="4"/>
  <c r="E36" i="8"/>
  <c r="D36" i="8"/>
  <c r="O36" i="8"/>
  <c r="B37" i="8"/>
  <c r="B1573" i="2"/>
  <c r="E1572" i="2"/>
  <c r="G1572" i="2" s="1"/>
  <c r="D1572" i="2"/>
  <c r="O1572" i="2"/>
  <c r="B421" i="8"/>
  <c r="O420" i="8"/>
  <c r="D420" i="8"/>
  <c r="E420" i="8"/>
  <c r="G420" i="8" s="1"/>
  <c r="B181" i="2"/>
  <c r="E180" i="2"/>
  <c r="G180" i="2" s="1"/>
  <c r="D180" i="2"/>
  <c r="O180" i="2"/>
  <c r="K467" i="7"/>
  <c r="J419" i="7"/>
  <c r="U83" i="21"/>
  <c r="E1140" i="2"/>
  <c r="O1140" i="2"/>
  <c r="B1141" i="2"/>
  <c r="D1140" i="2"/>
  <c r="M323" i="6"/>
  <c r="E1332" i="2"/>
  <c r="D1332" i="2"/>
  <c r="O1332" i="2"/>
  <c r="B1333" i="2"/>
  <c r="B565" i="7"/>
  <c r="E564" i="7"/>
  <c r="N564" i="7" s="1"/>
  <c r="D564" i="7"/>
  <c r="O564" i="7"/>
  <c r="U35" i="4"/>
  <c r="D228" i="4"/>
  <c r="O228" i="4"/>
  <c r="B229" i="4"/>
  <c r="E228" i="4"/>
  <c r="H83" i="5"/>
  <c r="L35" i="5"/>
  <c r="O276" i="7"/>
  <c r="E276" i="7"/>
  <c r="G276" i="7" s="1"/>
  <c r="B277" i="7"/>
  <c r="D276" i="7"/>
  <c r="N179" i="5"/>
  <c r="K419" i="8"/>
  <c r="J131" i="20"/>
  <c r="L467" i="7"/>
  <c r="N371" i="8"/>
  <c r="N419" i="7"/>
  <c r="G83" i="21"/>
  <c r="G323" i="6"/>
  <c r="D420" i="2"/>
  <c r="O420" i="2"/>
  <c r="E420" i="2"/>
  <c r="B421" i="2"/>
  <c r="O1188" i="2"/>
  <c r="B1189" i="2"/>
  <c r="D1188" i="2"/>
  <c r="E1188" i="2"/>
  <c r="M419" i="7"/>
  <c r="D564" i="2"/>
  <c r="O564" i="2"/>
  <c r="B565" i="2"/>
  <c r="E564" i="2"/>
  <c r="B229" i="8"/>
  <c r="E228" i="8"/>
  <c r="O228" i="8"/>
  <c r="D228" i="8"/>
  <c r="N515" i="7"/>
  <c r="E228" i="2"/>
  <c r="G228" i="2" s="1"/>
  <c r="D228" i="2"/>
  <c r="B229" i="2"/>
  <c r="O228" i="2"/>
  <c r="B469" i="7"/>
  <c r="O468" i="7"/>
  <c r="E468" i="7"/>
  <c r="N468" i="7" s="1"/>
  <c r="D468" i="7"/>
  <c r="B277" i="2"/>
  <c r="E276" i="2"/>
  <c r="D276" i="2"/>
  <c r="O276" i="2"/>
  <c r="G419" i="7"/>
  <c r="E84" i="8"/>
  <c r="D84" i="8"/>
  <c r="O84" i="8"/>
  <c r="B85" i="8"/>
  <c r="B1093" i="2"/>
  <c r="D1092" i="2"/>
  <c r="O1092" i="2"/>
  <c r="E1092" i="2"/>
  <c r="G1092" i="2" s="1"/>
  <c r="E1380" i="2"/>
  <c r="G1380" i="2" s="1"/>
  <c r="D1380" i="2"/>
  <c r="B1381" i="2"/>
  <c r="O1380" i="2"/>
  <c r="E180" i="20"/>
  <c r="G180" i="20" s="1"/>
  <c r="D180" i="20"/>
  <c r="O180" i="20"/>
  <c r="B181" i="20"/>
  <c r="D132" i="8"/>
  <c r="B133" i="8"/>
  <c r="E132" i="8"/>
  <c r="O132" i="8"/>
  <c r="E1620" i="2"/>
  <c r="G1620" i="2" s="1"/>
  <c r="O1620" i="2"/>
  <c r="D1620" i="2"/>
  <c r="B1621" i="2"/>
  <c r="J179" i="6"/>
  <c r="B133" i="4"/>
  <c r="E132" i="4"/>
  <c r="D132" i="4"/>
  <c r="O132" i="4"/>
  <c r="E324" i="4"/>
  <c r="G324" i="4" s="1"/>
  <c r="B325" i="4"/>
  <c r="O324" i="4"/>
  <c r="D324" i="4"/>
  <c r="E468" i="2"/>
  <c r="D468" i="2"/>
  <c r="O468" i="2"/>
  <c r="B469" i="2"/>
  <c r="G515" i="7"/>
  <c r="B949" i="2"/>
  <c r="O948" i="2"/>
  <c r="E948" i="2"/>
  <c r="D948" i="2"/>
  <c r="L419" i="8"/>
  <c r="I131" i="5"/>
  <c r="K419" i="7"/>
  <c r="O84" i="21"/>
  <c r="E84" i="21"/>
  <c r="G84" i="21" s="1"/>
  <c r="B85" i="21"/>
  <c r="D84" i="21"/>
  <c r="D228" i="7"/>
  <c r="O228" i="7"/>
  <c r="B229" i="7"/>
  <c r="E228" i="7"/>
  <c r="G228" i="7" s="1"/>
  <c r="D276" i="8"/>
  <c r="E276" i="8"/>
  <c r="O276" i="8"/>
  <c r="B277" i="8"/>
  <c r="B325" i="6"/>
  <c r="E324" i="6"/>
  <c r="N324" i="6" s="1"/>
  <c r="D324" i="6"/>
  <c r="O324" i="6"/>
  <c r="U1283" i="2"/>
  <c r="D804" i="2"/>
  <c r="O804" i="2"/>
  <c r="E804" i="2"/>
  <c r="B805" i="2"/>
  <c r="U515" i="2"/>
  <c r="D660" i="2"/>
  <c r="E660" i="2"/>
  <c r="B661" i="2"/>
  <c r="O660" i="2"/>
  <c r="B613" i="2"/>
  <c r="E612" i="2"/>
  <c r="D612" i="2"/>
  <c r="O612" i="2"/>
  <c r="E324" i="7"/>
  <c r="D324" i="7"/>
  <c r="O324" i="7"/>
  <c r="B325" i="7"/>
  <c r="O372" i="7"/>
  <c r="E372" i="7"/>
  <c r="D372" i="7"/>
  <c r="B373" i="7"/>
  <c r="D372" i="4"/>
  <c r="E372" i="4"/>
  <c r="O372" i="4"/>
  <c r="B373" i="4"/>
  <c r="G179" i="6"/>
  <c r="D900" i="2"/>
  <c r="O900" i="2"/>
  <c r="E900" i="2"/>
  <c r="B901" i="2"/>
  <c r="U1043" i="2"/>
  <c r="K227" i="6"/>
  <c r="M515" i="7"/>
  <c r="H131" i="5"/>
  <c r="J467" i="7"/>
  <c r="L419" i="7"/>
  <c r="B133" i="6"/>
  <c r="D132" i="6"/>
  <c r="O132" i="6"/>
  <c r="E132" i="6"/>
  <c r="U83" i="6"/>
  <c r="B709" i="2"/>
  <c r="D708" i="2"/>
  <c r="O708" i="2"/>
  <c r="E708" i="2"/>
  <c r="E36" i="4"/>
  <c r="D36" i="4"/>
  <c r="O36" i="4"/>
  <c r="B37" i="4"/>
  <c r="B181" i="5"/>
  <c r="E180" i="5"/>
  <c r="G180" i="5" s="1"/>
  <c r="D180" i="5"/>
  <c r="O180" i="5"/>
  <c r="H179" i="6"/>
  <c r="D1668" i="2"/>
  <c r="O1668" i="2"/>
  <c r="B1669" i="2"/>
  <c r="E1668" i="2"/>
  <c r="G1668" i="2" s="1"/>
  <c r="J227" i="6"/>
  <c r="K515" i="7"/>
  <c r="N131" i="20"/>
  <c r="K131" i="5"/>
  <c r="M467" i="7"/>
  <c r="J371" i="8"/>
  <c r="U851" i="2"/>
  <c r="B421" i="7"/>
  <c r="D420" i="7"/>
  <c r="O420" i="7"/>
  <c r="E420" i="7"/>
  <c r="N420" i="7" s="1"/>
  <c r="D372" i="2"/>
  <c r="O372" i="2"/>
  <c r="B373" i="2"/>
  <c r="E372" i="2"/>
  <c r="B133" i="7"/>
  <c r="D132" i="7"/>
  <c r="E132" i="7"/>
  <c r="O132" i="7"/>
  <c r="O324" i="8"/>
  <c r="B325" i="8"/>
  <c r="D324" i="8"/>
  <c r="E324" i="8"/>
  <c r="N324" i="8" s="1"/>
  <c r="O516" i="2"/>
  <c r="E516" i="2"/>
  <c r="D516" i="2"/>
  <c r="B517" i="2"/>
  <c r="E180" i="7"/>
  <c r="G180" i="7" s="1"/>
  <c r="O180" i="7"/>
  <c r="D180" i="7"/>
  <c r="B181" i="7"/>
  <c r="E180" i="8"/>
  <c r="D180" i="8"/>
  <c r="O180" i="8"/>
  <c r="B181" i="8"/>
  <c r="B85" i="5"/>
  <c r="E84" i="5"/>
  <c r="G84" i="5" s="1"/>
  <c r="D84" i="5"/>
  <c r="O84" i="5"/>
  <c r="O36" i="5"/>
  <c r="B37" i="5"/>
  <c r="E36" i="5"/>
  <c r="G36" i="5" s="1"/>
  <c r="D36" i="5"/>
  <c r="B85" i="4"/>
  <c r="E84" i="4"/>
  <c r="G84" i="4" s="1"/>
  <c r="D84" i="4"/>
  <c r="O84" i="4"/>
  <c r="O36" i="7"/>
  <c r="D36" i="7"/>
  <c r="B37" i="7"/>
  <c r="E36" i="7"/>
  <c r="J83" i="20"/>
  <c r="L179" i="6"/>
  <c r="D276" i="6"/>
  <c r="B277" i="6"/>
  <c r="O276" i="6"/>
  <c r="E276" i="6"/>
  <c r="N276" i="6" s="1"/>
  <c r="M227" i="6"/>
  <c r="D516" i="7"/>
  <c r="O516" i="7"/>
  <c r="B517" i="7"/>
  <c r="E516" i="7"/>
  <c r="N516" i="7" s="1"/>
  <c r="B757" i="2"/>
  <c r="D756" i="2"/>
  <c r="E756" i="2"/>
  <c r="O756" i="2"/>
  <c r="B997" i="2"/>
  <c r="O996" i="2"/>
  <c r="E996" i="2"/>
  <c r="D996" i="2"/>
  <c r="B133" i="20"/>
  <c r="E132" i="20"/>
  <c r="G132" i="20" s="1"/>
  <c r="D132" i="20"/>
  <c r="O132" i="20"/>
  <c r="J131" i="5"/>
  <c r="D324" i="2"/>
  <c r="O324" i="2"/>
  <c r="E324" i="2"/>
  <c r="B325" i="2"/>
  <c r="N467" i="7"/>
  <c r="O372" i="8"/>
  <c r="E372" i="8"/>
  <c r="G372" i="8" s="1"/>
  <c r="D372" i="8"/>
  <c r="B373" i="8"/>
  <c r="B1285" i="2"/>
  <c r="D1284" i="2"/>
  <c r="E1284" i="2"/>
  <c r="O1284" i="2"/>
  <c r="B1525" i="2"/>
  <c r="O1524" i="2"/>
  <c r="D1524" i="2"/>
  <c r="E1524" i="2"/>
  <c r="E132" i="21"/>
  <c r="G132" i="21" s="1"/>
  <c r="D132" i="21"/>
  <c r="O132" i="21"/>
  <c r="B133" i="21"/>
  <c r="L70" i="37"/>
  <c r="L229" i="7" l="1"/>
  <c r="K229" i="7"/>
  <c r="J229" i="7"/>
  <c r="I229" i="7"/>
  <c r="M229" i="7"/>
  <c r="N229" i="7"/>
  <c r="H229" i="7"/>
  <c r="J133" i="2"/>
  <c r="N133" i="2"/>
  <c r="M133" i="2"/>
  <c r="K133" i="2"/>
  <c r="L133" i="2"/>
  <c r="H133" i="2"/>
  <c r="I133" i="2"/>
  <c r="I228" i="13"/>
  <c r="J37" i="4"/>
  <c r="I37" i="4"/>
  <c r="H37" i="4"/>
  <c r="L37" i="4"/>
  <c r="N37" i="4"/>
  <c r="M37" i="4"/>
  <c r="K37" i="4"/>
  <c r="N373" i="4"/>
  <c r="M373" i="4"/>
  <c r="L373" i="4"/>
  <c r="K373" i="4"/>
  <c r="J373" i="4"/>
  <c r="I373" i="4"/>
  <c r="H373" i="4"/>
  <c r="N949" i="2"/>
  <c r="M949" i="2"/>
  <c r="L949" i="2"/>
  <c r="K949" i="2"/>
  <c r="I949" i="2"/>
  <c r="J949" i="2"/>
  <c r="H949" i="2"/>
  <c r="N37" i="21"/>
  <c r="M37" i="21"/>
  <c r="L37" i="21"/>
  <c r="K37" i="21"/>
  <c r="J37" i="21"/>
  <c r="I37" i="21"/>
  <c r="H37" i="21"/>
  <c r="L133" i="7"/>
  <c r="I133" i="7"/>
  <c r="M133" i="7"/>
  <c r="K133" i="7"/>
  <c r="J133" i="7"/>
  <c r="H133" i="7"/>
  <c r="N133" i="7"/>
  <c r="L85" i="8"/>
  <c r="K85" i="8"/>
  <c r="J85" i="8"/>
  <c r="I85" i="8"/>
  <c r="H85" i="8"/>
  <c r="N85" i="8"/>
  <c r="M85" i="8"/>
  <c r="N757" i="2"/>
  <c r="M757" i="2"/>
  <c r="K757" i="2"/>
  <c r="J757" i="2"/>
  <c r="I757" i="2"/>
  <c r="H757" i="2"/>
  <c r="L757" i="2"/>
  <c r="H517" i="2"/>
  <c r="N517" i="2"/>
  <c r="M517" i="2"/>
  <c r="L517" i="2"/>
  <c r="K517" i="2"/>
  <c r="J517" i="2"/>
  <c r="I517" i="2"/>
  <c r="J133" i="6"/>
  <c r="I133" i="6"/>
  <c r="H133" i="6"/>
  <c r="N133" i="6"/>
  <c r="L133" i="6"/>
  <c r="K133" i="6"/>
  <c r="M133" i="6"/>
  <c r="J37" i="7"/>
  <c r="I37" i="7"/>
  <c r="H37" i="7"/>
  <c r="K37" i="7"/>
  <c r="N37" i="7"/>
  <c r="L37" i="7"/>
  <c r="M37" i="7"/>
  <c r="N373" i="2"/>
  <c r="M373" i="2"/>
  <c r="J373" i="2"/>
  <c r="L373" i="2"/>
  <c r="K373" i="2"/>
  <c r="I373" i="2"/>
  <c r="H373" i="2"/>
  <c r="L133" i="4"/>
  <c r="K133" i="4"/>
  <c r="J133" i="4"/>
  <c r="I133" i="4"/>
  <c r="H133" i="4"/>
  <c r="N133" i="4"/>
  <c r="M133" i="4"/>
  <c r="N229" i="2"/>
  <c r="K229" i="2"/>
  <c r="I229" i="2"/>
  <c r="M229" i="2"/>
  <c r="L229" i="2"/>
  <c r="J229" i="2"/>
  <c r="H229" i="2"/>
  <c r="L229" i="4"/>
  <c r="K229" i="4"/>
  <c r="J229" i="4"/>
  <c r="I229" i="4"/>
  <c r="H229" i="4"/>
  <c r="N229" i="4"/>
  <c r="M229" i="4"/>
  <c r="M469" i="2"/>
  <c r="L469" i="2"/>
  <c r="K469" i="2"/>
  <c r="J469" i="2"/>
  <c r="I469" i="2"/>
  <c r="H469" i="2"/>
  <c r="N469" i="2"/>
  <c r="N277" i="4"/>
  <c r="M277" i="4"/>
  <c r="L277" i="4"/>
  <c r="K277" i="4"/>
  <c r="I277" i="4"/>
  <c r="J277" i="4"/>
  <c r="H277" i="4"/>
  <c r="N1285" i="2"/>
  <c r="M1285" i="2"/>
  <c r="L1285" i="2"/>
  <c r="K1285" i="2"/>
  <c r="J1285" i="2"/>
  <c r="I1285" i="2"/>
  <c r="H1285" i="2"/>
  <c r="J1621" i="2"/>
  <c r="I1621" i="2"/>
  <c r="H1621" i="2"/>
  <c r="N1621" i="2"/>
  <c r="M1621" i="2"/>
  <c r="L1621" i="2"/>
  <c r="K1621" i="2"/>
  <c r="N1141" i="2"/>
  <c r="M1141" i="2"/>
  <c r="L1141" i="2"/>
  <c r="K1141" i="2"/>
  <c r="J1141" i="2"/>
  <c r="I1141" i="2"/>
  <c r="H1141" i="2"/>
  <c r="I133" i="21"/>
  <c r="N133" i="21"/>
  <c r="M133" i="21"/>
  <c r="L133" i="21"/>
  <c r="K133" i="21"/>
  <c r="J133" i="21"/>
  <c r="H133" i="21"/>
  <c r="I85" i="21"/>
  <c r="H85" i="21"/>
  <c r="N85" i="21"/>
  <c r="M85" i="21"/>
  <c r="L85" i="21"/>
  <c r="J85" i="21"/>
  <c r="K85" i="21"/>
  <c r="N613" i="2"/>
  <c r="M613" i="2"/>
  <c r="L613" i="2"/>
  <c r="K613" i="2"/>
  <c r="J613" i="2"/>
  <c r="I613" i="2"/>
  <c r="H613" i="2"/>
  <c r="L181" i="8"/>
  <c r="K181" i="8"/>
  <c r="J181" i="8"/>
  <c r="I181" i="8"/>
  <c r="H181" i="8"/>
  <c r="N181" i="8"/>
  <c r="M181" i="8"/>
  <c r="J1669" i="2"/>
  <c r="I1669" i="2"/>
  <c r="H1669" i="2"/>
  <c r="N1669" i="2"/>
  <c r="M1669" i="2"/>
  <c r="L1669" i="2"/>
  <c r="K1669" i="2"/>
  <c r="L373" i="7"/>
  <c r="K373" i="7"/>
  <c r="J373" i="7"/>
  <c r="I373" i="7"/>
  <c r="H373" i="7"/>
  <c r="N373" i="7"/>
  <c r="M373" i="7"/>
  <c r="N1381" i="2"/>
  <c r="M1381" i="2"/>
  <c r="L1381" i="2"/>
  <c r="K1381" i="2"/>
  <c r="J1381" i="2"/>
  <c r="I1381" i="2"/>
  <c r="H1381" i="2"/>
  <c r="N1189" i="2"/>
  <c r="M1189" i="2"/>
  <c r="L1189" i="2"/>
  <c r="K1189" i="2"/>
  <c r="J1189" i="2"/>
  <c r="I1189" i="2"/>
  <c r="H1189" i="2"/>
  <c r="N661" i="2"/>
  <c r="M661" i="2"/>
  <c r="L661" i="2"/>
  <c r="K661" i="2"/>
  <c r="J661" i="2"/>
  <c r="I661" i="2"/>
  <c r="H661" i="2"/>
  <c r="N1429" i="2"/>
  <c r="M1429" i="2"/>
  <c r="L1429" i="2"/>
  <c r="K1429" i="2"/>
  <c r="J1429" i="2"/>
  <c r="H1429" i="2"/>
  <c r="I1429" i="2"/>
  <c r="L85" i="7"/>
  <c r="I85" i="7"/>
  <c r="J85" i="7"/>
  <c r="H85" i="7"/>
  <c r="N85" i="7"/>
  <c r="M85" i="7"/>
  <c r="K85" i="7"/>
  <c r="J85" i="6"/>
  <c r="I85" i="6"/>
  <c r="H85" i="6"/>
  <c r="N85" i="6"/>
  <c r="M85" i="6"/>
  <c r="L85" i="6"/>
  <c r="K85" i="6"/>
  <c r="N1237" i="2"/>
  <c r="M1237" i="2"/>
  <c r="K1237" i="2"/>
  <c r="J1237" i="2"/>
  <c r="I1237" i="2"/>
  <c r="H1237" i="2"/>
  <c r="L1237" i="2"/>
  <c r="L421" i="2"/>
  <c r="N421" i="2"/>
  <c r="M421" i="2"/>
  <c r="K421" i="2"/>
  <c r="J421" i="2"/>
  <c r="H421" i="2"/>
  <c r="I421" i="2"/>
  <c r="L181" i="4"/>
  <c r="I181" i="4"/>
  <c r="H181" i="4"/>
  <c r="K181" i="4"/>
  <c r="N181" i="4"/>
  <c r="M181" i="4"/>
  <c r="J181" i="4"/>
  <c r="J1525" i="2"/>
  <c r="I1525" i="2"/>
  <c r="H1525" i="2"/>
  <c r="N1525" i="2"/>
  <c r="M1525" i="2"/>
  <c r="L1525" i="2"/>
  <c r="K1525" i="2"/>
  <c r="N565" i="2"/>
  <c r="M565" i="2"/>
  <c r="L565" i="2"/>
  <c r="K565" i="2"/>
  <c r="J565" i="2"/>
  <c r="I565" i="2"/>
  <c r="H565" i="2"/>
  <c r="N709" i="2"/>
  <c r="M709" i="2"/>
  <c r="L709" i="2"/>
  <c r="K709" i="2"/>
  <c r="J709" i="2"/>
  <c r="I709" i="2"/>
  <c r="H709" i="2"/>
  <c r="N901" i="2"/>
  <c r="M901" i="2"/>
  <c r="L901" i="2"/>
  <c r="K901" i="2"/>
  <c r="I901" i="2"/>
  <c r="J901" i="2"/>
  <c r="H901" i="2"/>
  <c r="K277" i="2"/>
  <c r="N277" i="2"/>
  <c r="J277" i="2"/>
  <c r="M277" i="2"/>
  <c r="L277" i="2"/>
  <c r="I277" i="2"/>
  <c r="H277" i="2"/>
  <c r="N997" i="2"/>
  <c r="M997" i="2"/>
  <c r="L997" i="2"/>
  <c r="K997" i="2"/>
  <c r="J997" i="2"/>
  <c r="I997" i="2"/>
  <c r="H997" i="2"/>
  <c r="L181" i="7"/>
  <c r="I181" i="7"/>
  <c r="N181" i="7"/>
  <c r="M181" i="7"/>
  <c r="K181" i="7"/>
  <c r="J181" i="7"/>
  <c r="H181" i="7"/>
  <c r="L325" i="7"/>
  <c r="K325" i="7"/>
  <c r="J325" i="7"/>
  <c r="I325" i="7"/>
  <c r="N325" i="7"/>
  <c r="M325" i="7"/>
  <c r="H325" i="7"/>
  <c r="N325" i="4"/>
  <c r="M325" i="4"/>
  <c r="L325" i="4"/>
  <c r="K325" i="4"/>
  <c r="J325" i="4"/>
  <c r="H325" i="4"/>
  <c r="I325" i="4"/>
  <c r="L229" i="8"/>
  <c r="K229" i="8"/>
  <c r="J229" i="8"/>
  <c r="I229" i="8"/>
  <c r="H229" i="8"/>
  <c r="N229" i="8"/>
  <c r="M229" i="8"/>
  <c r="J1573" i="2"/>
  <c r="L1573" i="2"/>
  <c r="K1573" i="2"/>
  <c r="I1573" i="2"/>
  <c r="H1573" i="2"/>
  <c r="N1573" i="2"/>
  <c r="M1573" i="2"/>
  <c r="M1045" i="2"/>
  <c r="I1045" i="2"/>
  <c r="H1045" i="2"/>
  <c r="N1045" i="2"/>
  <c r="J1045" i="2"/>
  <c r="L1045" i="2"/>
  <c r="K1045" i="2"/>
  <c r="N1093" i="2"/>
  <c r="M1093" i="2"/>
  <c r="L1093" i="2"/>
  <c r="K1093" i="2"/>
  <c r="J1093" i="2"/>
  <c r="I1093" i="2"/>
  <c r="H1093" i="2"/>
  <c r="J85" i="4"/>
  <c r="I85" i="4"/>
  <c r="H85" i="4"/>
  <c r="L85" i="4"/>
  <c r="N85" i="4"/>
  <c r="M85" i="4"/>
  <c r="K85" i="4"/>
  <c r="L277" i="7"/>
  <c r="K277" i="7"/>
  <c r="J277" i="7"/>
  <c r="I277" i="7"/>
  <c r="N277" i="7"/>
  <c r="M277" i="7"/>
  <c r="H277" i="7"/>
  <c r="J1477" i="2"/>
  <c r="N1477" i="2"/>
  <c r="M1477" i="2"/>
  <c r="L1477" i="2"/>
  <c r="K1477" i="2"/>
  <c r="I1477" i="2"/>
  <c r="H1477" i="2"/>
  <c r="N325" i="2"/>
  <c r="M325" i="2"/>
  <c r="L325" i="2"/>
  <c r="K325" i="2"/>
  <c r="J325" i="2"/>
  <c r="I325" i="2"/>
  <c r="H325" i="2"/>
  <c r="N805" i="2"/>
  <c r="M805" i="2"/>
  <c r="L805" i="2"/>
  <c r="I805" i="2"/>
  <c r="K805" i="2"/>
  <c r="J805" i="2"/>
  <c r="H805" i="2"/>
  <c r="L133" i="8"/>
  <c r="K133" i="8"/>
  <c r="J133" i="8"/>
  <c r="I133" i="8"/>
  <c r="H133" i="8"/>
  <c r="N133" i="8"/>
  <c r="M133" i="8"/>
  <c r="N1333" i="2"/>
  <c r="M1333" i="2"/>
  <c r="L1333" i="2"/>
  <c r="K1333" i="2"/>
  <c r="J1333" i="2"/>
  <c r="I1333" i="2"/>
  <c r="H1333" i="2"/>
  <c r="L37" i="8"/>
  <c r="K37" i="8"/>
  <c r="J37" i="8"/>
  <c r="I37" i="8"/>
  <c r="H37" i="8"/>
  <c r="N37" i="8"/>
  <c r="M37" i="8"/>
  <c r="N853" i="2"/>
  <c r="M853" i="2"/>
  <c r="L853" i="2"/>
  <c r="K853" i="2"/>
  <c r="I853" i="2"/>
  <c r="J853" i="2"/>
  <c r="H853" i="2"/>
  <c r="N181" i="2"/>
  <c r="H181" i="2"/>
  <c r="M181" i="2"/>
  <c r="I181" i="2"/>
  <c r="K181" i="2"/>
  <c r="J181" i="2"/>
  <c r="L181" i="2"/>
  <c r="I276" i="13"/>
  <c r="G276" i="13"/>
  <c r="M228" i="13"/>
  <c r="L228" i="13"/>
  <c r="G228" i="13"/>
  <c r="P275" i="13"/>
  <c r="D277" i="13"/>
  <c r="E277" i="13"/>
  <c r="O277" i="13"/>
  <c r="N277" i="13"/>
  <c r="K277" i="13"/>
  <c r="B278" i="13"/>
  <c r="L276" i="13"/>
  <c r="P227" i="13"/>
  <c r="H228" i="13"/>
  <c r="J228" i="13"/>
  <c r="E229" i="13"/>
  <c r="G229" i="13" s="1"/>
  <c r="D229" i="13"/>
  <c r="B230" i="13"/>
  <c r="O229" i="13"/>
  <c r="K228" i="13"/>
  <c r="K180" i="13"/>
  <c r="L180" i="13"/>
  <c r="M180" i="13"/>
  <c r="J180" i="13"/>
  <c r="I180" i="13"/>
  <c r="H180" i="13"/>
  <c r="D181" i="13"/>
  <c r="B182" i="13"/>
  <c r="E181" i="13"/>
  <c r="N180" i="13"/>
  <c r="P179" i="13"/>
  <c r="K132" i="13"/>
  <c r="H132" i="13"/>
  <c r="J132" i="13"/>
  <c r="M132" i="13"/>
  <c r="B134" i="13"/>
  <c r="D133" i="13"/>
  <c r="E133" i="13"/>
  <c r="N133" i="13" s="1"/>
  <c r="O133" i="13"/>
  <c r="L132" i="13"/>
  <c r="I132" i="13"/>
  <c r="P131" i="13"/>
  <c r="P83" i="13"/>
  <c r="B86" i="13"/>
  <c r="O85" i="13"/>
  <c r="E85" i="13"/>
  <c r="N85" i="13" s="1"/>
  <c r="D85" i="13"/>
  <c r="K84" i="13"/>
  <c r="H84" i="13"/>
  <c r="J84" i="13"/>
  <c r="N84" i="13"/>
  <c r="I84" i="13"/>
  <c r="M84" i="13"/>
  <c r="G84" i="13"/>
  <c r="O187" i="19"/>
  <c r="O191" i="19" s="1"/>
  <c r="O91" i="19"/>
  <c r="O95" i="19" s="1"/>
  <c r="P322" i="4"/>
  <c r="P130" i="8"/>
  <c r="H180" i="5"/>
  <c r="U228" i="4"/>
  <c r="I84" i="20"/>
  <c r="V756" i="2"/>
  <c r="N36" i="5"/>
  <c r="V180" i="4"/>
  <c r="V1620" i="2"/>
  <c r="J372" i="8"/>
  <c r="P274" i="2"/>
  <c r="V84" i="4"/>
  <c r="M84" i="20"/>
  <c r="P226" i="4"/>
  <c r="P466" i="2"/>
  <c r="P898" i="2"/>
  <c r="P1426" i="2"/>
  <c r="P322" i="7"/>
  <c r="P802" i="2"/>
  <c r="P610" i="2"/>
  <c r="P1282" i="2"/>
  <c r="J324" i="8"/>
  <c r="U84" i="6"/>
  <c r="K420" i="7"/>
  <c r="U1668" i="2"/>
  <c r="U612" i="2"/>
  <c r="V1428" i="2"/>
  <c r="V564" i="2"/>
  <c r="U372" i="7"/>
  <c r="K180" i="20"/>
  <c r="P1618" i="2"/>
  <c r="V132" i="21"/>
  <c r="J84" i="20"/>
  <c r="N132" i="20"/>
  <c r="V372" i="4"/>
  <c r="H228" i="6"/>
  <c r="U228" i="8"/>
  <c r="U1332" i="2"/>
  <c r="N420" i="8"/>
  <c r="K84" i="20"/>
  <c r="P1090" i="2"/>
  <c r="V1380" i="2"/>
  <c r="J132" i="5"/>
  <c r="U132" i="2"/>
  <c r="P226" i="2"/>
  <c r="P370" i="4"/>
  <c r="P130" i="2"/>
  <c r="P1378" i="2"/>
  <c r="P1234" i="2"/>
  <c r="P1186" i="2"/>
  <c r="U996" i="2"/>
  <c r="U852" i="2"/>
  <c r="U756" i="2"/>
  <c r="P658" i="2"/>
  <c r="P514" i="2"/>
  <c r="U420" i="2"/>
  <c r="P370" i="2"/>
  <c r="V372" i="2"/>
  <c r="P178" i="2"/>
  <c r="U228" i="2"/>
  <c r="V228" i="2"/>
  <c r="P562" i="2"/>
  <c r="G564" i="2"/>
  <c r="U660" i="2"/>
  <c r="P754" i="2"/>
  <c r="U1236" i="2"/>
  <c r="U1284" i="2"/>
  <c r="U1380" i="2"/>
  <c r="U1428" i="2"/>
  <c r="V1476" i="2"/>
  <c r="P1474" i="2"/>
  <c r="U132" i="4"/>
  <c r="U276" i="4"/>
  <c r="U180" i="4"/>
  <c r="P178" i="4"/>
  <c r="P274" i="4"/>
  <c r="G372" i="4"/>
  <c r="H84" i="20"/>
  <c r="M180" i="20"/>
  <c r="H180" i="20"/>
  <c r="K132" i="20"/>
  <c r="H36" i="5"/>
  <c r="J84" i="5"/>
  <c r="N84" i="5"/>
  <c r="P131" i="5"/>
  <c r="K132" i="5"/>
  <c r="L132" i="5"/>
  <c r="V36" i="21"/>
  <c r="P82" i="21"/>
  <c r="V84" i="21"/>
  <c r="P130" i="21"/>
  <c r="P82" i="6"/>
  <c r="J180" i="6"/>
  <c r="H276" i="6"/>
  <c r="J276" i="6"/>
  <c r="G276" i="6"/>
  <c r="L276" i="6"/>
  <c r="I276" i="6"/>
  <c r="U36" i="7"/>
  <c r="P130" i="7"/>
  <c r="P274" i="7"/>
  <c r="U324" i="7"/>
  <c r="U84" i="7"/>
  <c r="V132" i="7"/>
  <c r="P226" i="7"/>
  <c r="U276" i="7"/>
  <c r="M420" i="7"/>
  <c r="J516" i="7"/>
  <c r="K468" i="7"/>
  <c r="P467" i="7"/>
  <c r="H468" i="7"/>
  <c r="K564" i="7"/>
  <c r="H564" i="7"/>
  <c r="G564" i="7"/>
  <c r="P34" i="8"/>
  <c r="U132" i="8"/>
  <c r="U84" i="8"/>
  <c r="P82" i="8"/>
  <c r="P178" i="8"/>
  <c r="P226" i="8"/>
  <c r="J276" i="8"/>
  <c r="P371" i="8"/>
  <c r="P275" i="8"/>
  <c r="M324" i="8"/>
  <c r="K324" i="8"/>
  <c r="K420" i="8"/>
  <c r="P34" i="21"/>
  <c r="P946" i="2"/>
  <c r="P35" i="5"/>
  <c r="P131" i="20"/>
  <c r="P34" i="4"/>
  <c r="P994" i="2"/>
  <c r="P1570" i="2"/>
  <c r="P130" i="4"/>
  <c r="P179" i="5"/>
  <c r="P83" i="20"/>
  <c r="P323" i="8"/>
  <c r="P1330" i="2"/>
  <c r="P1042" i="2"/>
  <c r="P179" i="20"/>
  <c r="P83" i="5"/>
  <c r="P563" i="7"/>
  <c r="P1138" i="2"/>
  <c r="G132" i="6"/>
  <c r="V132" i="6"/>
  <c r="U132" i="7"/>
  <c r="G228" i="8"/>
  <c r="V228" i="8"/>
  <c r="P323" i="6"/>
  <c r="U132" i="21"/>
  <c r="H324" i="8"/>
  <c r="N276" i="8"/>
  <c r="I276" i="8"/>
  <c r="P515" i="7"/>
  <c r="G132" i="4"/>
  <c r="V132" i="4"/>
  <c r="G468" i="7"/>
  <c r="I468" i="7"/>
  <c r="G228" i="4"/>
  <c r="V228" i="4"/>
  <c r="U1044" i="2"/>
  <c r="N180" i="6"/>
  <c r="I180" i="6"/>
  <c r="P82" i="4"/>
  <c r="I420" i="7"/>
  <c r="G516" i="2"/>
  <c r="V516" i="2"/>
  <c r="G804" i="2"/>
  <c r="V804" i="2"/>
  <c r="G132" i="2"/>
  <c r="V132" i="2"/>
  <c r="G180" i="8"/>
  <c r="V180" i="8"/>
  <c r="G324" i="2"/>
  <c r="V324" i="2"/>
  <c r="G372" i="2"/>
  <c r="G900" i="2"/>
  <c r="V900" i="2"/>
  <c r="H276" i="8"/>
  <c r="U1092" i="2"/>
  <c r="V1092" i="2"/>
  <c r="G84" i="8"/>
  <c r="V84" i="8"/>
  <c r="U564" i="2"/>
  <c r="U180" i="2"/>
  <c r="U1572" i="2"/>
  <c r="I228" i="6"/>
  <c r="V1572" i="2"/>
  <c r="P1666" i="2"/>
  <c r="P1522" i="2"/>
  <c r="G1524" i="2"/>
  <c r="V1524" i="2"/>
  <c r="G612" i="2"/>
  <c r="V612" i="2"/>
  <c r="P419" i="7"/>
  <c r="I420" i="8"/>
  <c r="P322" i="2"/>
  <c r="G1284" i="2"/>
  <c r="V1284" i="2"/>
  <c r="U324" i="2"/>
  <c r="H84" i="5"/>
  <c r="L324" i="8"/>
  <c r="V1668" i="2"/>
  <c r="P82" i="7"/>
  <c r="G324" i="7"/>
  <c r="V324" i="7"/>
  <c r="M324" i="6"/>
  <c r="J180" i="20"/>
  <c r="P418" i="2"/>
  <c r="G84" i="7"/>
  <c r="V84" i="7"/>
  <c r="G276" i="4"/>
  <c r="V276" i="4"/>
  <c r="P275" i="6"/>
  <c r="P370" i="7"/>
  <c r="U1524" i="2"/>
  <c r="P227" i="6"/>
  <c r="G996" i="2"/>
  <c r="V996" i="2"/>
  <c r="M276" i="6"/>
  <c r="U180" i="7"/>
  <c r="V180" i="7"/>
  <c r="G324" i="8"/>
  <c r="I324" i="8"/>
  <c r="G708" i="2"/>
  <c r="V708" i="2"/>
  <c r="P179" i="6"/>
  <c r="U468" i="2"/>
  <c r="U276" i="2"/>
  <c r="G1332" i="2"/>
  <c r="V1332" i="2"/>
  <c r="H420" i="8"/>
  <c r="N84" i="20"/>
  <c r="P419" i="8"/>
  <c r="I564" i="7"/>
  <c r="P706" i="2"/>
  <c r="V180" i="2"/>
  <c r="G468" i="2"/>
  <c r="V468" i="2"/>
  <c r="G948" i="2"/>
  <c r="V948" i="2"/>
  <c r="I372" i="8"/>
  <c r="U84" i="4"/>
  <c r="U372" i="2"/>
  <c r="U228" i="7"/>
  <c r="G276" i="2"/>
  <c r="V276" i="2"/>
  <c r="G1188" i="2"/>
  <c r="V1188" i="2"/>
  <c r="I132" i="20"/>
  <c r="M36" i="5"/>
  <c r="I84" i="5"/>
  <c r="L420" i="7"/>
  <c r="U708" i="2"/>
  <c r="J324" i="6"/>
  <c r="U84" i="21"/>
  <c r="V324" i="4"/>
  <c r="U1188" i="2"/>
  <c r="J420" i="8"/>
  <c r="J228" i="6"/>
  <c r="U1476" i="2"/>
  <c r="G1044" i="2"/>
  <c r="V1044" i="2"/>
  <c r="G84" i="6"/>
  <c r="V84" i="6"/>
  <c r="V228" i="7"/>
  <c r="M132" i="20"/>
  <c r="G756" i="2"/>
  <c r="K276" i="6"/>
  <c r="L36" i="5"/>
  <c r="G420" i="7"/>
  <c r="I180" i="5"/>
  <c r="U36" i="4"/>
  <c r="G660" i="2"/>
  <c r="V660" i="2"/>
  <c r="G324" i="6"/>
  <c r="I324" i="6"/>
  <c r="L468" i="7"/>
  <c r="V276" i="7"/>
  <c r="L564" i="7"/>
  <c r="L420" i="8"/>
  <c r="G36" i="8"/>
  <c r="V36" i="8"/>
  <c r="G1236" i="2"/>
  <c r="V1236" i="2"/>
  <c r="G852" i="2"/>
  <c r="V852" i="2"/>
  <c r="M180" i="6"/>
  <c r="P178" i="7"/>
  <c r="P850" i="2"/>
  <c r="P34" i="7"/>
  <c r="G36" i="7"/>
  <c r="V36" i="7"/>
  <c r="G372" i="7"/>
  <c r="V372" i="7"/>
  <c r="J132" i="20"/>
  <c r="K516" i="7"/>
  <c r="I516" i="7"/>
  <c r="G132" i="8"/>
  <c r="V132" i="8"/>
  <c r="P130" i="6"/>
  <c r="H132" i="20"/>
  <c r="K36" i="5"/>
  <c r="G132" i="7"/>
  <c r="H420" i="7"/>
  <c r="G36" i="4"/>
  <c r="V36" i="4"/>
  <c r="U132" i="6"/>
  <c r="U372" i="4"/>
  <c r="U948" i="2"/>
  <c r="L180" i="20"/>
  <c r="J468" i="7"/>
  <c r="G420" i="2"/>
  <c r="V420" i="2"/>
  <c r="G1140" i="2"/>
  <c r="V1140" i="2"/>
  <c r="L180" i="6"/>
  <c r="B374" i="8"/>
  <c r="E373" i="8"/>
  <c r="N373" i="8" s="1"/>
  <c r="D373" i="8"/>
  <c r="O373" i="8"/>
  <c r="B134" i="7"/>
  <c r="E133" i="7"/>
  <c r="D133" i="7"/>
  <c r="O133" i="7"/>
  <c r="H372" i="8"/>
  <c r="D85" i="4"/>
  <c r="O85" i="4"/>
  <c r="E85" i="4"/>
  <c r="G85" i="4" s="1"/>
  <c r="B86" i="4"/>
  <c r="N180" i="5"/>
  <c r="B134" i="4"/>
  <c r="E133" i="4"/>
  <c r="O133" i="4"/>
  <c r="D133" i="4"/>
  <c r="B1094" i="2"/>
  <c r="E1093" i="2"/>
  <c r="O1093" i="2"/>
  <c r="D1093" i="2"/>
  <c r="D1573" i="2"/>
  <c r="O1573" i="2"/>
  <c r="B1574" i="2"/>
  <c r="E1573" i="2"/>
  <c r="B230" i="6"/>
  <c r="E229" i="6"/>
  <c r="D229" i="6"/>
  <c r="O229" i="6"/>
  <c r="B1526" i="2"/>
  <c r="O1525" i="2"/>
  <c r="E1525" i="2"/>
  <c r="D1525" i="2"/>
  <c r="L516" i="7"/>
  <c r="B374" i="4"/>
  <c r="D373" i="4"/>
  <c r="E373" i="4"/>
  <c r="O373" i="4"/>
  <c r="E133" i="2"/>
  <c r="O133" i="2"/>
  <c r="B134" i="2"/>
  <c r="D133" i="2"/>
  <c r="L132" i="20"/>
  <c r="M516" i="7"/>
  <c r="K84" i="5"/>
  <c r="B182" i="8"/>
  <c r="E181" i="8"/>
  <c r="O181" i="8"/>
  <c r="D181" i="8"/>
  <c r="U516" i="2"/>
  <c r="M180" i="5"/>
  <c r="D373" i="7"/>
  <c r="E373" i="7"/>
  <c r="B374" i="7"/>
  <c r="O373" i="7"/>
  <c r="B662" i="2"/>
  <c r="O661" i="2"/>
  <c r="D661" i="2"/>
  <c r="E661" i="2"/>
  <c r="E949" i="2"/>
  <c r="B950" i="2"/>
  <c r="O949" i="2"/>
  <c r="D949" i="2"/>
  <c r="M420" i="8"/>
  <c r="B38" i="8"/>
  <c r="E37" i="8"/>
  <c r="D37" i="8"/>
  <c r="O37" i="8"/>
  <c r="L84" i="20"/>
  <c r="H132" i="5"/>
  <c r="G1476" i="2"/>
  <c r="E325" i="2"/>
  <c r="D325" i="2"/>
  <c r="B326" i="2"/>
  <c r="O325" i="2"/>
  <c r="B422" i="7"/>
  <c r="E421" i="7"/>
  <c r="D421" i="7"/>
  <c r="O421" i="7"/>
  <c r="D613" i="2"/>
  <c r="E613" i="2"/>
  <c r="O613" i="2"/>
  <c r="B614" i="2"/>
  <c r="K180" i="5"/>
  <c r="B326" i="6"/>
  <c r="D325" i="6"/>
  <c r="O325" i="6"/>
  <c r="E325" i="6"/>
  <c r="G325" i="6" s="1"/>
  <c r="U324" i="4"/>
  <c r="U36" i="8"/>
  <c r="E181" i="6"/>
  <c r="D181" i="6"/>
  <c r="O181" i="6"/>
  <c r="B182" i="6"/>
  <c r="O997" i="2"/>
  <c r="B998" i="2"/>
  <c r="E997" i="2"/>
  <c r="D997" i="2"/>
  <c r="G516" i="7"/>
  <c r="B38" i="7"/>
  <c r="E37" i="7"/>
  <c r="D37" i="7"/>
  <c r="O37" i="7"/>
  <c r="M84" i="5"/>
  <c r="O517" i="2"/>
  <c r="E517" i="2"/>
  <c r="D517" i="2"/>
  <c r="B518" i="2"/>
  <c r="E373" i="2"/>
  <c r="B374" i="2"/>
  <c r="D373" i="2"/>
  <c r="O373" i="2"/>
  <c r="L180" i="5"/>
  <c r="L276" i="8"/>
  <c r="O229" i="7"/>
  <c r="D229" i="7"/>
  <c r="E229" i="7"/>
  <c r="B230" i="7"/>
  <c r="N180" i="20"/>
  <c r="B86" i="20"/>
  <c r="D85" i="20"/>
  <c r="O85" i="20"/>
  <c r="E85" i="20"/>
  <c r="B1670" i="2"/>
  <c r="O1669" i="2"/>
  <c r="E1669" i="2"/>
  <c r="D1669" i="2"/>
  <c r="B86" i="5"/>
  <c r="E85" i="5"/>
  <c r="G85" i="5" s="1"/>
  <c r="D85" i="5"/>
  <c r="O85" i="5"/>
  <c r="B710" i="2"/>
  <c r="E709" i="2"/>
  <c r="G709" i="2" s="1"/>
  <c r="D709" i="2"/>
  <c r="O709" i="2"/>
  <c r="D805" i="2"/>
  <c r="E805" i="2"/>
  <c r="G805" i="2" s="1"/>
  <c r="O805" i="2"/>
  <c r="B806" i="2"/>
  <c r="U180" i="8"/>
  <c r="B86" i="7"/>
  <c r="E85" i="7"/>
  <c r="O85" i="7"/>
  <c r="D85" i="7"/>
  <c r="D1285" i="2"/>
  <c r="E1285" i="2"/>
  <c r="O1285" i="2"/>
  <c r="B1286" i="2"/>
  <c r="J36" i="5"/>
  <c r="D325" i="8"/>
  <c r="O325" i="8"/>
  <c r="E325" i="8"/>
  <c r="B326" i="8"/>
  <c r="J180" i="5"/>
  <c r="U900" i="2"/>
  <c r="K324" i="6"/>
  <c r="G276" i="8"/>
  <c r="B326" i="4"/>
  <c r="D325" i="4"/>
  <c r="O325" i="4"/>
  <c r="E325" i="4"/>
  <c r="O565" i="7"/>
  <c r="B566" i="7"/>
  <c r="E565" i="7"/>
  <c r="N565" i="7" s="1"/>
  <c r="D565" i="7"/>
  <c r="D133" i="5"/>
  <c r="B134" i="5"/>
  <c r="O133" i="5"/>
  <c r="E133" i="5"/>
  <c r="G133" i="5" s="1"/>
  <c r="U36" i="21"/>
  <c r="E901" i="2"/>
  <c r="D901" i="2"/>
  <c r="O901" i="2"/>
  <c r="B902" i="2"/>
  <c r="O1477" i="2"/>
  <c r="E1477" i="2"/>
  <c r="D1477" i="2"/>
  <c r="B1478" i="2"/>
  <c r="K276" i="8"/>
  <c r="D277" i="2"/>
  <c r="O277" i="2"/>
  <c r="E277" i="2"/>
  <c r="G277" i="2" s="1"/>
  <c r="B278" i="2"/>
  <c r="B422" i="2"/>
  <c r="E421" i="2"/>
  <c r="D421" i="2"/>
  <c r="O421" i="2"/>
  <c r="U1140" i="2"/>
  <c r="D853" i="2"/>
  <c r="O853" i="2"/>
  <c r="E853" i="2"/>
  <c r="B854" i="2"/>
  <c r="E133" i="21"/>
  <c r="G133" i="21" s="1"/>
  <c r="D133" i="21"/>
  <c r="O133" i="21"/>
  <c r="B134" i="21"/>
  <c r="L372" i="8"/>
  <c r="O517" i="7"/>
  <c r="B518" i="7"/>
  <c r="D517" i="7"/>
  <c r="E517" i="7"/>
  <c r="N517" i="7" s="1"/>
  <c r="I36" i="5"/>
  <c r="L84" i="5"/>
  <c r="E325" i="7"/>
  <c r="O325" i="7"/>
  <c r="D325" i="7"/>
  <c r="B326" i="7"/>
  <c r="H324" i="6"/>
  <c r="M276" i="8"/>
  <c r="D181" i="20"/>
  <c r="E181" i="20"/>
  <c r="O181" i="20"/>
  <c r="B182" i="20"/>
  <c r="O1333" i="2"/>
  <c r="D1333" i="2"/>
  <c r="E1333" i="2"/>
  <c r="B1334" i="2"/>
  <c r="E181" i="2"/>
  <c r="B182" i="2"/>
  <c r="D181" i="2"/>
  <c r="O181" i="2"/>
  <c r="M132" i="5"/>
  <c r="N228" i="6"/>
  <c r="D37" i="21"/>
  <c r="B38" i="21"/>
  <c r="O37" i="21"/>
  <c r="E37" i="21"/>
  <c r="K180" i="6"/>
  <c r="E469" i="7"/>
  <c r="D469" i="7"/>
  <c r="O469" i="7"/>
  <c r="B470" i="7"/>
  <c r="E229" i="8"/>
  <c r="D229" i="8"/>
  <c r="O229" i="8"/>
  <c r="B230" i="8"/>
  <c r="B422" i="8"/>
  <c r="O421" i="8"/>
  <c r="E421" i="8"/>
  <c r="G421" i="8" s="1"/>
  <c r="D421" i="8"/>
  <c r="M372" i="8"/>
  <c r="B182" i="5"/>
  <c r="E181" i="5"/>
  <c r="G181" i="5" s="1"/>
  <c r="D181" i="5"/>
  <c r="O181" i="5"/>
  <c r="E37" i="4"/>
  <c r="B38" i="4"/>
  <c r="D37" i="4"/>
  <c r="O37" i="4"/>
  <c r="L324" i="6"/>
  <c r="E85" i="21"/>
  <c r="G85" i="21" s="1"/>
  <c r="D85" i="21"/>
  <c r="B86" i="21"/>
  <c r="O85" i="21"/>
  <c r="B134" i="8"/>
  <c r="E133" i="8"/>
  <c r="D133" i="8"/>
  <c r="O133" i="8"/>
  <c r="E1381" i="2"/>
  <c r="O1381" i="2"/>
  <c r="D1381" i="2"/>
  <c r="B1382" i="2"/>
  <c r="M468" i="7"/>
  <c r="O277" i="7"/>
  <c r="B278" i="7"/>
  <c r="E277" i="7"/>
  <c r="D277" i="7"/>
  <c r="E181" i="4"/>
  <c r="D181" i="4"/>
  <c r="O181" i="4"/>
  <c r="B182" i="4"/>
  <c r="I132" i="5"/>
  <c r="L228" i="6"/>
  <c r="H180" i="6"/>
  <c r="B134" i="6"/>
  <c r="E133" i="6"/>
  <c r="D133" i="6"/>
  <c r="O133" i="6"/>
  <c r="B1190" i="2"/>
  <c r="E1189" i="2"/>
  <c r="D1189" i="2"/>
  <c r="O1189" i="2"/>
  <c r="D1045" i="2"/>
  <c r="E1045" i="2"/>
  <c r="O1045" i="2"/>
  <c r="B1046" i="2"/>
  <c r="K372" i="8"/>
  <c r="B134" i="20"/>
  <c r="E133" i="20"/>
  <c r="D133" i="20"/>
  <c r="O133" i="20"/>
  <c r="H516" i="7"/>
  <c r="E181" i="7"/>
  <c r="D181" i="7"/>
  <c r="O181" i="7"/>
  <c r="B182" i="7"/>
  <c r="J420" i="7"/>
  <c r="O277" i="8"/>
  <c r="E277" i="8"/>
  <c r="G277" i="8" s="1"/>
  <c r="D277" i="8"/>
  <c r="B278" i="8"/>
  <c r="D469" i="2"/>
  <c r="O469" i="2"/>
  <c r="E469" i="2"/>
  <c r="B470" i="2"/>
  <c r="U1620" i="2"/>
  <c r="I180" i="20"/>
  <c r="B86" i="8"/>
  <c r="E85" i="8"/>
  <c r="D85" i="8"/>
  <c r="O85" i="8"/>
  <c r="B230" i="2"/>
  <c r="O229" i="2"/>
  <c r="E229" i="2"/>
  <c r="D229" i="2"/>
  <c r="E565" i="2"/>
  <c r="G565" i="2" s="1"/>
  <c r="D565" i="2"/>
  <c r="O565" i="2"/>
  <c r="B566" i="2"/>
  <c r="M564" i="7"/>
  <c r="E1141" i="2"/>
  <c r="B1142" i="2"/>
  <c r="O1141" i="2"/>
  <c r="D1141" i="2"/>
  <c r="N132" i="5"/>
  <c r="O229" i="4"/>
  <c r="D229" i="4"/>
  <c r="E229" i="4"/>
  <c r="G229" i="4" s="1"/>
  <c r="B230" i="4"/>
  <c r="E277" i="6"/>
  <c r="G277" i="6" s="1"/>
  <c r="O277" i="6"/>
  <c r="D277" i="6"/>
  <c r="B278" i="6"/>
  <c r="K228" i="6"/>
  <c r="N372" i="8"/>
  <c r="E757" i="2"/>
  <c r="D757" i="2"/>
  <c r="O757" i="2"/>
  <c r="B758" i="2"/>
  <c r="B38" i="5"/>
  <c r="D37" i="5"/>
  <c r="O37" i="5"/>
  <c r="E37" i="5"/>
  <c r="G37" i="5" s="1"/>
  <c r="U804" i="2"/>
  <c r="B1622" i="2"/>
  <c r="E1621" i="2"/>
  <c r="D1621" i="2"/>
  <c r="O1621" i="2"/>
  <c r="J564" i="7"/>
  <c r="B1430" i="2"/>
  <c r="O1429" i="2"/>
  <c r="D1429" i="2"/>
  <c r="E1429" i="2"/>
  <c r="B1238" i="2"/>
  <c r="O1237" i="2"/>
  <c r="E1237" i="2"/>
  <c r="D1237" i="2"/>
  <c r="M228" i="6"/>
  <c r="E277" i="4"/>
  <c r="G277" i="4" s="1"/>
  <c r="D277" i="4"/>
  <c r="O277" i="4"/>
  <c r="B278" i="4"/>
  <c r="D85" i="6"/>
  <c r="B86" i="6"/>
  <c r="E85" i="6"/>
  <c r="O85" i="6"/>
  <c r="D24" i="36"/>
  <c r="E57" i="36" s="1"/>
  <c r="D6" i="39" s="1"/>
  <c r="B24" i="36"/>
  <c r="I326" i="4" l="1"/>
  <c r="H326" i="4"/>
  <c r="N326" i="4"/>
  <c r="M326" i="4"/>
  <c r="L326" i="4"/>
  <c r="K326" i="4"/>
  <c r="J326" i="4"/>
  <c r="I374" i="2"/>
  <c r="H374" i="2"/>
  <c r="N374" i="2"/>
  <c r="M374" i="2"/>
  <c r="K374" i="2"/>
  <c r="J374" i="2"/>
  <c r="L374" i="2"/>
  <c r="I326" i="2"/>
  <c r="N326" i="2"/>
  <c r="H326" i="2"/>
  <c r="M326" i="2"/>
  <c r="K326" i="2"/>
  <c r="J326" i="2"/>
  <c r="L326" i="2"/>
  <c r="I134" i="4"/>
  <c r="N134" i="4"/>
  <c r="M134" i="4"/>
  <c r="L134" i="4"/>
  <c r="K134" i="4"/>
  <c r="J134" i="4"/>
  <c r="H134" i="4"/>
  <c r="J1190" i="2"/>
  <c r="I1190" i="2"/>
  <c r="H1190" i="2"/>
  <c r="L1190" i="2"/>
  <c r="N1190" i="2"/>
  <c r="M1190" i="2"/>
  <c r="K1190" i="2"/>
  <c r="N86" i="21"/>
  <c r="M86" i="21"/>
  <c r="L86" i="21"/>
  <c r="K86" i="21"/>
  <c r="J86" i="21"/>
  <c r="I86" i="21"/>
  <c r="H86" i="21"/>
  <c r="J1334" i="2"/>
  <c r="I1334" i="2"/>
  <c r="H1334" i="2"/>
  <c r="L1334" i="2"/>
  <c r="N1334" i="2"/>
  <c r="M1334" i="2"/>
  <c r="K1334" i="2"/>
  <c r="J950" i="2"/>
  <c r="I950" i="2"/>
  <c r="H950" i="2"/>
  <c r="N950" i="2"/>
  <c r="K950" i="2"/>
  <c r="M950" i="2"/>
  <c r="L950" i="2"/>
  <c r="J854" i="2"/>
  <c r="I854" i="2"/>
  <c r="H854" i="2"/>
  <c r="N854" i="2"/>
  <c r="K854" i="2"/>
  <c r="M854" i="2"/>
  <c r="L854" i="2"/>
  <c r="J710" i="2"/>
  <c r="I710" i="2"/>
  <c r="H710" i="2"/>
  <c r="K710" i="2"/>
  <c r="N710" i="2"/>
  <c r="M710" i="2"/>
  <c r="L710" i="2"/>
  <c r="H518" i="2"/>
  <c r="N518" i="2"/>
  <c r="M518" i="2"/>
  <c r="L518" i="2"/>
  <c r="K518" i="2"/>
  <c r="J518" i="2"/>
  <c r="I518" i="2"/>
  <c r="J998" i="2"/>
  <c r="I998" i="2"/>
  <c r="H998" i="2"/>
  <c r="N998" i="2"/>
  <c r="K998" i="2"/>
  <c r="M998" i="2"/>
  <c r="L998" i="2"/>
  <c r="L1574" i="2"/>
  <c r="N1574" i="2"/>
  <c r="M1574" i="2"/>
  <c r="K1574" i="2"/>
  <c r="J1574" i="2"/>
  <c r="I1574" i="2"/>
  <c r="H1574" i="2"/>
  <c r="N86" i="4"/>
  <c r="M86" i="4"/>
  <c r="L86" i="4"/>
  <c r="K86" i="4"/>
  <c r="J86" i="4"/>
  <c r="I86" i="4"/>
  <c r="H86" i="4"/>
  <c r="N134" i="6"/>
  <c r="M134" i="6"/>
  <c r="L134" i="6"/>
  <c r="K134" i="6"/>
  <c r="J134" i="6"/>
  <c r="I134" i="6"/>
  <c r="H134" i="6"/>
  <c r="J614" i="2"/>
  <c r="I614" i="2"/>
  <c r="H614" i="2"/>
  <c r="L614" i="2"/>
  <c r="K614" i="2"/>
  <c r="N614" i="2"/>
  <c r="M614" i="2"/>
  <c r="I374" i="4"/>
  <c r="H374" i="4"/>
  <c r="N374" i="4"/>
  <c r="M374" i="4"/>
  <c r="L374" i="4"/>
  <c r="K374" i="4"/>
  <c r="J374" i="4"/>
  <c r="N326" i="7"/>
  <c r="L326" i="7"/>
  <c r="K326" i="7"/>
  <c r="J326" i="7"/>
  <c r="I326" i="7"/>
  <c r="H326" i="7"/>
  <c r="M326" i="7"/>
  <c r="N230" i="7"/>
  <c r="M230" i="7"/>
  <c r="L230" i="7"/>
  <c r="K230" i="7"/>
  <c r="J230" i="7"/>
  <c r="I230" i="7"/>
  <c r="H230" i="7"/>
  <c r="N182" i="8"/>
  <c r="M182" i="8"/>
  <c r="L182" i="8"/>
  <c r="K182" i="8"/>
  <c r="J182" i="8"/>
  <c r="I182" i="8"/>
  <c r="H182" i="8"/>
  <c r="N278" i="7"/>
  <c r="H278" i="7"/>
  <c r="M278" i="7"/>
  <c r="L278" i="7"/>
  <c r="J278" i="7"/>
  <c r="K278" i="7"/>
  <c r="I278" i="7"/>
  <c r="J1430" i="2"/>
  <c r="I1430" i="2"/>
  <c r="H1430" i="2"/>
  <c r="M1430" i="2"/>
  <c r="L1430" i="2"/>
  <c r="N1430" i="2"/>
  <c r="K1430" i="2"/>
  <c r="J662" i="2"/>
  <c r="I662" i="2"/>
  <c r="H662" i="2"/>
  <c r="K662" i="2"/>
  <c r="N662" i="2"/>
  <c r="M662" i="2"/>
  <c r="L662" i="2"/>
  <c r="I278" i="2"/>
  <c r="H278" i="2"/>
  <c r="N278" i="2"/>
  <c r="M278" i="2"/>
  <c r="K278" i="2"/>
  <c r="L278" i="2"/>
  <c r="J278" i="2"/>
  <c r="J1142" i="2"/>
  <c r="I1142" i="2"/>
  <c r="H1142" i="2"/>
  <c r="M1142" i="2"/>
  <c r="L1142" i="2"/>
  <c r="K1142" i="2"/>
  <c r="N1142" i="2"/>
  <c r="I38" i="21"/>
  <c r="H38" i="21"/>
  <c r="N38" i="21"/>
  <c r="M38" i="21"/>
  <c r="L38" i="21"/>
  <c r="K38" i="21"/>
  <c r="J38" i="21"/>
  <c r="N182" i="7"/>
  <c r="H182" i="7"/>
  <c r="M182" i="7"/>
  <c r="K182" i="7"/>
  <c r="J182" i="7"/>
  <c r="I182" i="7"/>
  <c r="L182" i="7"/>
  <c r="N230" i="8"/>
  <c r="M230" i="8"/>
  <c r="L230" i="8"/>
  <c r="K230" i="8"/>
  <c r="J230" i="8"/>
  <c r="I230" i="8"/>
  <c r="H230" i="8"/>
  <c r="J566" i="2"/>
  <c r="I566" i="2"/>
  <c r="H566" i="2"/>
  <c r="M566" i="2"/>
  <c r="L566" i="2"/>
  <c r="K566" i="2"/>
  <c r="N566" i="2"/>
  <c r="I182" i="4"/>
  <c r="N182" i="4"/>
  <c r="M182" i="4"/>
  <c r="L182" i="4"/>
  <c r="K182" i="4"/>
  <c r="J182" i="4"/>
  <c r="H182" i="4"/>
  <c r="N38" i="4"/>
  <c r="M38" i="4"/>
  <c r="L38" i="4"/>
  <c r="K38" i="4"/>
  <c r="J38" i="4"/>
  <c r="I38" i="4"/>
  <c r="H38" i="4"/>
  <c r="J806" i="2"/>
  <c r="I806" i="2"/>
  <c r="H806" i="2"/>
  <c r="N806" i="2"/>
  <c r="K806" i="2"/>
  <c r="M806" i="2"/>
  <c r="L806" i="2"/>
  <c r="I278" i="4"/>
  <c r="H278" i="4"/>
  <c r="N278" i="4"/>
  <c r="M278" i="4"/>
  <c r="L278" i="4"/>
  <c r="K278" i="4"/>
  <c r="J278" i="4"/>
  <c r="N1046" i="2"/>
  <c r="M1046" i="2"/>
  <c r="L1046" i="2"/>
  <c r="K1046" i="2"/>
  <c r="J1046" i="2"/>
  <c r="I1046" i="2"/>
  <c r="H1046" i="2"/>
  <c r="N374" i="7"/>
  <c r="M374" i="7"/>
  <c r="J374" i="7"/>
  <c r="I374" i="7"/>
  <c r="H374" i="7"/>
  <c r="L374" i="7"/>
  <c r="K374" i="7"/>
  <c r="L1526" i="2"/>
  <c r="N1526" i="2"/>
  <c r="M1526" i="2"/>
  <c r="K1526" i="2"/>
  <c r="J1526" i="2"/>
  <c r="I1526" i="2"/>
  <c r="H1526" i="2"/>
  <c r="J1094" i="2"/>
  <c r="I1094" i="2"/>
  <c r="H1094" i="2"/>
  <c r="N1094" i="2"/>
  <c r="M1094" i="2"/>
  <c r="L1094" i="2"/>
  <c r="K1094" i="2"/>
  <c r="I230" i="2"/>
  <c r="H230" i="2"/>
  <c r="N230" i="2"/>
  <c r="M230" i="2"/>
  <c r="K230" i="2"/>
  <c r="L230" i="2"/>
  <c r="J230" i="2"/>
  <c r="L1478" i="2"/>
  <c r="N1478" i="2"/>
  <c r="M1478" i="2"/>
  <c r="K1478" i="2"/>
  <c r="J1478" i="2"/>
  <c r="I1478" i="2"/>
  <c r="H1478" i="2"/>
  <c r="J902" i="2"/>
  <c r="I902" i="2"/>
  <c r="H902" i="2"/>
  <c r="N902" i="2"/>
  <c r="K902" i="2"/>
  <c r="M902" i="2"/>
  <c r="L902" i="2"/>
  <c r="I230" i="4"/>
  <c r="N230" i="4"/>
  <c r="M230" i="4"/>
  <c r="L230" i="4"/>
  <c r="K230" i="4"/>
  <c r="J230" i="4"/>
  <c r="H230" i="4"/>
  <c r="H470" i="2"/>
  <c r="M470" i="2"/>
  <c r="N470" i="2"/>
  <c r="L470" i="2"/>
  <c r="K470" i="2"/>
  <c r="I470" i="2"/>
  <c r="J470" i="2"/>
  <c r="N38" i="8"/>
  <c r="M38" i="8"/>
  <c r="L38" i="8"/>
  <c r="J38" i="8"/>
  <c r="H38" i="8"/>
  <c r="K38" i="8"/>
  <c r="I38" i="8"/>
  <c r="I134" i="2"/>
  <c r="H134" i="2"/>
  <c r="K134" i="2"/>
  <c r="M134" i="2"/>
  <c r="J134" i="2"/>
  <c r="L134" i="2"/>
  <c r="N134" i="2"/>
  <c r="J758" i="2"/>
  <c r="I758" i="2"/>
  <c r="H758" i="2"/>
  <c r="K758" i="2"/>
  <c r="N758" i="2"/>
  <c r="M758" i="2"/>
  <c r="L758" i="2"/>
  <c r="N134" i="8"/>
  <c r="M134" i="8"/>
  <c r="L134" i="8"/>
  <c r="K134" i="8"/>
  <c r="J134" i="8"/>
  <c r="I134" i="8"/>
  <c r="H134" i="8"/>
  <c r="J1382" i="2"/>
  <c r="I1382" i="2"/>
  <c r="H1382" i="2"/>
  <c r="L1382" i="2"/>
  <c r="K1382" i="2"/>
  <c r="M1382" i="2"/>
  <c r="N1382" i="2"/>
  <c r="N1622" i="2"/>
  <c r="M1622" i="2"/>
  <c r="L1622" i="2"/>
  <c r="K1622" i="2"/>
  <c r="J1622" i="2"/>
  <c r="I1622" i="2"/>
  <c r="H1622" i="2"/>
  <c r="N86" i="7"/>
  <c r="M86" i="7"/>
  <c r="L86" i="7"/>
  <c r="K86" i="7"/>
  <c r="J86" i="7"/>
  <c r="I86" i="7"/>
  <c r="H86" i="7"/>
  <c r="N86" i="8"/>
  <c r="M86" i="8"/>
  <c r="L86" i="8"/>
  <c r="K86" i="8"/>
  <c r="J86" i="8"/>
  <c r="I86" i="8"/>
  <c r="H86" i="8"/>
  <c r="J1238" i="2"/>
  <c r="I1238" i="2"/>
  <c r="H1238" i="2"/>
  <c r="L1238" i="2"/>
  <c r="N1238" i="2"/>
  <c r="M1238" i="2"/>
  <c r="K1238" i="2"/>
  <c r="N86" i="6"/>
  <c r="M86" i="6"/>
  <c r="L86" i="6"/>
  <c r="H86" i="6"/>
  <c r="K86" i="6"/>
  <c r="J86" i="6"/>
  <c r="I86" i="6"/>
  <c r="N134" i="21"/>
  <c r="I134" i="21"/>
  <c r="H134" i="21"/>
  <c r="M134" i="21"/>
  <c r="K134" i="21"/>
  <c r="L134" i="21"/>
  <c r="J134" i="21"/>
  <c r="H422" i="2"/>
  <c r="L422" i="2"/>
  <c r="K422" i="2"/>
  <c r="J422" i="2"/>
  <c r="I422" i="2"/>
  <c r="N422" i="2"/>
  <c r="M422" i="2"/>
  <c r="J1286" i="2"/>
  <c r="I1286" i="2"/>
  <c r="H1286" i="2"/>
  <c r="L1286" i="2"/>
  <c r="N1286" i="2"/>
  <c r="M1286" i="2"/>
  <c r="K1286" i="2"/>
  <c r="N1670" i="2"/>
  <c r="M1670" i="2"/>
  <c r="L1670" i="2"/>
  <c r="K1670" i="2"/>
  <c r="J1670" i="2"/>
  <c r="I1670" i="2"/>
  <c r="H1670" i="2"/>
  <c r="N38" i="7"/>
  <c r="M38" i="7"/>
  <c r="L38" i="7"/>
  <c r="K38" i="7"/>
  <c r="I38" i="7"/>
  <c r="H38" i="7"/>
  <c r="J38" i="7"/>
  <c r="N134" i="7"/>
  <c r="M134" i="7"/>
  <c r="L134" i="7"/>
  <c r="K134" i="7"/>
  <c r="J134" i="7"/>
  <c r="H134" i="7"/>
  <c r="I134" i="7"/>
  <c r="N182" i="2"/>
  <c r="M182" i="2"/>
  <c r="K182" i="2"/>
  <c r="I182" i="2"/>
  <c r="H182" i="2"/>
  <c r="J182" i="2"/>
  <c r="L182" i="2"/>
  <c r="K133" i="13"/>
  <c r="L85" i="13"/>
  <c r="P276" i="13"/>
  <c r="M229" i="13"/>
  <c r="H229" i="13"/>
  <c r="L277" i="13"/>
  <c r="H133" i="13"/>
  <c r="L229" i="13"/>
  <c r="M82" i="36"/>
  <c r="U37" i="21"/>
  <c r="P323" i="7"/>
  <c r="H277" i="13"/>
  <c r="G277" i="13"/>
  <c r="J229" i="13"/>
  <c r="N229" i="13"/>
  <c r="K229" i="13"/>
  <c r="N181" i="13"/>
  <c r="J85" i="13"/>
  <c r="K85" i="13"/>
  <c r="H85" i="13"/>
  <c r="D278" i="13"/>
  <c r="E278" i="13"/>
  <c r="O278" i="13"/>
  <c r="B279" i="13"/>
  <c r="M277" i="13"/>
  <c r="I277" i="13"/>
  <c r="J277" i="13"/>
  <c r="D230" i="13"/>
  <c r="O230" i="13"/>
  <c r="B231" i="13"/>
  <c r="E230" i="13"/>
  <c r="I229" i="13"/>
  <c r="P228" i="13"/>
  <c r="P180" i="13"/>
  <c r="D182" i="13"/>
  <c r="B183" i="13"/>
  <c r="E182" i="13"/>
  <c r="M133" i="13"/>
  <c r="L133" i="13"/>
  <c r="J133" i="13"/>
  <c r="P132" i="13"/>
  <c r="G133" i="13"/>
  <c r="I133" i="13"/>
  <c r="B135" i="13"/>
  <c r="O134" i="13"/>
  <c r="D134" i="13"/>
  <c r="E134" i="13"/>
  <c r="M85" i="13"/>
  <c r="P84" i="13"/>
  <c r="G85" i="13"/>
  <c r="I85" i="13"/>
  <c r="D86" i="13"/>
  <c r="E86" i="13"/>
  <c r="B87" i="13"/>
  <c r="O86" i="13"/>
  <c r="M84" i="36"/>
  <c r="U1333" i="2"/>
  <c r="P323" i="4"/>
  <c r="H85" i="20"/>
  <c r="P227" i="8"/>
  <c r="U757" i="2"/>
  <c r="J181" i="5"/>
  <c r="L469" i="7"/>
  <c r="L421" i="7"/>
  <c r="U37" i="8"/>
  <c r="J229" i="6"/>
  <c r="L421" i="8"/>
  <c r="U181" i="8"/>
  <c r="P1619" i="2"/>
  <c r="I181" i="20"/>
  <c r="U901" i="2"/>
  <c r="K85" i="5"/>
  <c r="K277" i="8"/>
  <c r="U805" i="2"/>
  <c r="U229" i="8"/>
  <c r="U1621" i="2"/>
  <c r="H133" i="5"/>
  <c r="L565" i="7"/>
  <c r="P995" i="2"/>
  <c r="P1331" i="2"/>
  <c r="P1139" i="2"/>
  <c r="P419" i="2"/>
  <c r="P563" i="2"/>
  <c r="P179" i="2"/>
  <c r="P659" i="2"/>
  <c r="U373" i="2"/>
  <c r="U181" i="2"/>
  <c r="U997" i="2"/>
  <c r="P179" i="7"/>
  <c r="P131" i="2"/>
  <c r="P1667" i="2"/>
  <c r="P371" i="7"/>
  <c r="P35" i="8"/>
  <c r="U229" i="4"/>
  <c r="U133" i="6"/>
  <c r="N85" i="20"/>
  <c r="I37" i="5"/>
  <c r="U133" i="7"/>
  <c r="P803" i="2"/>
  <c r="M85" i="5"/>
  <c r="K373" i="8"/>
  <c r="P611" i="2"/>
  <c r="U133" i="2"/>
  <c r="P1523" i="2"/>
  <c r="P1379" i="2"/>
  <c r="U1237" i="2"/>
  <c r="U1141" i="2"/>
  <c r="P1091" i="2"/>
  <c r="U1045" i="2"/>
  <c r="P947" i="2"/>
  <c r="U949" i="2"/>
  <c r="P707" i="2"/>
  <c r="U613" i="2"/>
  <c r="U421" i="2"/>
  <c r="P371" i="2"/>
  <c r="U277" i="2"/>
  <c r="P275" i="2"/>
  <c r="U469" i="2"/>
  <c r="V517" i="2"/>
  <c r="U565" i="2"/>
  <c r="U709" i="2"/>
  <c r="P1187" i="2"/>
  <c r="U1189" i="2"/>
  <c r="U1285" i="2"/>
  <c r="U1477" i="2"/>
  <c r="U1669" i="2"/>
  <c r="U37" i="4"/>
  <c r="U85" i="4"/>
  <c r="U181" i="4"/>
  <c r="P227" i="4"/>
  <c r="P275" i="4"/>
  <c r="V325" i="4"/>
  <c r="G85" i="20"/>
  <c r="K85" i="20"/>
  <c r="P84" i="20"/>
  <c r="H181" i="20"/>
  <c r="K133" i="20"/>
  <c r="P132" i="20"/>
  <c r="I133" i="20"/>
  <c r="I85" i="20"/>
  <c r="L85" i="5"/>
  <c r="J85" i="5"/>
  <c r="I133" i="5"/>
  <c r="M133" i="5"/>
  <c r="L133" i="5"/>
  <c r="N133" i="5"/>
  <c r="L181" i="5"/>
  <c r="P180" i="5"/>
  <c r="P35" i="21"/>
  <c r="U85" i="6"/>
  <c r="M229" i="6"/>
  <c r="P276" i="6"/>
  <c r="H181" i="6"/>
  <c r="I277" i="6"/>
  <c r="P35" i="7"/>
  <c r="U181" i="7"/>
  <c r="P227" i="7"/>
  <c r="U277" i="7"/>
  <c r="U85" i="7"/>
  <c r="P83" i="7"/>
  <c r="U325" i="7"/>
  <c r="H469" i="7"/>
  <c r="G517" i="7"/>
  <c r="I517" i="7"/>
  <c r="K421" i="7"/>
  <c r="K565" i="7"/>
  <c r="P83" i="8"/>
  <c r="U133" i="8"/>
  <c r="P179" i="8"/>
  <c r="H325" i="8"/>
  <c r="K421" i="8"/>
  <c r="P131" i="7"/>
  <c r="P84" i="5"/>
  <c r="P83" i="4"/>
  <c r="P1427" i="2"/>
  <c r="P1475" i="2"/>
  <c r="P467" i="2"/>
  <c r="P131" i="4"/>
  <c r="P131" i="21"/>
  <c r="P420" i="8"/>
  <c r="P179" i="4"/>
  <c r="P131" i="6"/>
  <c r="P372" i="8"/>
  <c r="P564" i="7"/>
  <c r="P180" i="6"/>
  <c r="P180" i="20"/>
  <c r="P228" i="6"/>
  <c r="P227" i="2"/>
  <c r="P132" i="5"/>
  <c r="P36" i="5"/>
  <c r="G85" i="8"/>
  <c r="V85" i="8"/>
  <c r="P276" i="8"/>
  <c r="G37" i="7"/>
  <c r="V37" i="7"/>
  <c r="G373" i="7"/>
  <c r="V373" i="7"/>
  <c r="G133" i="2"/>
  <c r="V133" i="2"/>
  <c r="G133" i="4"/>
  <c r="V133" i="4"/>
  <c r="U277" i="4"/>
  <c r="N37" i="5"/>
  <c r="G1189" i="2"/>
  <c r="V1189" i="2"/>
  <c r="P851" i="2"/>
  <c r="H565" i="7"/>
  <c r="P324" i="6"/>
  <c r="G1285" i="2"/>
  <c r="V1285" i="2"/>
  <c r="H85" i="5"/>
  <c r="P515" i="2"/>
  <c r="G181" i="6"/>
  <c r="I181" i="6"/>
  <c r="H421" i="7"/>
  <c r="P83" i="6"/>
  <c r="P755" i="2"/>
  <c r="G373" i="8"/>
  <c r="I373" i="8"/>
  <c r="P468" i="7"/>
  <c r="G1141" i="2"/>
  <c r="V1141" i="2"/>
  <c r="V565" i="2"/>
  <c r="G133" i="8"/>
  <c r="V133" i="8"/>
  <c r="M181" i="5"/>
  <c r="H421" i="8"/>
  <c r="G181" i="20"/>
  <c r="G421" i="2"/>
  <c r="V421" i="2"/>
  <c r="K133" i="5"/>
  <c r="G565" i="7"/>
  <c r="I565" i="7"/>
  <c r="L325" i="8"/>
  <c r="I85" i="5"/>
  <c r="L85" i="20"/>
  <c r="H325" i="6"/>
  <c r="M421" i="7"/>
  <c r="G949" i="2"/>
  <c r="V949" i="2"/>
  <c r="V277" i="2"/>
  <c r="P1235" i="2"/>
  <c r="G1381" i="2"/>
  <c r="V1381" i="2"/>
  <c r="G1333" i="2"/>
  <c r="V1333" i="2"/>
  <c r="V373" i="2"/>
  <c r="P516" i="7"/>
  <c r="G373" i="4"/>
  <c r="V373" i="4"/>
  <c r="H133" i="20"/>
  <c r="G133" i="6"/>
  <c r="V133" i="6"/>
  <c r="G37" i="4"/>
  <c r="V37" i="4"/>
  <c r="G853" i="2"/>
  <c r="V853" i="2"/>
  <c r="G517" i="2"/>
  <c r="J421" i="7"/>
  <c r="P1043" i="2"/>
  <c r="G181" i="8"/>
  <c r="V181" i="8"/>
  <c r="G229" i="6"/>
  <c r="I229" i="6"/>
  <c r="H37" i="5"/>
  <c r="G1621" i="2"/>
  <c r="V1621" i="2"/>
  <c r="G469" i="2"/>
  <c r="V469" i="2"/>
  <c r="G277" i="7"/>
  <c r="V277" i="7"/>
  <c r="N181" i="5"/>
  <c r="G229" i="8"/>
  <c r="V229" i="8"/>
  <c r="G469" i="7"/>
  <c r="I469" i="7"/>
  <c r="G181" i="2"/>
  <c r="V181" i="2"/>
  <c r="N181" i="20"/>
  <c r="G325" i="7"/>
  <c r="V325" i="7"/>
  <c r="V133" i="21"/>
  <c r="U853" i="2"/>
  <c r="J325" i="8"/>
  <c r="V805" i="2"/>
  <c r="M85" i="20"/>
  <c r="U517" i="2"/>
  <c r="G997" i="2"/>
  <c r="V997" i="2"/>
  <c r="G661" i="2"/>
  <c r="V661" i="2"/>
  <c r="G1573" i="2"/>
  <c r="V1573" i="2"/>
  <c r="U1093" i="2"/>
  <c r="P83" i="21"/>
  <c r="P323" i="2"/>
  <c r="G325" i="2"/>
  <c r="V325" i="2"/>
  <c r="P275" i="7"/>
  <c r="G1237" i="2"/>
  <c r="V1237" i="2"/>
  <c r="G229" i="2"/>
  <c r="V229" i="2"/>
  <c r="G181" i="7"/>
  <c r="V181" i="7"/>
  <c r="G85" i="7"/>
  <c r="V85" i="7"/>
  <c r="N325" i="6"/>
  <c r="I325" i="6"/>
  <c r="J421" i="8"/>
  <c r="K181" i="20"/>
  <c r="P371" i="4"/>
  <c r="N325" i="8"/>
  <c r="I325" i="8"/>
  <c r="G1669" i="2"/>
  <c r="V1669" i="2"/>
  <c r="G229" i="7"/>
  <c r="V229" i="7"/>
  <c r="G421" i="7"/>
  <c r="I421" i="7"/>
  <c r="G1093" i="2"/>
  <c r="V1093" i="2"/>
  <c r="P899" i="2"/>
  <c r="V277" i="4"/>
  <c r="P324" i="8"/>
  <c r="G85" i="6"/>
  <c r="V85" i="6"/>
  <c r="P1571" i="2"/>
  <c r="H181" i="5"/>
  <c r="G37" i="21"/>
  <c r="V37" i="21"/>
  <c r="N133" i="20"/>
  <c r="G1045" i="2"/>
  <c r="V1045" i="2"/>
  <c r="V85" i="21"/>
  <c r="M421" i="8"/>
  <c r="J181" i="20"/>
  <c r="G325" i="4"/>
  <c r="N85" i="5"/>
  <c r="U229" i="7"/>
  <c r="L181" i="6"/>
  <c r="M325" i="6"/>
  <c r="G37" i="8"/>
  <c r="V37" i="8"/>
  <c r="I277" i="8"/>
  <c r="P420" i="7"/>
  <c r="P131" i="8"/>
  <c r="M133" i="20"/>
  <c r="U1381" i="2"/>
  <c r="M181" i="20"/>
  <c r="G1477" i="2"/>
  <c r="V1477" i="2"/>
  <c r="U325" i="4"/>
  <c r="J85" i="20"/>
  <c r="G373" i="2"/>
  <c r="G613" i="2"/>
  <c r="V613" i="2"/>
  <c r="G181" i="4"/>
  <c r="V181" i="4"/>
  <c r="L181" i="20"/>
  <c r="G1429" i="2"/>
  <c r="V1429" i="2"/>
  <c r="M37" i="5"/>
  <c r="U85" i="8"/>
  <c r="J133" i="20"/>
  <c r="U37" i="7"/>
  <c r="J181" i="6"/>
  <c r="U373" i="7"/>
  <c r="G1525" i="2"/>
  <c r="V1525" i="2"/>
  <c r="U133" i="4"/>
  <c r="G133" i="7"/>
  <c r="V133" i="7"/>
  <c r="V229" i="4"/>
  <c r="U1429" i="2"/>
  <c r="K37" i="5"/>
  <c r="G757" i="2"/>
  <c r="V757" i="2"/>
  <c r="P35" i="4"/>
  <c r="N421" i="8"/>
  <c r="I421" i="8"/>
  <c r="L37" i="5"/>
  <c r="I181" i="5"/>
  <c r="K517" i="7"/>
  <c r="G901" i="2"/>
  <c r="V901" i="2"/>
  <c r="M565" i="7"/>
  <c r="V709" i="2"/>
  <c r="P1283" i="2"/>
  <c r="U325" i="2"/>
  <c r="V85" i="4"/>
  <c r="B231" i="2"/>
  <c r="E230" i="2"/>
  <c r="D230" i="2"/>
  <c r="O230" i="2"/>
  <c r="B663" i="2"/>
  <c r="O662" i="2"/>
  <c r="D662" i="2"/>
  <c r="E662" i="2"/>
  <c r="B807" i="2"/>
  <c r="D806" i="2"/>
  <c r="O806" i="2"/>
  <c r="E806" i="2"/>
  <c r="D374" i="8"/>
  <c r="E374" i="8"/>
  <c r="B375" i="8"/>
  <c r="O374" i="8"/>
  <c r="D278" i="7"/>
  <c r="B279" i="7"/>
  <c r="E278" i="7"/>
  <c r="O278" i="7"/>
  <c r="M277" i="6"/>
  <c r="M277" i="8"/>
  <c r="E134" i="4"/>
  <c r="D134" i="4"/>
  <c r="O134" i="4"/>
  <c r="B135" i="4"/>
  <c r="D278" i="6"/>
  <c r="O278" i="6"/>
  <c r="E278" i="6"/>
  <c r="B279" i="6"/>
  <c r="G133" i="20"/>
  <c r="E1046" i="2"/>
  <c r="B1047" i="2"/>
  <c r="D1046" i="2"/>
  <c r="O1046" i="2"/>
  <c r="O86" i="21"/>
  <c r="B87" i="21"/>
  <c r="D86" i="21"/>
  <c r="E86" i="21"/>
  <c r="G86" i="21" s="1"/>
  <c r="K181" i="5"/>
  <c r="D422" i="8"/>
  <c r="E422" i="8"/>
  <c r="G422" i="8" s="1"/>
  <c r="O422" i="8"/>
  <c r="B423" i="8"/>
  <c r="M469" i="7"/>
  <c r="E38" i="21"/>
  <c r="G38" i="21" s="1"/>
  <c r="D38" i="21"/>
  <c r="O38" i="21"/>
  <c r="B39" i="21"/>
  <c r="J565" i="7"/>
  <c r="G325" i="8"/>
  <c r="D710" i="2"/>
  <c r="O710" i="2"/>
  <c r="B711" i="2"/>
  <c r="E710" i="2"/>
  <c r="G710" i="2" s="1"/>
  <c r="B1671" i="2"/>
  <c r="D1670" i="2"/>
  <c r="O1670" i="2"/>
  <c r="E1670" i="2"/>
  <c r="B87" i="20"/>
  <c r="E86" i="20"/>
  <c r="G86" i="20" s="1"/>
  <c r="D86" i="20"/>
  <c r="O86" i="20"/>
  <c r="B39" i="7"/>
  <c r="D38" i="7"/>
  <c r="O38" i="7"/>
  <c r="E38" i="7"/>
  <c r="M181" i="6"/>
  <c r="J325" i="6"/>
  <c r="B327" i="2"/>
  <c r="D326" i="2"/>
  <c r="E326" i="2"/>
  <c r="O326" i="2"/>
  <c r="K229" i="6"/>
  <c r="M373" i="8"/>
  <c r="B39" i="8"/>
  <c r="E38" i="8"/>
  <c r="D38" i="8"/>
  <c r="O38" i="8"/>
  <c r="B327" i="4"/>
  <c r="E326" i="4"/>
  <c r="D326" i="4"/>
  <c r="O326" i="4"/>
  <c r="D134" i="2"/>
  <c r="O134" i="2"/>
  <c r="B135" i="2"/>
  <c r="E134" i="2"/>
  <c r="O374" i="7"/>
  <c r="B375" i="7"/>
  <c r="D374" i="7"/>
  <c r="E374" i="7"/>
  <c r="U1525" i="2"/>
  <c r="J37" i="5"/>
  <c r="K277" i="6"/>
  <c r="E230" i="4"/>
  <c r="D230" i="4"/>
  <c r="O230" i="4"/>
  <c r="B231" i="4"/>
  <c r="J277" i="8"/>
  <c r="L133" i="20"/>
  <c r="B183" i="4"/>
  <c r="E182" i="4"/>
  <c r="D182" i="4"/>
  <c r="O182" i="4"/>
  <c r="E182" i="2"/>
  <c r="D182" i="2"/>
  <c r="O182" i="2"/>
  <c r="B183" i="2"/>
  <c r="E1478" i="2"/>
  <c r="D1478" i="2"/>
  <c r="O1478" i="2"/>
  <c r="B1479" i="2"/>
  <c r="E902" i="2"/>
  <c r="D902" i="2"/>
  <c r="O902" i="2"/>
  <c r="B903" i="2"/>
  <c r="D566" i="7"/>
  <c r="O566" i="7"/>
  <c r="B567" i="7"/>
  <c r="E566" i="7"/>
  <c r="N566" i="7" s="1"/>
  <c r="D86" i="7"/>
  <c r="O86" i="7"/>
  <c r="E86" i="7"/>
  <c r="B87" i="7"/>
  <c r="E950" i="2"/>
  <c r="D950" i="2"/>
  <c r="O950" i="2"/>
  <c r="B951" i="2"/>
  <c r="U1573" i="2"/>
  <c r="B87" i="4"/>
  <c r="E86" i="4"/>
  <c r="D86" i="4"/>
  <c r="O86" i="4"/>
  <c r="D518" i="2"/>
  <c r="O518" i="2"/>
  <c r="B519" i="2"/>
  <c r="E518" i="2"/>
  <c r="E566" i="2"/>
  <c r="D566" i="2"/>
  <c r="O566" i="2"/>
  <c r="B567" i="2"/>
  <c r="E182" i="6"/>
  <c r="G182" i="6" s="1"/>
  <c r="B183" i="6"/>
  <c r="D182" i="6"/>
  <c r="O182" i="6"/>
  <c r="E758" i="2"/>
  <c r="B759" i="2"/>
  <c r="D758" i="2"/>
  <c r="O758" i="2"/>
  <c r="O230" i="8"/>
  <c r="B231" i="8"/>
  <c r="E230" i="8"/>
  <c r="D230" i="8"/>
  <c r="M517" i="7"/>
  <c r="D230" i="6"/>
  <c r="E230" i="6"/>
  <c r="O230" i="6"/>
  <c r="B231" i="6"/>
  <c r="E134" i="8"/>
  <c r="D134" i="8"/>
  <c r="O134" i="8"/>
  <c r="B135" i="8"/>
  <c r="B39" i="4"/>
  <c r="D38" i="4"/>
  <c r="O38" i="4"/>
  <c r="E38" i="4"/>
  <c r="E1334" i="2"/>
  <c r="D1334" i="2"/>
  <c r="O1334" i="2"/>
  <c r="B1335" i="2"/>
  <c r="E182" i="20"/>
  <c r="G182" i="20" s="1"/>
  <c r="O182" i="20"/>
  <c r="B183" i="20"/>
  <c r="D182" i="20"/>
  <c r="K181" i="6"/>
  <c r="D422" i="7"/>
  <c r="O422" i="7"/>
  <c r="E422" i="7"/>
  <c r="B423" i="7"/>
  <c r="B1527" i="2"/>
  <c r="D1526" i="2"/>
  <c r="E1526" i="2"/>
  <c r="O1526" i="2"/>
  <c r="E326" i="7"/>
  <c r="D326" i="7"/>
  <c r="O326" i="7"/>
  <c r="B327" i="7"/>
  <c r="B231" i="7"/>
  <c r="D230" i="7"/>
  <c r="O230" i="7"/>
  <c r="E230" i="7"/>
  <c r="B1143" i="2"/>
  <c r="D1142" i="2"/>
  <c r="O1142" i="2"/>
  <c r="E1142" i="2"/>
  <c r="E134" i="6"/>
  <c r="D134" i="6"/>
  <c r="O134" i="6"/>
  <c r="B135" i="6"/>
  <c r="O470" i="7"/>
  <c r="E470" i="7"/>
  <c r="D470" i="7"/>
  <c r="B471" i="7"/>
  <c r="H277" i="8"/>
  <c r="B183" i="7"/>
  <c r="E182" i="7"/>
  <c r="D182" i="7"/>
  <c r="O182" i="7"/>
  <c r="B999" i="2"/>
  <c r="E998" i="2"/>
  <c r="D998" i="2"/>
  <c r="O998" i="2"/>
  <c r="L277" i="8"/>
  <c r="E134" i="20"/>
  <c r="G134" i="20" s="1"/>
  <c r="D134" i="20"/>
  <c r="O134" i="20"/>
  <c r="B135" i="20"/>
  <c r="E1190" i="2"/>
  <c r="D1190" i="2"/>
  <c r="O1190" i="2"/>
  <c r="B1191" i="2"/>
  <c r="D182" i="5"/>
  <c r="O182" i="5"/>
  <c r="B183" i="5"/>
  <c r="E182" i="5"/>
  <c r="G182" i="5" s="1"/>
  <c r="N469" i="7"/>
  <c r="L517" i="7"/>
  <c r="U133" i="21"/>
  <c r="B135" i="5"/>
  <c r="O134" i="5"/>
  <c r="E134" i="5"/>
  <c r="D134" i="5"/>
  <c r="K325" i="8"/>
  <c r="B375" i="2"/>
  <c r="E374" i="2"/>
  <c r="O374" i="2"/>
  <c r="D374" i="2"/>
  <c r="N181" i="6"/>
  <c r="B183" i="8"/>
  <c r="E182" i="8"/>
  <c r="D182" i="8"/>
  <c r="O182" i="8"/>
  <c r="U373" i="4"/>
  <c r="L229" i="6"/>
  <c r="E1574" i="2"/>
  <c r="D1574" i="2"/>
  <c r="O1574" i="2"/>
  <c r="B1575" i="2"/>
  <c r="H373" i="8"/>
  <c r="D38" i="5"/>
  <c r="B39" i="5"/>
  <c r="E38" i="5"/>
  <c r="O38" i="5"/>
  <c r="B423" i="2"/>
  <c r="D422" i="2"/>
  <c r="E422" i="2"/>
  <c r="O422" i="2"/>
  <c r="B615" i="2"/>
  <c r="E614" i="2"/>
  <c r="D614" i="2"/>
  <c r="O614" i="2"/>
  <c r="E1238" i="2"/>
  <c r="D1238" i="2"/>
  <c r="O1238" i="2"/>
  <c r="B1239" i="2"/>
  <c r="H277" i="6"/>
  <c r="U229" i="2"/>
  <c r="J277" i="6"/>
  <c r="N277" i="8"/>
  <c r="U85" i="21"/>
  <c r="J469" i="7"/>
  <c r="H517" i="7"/>
  <c r="O134" i="21"/>
  <c r="B135" i="21"/>
  <c r="D134" i="21"/>
  <c r="E134" i="21"/>
  <c r="J133" i="5"/>
  <c r="M325" i="8"/>
  <c r="U661" i="2"/>
  <c r="B375" i="4"/>
  <c r="E374" i="4"/>
  <c r="D374" i="4"/>
  <c r="O374" i="4"/>
  <c r="N229" i="6"/>
  <c r="D1094" i="2"/>
  <c r="E1094" i="2"/>
  <c r="O1094" i="2"/>
  <c r="B1095" i="2"/>
  <c r="E326" i="8"/>
  <c r="D326" i="8"/>
  <c r="B327" i="8"/>
  <c r="O326" i="8"/>
  <c r="O1430" i="2"/>
  <c r="B1431" i="2"/>
  <c r="D1430" i="2"/>
  <c r="E1430" i="2"/>
  <c r="G1430" i="2" s="1"/>
  <c r="B519" i="7"/>
  <c r="E518" i="7"/>
  <c r="D518" i="7"/>
  <c r="O518" i="7"/>
  <c r="K325" i="6"/>
  <c r="D86" i="6"/>
  <c r="O86" i="6"/>
  <c r="B87" i="6"/>
  <c r="E86" i="6"/>
  <c r="E86" i="8"/>
  <c r="D86" i="8"/>
  <c r="O86" i="8"/>
  <c r="B87" i="8"/>
  <c r="D278" i="2"/>
  <c r="O278" i="2"/>
  <c r="B279" i="2"/>
  <c r="E278" i="2"/>
  <c r="D326" i="6"/>
  <c r="B327" i="6"/>
  <c r="O326" i="6"/>
  <c r="E326" i="6"/>
  <c r="N326" i="6" s="1"/>
  <c r="B135" i="7"/>
  <c r="D134" i="7"/>
  <c r="O134" i="7"/>
  <c r="E134" i="7"/>
  <c r="L373" i="8"/>
  <c r="L277" i="6"/>
  <c r="B279" i="4"/>
  <c r="E278" i="4"/>
  <c r="O278" i="4"/>
  <c r="D278" i="4"/>
  <c r="D1622" i="2"/>
  <c r="O1622" i="2"/>
  <c r="B1623" i="2"/>
  <c r="E1622" i="2"/>
  <c r="N277" i="6"/>
  <c r="E470" i="2"/>
  <c r="D470" i="2"/>
  <c r="O470" i="2"/>
  <c r="B471" i="2"/>
  <c r="D278" i="8"/>
  <c r="E278" i="8"/>
  <c r="N278" i="8" s="1"/>
  <c r="B279" i="8"/>
  <c r="O278" i="8"/>
  <c r="B1383" i="2"/>
  <c r="E1382" i="2"/>
  <c r="O1382" i="2"/>
  <c r="D1382" i="2"/>
  <c r="K469" i="7"/>
  <c r="J517" i="7"/>
  <c r="D854" i="2"/>
  <c r="O854" i="2"/>
  <c r="B855" i="2"/>
  <c r="E854" i="2"/>
  <c r="E1286" i="2"/>
  <c r="D1286" i="2"/>
  <c r="O1286" i="2"/>
  <c r="B1287" i="2"/>
  <c r="B87" i="5"/>
  <c r="D86" i="5"/>
  <c r="E86" i="5"/>
  <c r="O86" i="5"/>
  <c r="L325" i="6"/>
  <c r="N421" i="7"/>
  <c r="H229" i="6"/>
  <c r="J373" i="8"/>
  <c r="J6" i="39"/>
  <c r="J13" i="39" s="1"/>
  <c r="I28" i="39" s="1"/>
  <c r="D13" i="39"/>
  <c r="C28" i="39" s="1"/>
  <c r="M8" i="15"/>
  <c r="G14" i="15" s="1"/>
  <c r="L8" i="19"/>
  <c r="G15" i="19" s="1"/>
  <c r="M8" i="20"/>
  <c r="M8" i="13"/>
  <c r="J183" i="8" l="1"/>
  <c r="I183" i="8"/>
  <c r="H183" i="8"/>
  <c r="N183" i="8"/>
  <c r="M183" i="8"/>
  <c r="L183" i="8"/>
  <c r="K183" i="8"/>
  <c r="N135" i="21"/>
  <c r="M135" i="21"/>
  <c r="L135" i="21"/>
  <c r="K135" i="21"/>
  <c r="J135" i="21"/>
  <c r="I135" i="21"/>
  <c r="H135" i="21"/>
  <c r="H87" i="4"/>
  <c r="N87" i="4"/>
  <c r="J87" i="4"/>
  <c r="M87" i="4"/>
  <c r="L87" i="4"/>
  <c r="K87" i="4"/>
  <c r="I87" i="4"/>
  <c r="N327" i="2"/>
  <c r="M327" i="2"/>
  <c r="L327" i="2"/>
  <c r="K327" i="2"/>
  <c r="I327" i="2"/>
  <c r="H327" i="2"/>
  <c r="J327" i="2"/>
  <c r="N567" i="2"/>
  <c r="M567" i="2"/>
  <c r="L567" i="2"/>
  <c r="K567" i="2"/>
  <c r="J567" i="2"/>
  <c r="I567" i="2"/>
  <c r="H567" i="2"/>
  <c r="K1047" i="2"/>
  <c r="H1047" i="2"/>
  <c r="N1047" i="2"/>
  <c r="M1047" i="2"/>
  <c r="I1047" i="2"/>
  <c r="L1047" i="2"/>
  <c r="J1047" i="2"/>
  <c r="H1575" i="2"/>
  <c r="L1575" i="2"/>
  <c r="K1575" i="2"/>
  <c r="J1575" i="2"/>
  <c r="I1575" i="2"/>
  <c r="N1575" i="2"/>
  <c r="M1575" i="2"/>
  <c r="J231" i="7"/>
  <c r="I231" i="7"/>
  <c r="H231" i="7"/>
  <c r="M231" i="7"/>
  <c r="L231" i="7"/>
  <c r="K231" i="7"/>
  <c r="N231" i="7"/>
  <c r="N951" i="2"/>
  <c r="M951" i="2"/>
  <c r="L951" i="2"/>
  <c r="K951" i="2"/>
  <c r="J951" i="2"/>
  <c r="I951" i="2"/>
  <c r="H951" i="2"/>
  <c r="N903" i="2"/>
  <c r="M903" i="2"/>
  <c r="L903" i="2"/>
  <c r="K903" i="2"/>
  <c r="J903" i="2"/>
  <c r="I903" i="2"/>
  <c r="H903" i="2"/>
  <c r="N327" i="4"/>
  <c r="M327" i="4"/>
  <c r="L327" i="4"/>
  <c r="K327" i="4"/>
  <c r="J327" i="4"/>
  <c r="I327" i="4"/>
  <c r="H327" i="4"/>
  <c r="H1671" i="2"/>
  <c r="N1671" i="2"/>
  <c r="M1671" i="2"/>
  <c r="L1671" i="2"/>
  <c r="K1671" i="2"/>
  <c r="J1671" i="2"/>
  <c r="I1671" i="2"/>
  <c r="N1143" i="2"/>
  <c r="M1143" i="2"/>
  <c r="L1143" i="2"/>
  <c r="K1143" i="2"/>
  <c r="J1143" i="2"/>
  <c r="I1143" i="2"/>
  <c r="H1143" i="2"/>
  <c r="H135" i="6"/>
  <c r="I135" i="6"/>
  <c r="N135" i="6"/>
  <c r="M135" i="6"/>
  <c r="J135" i="6"/>
  <c r="L135" i="6"/>
  <c r="K135" i="6"/>
  <c r="J327" i="7"/>
  <c r="I327" i="7"/>
  <c r="H327" i="7"/>
  <c r="N327" i="7"/>
  <c r="M327" i="7"/>
  <c r="L327" i="7"/>
  <c r="K327" i="7"/>
  <c r="H39" i="4"/>
  <c r="N39" i="4"/>
  <c r="J39" i="4"/>
  <c r="M39" i="4"/>
  <c r="L39" i="4"/>
  <c r="K39" i="4"/>
  <c r="I39" i="4"/>
  <c r="J231" i="8"/>
  <c r="I231" i="8"/>
  <c r="H231" i="8"/>
  <c r="N231" i="8"/>
  <c r="M231" i="8"/>
  <c r="L231" i="8"/>
  <c r="K231" i="8"/>
  <c r="M471" i="2"/>
  <c r="L471" i="2"/>
  <c r="K471" i="2"/>
  <c r="J471" i="2"/>
  <c r="I471" i="2"/>
  <c r="H471" i="2"/>
  <c r="N471" i="2"/>
  <c r="N1287" i="2"/>
  <c r="M1287" i="2"/>
  <c r="L1287" i="2"/>
  <c r="K1287" i="2"/>
  <c r="I1287" i="2"/>
  <c r="H1287" i="2"/>
  <c r="J1287" i="2"/>
  <c r="H1623" i="2"/>
  <c r="I1623" i="2"/>
  <c r="N1623" i="2"/>
  <c r="M1623" i="2"/>
  <c r="L1623" i="2"/>
  <c r="K1623" i="2"/>
  <c r="J1623" i="2"/>
  <c r="J135" i="7"/>
  <c r="M135" i="7"/>
  <c r="L135" i="7"/>
  <c r="K135" i="7"/>
  <c r="I135" i="7"/>
  <c r="H135" i="7"/>
  <c r="N135" i="7"/>
  <c r="N1431" i="2"/>
  <c r="M1431" i="2"/>
  <c r="L1431" i="2"/>
  <c r="K1431" i="2"/>
  <c r="J1431" i="2"/>
  <c r="I1431" i="2"/>
  <c r="H1431" i="2"/>
  <c r="N615" i="2"/>
  <c r="M615" i="2"/>
  <c r="L615" i="2"/>
  <c r="K615" i="2"/>
  <c r="J615" i="2"/>
  <c r="I615" i="2"/>
  <c r="H615" i="2"/>
  <c r="N375" i="2"/>
  <c r="H375" i="2"/>
  <c r="M375" i="2"/>
  <c r="L375" i="2"/>
  <c r="K375" i="2"/>
  <c r="I375" i="2"/>
  <c r="J375" i="2"/>
  <c r="J135" i="8"/>
  <c r="I135" i="8"/>
  <c r="H135" i="8"/>
  <c r="N135" i="8"/>
  <c r="M135" i="8"/>
  <c r="L135" i="8"/>
  <c r="K135" i="8"/>
  <c r="N711" i="2"/>
  <c r="M711" i="2"/>
  <c r="L711" i="2"/>
  <c r="K711" i="2"/>
  <c r="I711" i="2"/>
  <c r="H711" i="2"/>
  <c r="J711" i="2"/>
  <c r="J279" i="7"/>
  <c r="I279" i="7"/>
  <c r="H279" i="7"/>
  <c r="N279" i="7"/>
  <c r="M279" i="7"/>
  <c r="L279" i="7"/>
  <c r="K279" i="7"/>
  <c r="N279" i="2"/>
  <c r="H279" i="2"/>
  <c r="M279" i="2"/>
  <c r="L279" i="2"/>
  <c r="K279" i="2"/>
  <c r="J279" i="2"/>
  <c r="I279" i="2"/>
  <c r="N1191" i="2"/>
  <c r="M1191" i="2"/>
  <c r="L1191" i="2"/>
  <c r="K1191" i="2"/>
  <c r="I1191" i="2"/>
  <c r="H1191" i="2"/>
  <c r="J1191" i="2"/>
  <c r="J375" i="7"/>
  <c r="I375" i="7"/>
  <c r="H375" i="7"/>
  <c r="N375" i="7"/>
  <c r="M375" i="7"/>
  <c r="L375" i="7"/>
  <c r="K375" i="7"/>
  <c r="N663" i="2"/>
  <c r="M663" i="2"/>
  <c r="L663" i="2"/>
  <c r="K663" i="2"/>
  <c r="J663" i="2"/>
  <c r="I663" i="2"/>
  <c r="H663" i="2"/>
  <c r="N1383" i="2"/>
  <c r="M1383" i="2"/>
  <c r="L1383" i="2"/>
  <c r="K1383" i="2"/>
  <c r="J1383" i="2"/>
  <c r="I1383" i="2"/>
  <c r="H1383" i="2"/>
  <c r="N999" i="2"/>
  <c r="M999" i="2"/>
  <c r="L999" i="2"/>
  <c r="K999" i="2"/>
  <c r="J999" i="2"/>
  <c r="I999" i="2"/>
  <c r="H999" i="2"/>
  <c r="N183" i="4"/>
  <c r="J183" i="4"/>
  <c r="I183" i="4"/>
  <c r="H183" i="4"/>
  <c r="L183" i="4"/>
  <c r="M183" i="4"/>
  <c r="K183" i="4"/>
  <c r="H87" i="6"/>
  <c r="N87" i="6"/>
  <c r="M87" i="6"/>
  <c r="L87" i="6"/>
  <c r="J87" i="6"/>
  <c r="I87" i="6"/>
  <c r="K87" i="6"/>
  <c r="N375" i="4"/>
  <c r="M375" i="4"/>
  <c r="L375" i="4"/>
  <c r="K375" i="4"/>
  <c r="J375" i="4"/>
  <c r="H375" i="4"/>
  <c r="I375" i="4"/>
  <c r="N519" i="2"/>
  <c r="M519" i="2"/>
  <c r="L519" i="2"/>
  <c r="K519" i="2"/>
  <c r="J519" i="2"/>
  <c r="I519" i="2"/>
  <c r="H519" i="2"/>
  <c r="J87" i="7"/>
  <c r="K87" i="7"/>
  <c r="I87" i="7"/>
  <c r="H87" i="7"/>
  <c r="N87" i="7"/>
  <c r="L87" i="7"/>
  <c r="M87" i="7"/>
  <c r="H1479" i="2"/>
  <c r="N1479" i="2"/>
  <c r="M1479" i="2"/>
  <c r="L1479" i="2"/>
  <c r="K1479" i="2"/>
  <c r="J1479" i="2"/>
  <c r="I1479" i="2"/>
  <c r="J39" i="8"/>
  <c r="I39" i="8"/>
  <c r="H39" i="8"/>
  <c r="N39" i="8"/>
  <c r="M39" i="8"/>
  <c r="L39" i="8"/>
  <c r="K39" i="8"/>
  <c r="J39" i="7"/>
  <c r="H39" i="7"/>
  <c r="N39" i="7"/>
  <c r="M39" i="7"/>
  <c r="L39" i="7"/>
  <c r="K39" i="7"/>
  <c r="I39" i="7"/>
  <c r="N279" i="4"/>
  <c r="M279" i="4"/>
  <c r="L279" i="4"/>
  <c r="K279" i="4"/>
  <c r="J279" i="4"/>
  <c r="I279" i="4"/>
  <c r="H279" i="4"/>
  <c r="J87" i="8"/>
  <c r="I87" i="8"/>
  <c r="H87" i="8"/>
  <c r="L87" i="8"/>
  <c r="N87" i="8"/>
  <c r="M87" i="8"/>
  <c r="K87" i="8"/>
  <c r="N807" i="2"/>
  <c r="M807" i="2"/>
  <c r="L807" i="2"/>
  <c r="K807" i="2"/>
  <c r="J807" i="2"/>
  <c r="I807" i="2"/>
  <c r="H807" i="2"/>
  <c r="N759" i="2"/>
  <c r="M759" i="2"/>
  <c r="L759" i="2"/>
  <c r="K759" i="2"/>
  <c r="J759" i="2"/>
  <c r="I759" i="2"/>
  <c r="H759" i="2"/>
  <c r="N231" i="4"/>
  <c r="M231" i="4"/>
  <c r="L231" i="4"/>
  <c r="K231" i="4"/>
  <c r="J231" i="4"/>
  <c r="I231" i="4"/>
  <c r="H231" i="4"/>
  <c r="N135" i="4"/>
  <c r="K135" i="4"/>
  <c r="J135" i="4"/>
  <c r="I135" i="4"/>
  <c r="H135" i="4"/>
  <c r="M135" i="4"/>
  <c r="L135" i="4"/>
  <c r="N1095" i="2"/>
  <c r="M1095" i="2"/>
  <c r="L1095" i="2"/>
  <c r="K1095" i="2"/>
  <c r="H1095" i="2"/>
  <c r="J1095" i="2"/>
  <c r="I1095" i="2"/>
  <c r="H1527" i="2"/>
  <c r="J1527" i="2"/>
  <c r="I1527" i="2"/>
  <c r="N1527" i="2"/>
  <c r="M1527" i="2"/>
  <c r="L1527" i="2"/>
  <c r="K1527" i="2"/>
  <c r="M423" i="2"/>
  <c r="N423" i="2"/>
  <c r="L423" i="2"/>
  <c r="K423" i="2"/>
  <c r="J423" i="2"/>
  <c r="I423" i="2"/>
  <c r="H423" i="2"/>
  <c r="N1335" i="2"/>
  <c r="M1335" i="2"/>
  <c r="L1335" i="2"/>
  <c r="K1335" i="2"/>
  <c r="J1335" i="2"/>
  <c r="H1335" i="2"/>
  <c r="I1335" i="2"/>
  <c r="N135" i="2"/>
  <c r="M135" i="2"/>
  <c r="L135" i="2"/>
  <c r="K135" i="2"/>
  <c r="J135" i="2"/>
  <c r="I135" i="2"/>
  <c r="H135" i="2"/>
  <c r="N855" i="2"/>
  <c r="M855" i="2"/>
  <c r="L855" i="2"/>
  <c r="K855" i="2"/>
  <c r="J855" i="2"/>
  <c r="I855" i="2"/>
  <c r="H855" i="2"/>
  <c r="N1239" i="2"/>
  <c r="M1239" i="2"/>
  <c r="L1239" i="2"/>
  <c r="K1239" i="2"/>
  <c r="J1239" i="2"/>
  <c r="I1239" i="2"/>
  <c r="H1239" i="2"/>
  <c r="J183" i="7"/>
  <c r="N183" i="7"/>
  <c r="M183" i="7"/>
  <c r="L183" i="7"/>
  <c r="K183" i="7"/>
  <c r="I183" i="7"/>
  <c r="H183" i="7"/>
  <c r="N39" i="21"/>
  <c r="M39" i="21"/>
  <c r="L39" i="21"/>
  <c r="K39" i="21"/>
  <c r="J39" i="21"/>
  <c r="I39" i="21"/>
  <c r="H39" i="21"/>
  <c r="H87" i="21"/>
  <c r="L87" i="21"/>
  <c r="K87" i="21"/>
  <c r="J87" i="21"/>
  <c r="I87" i="21"/>
  <c r="N87" i="21"/>
  <c r="M87" i="21"/>
  <c r="N231" i="2"/>
  <c r="M231" i="2"/>
  <c r="L231" i="2"/>
  <c r="H231" i="2"/>
  <c r="K231" i="2"/>
  <c r="J231" i="2"/>
  <c r="I231" i="2"/>
  <c r="N183" i="2"/>
  <c r="I183" i="2"/>
  <c r="K183" i="2"/>
  <c r="M183" i="2"/>
  <c r="H183" i="2"/>
  <c r="J183" i="2"/>
  <c r="L183" i="2"/>
  <c r="P229" i="13"/>
  <c r="M278" i="13"/>
  <c r="I230" i="13"/>
  <c r="J134" i="13"/>
  <c r="P133" i="13"/>
  <c r="J278" i="13"/>
  <c r="H278" i="13"/>
  <c r="N278" i="13"/>
  <c r="L278" i="13"/>
  <c r="K278" i="13"/>
  <c r="P277" i="13"/>
  <c r="B280" i="13"/>
  <c r="E279" i="13"/>
  <c r="D279" i="13"/>
  <c r="G278" i="13"/>
  <c r="I278" i="13"/>
  <c r="N230" i="13"/>
  <c r="M230" i="13"/>
  <c r="J230" i="13"/>
  <c r="K230" i="13"/>
  <c r="B232" i="13"/>
  <c r="E231" i="13"/>
  <c r="D231" i="13"/>
  <c r="L230" i="13"/>
  <c r="G230" i="13"/>
  <c r="H230" i="13"/>
  <c r="N182" i="13"/>
  <c r="E183" i="13"/>
  <c r="N183" i="13" s="1"/>
  <c r="D183" i="13"/>
  <c r="B184" i="13"/>
  <c r="K134" i="13"/>
  <c r="N134" i="13"/>
  <c r="I134" i="13"/>
  <c r="E135" i="13"/>
  <c r="N135" i="13" s="1"/>
  <c r="D135" i="13"/>
  <c r="B136" i="13"/>
  <c r="H134" i="13"/>
  <c r="L134" i="13"/>
  <c r="M134" i="13"/>
  <c r="G134" i="13"/>
  <c r="H86" i="13"/>
  <c r="P85" i="13"/>
  <c r="B88" i="13"/>
  <c r="E87" i="13"/>
  <c r="D87" i="13"/>
  <c r="G86" i="13"/>
  <c r="I86" i="13"/>
  <c r="J86" i="13"/>
  <c r="M86" i="13"/>
  <c r="N86" i="13"/>
  <c r="L86" i="13"/>
  <c r="K86" i="13"/>
  <c r="G38" i="5"/>
  <c r="U38" i="4"/>
  <c r="U134" i="6"/>
  <c r="P180" i="4"/>
  <c r="P132" i="21"/>
  <c r="P1668" i="2"/>
  <c r="F26" i="15"/>
  <c r="P228" i="4"/>
  <c r="P1428" i="2"/>
  <c r="P228" i="2"/>
  <c r="P756" i="2"/>
  <c r="P996" i="2"/>
  <c r="P372" i="4"/>
  <c r="P612" i="2"/>
  <c r="P132" i="4"/>
  <c r="P1332" i="2"/>
  <c r="U134" i="8"/>
  <c r="J422" i="7"/>
  <c r="J86" i="5"/>
  <c r="U470" i="2"/>
  <c r="H134" i="20"/>
  <c r="U1478" i="2"/>
  <c r="U230" i="2"/>
  <c r="K566" i="7"/>
  <c r="P132" i="2"/>
  <c r="H518" i="7"/>
  <c r="U182" i="7"/>
  <c r="M182" i="6"/>
  <c r="U278" i="2"/>
  <c r="L470" i="7"/>
  <c r="U902" i="2"/>
  <c r="U182" i="2"/>
  <c r="U86" i="7"/>
  <c r="V86" i="21"/>
  <c r="N134" i="5"/>
  <c r="I182" i="20"/>
  <c r="P1284" i="2"/>
  <c r="U326" i="7"/>
  <c r="U134" i="2"/>
  <c r="P1380" i="2"/>
  <c r="P132" i="8"/>
  <c r="P372" i="7"/>
  <c r="P276" i="4"/>
  <c r="P1476" i="2"/>
  <c r="V1430" i="2"/>
  <c r="P1236" i="2"/>
  <c r="P1188" i="2"/>
  <c r="U1094" i="2"/>
  <c r="P1044" i="2"/>
  <c r="P948" i="2"/>
  <c r="U950" i="2"/>
  <c r="U806" i="2"/>
  <c r="P660" i="2"/>
  <c r="U662" i="2"/>
  <c r="U614" i="2"/>
  <c r="P564" i="2"/>
  <c r="U518" i="2"/>
  <c r="P468" i="2"/>
  <c r="P420" i="2"/>
  <c r="P324" i="2"/>
  <c r="P276" i="2"/>
  <c r="U326" i="2"/>
  <c r="U374" i="2"/>
  <c r="U566" i="2"/>
  <c r="V710" i="2"/>
  <c r="P804" i="2"/>
  <c r="U854" i="2"/>
  <c r="P852" i="2"/>
  <c r="U998" i="2"/>
  <c r="U1142" i="2"/>
  <c r="U1238" i="2"/>
  <c r="U1286" i="2"/>
  <c r="U1382" i="2"/>
  <c r="U1526" i="2"/>
  <c r="U1574" i="2"/>
  <c r="P36" i="4"/>
  <c r="P84" i="4"/>
  <c r="U134" i="4"/>
  <c r="U182" i="4"/>
  <c r="U230" i="4"/>
  <c r="N182" i="20"/>
  <c r="K134" i="20"/>
  <c r="P85" i="20"/>
  <c r="M38" i="5"/>
  <c r="J38" i="5"/>
  <c r="L38" i="5"/>
  <c r="I38" i="5"/>
  <c r="N38" i="5"/>
  <c r="H38" i="5"/>
  <c r="P133" i="5"/>
  <c r="J182" i="5"/>
  <c r="V38" i="21"/>
  <c r="U38" i="21"/>
  <c r="P84" i="21"/>
  <c r="P84" i="6"/>
  <c r="P132" i="6"/>
  <c r="L230" i="6"/>
  <c r="H278" i="6"/>
  <c r="M326" i="6"/>
  <c r="P36" i="7"/>
  <c r="U38" i="7"/>
  <c r="P84" i="7"/>
  <c r="U134" i="7"/>
  <c r="P132" i="7"/>
  <c r="U230" i="7"/>
  <c r="P276" i="7"/>
  <c r="P324" i="7"/>
  <c r="P228" i="7"/>
  <c r="U374" i="7"/>
  <c r="L422" i="7"/>
  <c r="M566" i="7"/>
  <c r="U38" i="8"/>
  <c r="P84" i="8"/>
  <c r="U86" i="8"/>
  <c r="P228" i="8"/>
  <c r="U230" i="8"/>
  <c r="L278" i="8"/>
  <c r="J278" i="8"/>
  <c r="K278" i="8"/>
  <c r="L374" i="8"/>
  <c r="J374" i="8"/>
  <c r="I422" i="8"/>
  <c r="P516" i="2"/>
  <c r="P900" i="2"/>
  <c r="P1140" i="2"/>
  <c r="P180" i="8"/>
  <c r="P325" i="8"/>
  <c r="P181" i="5"/>
  <c r="P180" i="2"/>
  <c r="P372" i="2"/>
  <c r="P37" i="5"/>
  <c r="P277" i="8"/>
  <c r="P36" i="8"/>
  <c r="P277" i="6"/>
  <c r="P1572" i="2"/>
  <c r="P421" i="8"/>
  <c r="P1092" i="2"/>
  <c r="P517" i="7"/>
  <c r="P325" i="6"/>
  <c r="P85" i="5"/>
  <c r="P708" i="2"/>
  <c r="G1286" i="2"/>
  <c r="V1286" i="2"/>
  <c r="V1574" i="2"/>
  <c r="J518" i="7"/>
  <c r="K518" i="7"/>
  <c r="G1574" i="2"/>
  <c r="M182" i="5"/>
  <c r="I134" i="20"/>
  <c r="G1526" i="2"/>
  <c r="V1526" i="2"/>
  <c r="H422" i="7"/>
  <c r="K182" i="6"/>
  <c r="G182" i="4"/>
  <c r="V182" i="4"/>
  <c r="G1670" i="2"/>
  <c r="V1670" i="2"/>
  <c r="K422" i="8"/>
  <c r="G278" i="6"/>
  <c r="I278" i="6"/>
  <c r="P229" i="6"/>
  <c r="G1622" i="2"/>
  <c r="V1622" i="2"/>
  <c r="M134" i="20"/>
  <c r="G230" i="7"/>
  <c r="V230" i="7"/>
  <c r="K422" i="7"/>
  <c r="L182" i="6"/>
  <c r="G278" i="7"/>
  <c r="V278" i="7"/>
  <c r="G806" i="2"/>
  <c r="V806" i="2"/>
  <c r="G86" i="7"/>
  <c r="V86" i="7"/>
  <c r="U1046" i="2"/>
  <c r="G134" i="4"/>
  <c r="V134" i="4"/>
  <c r="G230" i="2"/>
  <c r="V230" i="2"/>
  <c r="G854" i="2"/>
  <c r="V854" i="2"/>
  <c r="G470" i="2"/>
  <c r="V470" i="2"/>
  <c r="G278" i="2"/>
  <c r="V278" i="2"/>
  <c r="G518" i="7"/>
  <c r="I518" i="7"/>
  <c r="G1238" i="2"/>
  <c r="V1238" i="2"/>
  <c r="H134" i="5"/>
  <c r="N134" i="20"/>
  <c r="G470" i="7"/>
  <c r="I470" i="7"/>
  <c r="G134" i="6"/>
  <c r="V134" i="6"/>
  <c r="U1334" i="2"/>
  <c r="G134" i="8"/>
  <c r="V134" i="8"/>
  <c r="H182" i="6"/>
  <c r="G518" i="2"/>
  <c r="V518" i="2"/>
  <c r="G902" i="2"/>
  <c r="V902" i="2"/>
  <c r="U326" i="4"/>
  <c r="U278" i="7"/>
  <c r="P565" i="7"/>
  <c r="P181" i="6"/>
  <c r="G374" i="2"/>
  <c r="V374" i="2"/>
  <c r="P133" i="20"/>
  <c r="H86" i="5"/>
  <c r="N518" i="7"/>
  <c r="U374" i="4"/>
  <c r="G614" i="2"/>
  <c r="V614" i="2"/>
  <c r="G182" i="7"/>
  <c r="V182" i="7"/>
  <c r="J182" i="20"/>
  <c r="G38" i="4"/>
  <c r="V38" i="4"/>
  <c r="N182" i="6"/>
  <c r="I182" i="6"/>
  <c r="L566" i="7"/>
  <c r="G230" i="4"/>
  <c r="V230" i="4"/>
  <c r="U86" i="21"/>
  <c r="J278" i="6"/>
  <c r="K374" i="8"/>
  <c r="G662" i="2"/>
  <c r="V662" i="2"/>
  <c r="P469" i="7"/>
  <c r="P181" i="20"/>
  <c r="P180" i="7"/>
  <c r="G1382" i="2"/>
  <c r="V1382" i="2"/>
  <c r="G1334" i="2"/>
  <c r="V1334" i="2"/>
  <c r="G230" i="8"/>
  <c r="V230" i="8"/>
  <c r="G86" i="6"/>
  <c r="V86" i="6"/>
  <c r="G422" i="7"/>
  <c r="I422" i="7"/>
  <c r="G998" i="2"/>
  <c r="V998" i="2"/>
  <c r="G326" i="6"/>
  <c r="I326" i="6"/>
  <c r="U86" i="6"/>
  <c r="G1094" i="2"/>
  <c r="V1094" i="2"/>
  <c r="G374" i="4"/>
  <c r="V374" i="4"/>
  <c r="U134" i="21"/>
  <c r="V134" i="21"/>
  <c r="U1190" i="2"/>
  <c r="P324" i="4"/>
  <c r="U758" i="2"/>
  <c r="U86" i="4"/>
  <c r="G566" i="7"/>
  <c r="I566" i="7"/>
  <c r="G1478" i="2"/>
  <c r="V1478" i="2"/>
  <c r="G182" i="2"/>
  <c r="V182" i="2"/>
  <c r="U710" i="2"/>
  <c r="M278" i="6"/>
  <c r="G374" i="8"/>
  <c r="I374" i="8"/>
  <c r="G134" i="7"/>
  <c r="V134" i="7"/>
  <c r="G86" i="8"/>
  <c r="V86" i="8"/>
  <c r="G326" i="4"/>
  <c r="V326" i="4"/>
  <c r="G1046" i="2"/>
  <c r="V1046" i="2"/>
  <c r="P421" i="7"/>
  <c r="G1190" i="2"/>
  <c r="V1190" i="2"/>
  <c r="G326" i="7"/>
  <c r="V326" i="7"/>
  <c r="L182" i="20"/>
  <c r="G86" i="4"/>
  <c r="V86" i="4"/>
  <c r="G38" i="8"/>
  <c r="V38" i="8"/>
  <c r="L86" i="20"/>
  <c r="H422" i="8"/>
  <c r="K278" i="6"/>
  <c r="G950" i="2"/>
  <c r="V950" i="2"/>
  <c r="G38" i="7"/>
  <c r="V38" i="7"/>
  <c r="L278" i="6"/>
  <c r="G422" i="2"/>
  <c r="V422" i="2"/>
  <c r="G182" i="8"/>
  <c r="V182" i="8"/>
  <c r="J134" i="20"/>
  <c r="M422" i="7"/>
  <c r="G758" i="2"/>
  <c r="V758" i="2"/>
  <c r="G134" i="2"/>
  <c r="V134" i="2"/>
  <c r="G326" i="2"/>
  <c r="V326" i="2"/>
  <c r="J422" i="8"/>
  <c r="N278" i="6"/>
  <c r="M518" i="7"/>
  <c r="G374" i="7"/>
  <c r="V374" i="7"/>
  <c r="G278" i="8"/>
  <c r="I278" i="8"/>
  <c r="G326" i="8"/>
  <c r="I326" i="8"/>
  <c r="H278" i="8"/>
  <c r="G278" i="4"/>
  <c r="V278" i="4"/>
  <c r="K326" i="6"/>
  <c r="U422" i="2"/>
  <c r="P373" i="8"/>
  <c r="L182" i="5"/>
  <c r="P1620" i="2"/>
  <c r="G1142" i="2"/>
  <c r="V1142" i="2"/>
  <c r="N422" i="7"/>
  <c r="G230" i="6"/>
  <c r="I230" i="6"/>
  <c r="G566" i="2"/>
  <c r="V566" i="2"/>
  <c r="P36" i="21"/>
  <c r="L422" i="8"/>
  <c r="P1524" i="2"/>
  <c r="E87" i="6"/>
  <c r="D87" i="6"/>
  <c r="B88" i="6"/>
  <c r="E183" i="8"/>
  <c r="D183" i="8"/>
  <c r="B184" i="8"/>
  <c r="D183" i="2"/>
  <c r="E183" i="2"/>
  <c r="B184" i="2"/>
  <c r="D1143" i="2"/>
  <c r="E1143" i="2"/>
  <c r="B1144" i="2"/>
  <c r="D279" i="2"/>
  <c r="E279" i="2"/>
  <c r="B280" i="2"/>
  <c r="K134" i="5"/>
  <c r="B40" i="4"/>
  <c r="E39" i="4"/>
  <c r="D39" i="4"/>
  <c r="B1384" i="2"/>
  <c r="E1383" i="2"/>
  <c r="D1383" i="2"/>
  <c r="J326" i="6"/>
  <c r="N86" i="5"/>
  <c r="M278" i="8"/>
  <c r="U1430" i="2"/>
  <c r="H326" i="8"/>
  <c r="B1000" i="2"/>
  <c r="D999" i="2"/>
  <c r="E999" i="2"/>
  <c r="E471" i="7"/>
  <c r="D471" i="7"/>
  <c r="B472" i="7"/>
  <c r="D135" i="6"/>
  <c r="B136" i="6"/>
  <c r="E135" i="6"/>
  <c r="H182" i="20"/>
  <c r="B760" i="2"/>
  <c r="D759" i="2"/>
  <c r="E759" i="2"/>
  <c r="E663" i="2"/>
  <c r="B664" i="2"/>
  <c r="D663" i="2"/>
  <c r="E183" i="7"/>
  <c r="D183" i="7"/>
  <c r="B184" i="7"/>
  <c r="B1480" i="2"/>
  <c r="D1479" i="2"/>
  <c r="E1479" i="2"/>
  <c r="M86" i="5"/>
  <c r="B1288" i="2"/>
  <c r="D1287" i="2"/>
  <c r="E1287" i="2"/>
  <c r="B1624" i="2"/>
  <c r="E1623" i="2"/>
  <c r="D1623" i="2"/>
  <c r="J326" i="8"/>
  <c r="L134" i="5"/>
  <c r="B136" i="20"/>
  <c r="D135" i="20"/>
  <c r="E135" i="20"/>
  <c r="D1527" i="2"/>
  <c r="B1528" i="2"/>
  <c r="E1527" i="2"/>
  <c r="E183" i="20"/>
  <c r="D183" i="20"/>
  <c r="B184" i="20"/>
  <c r="J182" i="6"/>
  <c r="E567" i="7"/>
  <c r="D567" i="7"/>
  <c r="B568" i="7"/>
  <c r="D39" i="7"/>
  <c r="E39" i="7"/>
  <c r="B40" i="7"/>
  <c r="M422" i="8"/>
  <c r="N374" i="8"/>
  <c r="B808" i="2"/>
  <c r="D807" i="2"/>
  <c r="E807" i="2"/>
  <c r="D231" i="2"/>
  <c r="B232" i="2"/>
  <c r="E231" i="2"/>
  <c r="B232" i="4"/>
  <c r="E231" i="4"/>
  <c r="D231" i="4"/>
  <c r="B376" i="4"/>
  <c r="E375" i="4"/>
  <c r="D375" i="4"/>
  <c r="B88" i="20"/>
  <c r="E87" i="20"/>
  <c r="D87" i="20"/>
  <c r="D135" i="7"/>
  <c r="B136" i="7"/>
  <c r="E135" i="7"/>
  <c r="E615" i="2"/>
  <c r="D615" i="2"/>
  <c r="B616" i="2"/>
  <c r="H182" i="5"/>
  <c r="E231" i="7"/>
  <c r="D231" i="7"/>
  <c r="B232" i="7"/>
  <c r="U1670" i="2"/>
  <c r="E87" i="21"/>
  <c r="B88" i="21"/>
  <c r="D87" i="21"/>
  <c r="H326" i="6"/>
  <c r="B88" i="8"/>
  <c r="D87" i="8"/>
  <c r="E87" i="8"/>
  <c r="K326" i="8"/>
  <c r="E375" i="2"/>
  <c r="D375" i="2"/>
  <c r="B376" i="2"/>
  <c r="G134" i="5"/>
  <c r="K470" i="7"/>
  <c r="E423" i="7"/>
  <c r="D423" i="7"/>
  <c r="B424" i="7"/>
  <c r="N230" i="6"/>
  <c r="B232" i="8"/>
  <c r="E231" i="8"/>
  <c r="D231" i="8"/>
  <c r="E951" i="2"/>
  <c r="D951" i="2"/>
  <c r="B952" i="2"/>
  <c r="E87" i="7"/>
  <c r="D87" i="7"/>
  <c r="B88" i="7"/>
  <c r="J566" i="7"/>
  <c r="H86" i="20"/>
  <c r="E1671" i="2"/>
  <c r="D1671" i="2"/>
  <c r="B1672" i="2"/>
  <c r="D423" i="8"/>
  <c r="B424" i="8"/>
  <c r="E423" i="8"/>
  <c r="E279" i="6"/>
  <c r="D279" i="6"/>
  <c r="B280" i="6"/>
  <c r="D135" i="4"/>
  <c r="E135" i="4"/>
  <c r="B136" i="4"/>
  <c r="I86" i="5"/>
  <c r="G134" i="21"/>
  <c r="L518" i="7"/>
  <c r="M326" i="8"/>
  <c r="I134" i="5"/>
  <c r="J470" i="7"/>
  <c r="M230" i="6"/>
  <c r="B136" i="2"/>
  <c r="E135" i="2"/>
  <c r="D135" i="2"/>
  <c r="B40" i="8"/>
  <c r="E39" i="8"/>
  <c r="D39" i="8"/>
  <c r="J86" i="20"/>
  <c r="D39" i="21"/>
  <c r="E39" i="21"/>
  <c r="B40" i="21"/>
  <c r="N422" i="8"/>
  <c r="M374" i="8"/>
  <c r="E87" i="5"/>
  <c r="D87" i="5"/>
  <c r="B88" i="5"/>
  <c r="B1576" i="2"/>
  <c r="D1575" i="2"/>
  <c r="E1575" i="2"/>
  <c r="D135" i="21"/>
  <c r="B136" i="21"/>
  <c r="E135" i="21"/>
  <c r="M134" i="5"/>
  <c r="U1622" i="2"/>
  <c r="K86" i="5"/>
  <c r="U278" i="4"/>
  <c r="L86" i="5"/>
  <c r="L326" i="6"/>
  <c r="N326" i="8"/>
  <c r="U182" i="8"/>
  <c r="N182" i="5"/>
  <c r="B1192" i="2"/>
  <c r="D1191" i="2"/>
  <c r="E1191" i="2"/>
  <c r="M470" i="7"/>
  <c r="B328" i="7"/>
  <c r="D327" i="7"/>
  <c r="E327" i="7"/>
  <c r="K182" i="20"/>
  <c r="D1335" i="2"/>
  <c r="B1336" i="2"/>
  <c r="E1335" i="2"/>
  <c r="E135" i="8"/>
  <c r="B136" i="8"/>
  <c r="D135" i="8"/>
  <c r="B520" i="2"/>
  <c r="D519" i="2"/>
  <c r="E519" i="2"/>
  <c r="E903" i="2"/>
  <c r="D903" i="2"/>
  <c r="B904" i="2"/>
  <c r="N86" i="20"/>
  <c r="H374" i="8"/>
  <c r="D567" i="2"/>
  <c r="B568" i="2"/>
  <c r="E567" i="2"/>
  <c r="J230" i="6"/>
  <c r="B1432" i="2"/>
  <c r="D1431" i="2"/>
  <c r="E1431" i="2"/>
  <c r="B136" i="5"/>
  <c r="E135" i="5"/>
  <c r="D135" i="5"/>
  <c r="B328" i="4"/>
  <c r="E327" i="4"/>
  <c r="D327" i="4"/>
  <c r="E375" i="8"/>
  <c r="D375" i="8"/>
  <c r="B376" i="8"/>
  <c r="B376" i="7"/>
  <c r="D375" i="7"/>
  <c r="E375" i="7"/>
  <c r="B280" i="8"/>
  <c r="D279" i="8"/>
  <c r="E279" i="8"/>
  <c r="L326" i="8"/>
  <c r="B1096" i="2"/>
  <c r="E1095" i="2"/>
  <c r="D1095" i="2"/>
  <c r="B1240" i="2"/>
  <c r="E1239" i="2"/>
  <c r="D1239" i="2"/>
  <c r="D39" i="5"/>
  <c r="B40" i="5"/>
  <c r="E39" i="5"/>
  <c r="J134" i="5"/>
  <c r="K182" i="5"/>
  <c r="L134" i="20"/>
  <c r="H470" i="7"/>
  <c r="M182" i="20"/>
  <c r="E231" i="6"/>
  <c r="B232" i="6"/>
  <c r="D231" i="6"/>
  <c r="E183" i="6"/>
  <c r="D183" i="6"/>
  <c r="B184" i="6"/>
  <c r="M155" i="6" s="1"/>
  <c r="D183" i="4"/>
  <c r="B184" i="4"/>
  <c r="E183" i="4"/>
  <c r="B328" i="2"/>
  <c r="E327" i="2"/>
  <c r="D327" i="2"/>
  <c r="M86" i="20"/>
  <c r="E519" i="7"/>
  <c r="N519" i="7" s="1"/>
  <c r="D519" i="7"/>
  <c r="B520" i="7"/>
  <c r="B424" i="2"/>
  <c r="E423" i="2"/>
  <c r="D423" i="2"/>
  <c r="B328" i="6"/>
  <c r="E327" i="6"/>
  <c r="D327" i="6"/>
  <c r="E183" i="5"/>
  <c r="D183" i="5"/>
  <c r="B184" i="5"/>
  <c r="B88" i="4"/>
  <c r="E87" i="4"/>
  <c r="D87" i="4"/>
  <c r="K230" i="6"/>
  <c r="K86" i="20"/>
  <c r="G86" i="5"/>
  <c r="B856" i="2"/>
  <c r="E855" i="2"/>
  <c r="D855" i="2"/>
  <c r="E471" i="2"/>
  <c r="D471" i="2"/>
  <c r="B472" i="2"/>
  <c r="D279" i="4"/>
  <c r="E279" i="4"/>
  <c r="B280" i="4"/>
  <c r="E327" i="8"/>
  <c r="B328" i="8"/>
  <c r="D327" i="8"/>
  <c r="K38" i="5"/>
  <c r="I182" i="5"/>
  <c r="N470" i="7"/>
  <c r="H230" i="6"/>
  <c r="H566" i="7"/>
  <c r="I86" i="20"/>
  <c r="E711" i="2"/>
  <c r="D711" i="2"/>
  <c r="B712" i="2"/>
  <c r="B1048" i="2"/>
  <c r="D1047" i="2"/>
  <c r="E1047" i="2"/>
  <c r="B280" i="7"/>
  <c r="D279" i="7"/>
  <c r="E279" i="7"/>
  <c r="C62" i="34"/>
  <c r="P6" i="13"/>
  <c r="O6" i="19"/>
  <c r="O29" i="19" s="1"/>
  <c r="H952" i="2" l="1"/>
  <c r="N952" i="2"/>
  <c r="L952" i="2"/>
  <c r="I952" i="2"/>
  <c r="M952" i="2"/>
  <c r="K952" i="2"/>
  <c r="J952" i="2"/>
  <c r="M376" i="2"/>
  <c r="N376" i="2"/>
  <c r="L376" i="2"/>
  <c r="K376" i="2"/>
  <c r="I376" i="2"/>
  <c r="J376" i="2"/>
  <c r="H376" i="2"/>
  <c r="N232" i="7"/>
  <c r="M232" i="7"/>
  <c r="L232" i="7"/>
  <c r="K232" i="7"/>
  <c r="H232" i="7"/>
  <c r="J232" i="7"/>
  <c r="I232" i="7"/>
  <c r="H808" i="2"/>
  <c r="L808" i="2"/>
  <c r="I808" i="2"/>
  <c r="J808" i="2"/>
  <c r="N808" i="2"/>
  <c r="M808" i="2"/>
  <c r="K808" i="2"/>
  <c r="M40" i="4"/>
  <c r="L40" i="4"/>
  <c r="K40" i="4"/>
  <c r="J40" i="4"/>
  <c r="I40" i="4"/>
  <c r="H40" i="4"/>
  <c r="N40" i="4"/>
  <c r="M1528" i="2"/>
  <c r="J1528" i="2"/>
  <c r="N1528" i="2"/>
  <c r="L1528" i="2"/>
  <c r="K1528" i="2"/>
  <c r="I1528" i="2"/>
  <c r="H1528" i="2"/>
  <c r="H1288" i="2"/>
  <c r="J1288" i="2"/>
  <c r="N1288" i="2"/>
  <c r="M1288" i="2"/>
  <c r="L1288" i="2"/>
  <c r="K1288" i="2"/>
  <c r="I1288" i="2"/>
  <c r="N280" i="2"/>
  <c r="M280" i="2"/>
  <c r="L280" i="2"/>
  <c r="K280" i="2"/>
  <c r="I280" i="2"/>
  <c r="H280" i="2"/>
  <c r="J280" i="2"/>
  <c r="M58" i="6"/>
  <c r="E68" i="6" s="1"/>
  <c r="M88" i="6"/>
  <c r="L88" i="6"/>
  <c r="K88" i="6"/>
  <c r="J88" i="6"/>
  <c r="N88" i="6"/>
  <c r="I88" i="6"/>
  <c r="H88" i="6"/>
  <c r="H1432" i="2"/>
  <c r="N1432" i="2"/>
  <c r="M1432" i="2"/>
  <c r="K1432" i="2"/>
  <c r="J1432" i="2"/>
  <c r="L1432" i="2"/>
  <c r="I1432" i="2"/>
  <c r="N376" i="4"/>
  <c r="M376" i="4"/>
  <c r="L376" i="4"/>
  <c r="K376" i="4"/>
  <c r="J376" i="4"/>
  <c r="H376" i="4"/>
  <c r="I376" i="4"/>
  <c r="M10" i="7"/>
  <c r="E20" i="7" s="1"/>
  <c r="L40" i="7"/>
  <c r="N40" i="7"/>
  <c r="M40" i="7"/>
  <c r="K40" i="7"/>
  <c r="J40" i="7"/>
  <c r="H40" i="7"/>
  <c r="I40" i="7"/>
  <c r="H760" i="2"/>
  <c r="L760" i="2"/>
  <c r="I760" i="2"/>
  <c r="N760" i="2"/>
  <c r="M760" i="2"/>
  <c r="K760" i="2"/>
  <c r="J760" i="2"/>
  <c r="H616" i="2"/>
  <c r="N616" i="2"/>
  <c r="M616" i="2"/>
  <c r="L616" i="2"/>
  <c r="K616" i="2"/>
  <c r="J616" i="2"/>
  <c r="I616" i="2"/>
  <c r="K424" i="2"/>
  <c r="J424" i="2"/>
  <c r="I424" i="2"/>
  <c r="H424" i="2"/>
  <c r="M424" i="2"/>
  <c r="L424" i="2"/>
  <c r="N424" i="2"/>
  <c r="H520" i="2"/>
  <c r="N520" i="2"/>
  <c r="M520" i="2"/>
  <c r="L520" i="2"/>
  <c r="K520" i="2"/>
  <c r="J520" i="2"/>
  <c r="I520" i="2"/>
  <c r="M88" i="4"/>
  <c r="L88" i="4"/>
  <c r="K88" i="4"/>
  <c r="J88" i="4"/>
  <c r="I88" i="4"/>
  <c r="H88" i="4"/>
  <c r="N88" i="4"/>
  <c r="H1240" i="2"/>
  <c r="J1240" i="2"/>
  <c r="N1240" i="2"/>
  <c r="M1240" i="2"/>
  <c r="L1240" i="2"/>
  <c r="K1240" i="2"/>
  <c r="I1240" i="2"/>
  <c r="N136" i="8"/>
  <c r="M136" i="8"/>
  <c r="L136" i="8"/>
  <c r="K136" i="8"/>
  <c r="J136" i="8"/>
  <c r="I136" i="8"/>
  <c r="H136" i="8"/>
  <c r="H1192" i="2"/>
  <c r="J1192" i="2"/>
  <c r="N1192" i="2"/>
  <c r="M1192" i="2"/>
  <c r="L1192" i="2"/>
  <c r="I1192" i="2"/>
  <c r="K1192" i="2"/>
  <c r="N232" i="8"/>
  <c r="M232" i="8"/>
  <c r="L232" i="8"/>
  <c r="K232" i="8"/>
  <c r="J232" i="8"/>
  <c r="I232" i="8"/>
  <c r="H232" i="8"/>
  <c r="H1144" i="2"/>
  <c r="N1144" i="2"/>
  <c r="M1144" i="2"/>
  <c r="L1144" i="2"/>
  <c r="K1144" i="2"/>
  <c r="J1144" i="2"/>
  <c r="I1144" i="2"/>
  <c r="N1048" i="2"/>
  <c r="M1048" i="2"/>
  <c r="L1048" i="2"/>
  <c r="K1048" i="2"/>
  <c r="J1048" i="2"/>
  <c r="I1048" i="2"/>
  <c r="H1048" i="2"/>
  <c r="N40" i="21"/>
  <c r="M40" i="21"/>
  <c r="L40" i="21"/>
  <c r="K40" i="21"/>
  <c r="J40" i="21"/>
  <c r="I40" i="21"/>
  <c r="H40" i="21"/>
  <c r="N88" i="8"/>
  <c r="M88" i="8"/>
  <c r="L88" i="8"/>
  <c r="K88" i="8"/>
  <c r="J88" i="8"/>
  <c r="I88" i="8"/>
  <c r="H88" i="8"/>
  <c r="I232" i="4"/>
  <c r="H232" i="4"/>
  <c r="N232" i="4"/>
  <c r="M232" i="4"/>
  <c r="K232" i="4"/>
  <c r="L232" i="4"/>
  <c r="J232" i="4"/>
  <c r="M1480" i="2"/>
  <c r="J1480" i="2"/>
  <c r="N1480" i="2"/>
  <c r="L1480" i="2"/>
  <c r="K1480" i="2"/>
  <c r="I1480" i="2"/>
  <c r="H1480" i="2"/>
  <c r="M136" i="6"/>
  <c r="L136" i="6"/>
  <c r="K136" i="6"/>
  <c r="J136" i="6"/>
  <c r="N136" i="6"/>
  <c r="I136" i="6"/>
  <c r="H136" i="6"/>
  <c r="N328" i="7"/>
  <c r="M328" i="7"/>
  <c r="L328" i="7"/>
  <c r="K328" i="7"/>
  <c r="J328" i="7"/>
  <c r="I328" i="7"/>
  <c r="H328" i="7"/>
  <c r="H280" i="4"/>
  <c r="N280" i="4"/>
  <c r="M280" i="4"/>
  <c r="L280" i="4"/>
  <c r="J280" i="4"/>
  <c r="K280" i="4"/>
  <c r="I280" i="4"/>
  <c r="N136" i="4"/>
  <c r="M136" i="4"/>
  <c r="L136" i="4"/>
  <c r="K136" i="4"/>
  <c r="J136" i="4"/>
  <c r="I136" i="4"/>
  <c r="H136" i="4"/>
  <c r="L184" i="7"/>
  <c r="H184" i="7"/>
  <c r="N184" i="7"/>
  <c r="J184" i="7"/>
  <c r="M184" i="7"/>
  <c r="K184" i="7"/>
  <c r="I184" i="7"/>
  <c r="H1096" i="2"/>
  <c r="N1096" i="2"/>
  <c r="M1096" i="2"/>
  <c r="L1096" i="2"/>
  <c r="K1096" i="2"/>
  <c r="J1096" i="2"/>
  <c r="I1096" i="2"/>
  <c r="H1336" i="2"/>
  <c r="J1336" i="2"/>
  <c r="N1336" i="2"/>
  <c r="M1336" i="2"/>
  <c r="L1336" i="2"/>
  <c r="K1336" i="2"/>
  <c r="I1336" i="2"/>
  <c r="M1576" i="2"/>
  <c r="L1576" i="2"/>
  <c r="J1576" i="2"/>
  <c r="N1576" i="2"/>
  <c r="K1576" i="2"/>
  <c r="I1576" i="2"/>
  <c r="H1576" i="2"/>
  <c r="M10" i="8"/>
  <c r="E20" i="8" s="1"/>
  <c r="N40" i="8"/>
  <c r="M40" i="8"/>
  <c r="L40" i="8"/>
  <c r="K40" i="8"/>
  <c r="J40" i="8"/>
  <c r="H40" i="8"/>
  <c r="I40" i="8"/>
  <c r="M106" i="7"/>
  <c r="L136" i="7"/>
  <c r="M136" i="7"/>
  <c r="K136" i="7"/>
  <c r="J136" i="7"/>
  <c r="I136" i="7"/>
  <c r="H136" i="7"/>
  <c r="N136" i="7"/>
  <c r="N232" i="2"/>
  <c r="M232" i="2"/>
  <c r="L232" i="2"/>
  <c r="K232" i="2"/>
  <c r="I232" i="2"/>
  <c r="J232" i="2"/>
  <c r="H232" i="2"/>
  <c r="N472" i="2"/>
  <c r="M472" i="2"/>
  <c r="L472" i="2"/>
  <c r="K472" i="2"/>
  <c r="J472" i="2"/>
  <c r="H472" i="2"/>
  <c r="I472" i="2"/>
  <c r="H1384" i="2"/>
  <c r="N1384" i="2"/>
  <c r="M1384" i="2"/>
  <c r="J1384" i="2"/>
  <c r="L1384" i="2"/>
  <c r="K1384" i="2"/>
  <c r="I1384" i="2"/>
  <c r="H1000" i="2"/>
  <c r="N1000" i="2"/>
  <c r="M1000" i="2"/>
  <c r="L1000" i="2"/>
  <c r="I1000" i="2"/>
  <c r="K1000" i="2"/>
  <c r="J1000" i="2"/>
  <c r="L136" i="21"/>
  <c r="H136" i="21"/>
  <c r="N136" i="21"/>
  <c r="M136" i="21"/>
  <c r="K136" i="21"/>
  <c r="J136" i="21"/>
  <c r="I136" i="21"/>
  <c r="L328" i="2"/>
  <c r="M328" i="2"/>
  <c r="N328" i="2"/>
  <c r="K328" i="2"/>
  <c r="I328" i="2"/>
  <c r="J328" i="2"/>
  <c r="H328" i="2"/>
  <c r="N328" i="4"/>
  <c r="M328" i="4"/>
  <c r="L328" i="4"/>
  <c r="K328" i="4"/>
  <c r="I328" i="4"/>
  <c r="H328" i="4"/>
  <c r="J328" i="4"/>
  <c r="M58" i="7"/>
  <c r="E68" i="7" s="1"/>
  <c r="L88" i="7"/>
  <c r="N88" i="7"/>
  <c r="M88" i="7"/>
  <c r="K88" i="7"/>
  <c r="J88" i="7"/>
  <c r="I88" i="7"/>
  <c r="H88" i="7"/>
  <c r="L88" i="21"/>
  <c r="N88" i="21"/>
  <c r="M88" i="21"/>
  <c r="K88" i="21"/>
  <c r="J88" i="21"/>
  <c r="I88" i="21"/>
  <c r="H88" i="21"/>
  <c r="H904" i="2"/>
  <c r="N904" i="2"/>
  <c r="L904" i="2"/>
  <c r="I904" i="2"/>
  <c r="M904" i="2"/>
  <c r="K904" i="2"/>
  <c r="J904" i="2"/>
  <c r="H712" i="2"/>
  <c r="I712" i="2"/>
  <c r="N712" i="2"/>
  <c r="M712" i="2"/>
  <c r="L712" i="2"/>
  <c r="K712" i="2"/>
  <c r="J712" i="2"/>
  <c r="N376" i="7"/>
  <c r="M376" i="7"/>
  <c r="L376" i="7"/>
  <c r="K376" i="7"/>
  <c r="J376" i="7"/>
  <c r="I376" i="7"/>
  <c r="H376" i="7"/>
  <c r="M1672" i="2"/>
  <c r="L1672" i="2"/>
  <c r="K1672" i="2"/>
  <c r="J1672" i="2"/>
  <c r="I1672" i="2"/>
  <c r="N1672" i="2"/>
  <c r="H1672" i="2"/>
  <c r="H568" i="2"/>
  <c r="N568" i="2"/>
  <c r="M568" i="2"/>
  <c r="L568" i="2"/>
  <c r="K568" i="2"/>
  <c r="J568" i="2"/>
  <c r="I568" i="2"/>
  <c r="N280" i="7"/>
  <c r="M280" i="7"/>
  <c r="L280" i="7"/>
  <c r="J280" i="7"/>
  <c r="I280" i="7"/>
  <c r="H280" i="7"/>
  <c r="K280" i="7"/>
  <c r="H856" i="2"/>
  <c r="N856" i="2"/>
  <c r="L856" i="2"/>
  <c r="I856" i="2"/>
  <c r="M856" i="2"/>
  <c r="K856" i="2"/>
  <c r="J856" i="2"/>
  <c r="N184" i="4"/>
  <c r="M184" i="4"/>
  <c r="L184" i="4"/>
  <c r="K184" i="4"/>
  <c r="J184" i="4"/>
  <c r="I184" i="4"/>
  <c r="H184" i="4"/>
  <c r="M136" i="2"/>
  <c r="N136" i="2"/>
  <c r="I136" i="2"/>
  <c r="J136" i="2"/>
  <c r="H136" i="2"/>
  <c r="L136" i="2"/>
  <c r="K136" i="2"/>
  <c r="M1624" i="2"/>
  <c r="L1624" i="2"/>
  <c r="K1624" i="2"/>
  <c r="J1624" i="2"/>
  <c r="I1624" i="2"/>
  <c r="N1624" i="2"/>
  <c r="H1624" i="2"/>
  <c r="H664" i="2"/>
  <c r="N664" i="2"/>
  <c r="M664" i="2"/>
  <c r="L664" i="2"/>
  <c r="K664" i="2"/>
  <c r="J664" i="2"/>
  <c r="I664" i="2"/>
  <c r="N184" i="8"/>
  <c r="M184" i="8"/>
  <c r="L184" i="8"/>
  <c r="K184" i="8"/>
  <c r="J184" i="8"/>
  <c r="I184" i="8"/>
  <c r="H184" i="8"/>
  <c r="N184" i="2"/>
  <c r="M184" i="2"/>
  <c r="I184" i="2"/>
  <c r="H184" i="2"/>
  <c r="K184" i="2"/>
  <c r="J184" i="2"/>
  <c r="L184" i="2"/>
  <c r="M106" i="6"/>
  <c r="E116" i="6" s="1"/>
  <c r="E116" i="7"/>
  <c r="P278" i="13"/>
  <c r="N279" i="13"/>
  <c r="E280" i="13"/>
  <c r="D280" i="13"/>
  <c r="D281" i="13" s="1"/>
  <c r="B281" i="13"/>
  <c r="N231" i="13"/>
  <c r="P230" i="13"/>
  <c r="E232" i="13"/>
  <c r="D232" i="13"/>
  <c r="D233" i="13" s="1"/>
  <c r="B233" i="13"/>
  <c r="E184" i="13"/>
  <c r="D184" i="13"/>
  <c r="D185" i="13" s="1"/>
  <c r="B185" i="13"/>
  <c r="P134" i="13"/>
  <c r="E136" i="13"/>
  <c r="N136" i="13" s="1"/>
  <c r="N137" i="13" s="1"/>
  <c r="D136" i="13"/>
  <c r="D137" i="13" s="1"/>
  <c r="B137" i="13"/>
  <c r="N87" i="13"/>
  <c r="E88" i="13"/>
  <c r="D88" i="13"/>
  <c r="D89" i="13" s="1"/>
  <c r="B89" i="13"/>
  <c r="P86" i="13"/>
  <c r="P229" i="8"/>
  <c r="P181" i="8"/>
  <c r="P133" i="8"/>
  <c r="P325" i="4"/>
  <c r="P517" i="2"/>
  <c r="P805" i="2"/>
  <c r="P997" i="2"/>
  <c r="P1237" i="2"/>
  <c r="P229" i="4"/>
  <c r="P1621" i="2"/>
  <c r="P277" i="2"/>
  <c r="P757" i="2"/>
  <c r="P1669" i="2"/>
  <c r="P37" i="21"/>
  <c r="P901" i="2"/>
  <c r="P613" i="2"/>
  <c r="P565" i="2"/>
  <c r="P37" i="4"/>
  <c r="P181" i="2"/>
  <c r="P1045" i="2"/>
  <c r="P421" i="2"/>
  <c r="P133" i="2"/>
  <c r="P709" i="2"/>
  <c r="P1285" i="2"/>
  <c r="P37" i="8"/>
  <c r="P469" i="2"/>
  <c r="P1429" i="2"/>
  <c r="P1381" i="2"/>
  <c r="P1189" i="2"/>
  <c r="P1141" i="2"/>
  <c r="P1093" i="2"/>
  <c r="P373" i="2"/>
  <c r="P325" i="2"/>
  <c r="P661" i="2"/>
  <c r="P949" i="2"/>
  <c r="P1573" i="2"/>
  <c r="P85" i="4"/>
  <c r="P181" i="4"/>
  <c r="P38" i="5"/>
  <c r="P85" i="6"/>
  <c r="P133" i="6"/>
  <c r="P37" i="7"/>
  <c r="P85" i="7"/>
  <c r="P133" i="7"/>
  <c r="P181" i="7"/>
  <c r="P229" i="7"/>
  <c r="P277" i="7"/>
  <c r="P325" i="7"/>
  <c r="P373" i="7"/>
  <c r="P85" i="8"/>
  <c r="P373" i="4"/>
  <c r="P1525" i="2"/>
  <c r="P182" i="5"/>
  <c r="P229" i="2"/>
  <c r="P182" i="6"/>
  <c r="P86" i="20"/>
  <c r="P133" i="4"/>
  <c r="P134" i="20"/>
  <c r="P182" i="20"/>
  <c r="P1333" i="2"/>
  <c r="P853" i="2"/>
  <c r="P1477" i="2"/>
  <c r="R115" i="6"/>
  <c r="C135" i="6"/>
  <c r="R116" i="6"/>
  <c r="P278" i="8"/>
  <c r="N231" i="6"/>
  <c r="P230" i="6"/>
  <c r="N423" i="8"/>
  <c r="N279" i="6"/>
  <c r="P85" i="21"/>
  <c r="P566" i="7"/>
  <c r="P422" i="7"/>
  <c r="P134" i="5"/>
  <c r="N327" i="6"/>
  <c r="P86" i="5"/>
  <c r="N327" i="8"/>
  <c r="N423" i="7"/>
  <c r="N567" i="7"/>
  <c r="P277" i="4"/>
  <c r="P133" i="21"/>
  <c r="P518" i="7"/>
  <c r="N183" i="6"/>
  <c r="N279" i="8"/>
  <c r="P422" i="8"/>
  <c r="P374" i="8"/>
  <c r="P326" i="8"/>
  <c r="P278" i="6"/>
  <c r="N375" i="8"/>
  <c r="N471" i="7"/>
  <c r="P326" i="6"/>
  <c r="P470" i="7"/>
  <c r="D904" i="2"/>
  <c r="D905" i="2" s="1"/>
  <c r="E904" i="2"/>
  <c r="M875" i="2"/>
  <c r="B905" i="2"/>
  <c r="E88" i="4"/>
  <c r="D88" i="4"/>
  <c r="D89" i="4" s="1"/>
  <c r="M59" i="4"/>
  <c r="B89" i="4"/>
  <c r="M107" i="13"/>
  <c r="M251" i="13"/>
  <c r="D1096" i="2"/>
  <c r="D1097" i="2" s="1"/>
  <c r="E1096" i="2"/>
  <c r="M1067" i="2"/>
  <c r="B1097" i="2"/>
  <c r="E376" i="7"/>
  <c r="D376" i="7"/>
  <c r="D377" i="7" s="1"/>
  <c r="M346" i="7"/>
  <c r="B377" i="7"/>
  <c r="E520" i="2"/>
  <c r="D520" i="2"/>
  <c r="D521" i="2" s="1"/>
  <c r="B521" i="2"/>
  <c r="M491" i="2"/>
  <c r="D232" i="7"/>
  <c r="D233" i="7" s="1"/>
  <c r="E232" i="7"/>
  <c r="B233" i="7"/>
  <c r="M202" i="7"/>
  <c r="D232" i="4"/>
  <c r="D233" i="4" s="1"/>
  <c r="E232" i="4"/>
  <c r="B233" i="4"/>
  <c r="M203" i="4"/>
  <c r="D808" i="2"/>
  <c r="D809" i="2" s="1"/>
  <c r="E808" i="2"/>
  <c r="M779" i="2"/>
  <c r="B809" i="2"/>
  <c r="D184" i="20"/>
  <c r="D185" i="20" s="1"/>
  <c r="E184" i="20"/>
  <c r="E185" i="20" s="1"/>
  <c r="B185" i="20"/>
  <c r="M155" i="20"/>
  <c r="E164" i="20" s="1"/>
  <c r="E664" i="2"/>
  <c r="D664" i="2"/>
  <c r="D665" i="2" s="1"/>
  <c r="M635" i="2"/>
  <c r="B665" i="2"/>
  <c r="E1480" i="2"/>
  <c r="D1480" i="2"/>
  <c r="D1481" i="2" s="1"/>
  <c r="M1451" i="2"/>
  <c r="B1481" i="2"/>
  <c r="D280" i="2"/>
  <c r="D281" i="2" s="1"/>
  <c r="E280" i="2"/>
  <c r="B281" i="2"/>
  <c r="M251" i="2"/>
  <c r="D328" i="2"/>
  <c r="D329" i="2" s="1"/>
  <c r="E328" i="2"/>
  <c r="B329" i="2"/>
  <c r="M299" i="2"/>
  <c r="D184" i="6"/>
  <c r="D185" i="6" s="1"/>
  <c r="E184" i="6"/>
  <c r="B185" i="6"/>
  <c r="E1192" i="2"/>
  <c r="D1192" i="2"/>
  <c r="D1193" i="2" s="1"/>
  <c r="B1193" i="2"/>
  <c r="M1163" i="2"/>
  <c r="D424" i="7"/>
  <c r="D425" i="7" s="1"/>
  <c r="E424" i="7"/>
  <c r="B425" i="7"/>
  <c r="M395" i="7"/>
  <c r="E136" i="7"/>
  <c r="D136" i="7"/>
  <c r="D137" i="7" s="1"/>
  <c r="B137" i="7"/>
  <c r="P114" i="7"/>
  <c r="M107" i="7" s="1"/>
  <c r="E760" i="2"/>
  <c r="D760" i="2"/>
  <c r="D761" i="2" s="1"/>
  <c r="B761" i="2"/>
  <c r="M731" i="2"/>
  <c r="D1000" i="2"/>
  <c r="D1001" i="2" s="1"/>
  <c r="E1000" i="2"/>
  <c r="M971" i="2"/>
  <c r="B1001" i="2"/>
  <c r="E1384" i="2"/>
  <c r="D1384" i="2"/>
  <c r="D1385" i="2" s="1"/>
  <c r="B1385" i="2"/>
  <c r="M1355" i="2"/>
  <c r="D1144" i="2"/>
  <c r="D1145" i="2" s="1"/>
  <c r="E1144" i="2"/>
  <c r="M1115" i="2"/>
  <c r="B1145" i="2"/>
  <c r="D472" i="2"/>
  <c r="D473" i="2" s="1"/>
  <c r="E472" i="2"/>
  <c r="B473" i="2"/>
  <c r="M443" i="2"/>
  <c r="E88" i="8"/>
  <c r="D88" i="8"/>
  <c r="D89" i="8" s="1"/>
  <c r="B89" i="8"/>
  <c r="M58" i="8"/>
  <c r="D40" i="5"/>
  <c r="D41" i="5" s="1"/>
  <c r="E40" i="5"/>
  <c r="E41" i="5" s="1"/>
  <c r="M11" i="5"/>
  <c r="B41" i="5"/>
  <c r="E184" i="4"/>
  <c r="D184" i="4"/>
  <c r="D185" i="4" s="1"/>
  <c r="M155" i="4"/>
  <c r="B185" i="4"/>
  <c r="D328" i="4"/>
  <c r="D329" i="4" s="1"/>
  <c r="E328" i="4"/>
  <c r="B329" i="4"/>
  <c r="M299" i="4"/>
  <c r="D136" i="21"/>
  <c r="D137" i="21" s="1"/>
  <c r="E136" i="21"/>
  <c r="B137" i="21"/>
  <c r="M107" i="21"/>
  <c r="E116" i="21" s="1"/>
  <c r="E40" i="8"/>
  <c r="D40" i="8"/>
  <c r="D41" i="8" s="1"/>
  <c r="P18" i="8"/>
  <c r="M11" i="8" s="1"/>
  <c r="B41" i="8"/>
  <c r="D280" i="6"/>
  <c r="D281" i="6" s="1"/>
  <c r="E280" i="6"/>
  <c r="M251" i="6"/>
  <c r="B281" i="6"/>
  <c r="D184" i="7"/>
  <c r="D185" i="7" s="1"/>
  <c r="E184" i="7"/>
  <c r="M154" i="7"/>
  <c r="B185" i="7"/>
  <c r="D280" i="8"/>
  <c r="D281" i="8" s="1"/>
  <c r="E280" i="8"/>
  <c r="N280" i="8" s="1"/>
  <c r="M251" i="8"/>
  <c r="B281" i="8"/>
  <c r="D376" i="2"/>
  <c r="D377" i="2" s="1"/>
  <c r="E376" i="2"/>
  <c r="B377" i="2"/>
  <c r="M347" i="2"/>
  <c r="E376" i="4"/>
  <c r="D376" i="4"/>
  <c r="D377" i="4" s="1"/>
  <c r="M347" i="4"/>
  <c r="E356" i="4" s="1"/>
  <c r="B377" i="4"/>
  <c r="P18" i="7"/>
  <c r="M11" i="7" s="1"/>
  <c r="E40" i="7"/>
  <c r="D40" i="7"/>
  <c r="D41" i="7" s="1"/>
  <c r="B41" i="7"/>
  <c r="E472" i="7"/>
  <c r="N472" i="7" s="1"/>
  <c r="D472" i="7"/>
  <c r="D473" i="7" s="1"/>
  <c r="M443" i="7"/>
  <c r="B473" i="7"/>
  <c r="E136" i="5"/>
  <c r="E137" i="5" s="1"/>
  <c r="D136" i="5"/>
  <c r="D137" i="5" s="1"/>
  <c r="B137" i="5"/>
  <c r="M107" i="5"/>
  <c r="E136" i="8"/>
  <c r="D136" i="8"/>
  <c r="D137" i="8" s="1"/>
  <c r="B137" i="8"/>
  <c r="M106" i="8"/>
  <c r="E88" i="5"/>
  <c r="E89" i="5" s="1"/>
  <c r="D88" i="5"/>
  <c r="D89" i="5" s="1"/>
  <c r="M59" i="5"/>
  <c r="B89" i="5"/>
  <c r="M59" i="13"/>
  <c r="D1672" i="2"/>
  <c r="D1673" i="2" s="1"/>
  <c r="E1672" i="2"/>
  <c r="B1673" i="2"/>
  <c r="M1643" i="2"/>
  <c r="E1652" i="2" s="1"/>
  <c r="E232" i="2"/>
  <c r="D232" i="2"/>
  <c r="D233" i="2" s="1"/>
  <c r="B233" i="2"/>
  <c r="M203" i="2"/>
  <c r="E1624" i="2"/>
  <c r="D1624" i="2"/>
  <c r="D1625" i="2" s="1"/>
  <c r="B1625" i="2"/>
  <c r="M1595" i="2"/>
  <c r="E328" i="6"/>
  <c r="N328" i="6" s="1"/>
  <c r="D328" i="6"/>
  <c r="D329" i="6" s="1"/>
  <c r="B329" i="6"/>
  <c r="M299" i="6"/>
  <c r="E328" i="7"/>
  <c r="D328" i="7"/>
  <c r="D329" i="7" s="1"/>
  <c r="B329" i="7"/>
  <c r="M298" i="7"/>
  <c r="D1576" i="2"/>
  <c r="D1577" i="2" s="1"/>
  <c r="E1576" i="2"/>
  <c r="B1577" i="2"/>
  <c r="M1547" i="2"/>
  <c r="D136" i="4"/>
  <c r="D137" i="4" s="1"/>
  <c r="E136" i="4"/>
  <c r="B137" i="4"/>
  <c r="M107" i="4"/>
  <c r="D952" i="2"/>
  <c r="D953" i="2" s="1"/>
  <c r="E952" i="2"/>
  <c r="M923" i="2"/>
  <c r="B953" i="2"/>
  <c r="E616" i="2"/>
  <c r="D616" i="2"/>
  <c r="D617" i="2" s="1"/>
  <c r="M587" i="2"/>
  <c r="B617" i="2"/>
  <c r="E1528" i="2"/>
  <c r="D1528" i="2"/>
  <c r="D1529" i="2" s="1"/>
  <c r="B1529" i="2"/>
  <c r="M1499" i="2"/>
  <c r="E88" i="7"/>
  <c r="D88" i="7"/>
  <c r="D89" i="7" s="1"/>
  <c r="P66" i="7"/>
  <c r="M59" i="7" s="1"/>
  <c r="B89" i="7"/>
  <c r="D328" i="8"/>
  <c r="D329" i="8" s="1"/>
  <c r="E328" i="8"/>
  <c r="B329" i="8"/>
  <c r="M299" i="8"/>
  <c r="D88" i="21"/>
  <c r="D89" i="21" s="1"/>
  <c r="E88" i="21"/>
  <c r="B89" i="21"/>
  <c r="M59" i="21"/>
  <c r="D136" i="20"/>
  <c r="D137" i="20" s="1"/>
  <c r="E136" i="20"/>
  <c r="E137" i="20" s="1"/>
  <c r="B137" i="20"/>
  <c r="M107" i="20"/>
  <c r="B41" i="4"/>
  <c r="E40" i="4"/>
  <c r="D40" i="4"/>
  <c r="D41" i="4" s="1"/>
  <c r="M11" i="4"/>
  <c r="D184" i="2"/>
  <c r="D185" i="2" s="1"/>
  <c r="E184" i="2"/>
  <c r="B185" i="2"/>
  <c r="M155" i="2"/>
  <c r="D424" i="8"/>
  <c r="D425" i="8" s="1"/>
  <c r="E424" i="8"/>
  <c r="M395" i="8"/>
  <c r="B425" i="8"/>
  <c r="E568" i="2"/>
  <c r="D568" i="2"/>
  <c r="D569" i="2" s="1"/>
  <c r="B569" i="2"/>
  <c r="M539" i="2"/>
  <c r="D136" i="6"/>
  <c r="D137" i="6" s="1"/>
  <c r="E136" i="6"/>
  <c r="B137" i="6"/>
  <c r="D184" i="8"/>
  <c r="D185" i="8" s="1"/>
  <c r="E184" i="8"/>
  <c r="M154" i="8"/>
  <c r="B185" i="8"/>
  <c r="P66" i="6"/>
  <c r="M59" i="6" s="1"/>
  <c r="E88" i="6"/>
  <c r="D88" i="6"/>
  <c r="D89" i="6" s="1"/>
  <c r="B89" i="6"/>
  <c r="E232" i="6"/>
  <c r="D232" i="6"/>
  <c r="D233" i="6" s="1"/>
  <c r="B233" i="6"/>
  <c r="M203" i="6"/>
  <c r="M203" i="13"/>
  <c r="D520" i="7"/>
  <c r="D521" i="7" s="1"/>
  <c r="E520" i="7"/>
  <c r="B521" i="7"/>
  <c r="M491" i="7"/>
  <c r="E568" i="7"/>
  <c r="D568" i="7"/>
  <c r="D569" i="7" s="1"/>
  <c r="M539" i="7"/>
  <c r="B569" i="7"/>
  <c r="E1048" i="2"/>
  <c r="D1048" i="2"/>
  <c r="D1049" i="2" s="1"/>
  <c r="M1019" i="2"/>
  <c r="B1049" i="2"/>
  <c r="D424" i="2"/>
  <c r="D425" i="2" s="1"/>
  <c r="E424" i="2"/>
  <c r="B425" i="2"/>
  <c r="M395" i="2"/>
  <c r="E40" i="21"/>
  <c r="D40" i="21"/>
  <c r="D41" i="21" s="1"/>
  <c r="B41" i="21"/>
  <c r="M11" i="21"/>
  <c r="E712" i="2"/>
  <c r="D712" i="2"/>
  <c r="D713" i="2" s="1"/>
  <c r="B713" i="2"/>
  <c r="M683" i="2"/>
  <c r="E184" i="5"/>
  <c r="E185" i="5" s="1"/>
  <c r="D184" i="5"/>
  <c r="D185" i="5" s="1"/>
  <c r="B185" i="5"/>
  <c r="M155" i="5"/>
  <c r="E164" i="5" s="1"/>
  <c r="D232" i="8"/>
  <c r="D233" i="8" s="1"/>
  <c r="E232" i="8"/>
  <c r="M202" i="8"/>
  <c r="B233" i="8"/>
  <c r="D88" i="20"/>
  <c r="D89" i="20" s="1"/>
  <c r="E88" i="20"/>
  <c r="E89" i="20" s="1"/>
  <c r="B89" i="20"/>
  <c r="M59" i="20"/>
  <c r="E376" i="8"/>
  <c r="D376" i="8"/>
  <c r="D377" i="8" s="1"/>
  <c r="M347" i="8"/>
  <c r="B377" i="8"/>
  <c r="D280" i="4"/>
  <c r="D281" i="4" s="1"/>
  <c r="E280" i="4"/>
  <c r="M251" i="4"/>
  <c r="B281" i="4"/>
  <c r="E280" i="7"/>
  <c r="D280" i="7"/>
  <c r="D281" i="7" s="1"/>
  <c r="B281" i="7"/>
  <c r="M250" i="7"/>
  <c r="E856" i="2"/>
  <c r="D856" i="2"/>
  <c r="D857" i="2" s="1"/>
  <c r="M827" i="2"/>
  <c r="B857" i="2"/>
  <c r="D1240" i="2"/>
  <c r="D1241" i="2" s="1"/>
  <c r="E1240" i="2"/>
  <c r="M1211" i="2"/>
  <c r="B1241" i="2"/>
  <c r="D1432" i="2"/>
  <c r="D1433" i="2" s="1"/>
  <c r="E1432" i="2"/>
  <c r="B1433" i="2"/>
  <c r="M1403" i="2"/>
  <c r="E1336" i="2"/>
  <c r="D1336" i="2"/>
  <c r="D1337" i="2" s="1"/>
  <c r="B1337" i="2"/>
  <c r="M1307" i="2"/>
  <c r="D136" i="2"/>
  <c r="D137" i="2" s="1"/>
  <c r="E136" i="2"/>
  <c r="B137" i="2"/>
  <c r="M107" i="2"/>
  <c r="E1288" i="2"/>
  <c r="D1288" i="2"/>
  <c r="D1289" i="2" s="1"/>
  <c r="B1289" i="2"/>
  <c r="M1259" i="2"/>
  <c r="R29" i="13"/>
  <c r="S29" i="13"/>
  <c r="E24" i="36"/>
  <c r="F24" i="36"/>
  <c r="H24" i="36"/>
  <c r="O95" i="7" l="1"/>
  <c r="O94" i="7"/>
  <c r="O95" i="6"/>
  <c r="O94" i="6"/>
  <c r="O142" i="7"/>
  <c r="O143" i="7"/>
  <c r="E357" i="4"/>
  <c r="E69" i="6"/>
  <c r="E117" i="6"/>
  <c r="C136" i="6" s="1"/>
  <c r="G135" i="6"/>
  <c r="P114" i="6"/>
  <c r="M107" i="6" s="1"/>
  <c r="P354" i="7"/>
  <c r="M347" i="7" s="1"/>
  <c r="F38" i="37" s="1"/>
  <c r="E356" i="7"/>
  <c r="C375" i="7" s="1"/>
  <c r="E357" i="7"/>
  <c r="P306" i="7"/>
  <c r="M299" i="7" s="1"/>
  <c r="E308" i="7"/>
  <c r="E309" i="7"/>
  <c r="P258" i="7"/>
  <c r="M251" i="7" s="1"/>
  <c r="E260" i="7"/>
  <c r="E261" i="7"/>
  <c r="P210" i="7"/>
  <c r="M203" i="7" s="1"/>
  <c r="S216" i="7" s="1"/>
  <c r="S212" i="7" s="1"/>
  <c r="E212" i="7"/>
  <c r="E213" i="7"/>
  <c r="P162" i="7"/>
  <c r="M155" i="7" s="1"/>
  <c r="E164" i="7"/>
  <c r="E165" i="7"/>
  <c r="E69" i="7"/>
  <c r="E21" i="7"/>
  <c r="E213" i="8"/>
  <c r="P210" i="8"/>
  <c r="M203" i="8" s="1"/>
  <c r="E212" i="8"/>
  <c r="E165" i="8"/>
  <c r="P162" i="8"/>
  <c r="M155" i="8" s="1"/>
  <c r="E164" i="8"/>
  <c r="P114" i="8"/>
  <c r="M107" i="8" s="1"/>
  <c r="F52" i="37" s="1"/>
  <c r="E116" i="8"/>
  <c r="E117" i="8"/>
  <c r="E21" i="8"/>
  <c r="P66" i="8"/>
  <c r="M59" i="8" s="1"/>
  <c r="E68" i="8"/>
  <c r="E69" i="8"/>
  <c r="C88" i="8" s="1"/>
  <c r="E117" i="7"/>
  <c r="E281" i="13"/>
  <c r="N280" i="13"/>
  <c r="N281" i="13" s="1"/>
  <c r="E233" i="13"/>
  <c r="N232" i="13"/>
  <c r="N233" i="13" s="1"/>
  <c r="E185" i="13"/>
  <c r="N184" i="13"/>
  <c r="N185" i="13" s="1"/>
  <c r="E137" i="13"/>
  <c r="E89" i="13"/>
  <c r="N88" i="13"/>
  <c r="N89" i="13" s="1"/>
  <c r="P278" i="2"/>
  <c r="P134" i="4"/>
  <c r="P182" i="4"/>
  <c r="P230" i="7"/>
  <c r="P86" i="21"/>
  <c r="P710" i="2"/>
  <c r="P182" i="7"/>
  <c r="P134" i="7"/>
  <c r="P326" i="2"/>
  <c r="P326" i="4"/>
  <c r="P134" i="2"/>
  <c r="P518" i="2"/>
  <c r="P854" i="2"/>
  <c r="N281" i="8"/>
  <c r="P182" i="2"/>
  <c r="P86" i="4"/>
  <c r="P230" i="4"/>
  <c r="P230" i="2"/>
  <c r="P998" i="2"/>
  <c r="P134" i="6"/>
  <c r="P902" i="2"/>
  <c r="P230" i="8"/>
  <c r="P1094" i="2"/>
  <c r="P1574" i="2"/>
  <c r="P1526" i="2"/>
  <c r="P1334" i="2"/>
  <c r="P1286" i="2"/>
  <c r="P1190" i="2"/>
  <c r="P1142" i="2"/>
  <c r="P950" i="2"/>
  <c r="P758" i="2"/>
  <c r="P662" i="2"/>
  <c r="P614" i="2"/>
  <c r="P566" i="2"/>
  <c r="P470" i="2"/>
  <c r="P422" i="2"/>
  <c r="P374" i="2"/>
  <c r="E1029" i="2"/>
  <c r="C1048" i="2" s="1"/>
  <c r="E1221" i="2"/>
  <c r="C1240" i="2" s="1"/>
  <c r="O1240" i="2" s="1"/>
  <c r="P1382" i="2"/>
  <c r="P38" i="4"/>
  <c r="E261" i="4"/>
  <c r="C280" i="4" s="1"/>
  <c r="O280" i="4" s="1"/>
  <c r="P38" i="21"/>
  <c r="P134" i="21"/>
  <c r="E117" i="21"/>
  <c r="C136" i="21" s="1"/>
  <c r="O136" i="21" s="1"/>
  <c r="P86" i="6"/>
  <c r="V135" i="6"/>
  <c r="N329" i="6"/>
  <c r="P38" i="7"/>
  <c r="P278" i="7"/>
  <c r="P326" i="7"/>
  <c r="P86" i="7"/>
  <c r="P374" i="7"/>
  <c r="N473" i="7"/>
  <c r="P38" i="8"/>
  <c r="P86" i="8"/>
  <c r="P134" i="8"/>
  <c r="P182" i="8"/>
  <c r="E405" i="8"/>
  <c r="C424" i="8" s="1"/>
  <c r="G424" i="8" s="1"/>
  <c r="P374" i="4"/>
  <c r="E213" i="13"/>
  <c r="C232" i="13" s="1"/>
  <c r="C184" i="8"/>
  <c r="P1622" i="2"/>
  <c r="E837" i="2"/>
  <c r="C856" i="2" s="1"/>
  <c r="O856" i="2" s="1"/>
  <c r="E69" i="5"/>
  <c r="C88" i="5" s="1"/>
  <c r="E453" i="7"/>
  <c r="C472" i="7" s="1"/>
  <c r="M472" i="7" s="1"/>
  <c r="E261" i="8"/>
  <c r="C280" i="8" s="1"/>
  <c r="O280" i="8" s="1"/>
  <c r="P1478" i="2"/>
  <c r="E549" i="7"/>
  <c r="C568" i="7" s="1"/>
  <c r="L568" i="7" s="1"/>
  <c r="C40" i="7"/>
  <c r="E261" i="13"/>
  <c r="C280" i="13" s="1"/>
  <c r="P1046" i="2"/>
  <c r="P1238" i="2"/>
  <c r="P806" i="2"/>
  <c r="E1673" i="2"/>
  <c r="E137" i="8"/>
  <c r="E425" i="8"/>
  <c r="E953" i="2"/>
  <c r="E185" i="7"/>
  <c r="E137" i="21"/>
  <c r="E761" i="2"/>
  <c r="E1193" i="2"/>
  <c r="E165" i="20"/>
  <c r="C184" i="20" s="1"/>
  <c r="K184" i="20" s="1"/>
  <c r="E1413" i="2"/>
  <c r="C1432" i="2" s="1"/>
  <c r="U1432" i="2" s="1"/>
  <c r="E89" i="7"/>
  <c r="E329" i="7"/>
  <c r="E69" i="13"/>
  <c r="C88" i="13" s="1"/>
  <c r="O88" i="13" s="1"/>
  <c r="E41" i="7"/>
  <c r="E281" i="8"/>
  <c r="E165" i="6"/>
  <c r="C184" i="6" s="1"/>
  <c r="L184" i="6" s="1"/>
  <c r="E281" i="2"/>
  <c r="E233" i="4"/>
  <c r="E89" i="4"/>
  <c r="E117" i="4"/>
  <c r="C136" i="4" s="1"/>
  <c r="O136" i="4" s="1"/>
  <c r="E1625" i="2"/>
  <c r="E377" i="2"/>
  <c r="E281" i="6"/>
  <c r="E329" i="4"/>
  <c r="E89" i="8"/>
  <c r="E1385" i="2"/>
  <c r="E137" i="6"/>
  <c r="E569" i="2"/>
  <c r="E1529" i="2"/>
  <c r="E213" i="2"/>
  <c r="C232" i="2" s="1"/>
  <c r="G232" i="2" s="1"/>
  <c r="E21" i="5"/>
  <c r="C40" i="5" s="1"/>
  <c r="I40" i="5" s="1"/>
  <c r="E233" i="7"/>
  <c r="E1097" i="2"/>
  <c r="E137" i="4"/>
  <c r="E137" i="7"/>
  <c r="E1241" i="2"/>
  <c r="E281" i="4"/>
  <c r="E569" i="7"/>
  <c r="E377" i="4"/>
  <c r="E1481" i="2"/>
  <c r="P1430" i="2"/>
  <c r="E377" i="7"/>
  <c r="E309" i="4"/>
  <c r="C328" i="4" s="1"/>
  <c r="U328" i="4" s="1"/>
  <c r="E185" i="2"/>
  <c r="E233" i="6"/>
  <c r="E329" i="6"/>
  <c r="E233" i="8"/>
  <c r="E713" i="2"/>
  <c r="E1049" i="2"/>
  <c r="C88" i="6"/>
  <c r="E1557" i="2"/>
  <c r="C1576" i="2" s="1"/>
  <c r="G1576" i="2" s="1"/>
  <c r="E473" i="2"/>
  <c r="E1001" i="2"/>
  <c r="E425" i="7"/>
  <c r="E329" i="2"/>
  <c r="E789" i="2"/>
  <c r="C808" i="2" s="1"/>
  <c r="U808" i="2" s="1"/>
  <c r="U135" i="6"/>
  <c r="O135" i="6"/>
  <c r="E233" i="2"/>
  <c r="P1670" i="2"/>
  <c r="E1337" i="2"/>
  <c r="E857" i="2"/>
  <c r="E41" i="21"/>
  <c r="E1145" i="2"/>
  <c r="E377" i="8"/>
  <c r="E1433" i="2"/>
  <c r="E425" i="2"/>
  <c r="E281" i="7"/>
  <c r="E185" i="6"/>
  <c r="E329" i="8"/>
  <c r="E1577" i="2"/>
  <c r="E617" i="2"/>
  <c r="E41" i="8"/>
  <c r="E185" i="4"/>
  <c r="E809" i="2"/>
  <c r="E137" i="2"/>
  <c r="E185" i="8"/>
  <c r="E905" i="2"/>
  <c r="E89" i="21"/>
  <c r="E1289" i="2"/>
  <c r="E41" i="4"/>
  <c r="E1317" i="2"/>
  <c r="C1336" i="2" s="1"/>
  <c r="U1336" i="2" s="1"/>
  <c r="E521" i="7"/>
  <c r="E89" i="6"/>
  <c r="N376" i="8"/>
  <c r="N377" i="8" s="1"/>
  <c r="E165" i="5"/>
  <c r="C184" i="5" s="1"/>
  <c r="L184" i="5" s="1"/>
  <c r="P278" i="4"/>
  <c r="C88" i="7"/>
  <c r="E473" i="7"/>
  <c r="C184" i="7"/>
  <c r="E261" i="2"/>
  <c r="C280" i="2" s="1"/>
  <c r="G280" i="2" s="1"/>
  <c r="E665" i="2"/>
  <c r="E521" i="2"/>
  <c r="S215" i="6"/>
  <c r="S211" i="6" s="1"/>
  <c r="R212" i="6"/>
  <c r="S216" i="6"/>
  <c r="S212" i="6" s="1"/>
  <c r="R211" i="6"/>
  <c r="P210" i="6"/>
  <c r="M204" i="6" s="1"/>
  <c r="F20" i="37" s="1"/>
  <c r="E212" i="6"/>
  <c r="C231" i="6" s="1"/>
  <c r="I231" i="6" s="1"/>
  <c r="P162" i="6"/>
  <c r="M156" i="6" s="1"/>
  <c r="F19" i="37" s="1"/>
  <c r="R164" i="6"/>
  <c r="S167" i="6"/>
  <c r="S163" i="6" s="1"/>
  <c r="S168" i="6"/>
  <c r="S164" i="6" s="1"/>
  <c r="R163" i="6"/>
  <c r="C183" i="6"/>
  <c r="I183" i="6" s="1"/>
  <c r="R1316" i="2"/>
  <c r="C49" i="36"/>
  <c r="R1315" i="2"/>
  <c r="P1314" i="2"/>
  <c r="M1308" i="2" s="1"/>
  <c r="G49" i="36" s="1"/>
  <c r="S1319" i="2"/>
  <c r="S1315" i="2" s="1"/>
  <c r="S1320" i="2"/>
  <c r="S1316" i="2" s="1"/>
  <c r="E1316" i="2"/>
  <c r="C1335" i="2" s="1"/>
  <c r="V1335" i="2" s="1"/>
  <c r="C80" i="36"/>
  <c r="P162" i="5"/>
  <c r="M156" i="5" s="1"/>
  <c r="O190" i="5" s="1"/>
  <c r="C183" i="5"/>
  <c r="R547" i="7"/>
  <c r="S552" i="7"/>
  <c r="S548" i="7" s="1"/>
  <c r="S551" i="7"/>
  <c r="S547" i="7" s="1"/>
  <c r="R548" i="7"/>
  <c r="P546" i="7"/>
  <c r="M540" i="7" s="1"/>
  <c r="F45" i="37" s="1"/>
  <c r="E548" i="7"/>
  <c r="C567" i="7" s="1"/>
  <c r="I567" i="7" s="1"/>
  <c r="E549" i="2"/>
  <c r="C568" i="2" s="1"/>
  <c r="E933" i="2"/>
  <c r="C952" i="2" s="1"/>
  <c r="E1605" i="2"/>
  <c r="C1624" i="2" s="1"/>
  <c r="E1653" i="2"/>
  <c r="C1672" i="2" s="1"/>
  <c r="R164" i="7"/>
  <c r="R163" i="7"/>
  <c r="C183" i="7"/>
  <c r="R115" i="21"/>
  <c r="C149" i="36"/>
  <c r="S120" i="21"/>
  <c r="S116" i="21" s="1"/>
  <c r="S119" i="21"/>
  <c r="S115" i="21" s="1"/>
  <c r="P114" i="21"/>
  <c r="M108" i="21" s="1"/>
  <c r="R116" i="21"/>
  <c r="C135" i="21"/>
  <c r="V135" i="21" s="1"/>
  <c r="E1365" i="2"/>
  <c r="C1384" i="2" s="1"/>
  <c r="N424" i="7"/>
  <c r="N425" i="7" s="1"/>
  <c r="E1461" i="2"/>
  <c r="C1480" i="2" s="1"/>
  <c r="E1077" i="2"/>
  <c r="C1096" i="2" s="1"/>
  <c r="C147" i="36"/>
  <c r="R19" i="21"/>
  <c r="S23" i="21"/>
  <c r="S19" i="21" s="1"/>
  <c r="S24" i="21"/>
  <c r="S20" i="21" s="1"/>
  <c r="P18" i="21"/>
  <c r="M12" i="21" s="1"/>
  <c r="G147" i="36" s="1"/>
  <c r="R20" i="21"/>
  <c r="E20" i="21"/>
  <c r="C39" i="21" s="1"/>
  <c r="V39" i="21" s="1"/>
  <c r="C75" i="36"/>
  <c r="P114" i="20"/>
  <c r="M108" i="20" s="1"/>
  <c r="E116" i="20"/>
  <c r="F37" i="37"/>
  <c r="S312" i="7"/>
  <c r="S308" i="7" s="1"/>
  <c r="S311" i="7"/>
  <c r="S307" i="7" s="1"/>
  <c r="R307" i="7"/>
  <c r="R308" i="7"/>
  <c r="C327" i="7"/>
  <c r="C24" i="36"/>
  <c r="S119" i="2"/>
  <c r="S115" i="2" s="1"/>
  <c r="R116" i="2"/>
  <c r="P114" i="2"/>
  <c r="M108" i="2" s="1"/>
  <c r="R115" i="2"/>
  <c r="S120" i="2"/>
  <c r="S116" i="2" s="1"/>
  <c r="E116" i="2"/>
  <c r="C135" i="2" s="1"/>
  <c r="C53" i="36"/>
  <c r="P1506" i="2"/>
  <c r="M1500" i="2" s="1"/>
  <c r="G53" i="36" s="1"/>
  <c r="S1512" i="2"/>
  <c r="S1508" i="2" s="1"/>
  <c r="S1511" i="2"/>
  <c r="S1507" i="2" s="1"/>
  <c r="R1508" i="2"/>
  <c r="R1507" i="2"/>
  <c r="E1508" i="2"/>
  <c r="C1527" i="2" s="1"/>
  <c r="V1527" i="2" s="1"/>
  <c r="C55" i="36"/>
  <c r="R1603" i="2"/>
  <c r="R1604" i="2"/>
  <c r="S1607" i="2"/>
  <c r="S1603" i="2" s="1"/>
  <c r="S1608" i="2"/>
  <c r="S1604" i="2" s="1"/>
  <c r="P1602" i="2"/>
  <c r="M1596" i="2" s="1"/>
  <c r="G55" i="36" s="1"/>
  <c r="E1604" i="2"/>
  <c r="C1623" i="2" s="1"/>
  <c r="V1623" i="2" s="1"/>
  <c r="C36" i="36"/>
  <c r="P690" i="2"/>
  <c r="M684" i="2" s="1"/>
  <c r="G36" i="36" s="1"/>
  <c r="R691" i="2"/>
  <c r="S695" i="2"/>
  <c r="S691" i="2" s="1"/>
  <c r="S696" i="2"/>
  <c r="S692" i="2" s="1"/>
  <c r="R692" i="2"/>
  <c r="E692" i="2"/>
  <c r="C711" i="2" s="1"/>
  <c r="V711" i="2" s="1"/>
  <c r="P18" i="4"/>
  <c r="M12" i="4" s="1"/>
  <c r="G61" i="36" s="1"/>
  <c r="R19" i="4"/>
  <c r="R20" i="4"/>
  <c r="C61" i="36"/>
  <c r="S23" i="4"/>
  <c r="S19" i="4" s="1"/>
  <c r="S24" i="4"/>
  <c r="S20" i="4" s="1"/>
  <c r="E20" i="4"/>
  <c r="C39" i="4" s="1"/>
  <c r="V39" i="4" s="1"/>
  <c r="R932" i="2"/>
  <c r="P930" i="2"/>
  <c r="M924" i="2" s="1"/>
  <c r="G41" i="36" s="1"/>
  <c r="S936" i="2"/>
  <c r="S932" i="2" s="1"/>
  <c r="S935" i="2"/>
  <c r="S931" i="2" s="1"/>
  <c r="R931" i="2"/>
  <c r="C41" i="36"/>
  <c r="E932" i="2"/>
  <c r="C951" i="2" s="1"/>
  <c r="V951" i="2" s="1"/>
  <c r="C79" i="36"/>
  <c r="P114" i="5"/>
  <c r="M108" i="5" s="1"/>
  <c r="O142" i="5" s="1"/>
  <c r="E116" i="5"/>
  <c r="C135" i="5" s="1"/>
  <c r="C37" i="36"/>
  <c r="S743" i="2"/>
  <c r="S739" i="2" s="1"/>
  <c r="P738" i="2"/>
  <c r="M732" i="2" s="1"/>
  <c r="G37" i="36" s="1"/>
  <c r="R739" i="2"/>
  <c r="S744" i="2"/>
  <c r="S740" i="2" s="1"/>
  <c r="R740" i="2"/>
  <c r="E740" i="2"/>
  <c r="C759" i="2" s="1"/>
  <c r="V759" i="2" s="1"/>
  <c r="C52" i="36"/>
  <c r="P1458" i="2"/>
  <c r="M1452" i="2" s="1"/>
  <c r="G52" i="36" s="1"/>
  <c r="S1463" i="2"/>
  <c r="S1459" i="2" s="1"/>
  <c r="S1464" i="2"/>
  <c r="S1460" i="2" s="1"/>
  <c r="R1459" i="2"/>
  <c r="R1460" i="2"/>
  <c r="E1460" i="2"/>
  <c r="C1479" i="2" s="1"/>
  <c r="V1479" i="2" s="1"/>
  <c r="C76" i="36"/>
  <c r="P162" i="20"/>
  <c r="M156" i="20" s="1"/>
  <c r="C183" i="20"/>
  <c r="S1079" i="2"/>
  <c r="S1075" i="2" s="1"/>
  <c r="S1080" i="2"/>
  <c r="S1076" i="2" s="1"/>
  <c r="R1075" i="2"/>
  <c r="C44" i="36"/>
  <c r="P1074" i="2"/>
  <c r="M1068" i="2" s="1"/>
  <c r="G44" i="36" s="1"/>
  <c r="R1076" i="2"/>
  <c r="E1076" i="2"/>
  <c r="C1095" i="2" s="1"/>
  <c r="E885" i="2"/>
  <c r="C904" i="2" s="1"/>
  <c r="E21" i="21"/>
  <c r="C40" i="21" s="1"/>
  <c r="S72" i="21"/>
  <c r="S68" i="21" s="1"/>
  <c r="R68" i="21"/>
  <c r="C148" i="36"/>
  <c r="S71" i="21"/>
  <c r="S67" i="21" s="1"/>
  <c r="R67" i="21"/>
  <c r="P66" i="21"/>
  <c r="M60" i="21" s="1"/>
  <c r="E68" i="21"/>
  <c r="C87" i="21" s="1"/>
  <c r="V87" i="21" s="1"/>
  <c r="C32" i="36"/>
  <c r="R500" i="2"/>
  <c r="R499" i="2"/>
  <c r="P498" i="2"/>
  <c r="M492" i="2" s="1"/>
  <c r="G32" i="36" s="1"/>
  <c r="S503" i="2"/>
  <c r="S499" i="2" s="1"/>
  <c r="S504" i="2"/>
  <c r="S500" i="2" s="1"/>
  <c r="E500" i="2"/>
  <c r="C519" i="2" s="1"/>
  <c r="V519" i="2" s="1"/>
  <c r="E117" i="2"/>
  <c r="C136" i="2" s="1"/>
  <c r="E501" i="7"/>
  <c r="C520" i="7" s="1"/>
  <c r="P1218" i="2"/>
  <c r="M1212" i="2" s="1"/>
  <c r="G47" i="36" s="1"/>
  <c r="S1224" i="2"/>
  <c r="S1220" i="2" s="1"/>
  <c r="S1223" i="2"/>
  <c r="S1219" i="2" s="1"/>
  <c r="R1219" i="2"/>
  <c r="C47" i="36"/>
  <c r="R1220" i="2"/>
  <c r="E1220" i="2"/>
  <c r="C1239" i="2" s="1"/>
  <c r="V1239" i="2" s="1"/>
  <c r="E693" i="2"/>
  <c r="C712" i="2" s="1"/>
  <c r="N328" i="8"/>
  <c r="N329" i="8" s="1"/>
  <c r="C54" i="36"/>
  <c r="R1556" i="2"/>
  <c r="R1555" i="2"/>
  <c r="P1554" i="2"/>
  <c r="M1548" i="2" s="1"/>
  <c r="G54" i="36" s="1"/>
  <c r="S1560" i="2"/>
  <c r="S1556" i="2" s="1"/>
  <c r="S1559" i="2"/>
  <c r="S1555" i="2" s="1"/>
  <c r="E1556" i="2"/>
  <c r="C1575" i="2" s="1"/>
  <c r="V1575" i="2" s="1"/>
  <c r="E117" i="5"/>
  <c r="C136" i="5" s="1"/>
  <c r="R452" i="7"/>
  <c r="S455" i="7"/>
  <c r="S451" i="7" s="1"/>
  <c r="S456" i="7"/>
  <c r="S452" i="7" s="1"/>
  <c r="P450" i="7"/>
  <c r="M444" i="7" s="1"/>
  <c r="F40" i="37" s="1"/>
  <c r="R451" i="7"/>
  <c r="E452" i="7"/>
  <c r="C471" i="7" s="1"/>
  <c r="I471" i="7" s="1"/>
  <c r="N280" i="6"/>
  <c r="N281" i="6" s="1"/>
  <c r="E165" i="4"/>
  <c r="C184" i="4" s="1"/>
  <c r="E741" i="2"/>
  <c r="C760" i="2" s="1"/>
  <c r="R884" i="2"/>
  <c r="S888" i="2"/>
  <c r="S884" i="2" s="1"/>
  <c r="S887" i="2"/>
  <c r="S883" i="2" s="1"/>
  <c r="R883" i="2"/>
  <c r="C40" i="36"/>
  <c r="P882" i="2"/>
  <c r="M876" i="2" s="1"/>
  <c r="G40" i="36" s="1"/>
  <c r="E884" i="2"/>
  <c r="C903" i="2" s="1"/>
  <c r="V903" i="2" s="1"/>
  <c r="C39" i="36"/>
  <c r="R836" i="2"/>
  <c r="S840" i="2"/>
  <c r="S836" i="2" s="1"/>
  <c r="P834" i="2"/>
  <c r="S839" i="2"/>
  <c r="S835" i="2" s="1"/>
  <c r="R835" i="2"/>
  <c r="E836" i="2"/>
  <c r="C855" i="2" s="1"/>
  <c r="V855" i="2" s="1"/>
  <c r="E117" i="20"/>
  <c r="C136" i="20" s="1"/>
  <c r="C328" i="7"/>
  <c r="E213" i="6"/>
  <c r="C232" i="6" s="1"/>
  <c r="C56" i="36"/>
  <c r="P1650" i="2"/>
  <c r="M1644" i="2" s="1"/>
  <c r="G56" i="36" s="1"/>
  <c r="S1655" i="2"/>
  <c r="S1651" i="2" s="1"/>
  <c r="S1656" i="2"/>
  <c r="S1652" i="2" s="1"/>
  <c r="R1651" i="2"/>
  <c r="R1652" i="2"/>
  <c r="C1671" i="2"/>
  <c r="V1671" i="2" s="1"/>
  <c r="F36" i="37"/>
  <c r="R259" i="7"/>
  <c r="R260" i="7"/>
  <c r="S264" i="7"/>
  <c r="S260" i="7" s="1"/>
  <c r="S263" i="7"/>
  <c r="S259" i="7" s="1"/>
  <c r="C279" i="7"/>
  <c r="C30" i="36"/>
  <c r="R403" i="2"/>
  <c r="S407" i="2"/>
  <c r="S403" i="2" s="1"/>
  <c r="P402" i="2"/>
  <c r="M396" i="2" s="1"/>
  <c r="G30" i="36" s="1"/>
  <c r="S408" i="2"/>
  <c r="S404" i="2" s="1"/>
  <c r="R404" i="2"/>
  <c r="E404" i="2"/>
  <c r="C423" i="2" s="1"/>
  <c r="V423" i="2" s="1"/>
  <c r="F17" i="37"/>
  <c r="R67" i="6"/>
  <c r="S71" i="6"/>
  <c r="S67" i="6" s="1"/>
  <c r="R68" i="6"/>
  <c r="S72" i="6"/>
  <c r="S68" i="6" s="1"/>
  <c r="C87" i="6"/>
  <c r="N424" i="8"/>
  <c r="N425" i="8" s="1"/>
  <c r="C64" i="36"/>
  <c r="R164" i="4"/>
  <c r="S167" i="4"/>
  <c r="S163" i="4" s="1"/>
  <c r="P162" i="4"/>
  <c r="M156" i="4" s="1"/>
  <c r="S168" i="4"/>
  <c r="S164" i="4" s="1"/>
  <c r="R163" i="4"/>
  <c r="E164" i="4"/>
  <c r="C183" i="4" s="1"/>
  <c r="V183" i="4" s="1"/>
  <c r="F51" i="37"/>
  <c r="S71" i="8"/>
  <c r="S67" i="8" s="1"/>
  <c r="R67" i="8"/>
  <c r="R68" i="8"/>
  <c r="C87" i="8"/>
  <c r="R404" i="7"/>
  <c r="S408" i="7"/>
  <c r="S404" i="7" s="1"/>
  <c r="S407" i="7"/>
  <c r="S403" i="7" s="1"/>
  <c r="R403" i="7"/>
  <c r="P402" i="7"/>
  <c r="M396" i="7" s="1"/>
  <c r="F39" i="37" s="1"/>
  <c r="E404" i="7"/>
  <c r="C423" i="7" s="1"/>
  <c r="I423" i="7" s="1"/>
  <c r="C46" i="36"/>
  <c r="R1171" i="2"/>
  <c r="P1170" i="2"/>
  <c r="M1164" i="2" s="1"/>
  <c r="G46" i="36" s="1"/>
  <c r="S1175" i="2"/>
  <c r="S1171" i="2" s="1"/>
  <c r="R1172" i="2"/>
  <c r="S1176" i="2"/>
  <c r="S1172" i="2" s="1"/>
  <c r="E1172" i="2"/>
  <c r="C1191" i="2" s="1"/>
  <c r="V1191" i="2" s="1"/>
  <c r="S791" i="2"/>
  <c r="S787" i="2" s="1"/>
  <c r="R787" i="2"/>
  <c r="C38" i="36"/>
  <c r="P786" i="2"/>
  <c r="M780" i="2" s="1"/>
  <c r="G38" i="36" s="1"/>
  <c r="R788" i="2"/>
  <c r="S792" i="2"/>
  <c r="S788" i="2" s="1"/>
  <c r="E788" i="2"/>
  <c r="C807" i="2" s="1"/>
  <c r="V807" i="2" s="1"/>
  <c r="R211" i="7"/>
  <c r="R212" i="7"/>
  <c r="C231" i="7"/>
  <c r="C65" i="36"/>
  <c r="S215" i="4"/>
  <c r="S211" i="4" s="1"/>
  <c r="R211" i="4"/>
  <c r="R212" i="4"/>
  <c r="P210" i="4"/>
  <c r="M204" i="4" s="1"/>
  <c r="S216" i="4"/>
  <c r="S212" i="4" s="1"/>
  <c r="E212" i="4"/>
  <c r="C231" i="4" s="1"/>
  <c r="V231" i="4" s="1"/>
  <c r="P354" i="2"/>
  <c r="M348" i="2" s="1"/>
  <c r="G29" i="36" s="1"/>
  <c r="S360" i="2"/>
  <c r="S356" i="2" s="1"/>
  <c r="R355" i="2"/>
  <c r="S359" i="2"/>
  <c r="S355" i="2" s="1"/>
  <c r="R356" i="2"/>
  <c r="C29" i="36"/>
  <c r="E356" i="2"/>
  <c r="C375" i="2" s="1"/>
  <c r="V375" i="2" s="1"/>
  <c r="S503" i="7"/>
  <c r="S499" i="7" s="1"/>
  <c r="P498" i="7"/>
  <c r="M492" i="7" s="1"/>
  <c r="F44" i="37" s="1"/>
  <c r="S504" i="7"/>
  <c r="S500" i="7" s="1"/>
  <c r="R499" i="7"/>
  <c r="R500" i="7"/>
  <c r="E500" i="7"/>
  <c r="C519" i="7" s="1"/>
  <c r="I519" i="7" s="1"/>
  <c r="E357" i="2"/>
  <c r="C376" i="2" s="1"/>
  <c r="R1028" i="2"/>
  <c r="S1032" i="2"/>
  <c r="S1028" i="2" s="1"/>
  <c r="R1027" i="2"/>
  <c r="C43" i="36"/>
  <c r="S1031" i="2"/>
  <c r="S1027" i="2" s="1"/>
  <c r="P1026" i="2"/>
  <c r="M1020" i="2" s="1"/>
  <c r="G43" i="36" s="1"/>
  <c r="E1028" i="2"/>
  <c r="C1047" i="2" s="1"/>
  <c r="V1047" i="2" s="1"/>
  <c r="C33" i="36"/>
  <c r="R547" i="2"/>
  <c r="P546" i="2"/>
  <c r="M540" i="2" s="1"/>
  <c r="G33" i="36" s="1"/>
  <c r="S552" i="2"/>
  <c r="S548" i="2" s="1"/>
  <c r="S551" i="2"/>
  <c r="S547" i="2" s="1"/>
  <c r="R548" i="2"/>
  <c r="E548" i="2"/>
  <c r="C567" i="2" s="1"/>
  <c r="V567" i="2" s="1"/>
  <c r="E309" i="2"/>
  <c r="C328" i="2" s="1"/>
  <c r="E1269" i="2"/>
  <c r="C1288" i="2" s="1"/>
  <c r="C280" i="7"/>
  <c r="C74" i="36"/>
  <c r="P66" i="20"/>
  <c r="M60" i="20" s="1"/>
  <c r="E68" i="20"/>
  <c r="C87" i="20" s="1"/>
  <c r="E405" i="2"/>
  <c r="C424" i="2" s="1"/>
  <c r="R307" i="8"/>
  <c r="P306" i="8"/>
  <c r="M300" i="8" s="1"/>
  <c r="F56" i="37" s="1"/>
  <c r="S312" i="8"/>
  <c r="S308" i="8" s="1"/>
  <c r="S311" i="8"/>
  <c r="S307" i="8" s="1"/>
  <c r="R308" i="8"/>
  <c r="E308" i="8"/>
  <c r="C327" i="8" s="1"/>
  <c r="I327" i="8" s="1"/>
  <c r="S312" i="6"/>
  <c r="S308" i="6" s="1"/>
  <c r="P306" i="6"/>
  <c r="M300" i="6" s="1"/>
  <c r="F26" i="37" s="1"/>
  <c r="S311" i="6"/>
  <c r="S307" i="6" s="1"/>
  <c r="R308" i="6"/>
  <c r="R307" i="6"/>
  <c r="E308" i="6"/>
  <c r="C327" i="6" s="1"/>
  <c r="I327" i="6" s="1"/>
  <c r="C77" i="36"/>
  <c r="P18" i="5"/>
  <c r="M12" i="5" s="1"/>
  <c r="G77" i="36" s="1"/>
  <c r="E20" i="5"/>
  <c r="C39" i="5" s="1"/>
  <c r="E405" i="7"/>
  <c r="C424" i="7" s="1"/>
  <c r="E1173" i="2"/>
  <c r="C1192" i="2" s="1"/>
  <c r="C232" i="7"/>
  <c r="R356" i="4"/>
  <c r="P354" i="4"/>
  <c r="M348" i="4" s="1"/>
  <c r="S360" i="4"/>
  <c r="S356" i="4" s="1"/>
  <c r="C68" i="36"/>
  <c r="R355" i="4"/>
  <c r="S359" i="4"/>
  <c r="S355" i="4" s="1"/>
  <c r="C375" i="4"/>
  <c r="V375" i="4" s="1"/>
  <c r="E213" i="4"/>
  <c r="C232" i="4" s="1"/>
  <c r="P258" i="4"/>
  <c r="M252" i="4" s="1"/>
  <c r="C66" i="36"/>
  <c r="S263" i="4"/>
  <c r="S259" i="4" s="1"/>
  <c r="R259" i="4"/>
  <c r="R260" i="4"/>
  <c r="S264" i="4"/>
  <c r="S260" i="4" s="1"/>
  <c r="E260" i="4"/>
  <c r="C279" i="4" s="1"/>
  <c r="V279" i="4" s="1"/>
  <c r="E501" i="2"/>
  <c r="C520" i="2" s="1"/>
  <c r="P1266" i="2"/>
  <c r="M1260" i="2" s="1"/>
  <c r="G48" i="36" s="1"/>
  <c r="S1271" i="2"/>
  <c r="S1267" i="2" s="1"/>
  <c r="S1272" i="2"/>
  <c r="S1268" i="2" s="1"/>
  <c r="R1268" i="2"/>
  <c r="C48" i="36"/>
  <c r="R1267" i="2"/>
  <c r="E1268" i="2"/>
  <c r="C1287" i="2" s="1"/>
  <c r="V1287" i="2" s="1"/>
  <c r="E357" i="8"/>
  <c r="C376" i="8" s="1"/>
  <c r="E69" i="20"/>
  <c r="C88" i="20" s="1"/>
  <c r="C232" i="8"/>
  <c r="R163" i="8"/>
  <c r="R164" i="8"/>
  <c r="C183" i="8"/>
  <c r="E309" i="8"/>
  <c r="C328" i="8" s="1"/>
  <c r="S72" i="7"/>
  <c r="S68" i="7" s="1"/>
  <c r="R67" i="7"/>
  <c r="F32" i="37"/>
  <c r="S71" i="7"/>
  <c r="S67" i="7" s="1"/>
  <c r="R68" i="7"/>
  <c r="C87" i="7"/>
  <c r="E597" i="2"/>
  <c r="C616" i="2" s="1"/>
  <c r="E309" i="6"/>
  <c r="C328" i="6" s="1"/>
  <c r="S216" i="2"/>
  <c r="S212" i="2" s="1"/>
  <c r="R211" i="2"/>
  <c r="C26" i="36"/>
  <c r="R212" i="2"/>
  <c r="P210" i="2"/>
  <c r="M204" i="2" s="1"/>
  <c r="G26" i="36" s="1"/>
  <c r="S215" i="2"/>
  <c r="S211" i="2" s="1"/>
  <c r="E212" i="2"/>
  <c r="C231" i="2" s="1"/>
  <c r="V231" i="2" s="1"/>
  <c r="P258" i="8"/>
  <c r="M252" i="8" s="1"/>
  <c r="F55" i="37" s="1"/>
  <c r="S264" i="8"/>
  <c r="S260" i="8" s="1"/>
  <c r="S263" i="8"/>
  <c r="S259" i="8" s="1"/>
  <c r="R259" i="8"/>
  <c r="R260" i="8"/>
  <c r="C279" i="8"/>
  <c r="I279" i="8" s="1"/>
  <c r="E261" i="6"/>
  <c r="C280" i="6" s="1"/>
  <c r="C40" i="8"/>
  <c r="E1125" i="2"/>
  <c r="C1144" i="2" s="1"/>
  <c r="C27" i="36"/>
  <c r="S263" i="2"/>
  <c r="S259" i="2" s="1"/>
  <c r="R259" i="2"/>
  <c r="R260" i="2"/>
  <c r="P258" i="2"/>
  <c r="M252" i="2" s="1"/>
  <c r="G27" i="36" s="1"/>
  <c r="S264" i="2"/>
  <c r="S260" i="2" s="1"/>
  <c r="E260" i="2"/>
  <c r="C279" i="2" s="1"/>
  <c r="V279" i="2" s="1"/>
  <c r="C376" i="7"/>
  <c r="R115" i="7"/>
  <c r="R116" i="7"/>
  <c r="F33" i="37"/>
  <c r="S119" i="7"/>
  <c r="S115" i="7" s="1"/>
  <c r="S120" i="7"/>
  <c r="S116" i="7" s="1"/>
  <c r="C135" i="7"/>
  <c r="C136" i="7"/>
  <c r="C31" i="36"/>
  <c r="S456" i="2"/>
  <c r="S452" i="2" s="1"/>
  <c r="S455" i="2"/>
  <c r="S451" i="2" s="1"/>
  <c r="R451" i="2"/>
  <c r="R452" i="2"/>
  <c r="P450" i="2"/>
  <c r="M444" i="2" s="1"/>
  <c r="G31" i="36" s="1"/>
  <c r="E452" i="2"/>
  <c r="C471" i="2" s="1"/>
  <c r="V471" i="2" s="1"/>
  <c r="E453" i="2"/>
  <c r="C472" i="2" s="1"/>
  <c r="F54" i="37"/>
  <c r="S216" i="8"/>
  <c r="S212" i="8" s="1"/>
  <c r="S215" i="8"/>
  <c r="S211" i="8" s="1"/>
  <c r="R212" i="8"/>
  <c r="R211" i="8"/>
  <c r="C231" i="8"/>
  <c r="P162" i="2"/>
  <c r="M156" i="2" s="1"/>
  <c r="R164" i="2"/>
  <c r="C25" i="36"/>
  <c r="S167" i="2"/>
  <c r="S163" i="2" s="1"/>
  <c r="S168" i="2"/>
  <c r="S164" i="2" s="1"/>
  <c r="E164" i="2"/>
  <c r="C183" i="2" s="1"/>
  <c r="C34" i="36"/>
  <c r="R596" i="2"/>
  <c r="S600" i="2"/>
  <c r="S596" i="2" s="1"/>
  <c r="R595" i="2"/>
  <c r="P594" i="2"/>
  <c r="M588" i="2" s="1"/>
  <c r="G34" i="36" s="1"/>
  <c r="S599" i="2"/>
  <c r="S595" i="2" s="1"/>
  <c r="E596" i="2"/>
  <c r="C615" i="2" s="1"/>
  <c r="V615" i="2" s="1"/>
  <c r="R116" i="8"/>
  <c r="R115" i="8"/>
  <c r="C135" i="8"/>
  <c r="S23" i="7"/>
  <c r="S19" i="7" s="1"/>
  <c r="F31" i="37"/>
  <c r="R20" i="7"/>
  <c r="R19" i="7"/>
  <c r="S24" i="7"/>
  <c r="S20" i="7" s="1"/>
  <c r="C39" i="7"/>
  <c r="R259" i="6"/>
  <c r="P258" i="6"/>
  <c r="M252" i="6" s="1"/>
  <c r="F25" i="37" s="1"/>
  <c r="S263" i="6"/>
  <c r="S259" i="6" s="1"/>
  <c r="R260" i="6"/>
  <c r="S264" i="6"/>
  <c r="S260" i="6" s="1"/>
  <c r="E260" i="6"/>
  <c r="C279" i="6" s="1"/>
  <c r="I279" i="6" s="1"/>
  <c r="F50" i="37"/>
  <c r="S24" i="8"/>
  <c r="S20" i="8" s="1"/>
  <c r="S23" i="8"/>
  <c r="S19" i="8" s="1"/>
  <c r="R20" i="8"/>
  <c r="R19" i="8"/>
  <c r="C39" i="8"/>
  <c r="R1123" i="2"/>
  <c r="R1124" i="2"/>
  <c r="C45" i="36"/>
  <c r="S1127" i="2"/>
  <c r="S1123" i="2" s="1"/>
  <c r="S1128" i="2"/>
  <c r="S1124" i="2" s="1"/>
  <c r="P1122" i="2"/>
  <c r="M1116" i="2" s="1"/>
  <c r="G45" i="36" s="1"/>
  <c r="E1124" i="2"/>
  <c r="C1143" i="2" s="1"/>
  <c r="V1143" i="2" s="1"/>
  <c r="E981" i="2"/>
  <c r="C1000" i="2" s="1"/>
  <c r="E645" i="2"/>
  <c r="C664" i="2" s="1"/>
  <c r="R356" i="7"/>
  <c r="R355" i="7"/>
  <c r="S264" i="13"/>
  <c r="S260" i="13" s="1"/>
  <c r="P258" i="13"/>
  <c r="M252" i="13" s="1"/>
  <c r="G116" i="36" s="1"/>
  <c r="S263" i="13"/>
  <c r="S259" i="13" s="1"/>
  <c r="R260" i="13"/>
  <c r="R259" i="13"/>
  <c r="E260" i="13"/>
  <c r="C279" i="13" s="1"/>
  <c r="E117" i="13"/>
  <c r="C136" i="13" s="1"/>
  <c r="E69" i="4"/>
  <c r="C88" i="4" s="1"/>
  <c r="E69" i="21"/>
  <c r="C88" i="21" s="1"/>
  <c r="S311" i="2"/>
  <c r="S307" i="2" s="1"/>
  <c r="R308" i="2"/>
  <c r="C28" i="36"/>
  <c r="R307" i="2"/>
  <c r="S312" i="2"/>
  <c r="S308" i="2" s="1"/>
  <c r="P306" i="2"/>
  <c r="M300" i="2" s="1"/>
  <c r="G28" i="36" s="1"/>
  <c r="E308" i="2"/>
  <c r="C327" i="2" s="1"/>
  <c r="V327" i="2" s="1"/>
  <c r="R212" i="13"/>
  <c r="R211" i="13"/>
  <c r="P210" i="13"/>
  <c r="M204" i="13" s="1"/>
  <c r="G115" i="36" s="1"/>
  <c r="S216" i="13"/>
  <c r="S212" i="13" s="1"/>
  <c r="S215" i="13"/>
  <c r="S211" i="13" s="1"/>
  <c r="E212" i="13"/>
  <c r="C231" i="13" s="1"/>
  <c r="E1509" i="2"/>
  <c r="C1528" i="2" s="1"/>
  <c r="C50" i="36"/>
  <c r="S1368" i="2"/>
  <c r="S1364" i="2" s="1"/>
  <c r="S1367" i="2"/>
  <c r="S1363" i="2" s="1"/>
  <c r="P1362" i="2"/>
  <c r="R1363" i="2"/>
  <c r="R1364" i="2"/>
  <c r="E1364" i="2"/>
  <c r="C1383" i="2" s="1"/>
  <c r="V1383" i="2" s="1"/>
  <c r="R355" i="8"/>
  <c r="R356" i="8"/>
  <c r="P354" i="8"/>
  <c r="M348" i="8" s="1"/>
  <c r="F61" i="37" s="1"/>
  <c r="S360" i="8"/>
  <c r="S356" i="8" s="1"/>
  <c r="S359" i="8"/>
  <c r="S355" i="8" s="1"/>
  <c r="E356" i="8"/>
  <c r="C375" i="8" s="1"/>
  <c r="I375" i="8" s="1"/>
  <c r="S1415" i="2"/>
  <c r="S1411" i="2" s="1"/>
  <c r="S1416" i="2"/>
  <c r="S1412" i="2" s="1"/>
  <c r="R1412" i="2"/>
  <c r="R1411" i="2"/>
  <c r="P1410" i="2"/>
  <c r="M1404" i="2" s="1"/>
  <c r="G51" i="36" s="1"/>
  <c r="C51" i="36"/>
  <c r="E1412" i="2"/>
  <c r="C1431" i="2" s="1"/>
  <c r="V1431" i="2" s="1"/>
  <c r="N568" i="7"/>
  <c r="N569" i="7" s="1"/>
  <c r="N520" i="7"/>
  <c r="N521" i="7" s="1"/>
  <c r="N232" i="6"/>
  <c r="N233" i="6" s="1"/>
  <c r="R404" i="8"/>
  <c r="S408" i="8"/>
  <c r="S404" i="8" s="1"/>
  <c r="S407" i="8"/>
  <c r="S403" i="8" s="1"/>
  <c r="R403" i="8"/>
  <c r="P402" i="8"/>
  <c r="M396" i="8" s="1"/>
  <c r="F62" i="37" s="1"/>
  <c r="E404" i="8"/>
  <c r="C423" i="8" s="1"/>
  <c r="I423" i="8" s="1"/>
  <c r="E165" i="2"/>
  <c r="C184" i="2" s="1"/>
  <c r="E21" i="4"/>
  <c r="C40" i="4" s="1"/>
  <c r="P114" i="4"/>
  <c r="M108" i="4" s="1"/>
  <c r="R115" i="4"/>
  <c r="S120" i="4"/>
  <c r="S116" i="4" s="1"/>
  <c r="C63" i="36"/>
  <c r="S119" i="4"/>
  <c r="S115" i="4" s="1"/>
  <c r="R116" i="4"/>
  <c r="E116" i="4"/>
  <c r="C135" i="4" s="1"/>
  <c r="V135" i="4" s="1"/>
  <c r="C108" i="36"/>
  <c r="S72" i="13"/>
  <c r="S68" i="13" s="1"/>
  <c r="S71" i="13"/>
  <c r="S67" i="13" s="1"/>
  <c r="R68" i="13"/>
  <c r="R67" i="13"/>
  <c r="P66" i="13"/>
  <c r="M60" i="13" s="1"/>
  <c r="G108" i="36" s="1"/>
  <c r="E68" i="13"/>
  <c r="C87" i="13" s="1"/>
  <c r="C78" i="36"/>
  <c r="P66" i="5"/>
  <c r="M60" i="5" s="1"/>
  <c r="O94" i="5" s="1"/>
  <c r="E68" i="5"/>
  <c r="C87" i="5" s="1"/>
  <c r="C136" i="8"/>
  <c r="C376" i="4"/>
  <c r="C67" i="36"/>
  <c r="S312" i="4"/>
  <c r="S308" i="4" s="1"/>
  <c r="S311" i="4"/>
  <c r="S307" i="4" s="1"/>
  <c r="R307" i="4"/>
  <c r="R308" i="4"/>
  <c r="P306" i="4"/>
  <c r="E308" i="4"/>
  <c r="C327" i="4" s="1"/>
  <c r="V327" i="4" s="1"/>
  <c r="R979" i="2"/>
  <c r="C42" i="36"/>
  <c r="S984" i="2"/>
  <c r="S980" i="2" s="1"/>
  <c r="P978" i="2"/>
  <c r="M972" i="2" s="1"/>
  <c r="G42" i="36" s="1"/>
  <c r="S983" i="2"/>
  <c r="S979" i="2" s="1"/>
  <c r="R980" i="2"/>
  <c r="E980" i="2"/>
  <c r="C999" i="2" s="1"/>
  <c r="V999" i="2" s="1"/>
  <c r="N184" i="6"/>
  <c r="N185" i="6" s="1"/>
  <c r="R643" i="2"/>
  <c r="C35" i="36"/>
  <c r="S648" i="2"/>
  <c r="S644" i="2" s="1"/>
  <c r="P642" i="2"/>
  <c r="M636" i="2" s="1"/>
  <c r="G35" i="36" s="1"/>
  <c r="S647" i="2"/>
  <c r="S643" i="2" s="1"/>
  <c r="R644" i="2"/>
  <c r="E644" i="2"/>
  <c r="C663" i="2" s="1"/>
  <c r="V663" i="2" s="1"/>
  <c r="C109" i="36"/>
  <c r="P114" i="13"/>
  <c r="M108" i="13" s="1"/>
  <c r="G109" i="36" s="1"/>
  <c r="S119" i="13"/>
  <c r="S115" i="13" s="1"/>
  <c r="R116" i="13"/>
  <c r="S120" i="13"/>
  <c r="S116" i="13" s="1"/>
  <c r="R115" i="13"/>
  <c r="E116" i="13"/>
  <c r="C135" i="13" s="1"/>
  <c r="R67" i="4"/>
  <c r="C62" i="36"/>
  <c r="P66" i="4"/>
  <c r="M60" i="4" s="1"/>
  <c r="S72" i="4"/>
  <c r="S68" i="4" s="1"/>
  <c r="S71" i="4"/>
  <c r="S67" i="4" s="1"/>
  <c r="R68" i="4"/>
  <c r="E68" i="4"/>
  <c r="C87" i="4" s="1"/>
  <c r="V87" i="4" s="1"/>
  <c r="I26" i="14"/>
  <c r="H12" i="14"/>
  <c r="H13" i="14"/>
  <c r="H14" i="14"/>
  <c r="H15" i="14"/>
  <c r="H16" i="14"/>
  <c r="H17" i="14"/>
  <c r="H18" i="14"/>
  <c r="H19" i="14"/>
  <c r="H20" i="14"/>
  <c r="H21" i="14"/>
  <c r="H22" i="14"/>
  <c r="H23" i="14"/>
  <c r="H24" i="14"/>
  <c r="H25" i="14"/>
  <c r="G135" i="36" s="1"/>
  <c r="H11" i="14"/>
  <c r="S215" i="7" l="1"/>
  <c r="S211" i="7" s="1"/>
  <c r="F35" i="37"/>
  <c r="S359" i="7"/>
  <c r="S355" i="7" s="1"/>
  <c r="S168" i="7"/>
  <c r="S164" i="7" s="1"/>
  <c r="O190" i="7"/>
  <c r="O191" i="7"/>
  <c r="O191" i="4"/>
  <c r="O190" i="4"/>
  <c r="O143" i="6"/>
  <c r="O142" i="6"/>
  <c r="O95" i="4"/>
  <c r="O94" i="4"/>
  <c r="S360" i="7"/>
  <c r="S356" i="7" s="1"/>
  <c r="F53" i="37"/>
  <c r="O190" i="8"/>
  <c r="O191" i="8"/>
  <c r="O238" i="7"/>
  <c r="O239" i="7"/>
  <c r="O143" i="21"/>
  <c r="O142" i="21"/>
  <c r="O143" i="20"/>
  <c r="O142" i="20"/>
  <c r="O143" i="4"/>
  <c r="O142" i="4"/>
  <c r="O190" i="20"/>
  <c r="O191" i="20"/>
  <c r="O287" i="4"/>
  <c r="O286" i="4"/>
  <c r="O239" i="8"/>
  <c r="O238" i="8"/>
  <c r="O287" i="7"/>
  <c r="O286" i="7"/>
  <c r="O142" i="8"/>
  <c r="O143" i="8"/>
  <c r="O94" i="8"/>
  <c r="O95" i="8"/>
  <c r="O335" i="7"/>
  <c r="O334" i="7"/>
  <c r="F34" i="37"/>
  <c r="F41" i="37" s="1"/>
  <c r="F42" i="37" s="1"/>
  <c r="S120" i="8"/>
  <c r="S116" i="8" s="1"/>
  <c r="O238" i="4"/>
  <c r="O239" i="4"/>
  <c r="O383" i="7"/>
  <c r="O382" i="7"/>
  <c r="O383" i="4"/>
  <c r="O382" i="4"/>
  <c r="O94" i="21"/>
  <c r="O95" i="21"/>
  <c r="S119" i="8"/>
  <c r="S115" i="8" s="1"/>
  <c r="O95" i="20"/>
  <c r="O94" i="20"/>
  <c r="S167" i="7"/>
  <c r="S163" i="7" s="1"/>
  <c r="S168" i="8"/>
  <c r="S164" i="8" s="1"/>
  <c r="S167" i="8"/>
  <c r="S163" i="8" s="1"/>
  <c r="G62" i="36"/>
  <c r="G75" i="36"/>
  <c r="G68" i="36"/>
  <c r="G66" i="36"/>
  <c r="G65" i="36"/>
  <c r="G64" i="36"/>
  <c r="G63" i="36"/>
  <c r="G76" i="36"/>
  <c r="G74" i="36"/>
  <c r="G80" i="36"/>
  <c r="G149" i="36"/>
  <c r="G148" i="36"/>
  <c r="G136" i="6"/>
  <c r="O136" i="6"/>
  <c r="U136" i="6"/>
  <c r="C137" i="6"/>
  <c r="V136" i="6"/>
  <c r="S119" i="6"/>
  <c r="S115" i="6" s="1"/>
  <c r="F18" i="37"/>
  <c r="S120" i="6"/>
  <c r="S116" i="6" s="1"/>
  <c r="V375" i="7"/>
  <c r="V327" i="7"/>
  <c r="V279" i="7"/>
  <c r="V231" i="7"/>
  <c r="V183" i="7"/>
  <c r="G184" i="7"/>
  <c r="U88" i="7"/>
  <c r="V87" i="7"/>
  <c r="V39" i="7"/>
  <c r="G40" i="7"/>
  <c r="V231" i="8"/>
  <c r="G184" i="8"/>
  <c r="V183" i="8"/>
  <c r="V135" i="8"/>
  <c r="S72" i="8"/>
  <c r="S68" i="8" s="1"/>
  <c r="V87" i="8"/>
  <c r="V39" i="8"/>
  <c r="V135" i="7"/>
  <c r="G88" i="6"/>
  <c r="V87" i="6"/>
  <c r="I232" i="13"/>
  <c r="O280" i="13"/>
  <c r="L280" i="13"/>
  <c r="M280" i="13"/>
  <c r="H280" i="13"/>
  <c r="G280" i="13"/>
  <c r="J280" i="13"/>
  <c r="K280" i="13"/>
  <c r="C281" i="13"/>
  <c r="O279" i="13"/>
  <c r="J279" i="13"/>
  <c r="M279" i="13"/>
  <c r="H279" i="13"/>
  <c r="G279" i="13"/>
  <c r="I279" i="13"/>
  <c r="K279" i="13"/>
  <c r="L279" i="13"/>
  <c r="I280" i="13"/>
  <c r="L232" i="13"/>
  <c r="K232" i="13"/>
  <c r="G232" i="13"/>
  <c r="O232" i="13"/>
  <c r="J232" i="13"/>
  <c r="H232" i="13"/>
  <c r="M232" i="13"/>
  <c r="C233" i="13"/>
  <c r="O231" i="13"/>
  <c r="M231" i="13"/>
  <c r="L231" i="13"/>
  <c r="K231" i="13"/>
  <c r="I231" i="13"/>
  <c r="G231" i="13"/>
  <c r="J231" i="13"/>
  <c r="H231" i="13"/>
  <c r="H136" i="13"/>
  <c r="K136" i="13"/>
  <c r="M136" i="13"/>
  <c r="O136" i="13"/>
  <c r="J136" i="13"/>
  <c r="G136" i="13"/>
  <c r="L136" i="13"/>
  <c r="C137" i="13"/>
  <c r="O135" i="13"/>
  <c r="I135" i="13"/>
  <c r="G135" i="13"/>
  <c r="H135" i="13"/>
  <c r="M135" i="13"/>
  <c r="J135" i="13"/>
  <c r="L135" i="13"/>
  <c r="K135" i="13"/>
  <c r="I136" i="13"/>
  <c r="K88" i="13"/>
  <c r="G88" i="13"/>
  <c r="J88" i="13"/>
  <c r="M88" i="13"/>
  <c r="L88" i="13"/>
  <c r="H88" i="13"/>
  <c r="C89" i="13"/>
  <c r="O87" i="13"/>
  <c r="O89" i="13" s="1"/>
  <c r="H87" i="13"/>
  <c r="M87" i="13"/>
  <c r="L87" i="13"/>
  <c r="I87" i="13"/>
  <c r="G87" i="13"/>
  <c r="K87" i="13"/>
  <c r="J87" i="13"/>
  <c r="I88" i="13"/>
  <c r="G134" i="36"/>
  <c r="G133" i="36"/>
  <c r="G132" i="36"/>
  <c r="G131" i="36"/>
  <c r="G130" i="36"/>
  <c r="G129" i="36"/>
  <c r="G128" i="36"/>
  <c r="G127" i="36"/>
  <c r="G126" i="36"/>
  <c r="G125" i="36"/>
  <c r="G124" i="36"/>
  <c r="G123" i="36"/>
  <c r="G122" i="36"/>
  <c r="G121" i="36"/>
  <c r="G79" i="36"/>
  <c r="G78" i="36"/>
  <c r="I88" i="5"/>
  <c r="C135" i="20"/>
  <c r="O135" i="20" s="1"/>
  <c r="C129" i="20"/>
  <c r="M300" i="4"/>
  <c r="M1356" i="2"/>
  <c r="V1095" i="2"/>
  <c r="G1048" i="2"/>
  <c r="M828" i="2"/>
  <c r="G25" i="36"/>
  <c r="V183" i="2"/>
  <c r="V135" i="2"/>
  <c r="V1528" i="2"/>
  <c r="J184" i="5"/>
  <c r="M184" i="5"/>
  <c r="G280" i="4"/>
  <c r="O1336" i="2"/>
  <c r="U1240" i="2"/>
  <c r="G1240" i="2"/>
  <c r="O1048" i="2"/>
  <c r="U1048" i="2"/>
  <c r="G856" i="2"/>
  <c r="U856" i="2"/>
  <c r="O808" i="2"/>
  <c r="V424" i="2"/>
  <c r="V760" i="2"/>
  <c r="G808" i="2"/>
  <c r="G1336" i="2"/>
  <c r="G1432" i="2"/>
  <c r="O1432" i="2"/>
  <c r="U280" i="4"/>
  <c r="G136" i="4"/>
  <c r="U136" i="4"/>
  <c r="O328" i="4"/>
  <c r="G328" i="4"/>
  <c r="N184" i="20"/>
  <c r="L184" i="20"/>
  <c r="J40" i="5"/>
  <c r="N40" i="5"/>
  <c r="H40" i="5"/>
  <c r="M88" i="5"/>
  <c r="O88" i="5"/>
  <c r="J88" i="5"/>
  <c r="L88" i="5"/>
  <c r="K88" i="5"/>
  <c r="G88" i="5"/>
  <c r="N88" i="5"/>
  <c r="H88" i="5"/>
  <c r="N184" i="5"/>
  <c r="G184" i="5"/>
  <c r="U136" i="21"/>
  <c r="G136" i="21"/>
  <c r="U88" i="6"/>
  <c r="O88" i="6"/>
  <c r="O184" i="6"/>
  <c r="H184" i="6"/>
  <c r="G184" i="6"/>
  <c r="K184" i="6"/>
  <c r="M184" i="6"/>
  <c r="J184" i="6"/>
  <c r="I328" i="6"/>
  <c r="U40" i="7"/>
  <c r="O40" i="7"/>
  <c r="G88" i="7"/>
  <c r="O88" i="7"/>
  <c r="O184" i="7"/>
  <c r="U184" i="7"/>
  <c r="V232" i="7"/>
  <c r="V328" i="7"/>
  <c r="J472" i="7"/>
  <c r="O472" i="7"/>
  <c r="K472" i="7"/>
  <c r="H472" i="7"/>
  <c r="L472" i="7"/>
  <c r="O568" i="7"/>
  <c r="H568" i="7"/>
  <c r="F46" i="37"/>
  <c r="F47" i="37" s="1"/>
  <c r="G568" i="7"/>
  <c r="M568" i="7"/>
  <c r="K568" i="7"/>
  <c r="J568" i="7"/>
  <c r="O184" i="8"/>
  <c r="U184" i="8"/>
  <c r="V232" i="8"/>
  <c r="K280" i="8"/>
  <c r="H280" i="8"/>
  <c r="J280" i="8"/>
  <c r="L280" i="8"/>
  <c r="M280" i="8"/>
  <c r="G280" i="8"/>
  <c r="M424" i="8"/>
  <c r="L424" i="8"/>
  <c r="J424" i="8"/>
  <c r="K424" i="8"/>
  <c r="H424" i="8"/>
  <c r="O424" i="8"/>
  <c r="V1384" i="2"/>
  <c r="V856" i="2"/>
  <c r="V136" i="21"/>
  <c r="V136" i="2"/>
  <c r="V1000" i="2"/>
  <c r="V1624" i="2"/>
  <c r="V280" i="4"/>
  <c r="V568" i="2"/>
  <c r="I184" i="6"/>
  <c r="V472" i="2"/>
  <c r="I232" i="6"/>
  <c r="V808" i="2"/>
  <c r="I424" i="8"/>
  <c r="G472" i="7"/>
  <c r="I280" i="6"/>
  <c r="V376" i="2"/>
  <c r="V1240" i="2"/>
  <c r="I328" i="8"/>
  <c r="V184" i="2"/>
  <c r="M40" i="5"/>
  <c r="O40" i="5"/>
  <c r="G40" i="5"/>
  <c r="K40" i="5"/>
  <c r="L40" i="5"/>
  <c r="I280" i="8"/>
  <c r="U1576" i="2"/>
  <c r="O137" i="6"/>
  <c r="V1288" i="2"/>
  <c r="I376" i="8"/>
  <c r="I424" i="7"/>
  <c r="V712" i="2"/>
  <c r="V376" i="4"/>
  <c r="V136" i="4"/>
  <c r="V328" i="4"/>
  <c r="V952" i="2"/>
  <c r="V520" i="2"/>
  <c r="V184" i="4"/>
  <c r="O232" i="2"/>
  <c r="U232" i="2"/>
  <c r="V88" i="4"/>
  <c r="V40" i="7"/>
  <c r="V88" i="21"/>
  <c r="M184" i="20"/>
  <c r="O184" i="20"/>
  <c r="H184" i="20"/>
  <c r="I184" i="20"/>
  <c r="G184" i="20"/>
  <c r="V664" i="2"/>
  <c r="I184" i="5"/>
  <c r="K184" i="5"/>
  <c r="H184" i="5"/>
  <c r="O184" i="5"/>
  <c r="V40" i="8"/>
  <c r="V1144" i="2"/>
  <c r="V232" i="2"/>
  <c r="I568" i="7"/>
  <c r="V1192" i="2"/>
  <c r="V904" i="2"/>
  <c r="V376" i="7"/>
  <c r="U280" i="2"/>
  <c r="O280" i="2"/>
  <c r="V88" i="6"/>
  <c r="V40" i="21"/>
  <c r="V136" i="8"/>
  <c r="J184" i="20"/>
  <c r="V184" i="8"/>
  <c r="V616" i="2"/>
  <c r="V280" i="7"/>
  <c r="V232" i="4"/>
  <c r="V88" i="7"/>
  <c r="V1672" i="2"/>
  <c r="G137" i="6"/>
  <c r="V1096" i="2"/>
  <c r="V280" i="2"/>
  <c r="O1576" i="2"/>
  <c r="V1576" i="2"/>
  <c r="V1336" i="2"/>
  <c r="V136" i="7"/>
  <c r="V184" i="7"/>
  <c r="I520" i="7"/>
  <c r="I472" i="7"/>
  <c r="V40" i="4"/>
  <c r="V1432" i="2"/>
  <c r="V328" i="2"/>
  <c r="V1048" i="2"/>
  <c r="V1480" i="2"/>
  <c r="V88" i="8"/>
  <c r="O1288" i="2"/>
  <c r="U1288" i="2"/>
  <c r="G1288" i="2"/>
  <c r="O760" i="2"/>
  <c r="G760" i="2"/>
  <c r="U760" i="2"/>
  <c r="C473" i="2"/>
  <c r="O471" i="2"/>
  <c r="U471" i="2"/>
  <c r="G471" i="2"/>
  <c r="C377" i="7"/>
  <c r="U375" i="7"/>
  <c r="O375" i="7"/>
  <c r="G375" i="7"/>
  <c r="C1001" i="2"/>
  <c r="U999" i="2"/>
  <c r="G999" i="2"/>
  <c r="O999" i="2"/>
  <c r="F63" i="37"/>
  <c r="F64" i="37" s="1"/>
  <c r="O88" i="21"/>
  <c r="G88" i="21"/>
  <c r="U88" i="21"/>
  <c r="U1000" i="2"/>
  <c r="G1000" i="2"/>
  <c r="O1000" i="2"/>
  <c r="G472" i="2"/>
  <c r="U472" i="2"/>
  <c r="O472" i="2"/>
  <c r="M376" i="8"/>
  <c r="H376" i="8"/>
  <c r="K376" i="8"/>
  <c r="O376" i="8"/>
  <c r="G376" i="8"/>
  <c r="L376" i="8"/>
  <c r="J376" i="8"/>
  <c r="C281" i="4"/>
  <c r="O279" i="4"/>
  <c r="O281" i="4" s="1"/>
  <c r="L66" i="36" s="1"/>
  <c r="U279" i="4"/>
  <c r="G279" i="4"/>
  <c r="U280" i="7"/>
  <c r="G280" i="7"/>
  <c r="O280" i="7"/>
  <c r="K520" i="7"/>
  <c r="O520" i="7"/>
  <c r="G520" i="7"/>
  <c r="J520" i="7"/>
  <c r="M520" i="7"/>
  <c r="H520" i="7"/>
  <c r="L520" i="7"/>
  <c r="C329" i="7"/>
  <c r="O327" i="7"/>
  <c r="G327" i="7"/>
  <c r="U327" i="7"/>
  <c r="O1096" i="2"/>
  <c r="G1096" i="2"/>
  <c r="U1096" i="2"/>
  <c r="C617" i="2"/>
  <c r="U615" i="2"/>
  <c r="G615" i="2"/>
  <c r="O615" i="2"/>
  <c r="U1480" i="2"/>
  <c r="O1480" i="2"/>
  <c r="G1480" i="2"/>
  <c r="O184" i="4"/>
  <c r="U184" i="4"/>
  <c r="G184" i="4"/>
  <c r="C281" i="6"/>
  <c r="O279" i="6"/>
  <c r="J279" i="6"/>
  <c r="G279" i="6"/>
  <c r="L279" i="6"/>
  <c r="H279" i="6"/>
  <c r="K279" i="6"/>
  <c r="M279" i="6"/>
  <c r="C233" i="2"/>
  <c r="U231" i="2"/>
  <c r="O231" i="2"/>
  <c r="G231" i="2"/>
  <c r="C329" i="6"/>
  <c r="O327" i="6"/>
  <c r="G327" i="6"/>
  <c r="K327" i="6"/>
  <c r="M327" i="6"/>
  <c r="L327" i="6"/>
  <c r="H327" i="6"/>
  <c r="J327" i="6"/>
  <c r="C713" i="2"/>
  <c r="G711" i="2"/>
  <c r="U711" i="2"/>
  <c r="O711" i="2"/>
  <c r="U136" i="8"/>
  <c r="G136" i="8"/>
  <c r="O136" i="8"/>
  <c r="C137" i="4"/>
  <c r="G135" i="4"/>
  <c r="U135" i="4"/>
  <c r="O135" i="4"/>
  <c r="O137" i="4" s="1"/>
  <c r="L63" i="36" s="1"/>
  <c r="C329" i="2"/>
  <c r="G327" i="2"/>
  <c r="O327" i="2"/>
  <c r="U327" i="2"/>
  <c r="C137" i="8"/>
  <c r="U135" i="8"/>
  <c r="G135" i="8"/>
  <c r="O135" i="8"/>
  <c r="G376" i="7"/>
  <c r="U376" i="7"/>
  <c r="O376" i="7"/>
  <c r="J328" i="6"/>
  <c r="G328" i="6"/>
  <c r="M328" i="6"/>
  <c r="K328" i="6"/>
  <c r="O328" i="6"/>
  <c r="L328" i="6"/>
  <c r="H328" i="6"/>
  <c r="C281" i="7"/>
  <c r="U279" i="7"/>
  <c r="O279" i="7"/>
  <c r="G279" i="7"/>
  <c r="C137" i="2"/>
  <c r="G135" i="2"/>
  <c r="U135" i="2"/>
  <c r="O135" i="2"/>
  <c r="C185" i="4"/>
  <c r="O183" i="4"/>
  <c r="U183" i="4"/>
  <c r="G183" i="4"/>
  <c r="C185" i="7"/>
  <c r="G183" i="7"/>
  <c r="G185" i="7" s="1"/>
  <c r="U183" i="7"/>
  <c r="O183" i="7"/>
  <c r="G184" i="2"/>
  <c r="O184" i="2"/>
  <c r="U184" i="2"/>
  <c r="C1289" i="2"/>
  <c r="U1287" i="2"/>
  <c r="G1287" i="2"/>
  <c r="O1287" i="2"/>
  <c r="C89" i="5"/>
  <c r="J87" i="5"/>
  <c r="L87" i="5"/>
  <c r="H87" i="5"/>
  <c r="M87" i="5"/>
  <c r="I87" i="5"/>
  <c r="K87" i="5"/>
  <c r="O87" i="5"/>
  <c r="N87" i="5"/>
  <c r="G87" i="5"/>
  <c r="C233" i="8"/>
  <c r="G231" i="8"/>
  <c r="U231" i="8"/>
  <c r="O231" i="8"/>
  <c r="U40" i="8"/>
  <c r="O40" i="8"/>
  <c r="G40" i="8"/>
  <c r="O616" i="2"/>
  <c r="U616" i="2"/>
  <c r="G616" i="2"/>
  <c r="G376" i="2"/>
  <c r="U376" i="2"/>
  <c r="O376" i="2"/>
  <c r="C1193" i="2"/>
  <c r="G1191" i="2"/>
  <c r="O1191" i="2"/>
  <c r="U1191" i="2"/>
  <c r="O232" i="6"/>
  <c r="H232" i="6"/>
  <c r="M232" i="6"/>
  <c r="J232" i="6"/>
  <c r="K232" i="6"/>
  <c r="L232" i="6"/>
  <c r="G232" i="6"/>
  <c r="O40" i="21"/>
  <c r="U40" i="21"/>
  <c r="G40" i="21"/>
  <c r="C137" i="5"/>
  <c r="M135" i="5"/>
  <c r="L135" i="5"/>
  <c r="G135" i="5"/>
  <c r="J135" i="5"/>
  <c r="N135" i="5"/>
  <c r="O135" i="5"/>
  <c r="I135" i="5"/>
  <c r="K135" i="5"/>
  <c r="H135" i="5"/>
  <c r="C137" i="21"/>
  <c r="U135" i="21"/>
  <c r="O135" i="21"/>
  <c r="O137" i="21" s="1"/>
  <c r="L149" i="36" s="1"/>
  <c r="G135" i="21"/>
  <c r="C233" i="6"/>
  <c r="O231" i="6"/>
  <c r="K231" i="6"/>
  <c r="H231" i="6"/>
  <c r="G231" i="6"/>
  <c r="M231" i="6"/>
  <c r="J231" i="6"/>
  <c r="L231" i="6"/>
  <c r="C89" i="6"/>
  <c r="O87" i="6"/>
  <c r="U87" i="6"/>
  <c r="G87" i="6"/>
  <c r="C1481" i="2"/>
  <c r="O1479" i="2"/>
  <c r="G1479" i="2"/>
  <c r="U1479" i="2"/>
  <c r="C1385" i="2"/>
  <c r="G1383" i="2"/>
  <c r="O1383" i="2"/>
  <c r="U1383" i="2"/>
  <c r="C233" i="7"/>
  <c r="G231" i="7"/>
  <c r="U231" i="7"/>
  <c r="O231" i="7"/>
  <c r="C41" i="21"/>
  <c r="U39" i="21"/>
  <c r="O39" i="21"/>
  <c r="G39" i="21"/>
  <c r="G280" i="6"/>
  <c r="J280" i="6"/>
  <c r="L280" i="6"/>
  <c r="O280" i="6"/>
  <c r="K280" i="6"/>
  <c r="H280" i="6"/>
  <c r="M280" i="6"/>
  <c r="C89" i="7"/>
  <c r="O87" i="7"/>
  <c r="G87" i="7"/>
  <c r="U87" i="7"/>
  <c r="G232" i="4"/>
  <c r="U232" i="4"/>
  <c r="O232" i="4"/>
  <c r="O424" i="2"/>
  <c r="G424" i="2"/>
  <c r="U424" i="2"/>
  <c r="C521" i="7"/>
  <c r="L519" i="7"/>
  <c r="M519" i="7"/>
  <c r="J519" i="7"/>
  <c r="O519" i="7"/>
  <c r="K519" i="7"/>
  <c r="G519" i="7"/>
  <c r="H519" i="7"/>
  <c r="C89" i="8"/>
  <c r="G87" i="8"/>
  <c r="O87" i="8"/>
  <c r="U87" i="8"/>
  <c r="G328" i="7"/>
  <c r="O328" i="7"/>
  <c r="U328" i="7"/>
  <c r="C473" i="7"/>
  <c r="M471" i="7"/>
  <c r="L471" i="7"/>
  <c r="K471" i="7"/>
  <c r="J471" i="7"/>
  <c r="G471" i="7"/>
  <c r="O471" i="7"/>
  <c r="H471" i="7"/>
  <c r="C89" i="4"/>
  <c r="O87" i="4"/>
  <c r="U87" i="4"/>
  <c r="G87" i="4"/>
  <c r="J328" i="8"/>
  <c r="K328" i="8"/>
  <c r="G328" i="8"/>
  <c r="H328" i="8"/>
  <c r="M328" i="8"/>
  <c r="O328" i="8"/>
  <c r="L328" i="8"/>
  <c r="U136" i="2"/>
  <c r="G136" i="2"/>
  <c r="O136" i="2"/>
  <c r="U568" i="2"/>
  <c r="O568" i="2"/>
  <c r="G568" i="2"/>
  <c r="C185" i="8"/>
  <c r="O183" i="8"/>
  <c r="U183" i="8"/>
  <c r="G183" i="8"/>
  <c r="C425" i="8"/>
  <c r="M423" i="8"/>
  <c r="J423" i="8"/>
  <c r="G423" i="8"/>
  <c r="O423" i="8"/>
  <c r="K423" i="8"/>
  <c r="L423" i="8"/>
  <c r="H423" i="8"/>
  <c r="G376" i="4"/>
  <c r="U376" i="4"/>
  <c r="O376" i="4"/>
  <c r="U232" i="7"/>
  <c r="O232" i="7"/>
  <c r="G232" i="7"/>
  <c r="C905" i="2"/>
  <c r="G903" i="2"/>
  <c r="U903" i="2"/>
  <c r="O903" i="2"/>
  <c r="C41" i="4"/>
  <c r="U39" i="4"/>
  <c r="G39" i="4"/>
  <c r="O39" i="4"/>
  <c r="C329" i="4"/>
  <c r="G327" i="4"/>
  <c r="U327" i="4"/>
  <c r="O327" i="4"/>
  <c r="U88" i="4"/>
  <c r="G88" i="4"/>
  <c r="O88" i="4"/>
  <c r="C281" i="2"/>
  <c r="G279" i="2"/>
  <c r="O279" i="2"/>
  <c r="U279" i="2"/>
  <c r="C281" i="8"/>
  <c r="H279" i="8"/>
  <c r="M279" i="8"/>
  <c r="J279" i="8"/>
  <c r="K279" i="8"/>
  <c r="G279" i="8"/>
  <c r="L279" i="8"/>
  <c r="O279" i="8"/>
  <c r="O281" i="8" s="1"/>
  <c r="K55" i="37" s="1"/>
  <c r="C377" i="4"/>
  <c r="U375" i="4"/>
  <c r="O375" i="4"/>
  <c r="G375" i="4"/>
  <c r="G1192" i="2"/>
  <c r="U1192" i="2"/>
  <c r="O1192" i="2"/>
  <c r="C233" i="4"/>
  <c r="O231" i="4"/>
  <c r="G231" i="4"/>
  <c r="U231" i="4"/>
  <c r="H136" i="20"/>
  <c r="N136" i="20"/>
  <c r="K136" i="20"/>
  <c r="O136" i="20"/>
  <c r="J136" i="20"/>
  <c r="G136" i="20"/>
  <c r="L136" i="20"/>
  <c r="M136" i="20"/>
  <c r="I136" i="20"/>
  <c r="C1433" i="2"/>
  <c r="G1431" i="2"/>
  <c r="O1431" i="2"/>
  <c r="U1431" i="2"/>
  <c r="U712" i="2"/>
  <c r="G712" i="2"/>
  <c r="O712" i="2"/>
  <c r="C521" i="2"/>
  <c r="G519" i="2"/>
  <c r="O519" i="2"/>
  <c r="U519" i="2"/>
  <c r="C665" i="2"/>
  <c r="O663" i="2"/>
  <c r="U663" i="2"/>
  <c r="G663" i="2"/>
  <c r="C1241" i="2"/>
  <c r="U1239" i="2"/>
  <c r="G1239" i="2"/>
  <c r="O1239" i="2"/>
  <c r="O1241" i="2" s="1"/>
  <c r="L47" i="36" s="1"/>
  <c r="C1337" i="2"/>
  <c r="O1335" i="2"/>
  <c r="U1335" i="2"/>
  <c r="G1335" i="2"/>
  <c r="C377" i="8"/>
  <c r="J375" i="8"/>
  <c r="L375" i="8"/>
  <c r="G375" i="8"/>
  <c r="O375" i="8"/>
  <c r="M375" i="8"/>
  <c r="K375" i="8"/>
  <c r="H375" i="8"/>
  <c r="C41" i="8"/>
  <c r="U39" i="8"/>
  <c r="G39" i="8"/>
  <c r="O39" i="8"/>
  <c r="C185" i="2"/>
  <c r="O183" i="2"/>
  <c r="U183" i="2"/>
  <c r="G183" i="2"/>
  <c r="K424" i="7"/>
  <c r="M424" i="7"/>
  <c r="L424" i="7"/>
  <c r="J424" i="7"/>
  <c r="H424" i="7"/>
  <c r="O424" i="7"/>
  <c r="G424" i="7"/>
  <c r="C89" i="20"/>
  <c r="K87" i="20"/>
  <c r="H87" i="20"/>
  <c r="G87" i="20"/>
  <c r="O87" i="20"/>
  <c r="M87" i="20"/>
  <c r="L87" i="20"/>
  <c r="N87" i="20"/>
  <c r="I87" i="20"/>
  <c r="J87" i="20"/>
  <c r="C809" i="2"/>
  <c r="U807" i="2"/>
  <c r="G807" i="2"/>
  <c r="O807" i="2"/>
  <c r="C425" i="2"/>
  <c r="O423" i="2"/>
  <c r="U423" i="2"/>
  <c r="G423" i="2"/>
  <c r="C857" i="2"/>
  <c r="U855" i="2"/>
  <c r="O855" i="2"/>
  <c r="O857" i="2" s="1"/>
  <c r="L39" i="36" s="1"/>
  <c r="G855" i="2"/>
  <c r="C953" i="2"/>
  <c r="G951" i="2"/>
  <c r="O951" i="2"/>
  <c r="U951" i="2"/>
  <c r="C1529" i="2"/>
  <c r="U1527" i="2"/>
  <c r="O1527" i="2"/>
  <c r="G1527" i="2"/>
  <c r="G1672" i="2"/>
  <c r="O1672" i="2"/>
  <c r="U1672" i="2"/>
  <c r="C1145" i="2"/>
  <c r="U1143" i="2"/>
  <c r="O1143" i="2"/>
  <c r="G1143" i="2"/>
  <c r="C425" i="7"/>
  <c r="O423" i="7"/>
  <c r="J423" i="7"/>
  <c r="L423" i="7"/>
  <c r="M423" i="7"/>
  <c r="K423" i="7"/>
  <c r="G423" i="7"/>
  <c r="H423" i="7"/>
  <c r="F57" i="37"/>
  <c r="F58" i="37" s="1"/>
  <c r="U904" i="2"/>
  <c r="G904" i="2"/>
  <c r="O904" i="2"/>
  <c r="O1144" i="2"/>
  <c r="U1144" i="2"/>
  <c r="G1144" i="2"/>
  <c r="C1097" i="2"/>
  <c r="G1095" i="2"/>
  <c r="O1095" i="2"/>
  <c r="U1095" i="2"/>
  <c r="C569" i="7"/>
  <c r="G567" i="7"/>
  <c r="J567" i="7"/>
  <c r="L567" i="7"/>
  <c r="H567" i="7"/>
  <c r="M567" i="7"/>
  <c r="O567" i="7"/>
  <c r="K567" i="7"/>
  <c r="G1528" i="2"/>
  <c r="O1528" i="2"/>
  <c r="U1528" i="2"/>
  <c r="C41" i="7"/>
  <c r="O39" i="7"/>
  <c r="U39" i="7"/>
  <c r="G39" i="7"/>
  <c r="G136" i="7"/>
  <c r="O136" i="7"/>
  <c r="U136" i="7"/>
  <c r="U232" i="8"/>
  <c r="G232" i="8"/>
  <c r="O232" i="8"/>
  <c r="G88" i="8"/>
  <c r="O88" i="8"/>
  <c r="U88" i="8"/>
  <c r="C1049" i="2"/>
  <c r="U1047" i="2"/>
  <c r="O1047" i="2"/>
  <c r="G1047" i="2"/>
  <c r="C761" i="2"/>
  <c r="O759" i="2"/>
  <c r="G759" i="2"/>
  <c r="U759" i="2"/>
  <c r="C150" i="36"/>
  <c r="U1624" i="2"/>
  <c r="G1624" i="2"/>
  <c r="O1624" i="2"/>
  <c r="U40" i="4"/>
  <c r="G40" i="4"/>
  <c r="O40" i="4"/>
  <c r="C377" i="2"/>
  <c r="U375" i="2"/>
  <c r="G375" i="2"/>
  <c r="O375" i="2"/>
  <c r="M136" i="5"/>
  <c r="H136" i="5"/>
  <c r="G136" i="5"/>
  <c r="N136" i="5"/>
  <c r="O136" i="5"/>
  <c r="L136" i="5"/>
  <c r="J136" i="5"/>
  <c r="I136" i="5"/>
  <c r="K136" i="5"/>
  <c r="O328" i="2"/>
  <c r="U328" i="2"/>
  <c r="G328" i="2"/>
  <c r="C569" i="2"/>
  <c r="G567" i="2"/>
  <c r="U567" i="2"/>
  <c r="O567" i="2"/>
  <c r="C1577" i="2"/>
  <c r="U1575" i="2"/>
  <c r="O1575" i="2"/>
  <c r="G1575" i="2"/>
  <c r="U1384" i="2"/>
  <c r="G1384" i="2"/>
  <c r="O1384" i="2"/>
  <c r="G664" i="2"/>
  <c r="U664" i="2"/>
  <c r="O664" i="2"/>
  <c r="C137" i="7"/>
  <c r="U135" i="7"/>
  <c r="O135" i="7"/>
  <c r="G135" i="7"/>
  <c r="M88" i="20"/>
  <c r="J88" i="20"/>
  <c r="G88" i="20"/>
  <c r="H88" i="20"/>
  <c r="K88" i="20"/>
  <c r="N88" i="20"/>
  <c r="O88" i="20"/>
  <c r="L88" i="20"/>
  <c r="I88" i="20"/>
  <c r="U520" i="2"/>
  <c r="G520" i="2"/>
  <c r="O520" i="2"/>
  <c r="C41" i="5"/>
  <c r="O39" i="5"/>
  <c r="K39" i="5"/>
  <c r="I39" i="5"/>
  <c r="N39" i="5"/>
  <c r="L39" i="5"/>
  <c r="M39" i="5"/>
  <c r="H39" i="5"/>
  <c r="G39" i="5"/>
  <c r="J39" i="5"/>
  <c r="C329" i="8"/>
  <c r="H327" i="8"/>
  <c r="J327" i="8"/>
  <c r="K327" i="8"/>
  <c r="M327" i="8"/>
  <c r="G327" i="8"/>
  <c r="O327" i="8"/>
  <c r="L327" i="8"/>
  <c r="C1673" i="2"/>
  <c r="G1671" i="2"/>
  <c r="U1671" i="2"/>
  <c r="O1671" i="2"/>
  <c r="C89" i="21"/>
  <c r="O87" i="21"/>
  <c r="G87" i="21"/>
  <c r="U87" i="21"/>
  <c r="C185" i="20"/>
  <c r="I183" i="20"/>
  <c r="N183" i="20"/>
  <c r="M183" i="20"/>
  <c r="J183" i="20"/>
  <c r="K183" i="20"/>
  <c r="L183" i="20"/>
  <c r="O183" i="20"/>
  <c r="G183" i="20"/>
  <c r="H183" i="20"/>
  <c r="C1625" i="2"/>
  <c r="O1623" i="2"/>
  <c r="G1623" i="2"/>
  <c r="U1623" i="2"/>
  <c r="O952" i="2"/>
  <c r="G952" i="2"/>
  <c r="U952" i="2"/>
  <c r="C185" i="5"/>
  <c r="L183" i="5"/>
  <c r="G183" i="5"/>
  <c r="H183" i="5"/>
  <c r="O183" i="5"/>
  <c r="J183" i="5"/>
  <c r="I183" i="5"/>
  <c r="M183" i="5"/>
  <c r="K183" i="5"/>
  <c r="N183" i="5"/>
  <c r="C185" i="6"/>
  <c r="G183" i="6"/>
  <c r="O183" i="6"/>
  <c r="K183" i="6"/>
  <c r="H183" i="6"/>
  <c r="M183" i="6"/>
  <c r="L183" i="6"/>
  <c r="J183" i="6"/>
  <c r="I135" i="20" l="1"/>
  <c r="O335" i="4"/>
  <c r="O334" i="4"/>
  <c r="O137" i="13"/>
  <c r="G150" i="36"/>
  <c r="G151" i="36" s="1"/>
  <c r="G281" i="13"/>
  <c r="O281" i="13"/>
  <c r="L116" i="36" s="1"/>
  <c r="G137" i="21"/>
  <c r="J149" i="36" s="1"/>
  <c r="G89" i="6"/>
  <c r="O91" i="6" s="1"/>
  <c r="K18" i="37"/>
  <c r="O233" i="13"/>
  <c r="L115" i="36" s="1"/>
  <c r="G137" i="13"/>
  <c r="P280" i="13"/>
  <c r="H281" i="13"/>
  <c r="K116" i="36" s="1"/>
  <c r="P279" i="13"/>
  <c r="H233" i="13"/>
  <c r="K115" i="36" s="1"/>
  <c r="P232" i="13"/>
  <c r="P231" i="13"/>
  <c r="P233" i="13" s="1"/>
  <c r="G233" i="13"/>
  <c r="J115" i="36" s="1"/>
  <c r="P136" i="13"/>
  <c r="H137" i="13"/>
  <c r="K109" i="36" s="1"/>
  <c r="P135" i="13"/>
  <c r="G89" i="13"/>
  <c r="H89" i="13"/>
  <c r="K108" i="36" s="1"/>
  <c r="P88" i="13"/>
  <c r="P87" i="13"/>
  <c r="G136" i="36"/>
  <c r="A21" i="39" s="1"/>
  <c r="O41" i="5"/>
  <c r="L77" i="36" s="1"/>
  <c r="G135" i="20"/>
  <c r="J135" i="20"/>
  <c r="M135" i="20"/>
  <c r="L135" i="20"/>
  <c r="H135" i="20"/>
  <c r="K135" i="20"/>
  <c r="N135" i="20"/>
  <c r="C137" i="20"/>
  <c r="O129" i="20"/>
  <c r="O137" i="20" s="1"/>
  <c r="L75" i="36" s="1"/>
  <c r="G129" i="20"/>
  <c r="M129" i="20"/>
  <c r="N129" i="20"/>
  <c r="J129" i="20"/>
  <c r="I129" i="20"/>
  <c r="L129" i="20"/>
  <c r="H129" i="20"/>
  <c r="K129" i="20"/>
  <c r="G67" i="36"/>
  <c r="G50" i="36"/>
  <c r="G39" i="36"/>
  <c r="O1097" i="2"/>
  <c r="L44" i="36" s="1"/>
  <c r="G329" i="4"/>
  <c r="G137" i="4"/>
  <c r="O41" i="7"/>
  <c r="O1337" i="2"/>
  <c r="L49" i="36" s="1"/>
  <c r="G89" i="7"/>
  <c r="M91" i="7" s="1"/>
  <c r="O89" i="5"/>
  <c r="O137" i="5"/>
  <c r="O185" i="6"/>
  <c r="K19" i="37" s="1"/>
  <c r="O1049" i="2"/>
  <c r="L43" i="36" s="1"/>
  <c r="O1433" i="2"/>
  <c r="L51" i="36" s="1"/>
  <c r="G857" i="2"/>
  <c r="O329" i="4"/>
  <c r="L67" i="36" s="1"/>
  <c r="O809" i="2"/>
  <c r="L38" i="36" s="1"/>
  <c r="O617" i="2"/>
  <c r="L34" i="36" s="1"/>
  <c r="O137" i="2"/>
  <c r="O1385" i="2"/>
  <c r="L50" i="36" s="1"/>
  <c r="G1337" i="2"/>
  <c r="O1001" i="2"/>
  <c r="L42" i="36" s="1"/>
  <c r="O905" i="2"/>
  <c r="L40" i="36" s="1"/>
  <c r="O713" i="2"/>
  <c r="L36" i="36" s="1"/>
  <c r="O569" i="2"/>
  <c r="L33" i="36" s="1"/>
  <c r="O185" i="2"/>
  <c r="O665" i="2"/>
  <c r="L35" i="36" s="1"/>
  <c r="O1193" i="2"/>
  <c r="L46" i="36" s="1"/>
  <c r="O1625" i="2"/>
  <c r="L55" i="36" s="1"/>
  <c r="O233" i="4"/>
  <c r="L65" i="36" s="1"/>
  <c r="L109" i="36"/>
  <c r="H185" i="20"/>
  <c r="K76" i="36" s="1"/>
  <c r="O89" i="20"/>
  <c r="L74" i="36" s="1"/>
  <c r="P40" i="5"/>
  <c r="P88" i="5"/>
  <c r="P184" i="5"/>
  <c r="O89" i="6"/>
  <c r="P184" i="6"/>
  <c r="O89" i="7"/>
  <c r="O185" i="7"/>
  <c r="O377" i="7"/>
  <c r="O425" i="7"/>
  <c r="K39" i="37" s="1"/>
  <c r="O473" i="7"/>
  <c r="K40" i="37" s="1"/>
  <c r="G473" i="7"/>
  <c r="P477" i="7" s="1"/>
  <c r="P472" i="7"/>
  <c r="O521" i="7"/>
  <c r="K44" i="37" s="1"/>
  <c r="O569" i="7"/>
  <c r="K45" i="37" s="1"/>
  <c r="G569" i="7"/>
  <c r="I45" i="37" s="1"/>
  <c r="P568" i="7"/>
  <c r="H569" i="7"/>
  <c r="J45" i="37" s="1"/>
  <c r="O89" i="8"/>
  <c r="O185" i="8"/>
  <c r="O233" i="8"/>
  <c r="P280" i="8"/>
  <c r="O425" i="8"/>
  <c r="K62" i="37" s="1"/>
  <c r="P424" i="8"/>
  <c r="H185" i="5"/>
  <c r="K80" i="36" s="1"/>
  <c r="O41" i="21"/>
  <c r="L147" i="36" s="1"/>
  <c r="O233" i="6"/>
  <c r="K20" i="37" s="1"/>
  <c r="H89" i="5"/>
  <c r="K78" i="36" s="1"/>
  <c r="O137" i="7"/>
  <c r="H425" i="8"/>
  <c r="J62" i="37" s="1"/>
  <c r="O761" i="2"/>
  <c r="L37" i="36" s="1"/>
  <c r="O1673" i="2"/>
  <c r="L56" i="36" s="1"/>
  <c r="O89" i="4"/>
  <c r="L62" i="36" s="1"/>
  <c r="L108" i="36"/>
  <c r="O1529" i="2"/>
  <c r="L53" i="36" s="1"/>
  <c r="O377" i="4"/>
  <c r="L68" i="36" s="1"/>
  <c r="O281" i="7"/>
  <c r="O185" i="5"/>
  <c r="L80" i="36" s="1"/>
  <c r="O473" i="2"/>
  <c r="L31" i="36" s="1"/>
  <c r="P39" i="5"/>
  <c r="D22" i="39"/>
  <c r="J22" i="39" s="1"/>
  <c r="I22" i="39" s="1"/>
  <c r="C22" i="39"/>
  <c r="H185" i="6"/>
  <c r="J19" i="37" s="1"/>
  <c r="H41" i="5"/>
  <c r="K77" i="36" s="1"/>
  <c r="O41" i="4"/>
  <c r="L61" i="36" s="1"/>
  <c r="H281" i="8"/>
  <c r="J55" i="37" s="1"/>
  <c r="O425" i="2"/>
  <c r="L30" i="36" s="1"/>
  <c r="P328" i="6"/>
  <c r="G329" i="6"/>
  <c r="P279" i="8"/>
  <c r="O89" i="21"/>
  <c r="L148" i="36" s="1"/>
  <c r="G1193" i="2"/>
  <c r="O329" i="8"/>
  <c r="K56" i="37" s="1"/>
  <c r="P471" i="7"/>
  <c r="P135" i="5"/>
  <c r="P423" i="8"/>
  <c r="G425" i="8"/>
  <c r="P519" i="7"/>
  <c r="G233" i="4"/>
  <c r="P232" i="6"/>
  <c r="G233" i="6"/>
  <c r="P87" i="5"/>
  <c r="G329" i="2"/>
  <c r="P567" i="7"/>
  <c r="P328" i="8"/>
  <c r="G329" i="8"/>
  <c r="G377" i="2"/>
  <c r="O329" i="6"/>
  <c r="K26" i="37" s="1"/>
  <c r="O233" i="2"/>
  <c r="L26" i="36" s="1"/>
  <c r="G281" i="7"/>
  <c r="H377" i="8"/>
  <c r="J61" i="37" s="1"/>
  <c r="G1001" i="2"/>
  <c r="G41" i="21"/>
  <c r="O329" i="2"/>
  <c r="L28" i="36" s="1"/>
  <c r="P423" i="7"/>
  <c r="H233" i="6"/>
  <c r="J20" i="37" s="1"/>
  <c r="G185" i="2"/>
  <c r="H89" i="20"/>
  <c r="K74" i="36" s="1"/>
  <c r="O329" i="7"/>
  <c r="G41" i="8"/>
  <c r="G1529" i="2"/>
  <c r="G713" i="2"/>
  <c r="G329" i="7"/>
  <c r="P231" i="6"/>
  <c r="P184" i="20"/>
  <c r="G185" i="20"/>
  <c r="G1241" i="2"/>
  <c r="P327" i="8"/>
  <c r="H137" i="5"/>
  <c r="K79" i="36" s="1"/>
  <c r="G233" i="8"/>
  <c r="G1145" i="2"/>
  <c r="P87" i="20"/>
  <c r="G377" i="4"/>
  <c r="G137" i="2"/>
  <c r="H521" i="7"/>
  <c r="J44" i="37" s="1"/>
  <c r="O1289" i="2"/>
  <c r="L48" i="36" s="1"/>
  <c r="G233" i="2"/>
  <c r="G233" i="7"/>
  <c r="I34" i="37"/>
  <c r="L189" i="7"/>
  <c r="O188" i="7"/>
  <c r="P188" i="7" s="1"/>
  <c r="J189" i="7"/>
  <c r="P189" i="7" s="1"/>
  <c r="O189" i="7"/>
  <c r="P191" i="7"/>
  <c r="M187" i="7"/>
  <c r="O187" i="7"/>
  <c r="P190" i="7"/>
  <c r="G41" i="4"/>
  <c r="G1049" i="2"/>
  <c r="G41" i="7"/>
  <c r="G473" i="2"/>
  <c r="G89" i="8"/>
  <c r="M91" i="8" s="1"/>
  <c r="H281" i="6"/>
  <c r="J25" i="37" s="1"/>
  <c r="G1289" i="2"/>
  <c r="G281" i="8"/>
  <c r="P183" i="5"/>
  <c r="O41" i="8"/>
  <c r="J141" i="6"/>
  <c r="P141" i="6" s="1"/>
  <c r="P143" i="6"/>
  <c r="O140" i="6"/>
  <c r="P140" i="6" s="1"/>
  <c r="M139" i="6"/>
  <c r="O139" i="6"/>
  <c r="I18" i="37"/>
  <c r="O141" i="6"/>
  <c r="P142" i="6"/>
  <c r="L141" i="6"/>
  <c r="G1433" i="2"/>
  <c r="P88" i="20"/>
  <c r="G89" i="20"/>
  <c r="G137" i="5"/>
  <c r="H473" i="7"/>
  <c r="J40" i="37" s="1"/>
  <c r="G425" i="2"/>
  <c r="O281" i="6"/>
  <c r="K25" i="37" s="1"/>
  <c r="G377" i="7"/>
  <c r="P279" i="6"/>
  <c r="G281" i="6"/>
  <c r="G281" i="2"/>
  <c r="O1577" i="2"/>
  <c r="L54" i="36" s="1"/>
  <c r="G809" i="2"/>
  <c r="G89" i="5"/>
  <c r="G137" i="7"/>
  <c r="P136" i="20"/>
  <c r="G1481" i="2"/>
  <c r="G761" i="2"/>
  <c r="G1673" i="2"/>
  <c r="H425" i="7"/>
  <c r="J39" i="37" s="1"/>
  <c r="G1577" i="2"/>
  <c r="P136" i="5"/>
  <c r="O137" i="8"/>
  <c r="P327" i="6"/>
  <c r="P520" i="7"/>
  <c r="G521" i="7"/>
  <c r="P376" i="8"/>
  <c r="P135" i="6"/>
  <c r="O185" i="20"/>
  <c r="L76" i="36" s="1"/>
  <c r="G41" i="5"/>
  <c r="O1481" i="2"/>
  <c r="L52" i="36" s="1"/>
  <c r="G89" i="21"/>
  <c r="P183" i="6"/>
  <c r="G137" i="8"/>
  <c r="O953" i="2"/>
  <c r="L41" i="36" s="1"/>
  <c r="O521" i="2"/>
  <c r="L32" i="36" s="1"/>
  <c r="G905" i="2"/>
  <c r="O1145" i="2"/>
  <c r="L45" i="36" s="1"/>
  <c r="P424" i="7"/>
  <c r="G425" i="7"/>
  <c r="G185" i="8"/>
  <c r="H329" i="8"/>
  <c r="J56" i="37" s="1"/>
  <c r="P280" i="6"/>
  <c r="O377" i="2"/>
  <c r="L29" i="36" s="1"/>
  <c r="O185" i="4"/>
  <c r="L64" i="36" s="1"/>
  <c r="G1097" i="2"/>
  <c r="O281" i="2"/>
  <c r="L27" i="36" s="1"/>
  <c r="G617" i="2"/>
  <c r="G1385" i="2"/>
  <c r="O233" i="7"/>
  <c r="G569" i="2"/>
  <c r="H329" i="6"/>
  <c r="J26" i="37" s="1"/>
  <c r="G89" i="4"/>
  <c r="P183" i="20"/>
  <c r="G665" i="2"/>
  <c r="G953" i="2"/>
  <c r="G521" i="2"/>
  <c r="O377" i="8"/>
  <c r="K61" i="37" s="1"/>
  <c r="G185" i="4"/>
  <c r="G281" i="4"/>
  <c r="G185" i="6"/>
  <c r="G185" i="5"/>
  <c r="G377" i="8"/>
  <c r="P375" i="8"/>
  <c r="G1625" i="2"/>
  <c r="A11" i="39"/>
  <c r="G137" i="36"/>
  <c r="M8" i="6"/>
  <c r="O5" i="6"/>
  <c r="P94" i="6" l="1"/>
  <c r="J93" i="6"/>
  <c r="P93" i="6" s="1"/>
  <c r="I17" i="37"/>
  <c r="O93" i="6"/>
  <c r="L93" i="6"/>
  <c r="O92" i="6"/>
  <c r="P92" i="6" s="1"/>
  <c r="M17" i="37" s="1"/>
  <c r="M91" i="6"/>
  <c r="P91" i="6" s="1"/>
  <c r="P95" i="6"/>
  <c r="O17" i="37" s="1"/>
  <c r="P136" i="6"/>
  <c r="P137" i="6" s="1"/>
  <c r="G137" i="20"/>
  <c r="O141" i="20" s="1"/>
  <c r="J141" i="21"/>
  <c r="P141" i="21" s="1"/>
  <c r="P143" i="21"/>
  <c r="P149" i="36" s="1"/>
  <c r="L141" i="21"/>
  <c r="P142" i="21"/>
  <c r="O149" i="36" s="1"/>
  <c r="O139" i="21"/>
  <c r="O141" i="21"/>
  <c r="M139" i="21"/>
  <c r="P139" i="21" s="1"/>
  <c r="O140" i="21"/>
  <c r="P140" i="21" s="1"/>
  <c r="N149" i="36" s="1"/>
  <c r="H137" i="6"/>
  <c r="J18" i="37" s="1"/>
  <c r="K38" i="37"/>
  <c r="K37" i="37"/>
  <c r="K36" i="37"/>
  <c r="K35" i="37"/>
  <c r="K34" i="37"/>
  <c r="K32" i="37"/>
  <c r="O34" i="37"/>
  <c r="N34" i="37"/>
  <c r="M34" i="37"/>
  <c r="K31" i="37"/>
  <c r="K54" i="37"/>
  <c r="K53" i="37"/>
  <c r="K52" i="37"/>
  <c r="K51" i="37"/>
  <c r="K50" i="37"/>
  <c r="P44" i="8"/>
  <c r="P43" i="8"/>
  <c r="L50" i="37" s="1"/>
  <c r="K33" i="37"/>
  <c r="O93" i="7"/>
  <c r="M18" i="37"/>
  <c r="O18" i="37"/>
  <c r="N18" i="37"/>
  <c r="N17" i="37"/>
  <c r="K17" i="37"/>
  <c r="P281" i="13"/>
  <c r="P137" i="13"/>
  <c r="P89" i="13"/>
  <c r="L79" i="36"/>
  <c r="L78" i="36"/>
  <c r="P135" i="20"/>
  <c r="H137" i="20"/>
  <c r="K75" i="36" s="1"/>
  <c r="P129" i="20"/>
  <c r="L25" i="36"/>
  <c r="L24" i="36"/>
  <c r="P185" i="5"/>
  <c r="J67" i="36"/>
  <c r="P574" i="7"/>
  <c r="N45" i="37" s="1"/>
  <c r="J63" i="36"/>
  <c r="P185" i="6"/>
  <c r="J49" i="36"/>
  <c r="P808" i="2"/>
  <c r="J39" i="36"/>
  <c r="P478" i="7"/>
  <c r="N40" i="37" s="1"/>
  <c r="P280" i="4"/>
  <c r="P88" i="6"/>
  <c r="O92" i="7"/>
  <c r="P92" i="7" s="1"/>
  <c r="J93" i="7"/>
  <c r="P93" i="7" s="1"/>
  <c r="O91" i="7"/>
  <c r="P91" i="7" s="1"/>
  <c r="P94" i="7"/>
  <c r="L93" i="7"/>
  <c r="I32" i="37"/>
  <c r="P95" i="7"/>
  <c r="P136" i="4"/>
  <c r="P1048" i="2"/>
  <c r="L189" i="5"/>
  <c r="J189" i="5"/>
  <c r="P189" i="5" s="1"/>
  <c r="O188" i="5"/>
  <c r="P188" i="5" s="1"/>
  <c r="N80" i="36" s="1"/>
  <c r="O187" i="5"/>
  <c r="M187" i="5"/>
  <c r="P187" i="5" s="1"/>
  <c r="P190" i="5"/>
  <c r="P80" i="36" s="1"/>
  <c r="O189" i="5"/>
  <c r="O91" i="21"/>
  <c r="M91" i="21"/>
  <c r="P91" i="21" s="1"/>
  <c r="L93" i="21"/>
  <c r="P94" i="21"/>
  <c r="O148" i="36" s="1"/>
  <c r="P95" i="21"/>
  <c r="P148" i="36" s="1"/>
  <c r="J93" i="21"/>
  <c r="P93" i="21" s="1"/>
  <c r="O93" i="21"/>
  <c r="O92" i="21"/>
  <c r="P92" i="21" s="1"/>
  <c r="N148" i="36" s="1"/>
  <c r="O139" i="5"/>
  <c r="M139" i="5"/>
  <c r="O141" i="5"/>
  <c r="P142" i="5"/>
  <c r="L141" i="5"/>
  <c r="J141" i="5"/>
  <c r="P141" i="5" s="1"/>
  <c r="O140" i="5"/>
  <c r="P140" i="5" s="1"/>
  <c r="P136" i="21"/>
  <c r="L285" i="13"/>
  <c r="J285" i="13"/>
  <c r="P285" i="13" s="1"/>
  <c r="O284" i="13"/>
  <c r="P284" i="13" s="1"/>
  <c r="N116" i="36" s="1"/>
  <c r="O283" i="13"/>
  <c r="M283" i="13"/>
  <c r="O287" i="13"/>
  <c r="O286" i="13"/>
  <c r="O285" i="13"/>
  <c r="P190" i="20"/>
  <c r="O76" i="36" s="1"/>
  <c r="O189" i="20"/>
  <c r="J189" i="20"/>
  <c r="P189" i="20" s="1"/>
  <c r="L189" i="20"/>
  <c r="O188" i="20"/>
  <c r="P188" i="20" s="1"/>
  <c r="N76" i="36" s="1"/>
  <c r="O187" i="20"/>
  <c r="M187" i="20"/>
  <c r="P856" i="2"/>
  <c r="P47" i="8"/>
  <c r="P46" i="8"/>
  <c r="P185" i="20"/>
  <c r="P41" i="5"/>
  <c r="P89" i="20"/>
  <c r="P89" i="5"/>
  <c r="P135" i="2"/>
  <c r="P1336" i="2"/>
  <c r="P807" i="2"/>
  <c r="P519" i="2"/>
  <c r="P663" i="2"/>
  <c r="P711" i="2"/>
  <c r="P760" i="2"/>
  <c r="H809" i="2"/>
  <c r="K38" i="36" s="1"/>
  <c r="P903" i="2"/>
  <c r="P1000" i="2"/>
  <c r="P1095" i="2"/>
  <c r="P1143" i="2"/>
  <c r="P1288" i="2"/>
  <c r="P1383" i="2"/>
  <c r="P1479" i="2"/>
  <c r="P1623" i="2"/>
  <c r="H329" i="4"/>
  <c r="K67" i="36" s="1"/>
  <c r="O92" i="20"/>
  <c r="P92" i="20" s="1"/>
  <c r="N74" i="36" s="1"/>
  <c r="O93" i="20"/>
  <c r="O91" i="20"/>
  <c r="L93" i="20"/>
  <c r="J93" i="20"/>
  <c r="P93" i="20" s="1"/>
  <c r="M91" i="20"/>
  <c r="O92" i="5"/>
  <c r="P92" i="5" s="1"/>
  <c r="M91" i="5"/>
  <c r="O91" i="5"/>
  <c r="P94" i="5"/>
  <c r="L93" i="5"/>
  <c r="J93" i="5"/>
  <c r="P93" i="5" s="1"/>
  <c r="O93" i="5"/>
  <c r="P39" i="21"/>
  <c r="E22" i="39"/>
  <c r="P40" i="7"/>
  <c r="H41" i="7"/>
  <c r="J31" i="37" s="1"/>
  <c r="P88" i="7"/>
  <c r="P184" i="7"/>
  <c r="P376" i="7"/>
  <c r="I40" i="37"/>
  <c r="P475" i="7"/>
  <c r="L40" i="37" s="1"/>
  <c r="P479" i="7"/>
  <c r="O40" i="37" s="1"/>
  <c r="P476" i="7"/>
  <c r="M40" i="37" s="1"/>
  <c r="P473" i="7"/>
  <c r="P573" i="7"/>
  <c r="P571" i="7"/>
  <c r="P572" i="7"/>
  <c r="M45" i="37" s="1"/>
  <c r="P575" i="7"/>
  <c r="O45" i="37" s="1"/>
  <c r="P569" i="7"/>
  <c r="P40" i="8"/>
  <c r="P135" i="8"/>
  <c r="P184" i="8"/>
  <c r="P281" i="8"/>
  <c r="P329" i="8"/>
  <c r="P425" i="8"/>
  <c r="H1241" i="2"/>
  <c r="K47" i="36" s="1"/>
  <c r="P904" i="2"/>
  <c r="P40" i="4"/>
  <c r="P136" i="8"/>
  <c r="P184" i="2"/>
  <c r="P135" i="21"/>
  <c r="P377" i="8"/>
  <c r="P375" i="7"/>
  <c r="H1433" i="2"/>
  <c r="K51" i="36" s="1"/>
  <c r="H1049" i="2"/>
  <c r="P88" i="4"/>
  <c r="P280" i="7"/>
  <c r="H1337" i="2"/>
  <c r="K49" i="36" s="1"/>
  <c r="P87" i="21"/>
  <c r="P136" i="7"/>
  <c r="P328" i="4"/>
  <c r="P1527" i="2"/>
  <c r="H185" i="7"/>
  <c r="J34" i="37" s="1"/>
  <c r="P712" i="2"/>
  <c r="P183" i="4"/>
  <c r="P328" i="7"/>
  <c r="P231" i="4"/>
  <c r="P1192" i="2"/>
  <c r="H617" i="2"/>
  <c r="K34" i="36" s="1"/>
  <c r="H281" i="7"/>
  <c r="J36" i="37" s="1"/>
  <c r="P328" i="2"/>
  <c r="P232" i="4"/>
  <c r="P279" i="7"/>
  <c r="P327" i="2"/>
  <c r="H89" i="7"/>
  <c r="J32" i="37" s="1"/>
  <c r="P375" i="4"/>
  <c r="P375" i="2"/>
  <c r="P1431" i="2"/>
  <c r="P232" i="8"/>
  <c r="H89" i="6"/>
  <c r="J17" i="37" s="1"/>
  <c r="P87" i="8"/>
  <c r="P423" i="2"/>
  <c r="P376" i="2"/>
  <c r="P183" i="8"/>
  <c r="P1096" i="2"/>
  <c r="P1480" i="2"/>
  <c r="P87" i="4"/>
  <c r="H665" i="2"/>
  <c r="K35" i="36" s="1"/>
  <c r="P232" i="7"/>
  <c r="H473" i="2"/>
  <c r="P616" i="2"/>
  <c r="P1624" i="2"/>
  <c r="P184" i="4"/>
  <c r="P281" i="6"/>
  <c r="P1240" i="2"/>
  <c r="P183" i="7"/>
  <c r="H137" i="4"/>
  <c r="K63" i="36" s="1"/>
  <c r="P231" i="7"/>
  <c r="P568" i="2"/>
  <c r="P1384" i="2"/>
  <c r="P88" i="8"/>
  <c r="P567" i="2"/>
  <c r="P520" i="2"/>
  <c r="P39" i="7"/>
  <c r="P231" i="2"/>
  <c r="P327" i="7"/>
  <c r="P39" i="4"/>
  <c r="P87" i="6"/>
  <c r="P521" i="7"/>
  <c r="P424" i="2"/>
  <c r="P183" i="2"/>
  <c r="P1528" i="2"/>
  <c r="P376" i="4"/>
  <c r="P759" i="2"/>
  <c r="H281" i="4"/>
  <c r="K66" i="36" s="1"/>
  <c r="P40" i="21"/>
  <c r="P1287" i="2"/>
  <c r="P615" i="2"/>
  <c r="P425" i="7"/>
  <c r="P1047" i="2"/>
  <c r="P39" i="8"/>
  <c r="P664" i="2"/>
  <c r="P1671" i="2"/>
  <c r="P951" i="2"/>
  <c r="P1191" i="2"/>
  <c r="P279" i="2"/>
  <c r="P999" i="2"/>
  <c r="P88" i="21"/>
  <c r="P472" i="2"/>
  <c r="P471" i="2"/>
  <c r="P231" i="8"/>
  <c r="P1575" i="2"/>
  <c r="P952" i="2"/>
  <c r="P135" i="7"/>
  <c r="P1672" i="2"/>
  <c r="P136" i="2"/>
  <c r="P1144" i="2"/>
  <c r="P87" i="7"/>
  <c r="H1481" i="2"/>
  <c r="K52" i="36" s="1"/>
  <c r="H905" i="2"/>
  <c r="K40" i="36" s="1"/>
  <c r="H1097" i="2"/>
  <c r="K44" i="36" s="1"/>
  <c r="H89" i="4"/>
  <c r="K62" i="36" s="1"/>
  <c r="H41" i="4"/>
  <c r="K61" i="36" s="1"/>
  <c r="H89" i="21"/>
  <c r="K148" i="36" s="1"/>
  <c r="H1625" i="2"/>
  <c r="K55" i="36" s="1"/>
  <c r="H137" i="8"/>
  <c r="J52" i="37" s="1"/>
  <c r="P279" i="4"/>
  <c r="J189" i="8"/>
  <c r="P189" i="8" s="1"/>
  <c r="P191" i="8"/>
  <c r="O188" i="8"/>
  <c r="P188" i="8" s="1"/>
  <c r="I53" i="37"/>
  <c r="P190" i="8"/>
  <c r="O189" i="8"/>
  <c r="M187" i="8"/>
  <c r="L189" i="8"/>
  <c r="O187" i="8"/>
  <c r="J37" i="36"/>
  <c r="M379" i="7"/>
  <c r="O381" i="7"/>
  <c r="I38" i="37"/>
  <c r="O379" i="7"/>
  <c r="P382" i="7"/>
  <c r="L381" i="7"/>
  <c r="J381" i="7"/>
  <c r="P381" i="7" s="1"/>
  <c r="P383" i="7"/>
  <c r="O380" i="7"/>
  <c r="P380" i="7" s="1"/>
  <c r="I31" i="37"/>
  <c r="P47" i="7"/>
  <c r="P44" i="7"/>
  <c r="P43" i="7"/>
  <c r="P46" i="7"/>
  <c r="P135" i="4"/>
  <c r="J29" i="36"/>
  <c r="J28" i="36"/>
  <c r="P233" i="6"/>
  <c r="J46" i="36"/>
  <c r="H1385" i="2"/>
  <c r="K50" i="36" s="1"/>
  <c r="H185" i="8"/>
  <c r="J53" i="37" s="1"/>
  <c r="O237" i="7"/>
  <c r="L237" i="7"/>
  <c r="P239" i="7"/>
  <c r="J237" i="7"/>
  <c r="P237" i="7" s="1"/>
  <c r="O236" i="7"/>
  <c r="P236" i="7" s="1"/>
  <c r="M235" i="7"/>
  <c r="I35" i="37"/>
  <c r="P238" i="7"/>
  <c r="O235" i="7"/>
  <c r="P333" i="8"/>
  <c r="P332" i="8"/>
  <c r="M56" i="37" s="1"/>
  <c r="P334" i="8"/>
  <c r="N56" i="37" s="1"/>
  <c r="P335" i="8"/>
  <c r="O56" i="37" s="1"/>
  <c r="I56" i="37"/>
  <c r="H713" i="2"/>
  <c r="K36" i="36" s="1"/>
  <c r="H857" i="2"/>
  <c r="K39" i="36" s="1"/>
  <c r="O43" i="4"/>
  <c r="J45" i="4"/>
  <c r="P45" i="4" s="1"/>
  <c r="O44" i="4"/>
  <c r="P44" i="4" s="1"/>
  <c r="N61" i="36" s="1"/>
  <c r="M43" i="4"/>
  <c r="P47" i="4"/>
  <c r="P61" i="36" s="1"/>
  <c r="L45" i="4"/>
  <c r="J61" i="36"/>
  <c r="O45" i="4"/>
  <c r="P46" i="4"/>
  <c r="O61" i="36" s="1"/>
  <c r="J36" i="36"/>
  <c r="H1193" i="2"/>
  <c r="K46" i="36" s="1"/>
  <c r="H329" i="2"/>
  <c r="K28" i="36" s="1"/>
  <c r="H137" i="7"/>
  <c r="J33" i="37" s="1"/>
  <c r="J50" i="36"/>
  <c r="P43" i="5"/>
  <c r="P45" i="5"/>
  <c r="P46" i="5"/>
  <c r="P77" i="36" s="1"/>
  <c r="J77" i="36"/>
  <c r="P44" i="5"/>
  <c r="N77" i="36" s="1"/>
  <c r="J38" i="36"/>
  <c r="J25" i="36"/>
  <c r="J42" i="36"/>
  <c r="P280" i="2"/>
  <c r="P431" i="8"/>
  <c r="O62" i="37" s="1"/>
  <c r="P428" i="8"/>
  <c r="M62" i="37" s="1"/>
  <c r="P430" i="8"/>
  <c r="N62" i="37" s="1"/>
  <c r="P429" i="8"/>
  <c r="I62" i="37"/>
  <c r="P335" i="6"/>
  <c r="O26" i="37" s="1"/>
  <c r="P332" i="6"/>
  <c r="M26" i="37" s="1"/>
  <c r="P334" i="6"/>
  <c r="N26" i="37" s="1"/>
  <c r="P333" i="6"/>
  <c r="I26" i="37"/>
  <c r="H1673" i="2"/>
  <c r="K56" i="36" s="1"/>
  <c r="J41" i="36"/>
  <c r="J54" i="36"/>
  <c r="P327" i="4"/>
  <c r="P187" i="7"/>
  <c r="J68" i="36"/>
  <c r="P1239" i="2"/>
  <c r="P329" i="6"/>
  <c r="H1001" i="2"/>
  <c r="J43" i="36"/>
  <c r="H953" i="2"/>
  <c r="K41" i="36" s="1"/>
  <c r="H1529" i="2"/>
  <c r="H425" i="2"/>
  <c r="K30" i="36" s="1"/>
  <c r="H233" i="7"/>
  <c r="J35" i="37" s="1"/>
  <c r="H89" i="8"/>
  <c r="J51" i="37" s="1"/>
  <c r="H137" i="2"/>
  <c r="K24" i="36" s="1"/>
  <c r="J80" i="36"/>
  <c r="H233" i="2"/>
  <c r="K26" i="36" s="1"/>
  <c r="P527" i="7"/>
  <c r="O44" i="37" s="1"/>
  <c r="P526" i="7"/>
  <c r="N44" i="37" s="1"/>
  <c r="P525" i="7"/>
  <c r="P524" i="7"/>
  <c r="M44" i="37" s="1"/>
  <c r="I44" i="37"/>
  <c r="J27" i="36"/>
  <c r="J26" i="36"/>
  <c r="J53" i="36"/>
  <c r="H137" i="21"/>
  <c r="K149" i="36" s="1"/>
  <c r="H281" i="2"/>
  <c r="K27" i="36" s="1"/>
  <c r="J116" i="36"/>
  <c r="P286" i="13"/>
  <c r="O116" i="36" s="1"/>
  <c r="P287" i="13"/>
  <c r="P116" i="36" s="1"/>
  <c r="J33" i="36"/>
  <c r="H233" i="4"/>
  <c r="K65" i="36" s="1"/>
  <c r="P139" i="6"/>
  <c r="J24" i="36"/>
  <c r="O140" i="2"/>
  <c r="P140" i="2" s="1"/>
  <c r="P143" i="2"/>
  <c r="P142" i="2"/>
  <c r="J141" i="2"/>
  <c r="P141" i="2" s="1"/>
  <c r="O141" i="2"/>
  <c r="L141" i="2"/>
  <c r="O139" i="2"/>
  <c r="M139" i="2"/>
  <c r="H377" i="7"/>
  <c r="J38" i="37" s="1"/>
  <c r="P187" i="6"/>
  <c r="P190" i="6"/>
  <c r="N19" i="37" s="1"/>
  <c r="P188" i="6"/>
  <c r="M19" i="37" s="1"/>
  <c r="P191" i="6"/>
  <c r="O19" i="37" s="1"/>
  <c r="P189" i="6"/>
  <c r="I19" i="37"/>
  <c r="J40" i="36"/>
  <c r="O139" i="7"/>
  <c r="L141" i="7"/>
  <c r="J141" i="7"/>
  <c r="P141" i="7" s="1"/>
  <c r="M139" i="7"/>
  <c r="P142" i="7"/>
  <c r="O140" i="7"/>
  <c r="P140" i="7" s="1"/>
  <c r="P143" i="7"/>
  <c r="O141" i="7"/>
  <c r="I33" i="37"/>
  <c r="J79" i="36"/>
  <c r="P94" i="8"/>
  <c r="I51" i="37"/>
  <c r="O91" i="8"/>
  <c r="L93" i="8"/>
  <c r="O92" i="8"/>
  <c r="P92" i="8" s="1"/>
  <c r="J93" i="8"/>
  <c r="P93" i="8" s="1"/>
  <c r="P95" i="8"/>
  <c r="O93" i="8"/>
  <c r="J47" i="36"/>
  <c r="I36" i="37"/>
  <c r="O285" i="7"/>
  <c r="P287" i="7"/>
  <c r="O284" i="7"/>
  <c r="P284" i="7" s="1"/>
  <c r="M283" i="7"/>
  <c r="O283" i="7"/>
  <c r="J285" i="7"/>
  <c r="P285" i="7" s="1"/>
  <c r="L285" i="7"/>
  <c r="P286" i="7"/>
  <c r="P1335" i="2"/>
  <c r="M235" i="8"/>
  <c r="O237" i="8"/>
  <c r="P239" i="8"/>
  <c r="L237" i="8"/>
  <c r="J237" i="8"/>
  <c r="P237" i="8" s="1"/>
  <c r="O235" i="8"/>
  <c r="P238" i="8"/>
  <c r="I54" i="37"/>
  <c r="O236" i="8"/>
  <c r="P236" i="8" s="1"/>
  <c r="H569" i="2"/>
  <c r="K33" i="36" s="1"/>
  <c r="J52" i="36"/>
  <c r="J108" i="36"/>
  <c r="J65" i="36"/>
  <c r="H521" i="2"/>
  <c r="P429" i="7"/>
  <c r="P430" i="7"/>
  <c r="N39" i="37" s="1"/>
  <c r="P428" i="7"/>
  <c r="M39" i="37" s="1"/>
  <c r="P427" i="7"/>
  <c r="P431" i="7"/>
  <c r="O39" i="37" s="1"/>
  <c r="I39" i="37"/>
  <c r="H377" i="2"/>
  <c r="K29" i="36" s="1"/>
  <c r="H377" i="4"/>
  <c r="K68" i="36" s="1"/>
  <c r="H329" i="7"/>
  <c r="J37" i="37" s="1"/>
  <c r="H185" i="4"/>
  <c r="K64" i="36" s="1"/>
  <c r="H1145" i="2"/>
  <c r="K45" i="36" s="1"/>
  <c r="J66" i="36"/>
  <c r="J35" i="36"/>
  <c r="J62" i="36"/>
  <c r="J56" i="36"/>
  <c r="J74" i="36"/>
  <c r="P94" i="20"/>
  <c r="O74" i="36" s="1"/>
  <c r="P95" i="20"/>
  <c r="P74" i="36" s="1"/>
  <c r="P191" i="20"/>
  <c r="P76" i="36" s="1"/>
  <c r="J76" i="36"/>
  <c r="P1432" i="2"/>
  <c r="P855" i="2"/>
  <c r="P137" i="5"/>
  <c r="J109" i="36"/>
  <c r="J44" i="36"/>
  <c r="O331" i="7"/>
  <c r="M331" i="7"/>
  <c r="P334" i="7"/>
  <c r="O333" i="7"/>
  <c r="J333" i="7"/>
  <c r="P333" i="7" s="1"/>
  <c r="O332" i="7"/>
  <c r="P332" i="7" s="1"/>
  <c r="L333" i="7"/>
  <c r="P335" i="7"/>
  <c r="I37" i="37"/>
  <c r="H41" i="21"/>
  <c r="K147" i="36" s="1"/>
  <c r="H761" i="2"/>
  <c r="K37" i="36" s="1"/>
  <c r="H233" i="8"/>
  <c r="J54" i="37" s="1"/>
  <c r="H1577" i="2"/>
  <c r="K54" i="36" s="1"/>
  <c r="J148" i="36"/>
  <c r="P283" i="6"/>
  <c r="P285" i="6"/>
  <c r="P284" i="6"/>
  <c r="M25" i="37" s="1"/>
  <c r="P286" i="6"/>
  <c r="N25" i="37" s="1"/>
  <c r="P287" i="6"/>
  <c r="O25" i="37" s="1"/>
  <c r="I25" i="37"/>
  <c r="J31" i="36"/>
  <c r="P285" i="8"/>
  <c r="P284" i="8"/>
  <c r="M55" i="37" s="1"/>
  <c r="P286" i="8"/>
  <c r="N55" i="37" s="1"/>
  <c r="P287" i="8"/>
  <c r="O55" i="37" s="1"/>
  <c r="I55" i="37"/>
  <c r="J32" i="36"/>
  <c r="J34" i="36"/>
  <c r="J30" i="36"/>
  <c r="J48" i="36"/>
  <c r="J78" i="36"/>
  <c r="H1289" i="2"/>
  <c r="K48" i="36" s="1"/>
  <c r="H41" i="8"/>
  <c r="J50" i="37" s="1"/>
  <c r="H185" i="2"/>
  <c r="K25" i="36" s="1"/>
  <c r="J64" i="36"/>
  <c r="P232" i="2"/>
  <c r="O139" i="8"/>
  <c r="J141" i="8"/>
  <c r="P141" i="8" s="1"/>
  <c r="M139" i="8"/>
  <c r="P143" i="8"/>
  <c r="O141" i="8"/>
  <c r="L141" i="8"/>
  <c r="I52" i="37"/>
  <c r="O140" i="8"/>
  <c r="P140" i="8" s="1"/>
  <c r="P142" i="8"/>
  <c r="J51" i="36"/>
  <c r="J45" i="36"/>
  <c r="P1576" i="2"/>
  <c r="I50" i="37"/>
  <c r="J147" i="36"/>
  <c r="P44" i="21"/>
  <c r="N147" i="36" s="1"/>
  <c r="P46" i="21"/>
  <c r="O147" i="36" s="1"/>
  <c r="P45" i="21"/>
  <c r="P47" i="21"/>
  <c r="P147" i="36" s="1"/>
  <c r="P239" i="6"/>
  <c r="O20" i="37" s="1"/>
  <c r="P238" i="6"/>
  <c r="N20" i="37" s="1"/>
  <c r="P236" i="6"/>
  <c r="M20" i="37" s="1"/>
  <c r="P237" i="6"/>
  <c r="I20" i="37"/>
  <c r="I61" i="37"/>
  <c r="P381" i="8"/>
  <c r="P380" i="8"/>
  <c r="M61" i="37" s="1"/>
  <c r="P383" i="8"/>
  <c r="O61" i="37" s="1"/>
  <c r="P382" i="8"/>
  <c r="N61" i="37" s="1"/>
  <c r="J55" i="36"/>
  <c r="G11" i="39"/>
  <c r="G21" i="39"/>
  <c r="A38" i="6"/>
  <c r="A29" i="6"/>
  <c r="A40" i="6"/>
  <c r="O17" i="6" s="1"/>
  <c r="A37" i="6"/>
  <c r="A36" i="6"/>
  <c r="A35" i="6"/>
  <c r="A34" i="6"/>
  <c r="A39" i="6"/>
  <c r="O16" i="6" s="1"/>
  <c r="A30" i="6"/>
  <c r="A33" i="6"/>
  <c r="A32" i="6"/>
  <c r="A31" i="6"/>
  <c r="P6" i="6"/>
  <c r="P7" i="6" s="1"/>
  <c r="O140" i="20" l="1"/>
  <c r="P140" i="20" s="1"/>
  <c r="N75" i="36" s="1"/>
  <c r="J75" i="36"/>
  <c r="P143" i="20"/>
  <c r="P75" i="36" s="1"/>
  <c r="M139" i="20"/>
  <c r="O139" i="20"/>
  <c r="P142" i="20"/>
  <c r="O75" i="36" s="1"/>
  <c r="J141" i="20"/>
  <c r="P141" i="20" s="1"/>
  <c r="L141" i="20"/>
  <c r="P380" i="4"/>
  <c r="N68" i="36" s="1"/>
  <c r="P189" i="4"/>
  <c r="P286" i="4"/>
  <c r="O66" i="36" s="1"/>
  <c r="P190" i="4"/>
  <c r="O64" i="36" s="1"/>
  <c r="P142" i="4"/>
  <c r="O63" i="36" s="1"/>
  <c r="P94" i="4"/>
  <c r="O62" i="36" s="1"/>
  <c r="P139" i="4"/>
  <c r="P287" i="4"/>
  <c r="P66" i="36" s="1"/>
  <c r="P95" i="4"/>
  <c r="P62" i="36" s="1"/>
  <c r="P235" i="4"/>
  <c r="P191" i="4"/>
  <c r="P64" i="36" s="1"/>
  <c r="P187" i="4"/>
  <c r="P333" i="4"/>
  <c r="P236" i="4"/>
  <c r="N65" i="36" s="1"/>
  <c r="P332" i="4"/>
  <c r="N67" i="36" s="1"/>
  <c r="P237" i="4"/>
  <c r="P188" i="4"/>
  <c r="N64" i="36" s="1"/>
  <c r="P331" i="4"/>
  <c r="P381" i="4"/>
  <c r="P141" i="4"/>
  <c r="P284" i="4"/>
  <c r="N66" i="36" s="1"/>
  <c r="P238" i="4"/>
  <c r="O65" i="36" s="1"/>
  <c r="P92" i="4"/>
  <c r="N62" i="36" s="1"/>
  <c r="P383" i="4"/>
  <c r="P68" i="36" s="1"/>
  <c r="P140" i="4"/>
  <c r="N63" i="36" s="1"/>
  <c r="P334" i="4"/>
  <c r="O67" i="36" s="1"/>
  <c r="P285" i="4"/>
  <c r="P239" i="4"/>
  <c r="P65" i="36" s="1"/>
  <c r="P93" i="4"/>
  <c r="P382" i="4"/>
  <c r="O68" i="36" s="1"/>
  <c r="P335" i="4"/>
  <c r="P67" i="36" s="1"/>
  <c r="P143" i="4"/>
  <c r="P63" i="36" s="1"/>
  <c r="M149" i="36"/>
  <c r="O35" i="37"/>
  <c r="O37" i="37"/>
  <c r="O32" i="37"/>
  <c r="O38" i="37"/>
  <c r="O36" i="37"/>
  <c r="N37" i="37"/>
  <c r="N36" i="37"/>
  <c r="N35" i="37"/>
  <c r="N32" i="37"/>
  <c r="N38" i="37"/>
  <c r="M36" i="37"/>
  <c r="M32" i="37"/>
  <c r="M37" i="37"/>
  <c r="M38" i="37"/>
  <c r="M35" i="37"/>
  <c r="L34" i="37"/>
  <c r="L31" i="37"/>
  <c r="N31" i="37"/>
  <c r="M31" i="37"/>
  <c r="O31" i="37"/>
  <c r="O54" i="37"/>
  <c r="O51" i="37"/>
  <c r="O53" i="37"/>
  <c r="O52" i="37"/>
  <c r="N51" i="37"/>
  <c r="N52" i="37"/>
  <c r="N53" i="37"/>
  <c r="N54" i="37"/>
  <c r="M52" i="37"/>
  <c r="M51" i="37"/>
  <c r="M54" i="37"/>
  <c r="M53" i="37"/>
  <c r="M50" i="37"/>
  <c r="N50" i="37"/>
  <c r="O50" i="37"/>
  <c r="M33" i="37"/>
  <c r="O33" i="37"/>
  <c r="N33" i="37"/>
  <c r="P139" i="7"/>
  <c r="L18" i="37"/>
  <c r="L17" i="37"/>
  <c r="N79" i="36"/>
  <c r="P79" i="36"/>
  <c r="P78" i="36"/>
  <c r="N78" i="36"/>
  <c r="P139" i="5"/>
  <c r="P137" i="20"/>
  <c r="P379" i="4"/>
  <c r="P91" i="4"/>
  <c r="K53" i="36"/>
  <c r="K43" i="36"/>
  <c r="K42" i="36"/>
  <c r="K32" i="36"/>
  <c r="K31" i="36"/>
  <c r="N24" i="36"/>
  <c r="O24" i="36"/>
  <c r="P24" i="36"/>
  <c r="L32" i="37"/>
  <c r="P137" i="21"/>
  <c r="P144" i="21" s="1"/>
  <c r="P41" i="8"/>
  <c r="P48" i="8" s="1"/>
  <c r="P809" i="2"/>
  <c r="P1049" i="2"/>
  <c r="P857" i="2"/>
  <c r="P89" i="6"/>
  <c r="P96" i="6" s="1"/>
  <c r="P1289" i="2"/>
  <c r="P137" i="4"/>
  <c r="P1337" i="2"/>
  <c r="P281" i="4"/>
  <c r="L45" i="37"/>
  <c r="P89" i="7"/>
  <c r="P96" i="7" s="1"/>
  <c r="P713" i="2"/>
  <c r="P1625" i="2"/>
  <c r="P480" i="7"/>
  <c r="P137" i="2"/>
  <c r="P41" i="7"/>
  <c r="P48" i="7" s="1"/>
  <c r="P41" i="21"/>
  <c r="P761" i="2"/>
  <c r="P905" i="2"/>
  <c r="P1433" i="2"/>
  <c r="P185" i="8"/>
  <c r="P1481" i="2"/>
  <c r="P1385" i="2"/>
  <c r="P1241" i="2"/>
  <c r="P1145" i="2"/>
  <c r="P665" i="2"/>
  <c r="P521" i="2"/>
  <c r="P425" i="2"/>
  <c r="P233" i="2"/>
  <c r="P281" i="2"/>
  <c r="P377" i="2"/>
  <c r="P473" i="2"/>
  <c r="P953" i="2"/>
  <c r="P1001" i="2"/>
  <c r="P1097" i="2"/>
  <c r="P1193" i="2"/>
  <c r="P1577" i="2"/>
  <c r="P1673" i="2"/>
  <c r="P89" i="4"/>
  <c r="P185" i="4"/>
  <c r="P233" i="4"/>
  <c r="P329" i="4"/>
  <c r="P377" i="4"/>
  <c r="M80" i="36"/>
  <c r="P89" i="21"/>
  <c r="P96" i="21" s="1"/>
  <c r="M148" i="36"/>
  <c r="L19" i="37"/>
  <c r="P185" i="7"/>
  <c r="P192" i="7" s="1"/>
  <c r="P233" i="7"/>
  <c r="P281" i="7"/>
  <c r="P377" i="7"/>
  <c r="P137" i="8"/>
  <c r="P523" i="7"/>
  <c r="L44" i="37" s="1"/>
  <c r="P233" i="8"/>
  <c r="P192" i="6"/>
  <c r="P329" i="7"/>
  <c r="P569" i="2"/>
  <c r="P139" i="2"/>
  <c r="L39" i="37"/>
  <c r="P1529" i="2"/>
  <c r="P379" i="7"/>
  <c r="P185" i="2"/>
  <c r="P187" i="8"/>
  <c r="P91" i="5"/>
  <c r="P329" i="2"/>
  <c r="P137" i="7"/>
  <c r="P41" i="4"/>
  <c r="P139" i="8"/>
  <c r="P89" i="8"/>
  <c r="P43" i="21"/>
  <c r="P617" i="2"/>
  <c r="P139" i="20"/>
  <c r="P43" i="4"/>
  <c r="M77" i="36"/>
  <c r="P47" i="5"/>
  <c r="P283" i="13"/>
  <c r="P91" i="8"/>
  <c r="P427" i="8"/>
  <c r="P235" i="7"/>
  <c r="P576" i="7"/>
  <c r="P91" i="20"/>
  <c r="P331" i="6"/>
  <c r="L26" i="37" s="1"/>
  <c r="P144" i="6"/>
  <c r="P191" i="5"/>
  <c r="P379" i="8"/>
  <c r="P235" i="6"/>
  <c r="L20" i="37" s="1"/>
  <c r="L25" i="37"/>
  <c r="P187" i="20"/>
  <c r="P235" i="8"/>
  <c r="P283" i="7"/>
  <c r="P432" i="7"/>
  <c r="P283" i="8"/>
  <c r="P288" i="6"/>
  <c r="P331" i="7"/>
  <c r="P283" i="4"/>
  <c r="P331" i="8"/>
  <c r="C33" i="6"/>
  <c r="O10" i="6"/>
  <c r="C32" i="6"/>
  <c r="O9" i="6"/>
  <c r="O7" i="6"/>
  <c r="C30" i="6"/>
  <c r="O11" i="6"/>
  <c r="C34" i="6"/>
  <c r="C35" i="6"/>
  <c r="O12" i="6"/>
  <c r="C36" i="6"/>
  <c r="O13" i="6"/>
  <c r="C37" i="6"/>
  <c r="O14" i="6"/>
  <c r="O6" i="6"/>
  <c r="C29" i="6"/>
  <c r="C38" i="6"/>
  <c r="O15" i="6"/>
  <c r="O8" i="6"/>
  <c r="C31" i="6"/>
  <c r="R30" i="6"/>
  <c r="S30" i="6"/>
  <c r="R29" i="6"/>
  <c r="S29" i="6"/>
  <c r="P8" i="6"/>
  <c r="M62" i="36" l="1"/>
  <c r="M68" i="36"/>
  <c r="M63" i="36"/>
  <c r="M64" i="36"/>
  <c r="M67" i="36"/>
  <c r="P144" i="4"/>
  <c r="M66" i="36"/>
  <c r="P384" i="4"/>
  <c r="L36" i="37"/>
  <c r="L38" i="37"/>
  <c r="L52" i="37"/>
  <c r="L53" i="37"/>
  <c r="P144" i="7"/>
  <c r="L33" i="37"/>
  <c r="M79" i="36"/>
  <c r="P336" i="4"/>
  <c r="P96" i="4"/>
  <c r="M24" i="36"/>
  <c r="P48" i="21"/>
  <c r="P144" i="2"/>
  <c r="P528" i="7"/>
  <c r="P144" i="8"/>
  <c r="M147" i="36"/>
  <c r="M78" i="36"/>
  <c r="P95" i="5"/>
  <c r="P192" i="4"/>
  <c r="P192" i="8"/>
  <c r="P384" i="7"/>
  <c r="P288" i="4"/>
  <c r="L37" i="37"/>
  <c r="P336" i="7"/>
  <c r="P143" i="5"/>
  <c r="L54" i="37"/>
  <c r="P240" i="8"/>
  <c r="M116" i="36"/>
  <c r="P288" i="13"/>
  <c r="P336" i="6"/>
  <c r="M65" i="36"/>
  <c r="P240" i="4"/>
  <c r="P288" i="7"/>
  <c r="L62" i="37"/>
  <c r="P432" i="8"/>
  <c r="M61" i="36"/>
  <c r="P48" i="4"/>
  <c r="M74" i="36"/>
  <c r="P96" i="20"/>
  <c r="L55" i="37"/>
  <c r="P288" i="8"/>
  <c r="M76" i="36"/>
  <c r="P192" i="20"/>
  <c r="P240" i="6"/>
  <c r="L56" i="37"/>
  <c r="P336" i="8"/>
  <c r="L51" i="37"/>
  <c r="P96" i="8"/>
  <c r="L61" i="37"/>
  <c r="P384" i="8"/>
  <c r="L35" i="37"/>
  <c r="P240" i="7"/>
  <c r="M75" i="36"/>
  <c r="P144" i="20"/>
  <c r="R31" i="6"/>
  <c r="S31" i="6"/>
  <c r="P9" i="6"/>
  <c r="A29" i="15"/>
  <c r="O5" i="15"/>
  <c r="A14" i="15" l="1"/>
  <c r="O6" i="15"/>
  <c r="R32" i="6"/>
  <c r="S32" i="6"/>
  <c r="G17" i="1"/>
  <c r="G16" i="1"/>
  <c r="G14" i="1"/>
  <c r="G15" i="1"/>
  <c r="B14" i="6"/>
  <c r="P10" i="6"/>
  <c r="P6" i="15"/>
  <c r="B29" i="15" s="1"/>
  <c r="N5" i="19"/>
  <c r="O5" i="13"/>
  <c r="A29" i="19"/>
  <c r="N6" i="19" s="1"/>
  <c r="E29" i="15" l="1"/>
  <c r="N29" i="15"/>
  <c r="G16" i="6"/>
  <c r="G14" i="6"/>
  <c r="B29" i="6" s="1"/>
  <c r="G17" i="6"/>
  <c r="F13" i="6"/>
  <c r="G15" i="6"/>
  <c r="F29" i="6"/>
  <c r="F30" i="6" s="1"/>
  <c r="F31" i="6" s="1"/>
  <c r="F32" i="6" s="1"/>
  <c r="F33" i="6" s="1"/>
  <c r="R33" i="6"/>
  <c r="S33" i="6"/>
  <c r="D29" i="15"/>
  <c r="F29" i="15"/>
  <c r="O7" i="19"/>
  <c r="P11" i="6"/>
  <c r="P7" i="15"/>
  <c r="B29" i="19"/>
  <c r="N29" i="6" l="1"/>
  <c r="M29" i="6"/>
  <c r="L29" i="6"/>
  <c r="K29" i="6"/>
  <c r="J29" i="6"/>
  <c r="I29" i="6"/>
  <c r="H29" i="6"/>
  <c r="B30" i="6"/>
  <c r="D29" i="6"/>
  <c r="O29" i="6"/>
  <c r="E29" i="6"/>
  <c r="F34" i="6"/>
  <c r="S34" i="6"/>
  <c r="R34" i="6"/>
  <c r="L29" i="15"/>
  <c r="K29" i="15"/>
  <c r="O30" i="19"/>
  <c r="B30" i="19" s="1"/>
  <c r="O8" i="19"/>
  <c r="P12" i="6"/>
  <c r="P8" i="15"/>
  <c r="J30" i="6" l="1"/>
  <c r="N30" i="6"/>
  <c r="M30" i="6"/>
  <c r="L30" i="6"/>
  <c r="I30" i="6"/>
  <c r="K30" i="6"/>
  <c r="H30" i="6"/>
  <c r="V29" i="6"/>
  <c r="U29" i="6"/>
  <c r="G29" i="6"/>
  <c r="O30" i="6"/>
  <c r="B31" i="6"/>
  <c r="D30" i="6"/>
  <c r="E30" i="6"/>
  <c r="G30" i="6" s="1"/>
  <c r="F35" i="6"/>
  <c r="S35" i="6"/>
  <c r="R35" i="6"/>
  <c r="O9" i="19"/>
  <c r="O10" i="19" s="1"/>
  <c r="O31" i="19"/>
  <c r="B31" i="19" s="1"/>
  <c r="P13" i="6"/>
  <c r="P9" i="15"/>
  <c r="M31" i="6" l="1"/>
  <c r="L31" i="6"/>
  <c r="K31" i="6"/>
  <c r="J31" i="6"/>
  <c r="I31" i="6"/>
  <c r="H31" i="6"/>
  <c r="N31" i="6"/>
  <c r="V30" i="6"/>
  <c r="O31" i="6"/>
  <c r="E31" i="6"/>
  <c r="G31" i="6" s="1"/>
  <c r="D31" i="6"/>
  <c r="B32" i="6"/>
  <c r="U30" i="6"/>
  <c r="F36" i="6"/>
  <c r="R36" i="6"/>
  <c r="S36" i="6"/>
  <c r="P14" i="6"/>
  <c r="O32" i="19"/>
  <c r="B32" i="19" s="1"/>
  <c r="P10" i="15"/>
  <c r="O11" i="19"/>
  <c r="O33" i="19"/>
  <c r="B33" i="19" s="1"/>
  <c r="H32" i="6" l="1"/>
  <c r="N32" i="6"/>
  <c r="M32" i="6"/>
  <c r="L32" i="6"/>
  <c r="K32" i="6"/>
  <c r="J32" i="6"/>
  <c r="I32" i="6"/>
  <c r="P29" i="6"/>
  <c r="V31" i="6"/>
  <c r="U31" i="6"/>
  <c r="D32" i="6"/>
  <c r="B33" i="6"/>
  <c r="E32" i="6"/>
  <c r="G32" i="6" s="1"/>
  <c r="O32" i="6"/>
  <c r="F37" i="6"/>
  <c r="R37" i="6"/>
  <c r="S37" i="6"/>
  <c r="P11" i="15"/>
  <c r="P15" i="6"/>
  <c r="O12" i="19"/>
  <c r="O34" i="19"/>
  <c r="B34" i="19" s="1"/>
  <c r="M33" i="6" l="1"/>
  <c r="L33" i="6"/>
  <c r="K33" i="6"/>
  <c r="J33" i="6"/>
  <c r="I33" i="6"/>
  <c r="H33" i="6"/>
  <c r="N33" i="6"/>
  <c r="V32" i="6"/>
  <c r="D33" i="6"/>
  <c r="B34" i="6"/>
  <c r="E33" i="6"/>
  <c r="G33" i="6" s="1"/>
  <c r="O33" i="6"/>
  <c r="P30" i="6"/>
  <c r="U32" i="6"/>
  <c r="F38" i="6"/>
  <c r="R38" i="6"/>
  <c r="S38" i="6"/>
  <c r="P16" i="6"/>
  <c r="O13" i="19"/>
  <c r="P12" i="15"/>
  <c r="O35" i="19"/>
  <c r="B35" i="19" s="1"/>
  <c r="N34" i="6" l="1"/>
  <c r="M34" i="6"/>
  <c r="L34" i="6"/>
  <c r="K34" i="6"/>
  <c r="J34" i="6"/>
  <c r="H34" i="6"/>
  <c r="I34" i="6"/>
  <c r="V33" i="6"/>
  <c r="U33" i="6"/>
  <c r="B35" i="6"/>
  <c r="O34" i="6"/>
  <c r="D34" i="6"/>
  <c r="E34" i="6"/>
  <c r="G34" i="6" s="1"/>
  <c r="P31" i="6"/>
  <c r="F39" i="6"/>
  <c r="R39" i="6"/>
  <c r="S39" i="6"/>
  <c r="P17" i="6"/>
  <c r="O14" i="19"/>
  <c r="P13" i="15"/>
  <c r="O36" i="19"/>
  <c r="B36" i="19" s="1"/>
  <c r="K35" i="6" l="1"/>
  <c r="L35" i="6"/>
  <c r="J35" i="6"/>
  <c r="I35" i="6"/>
  <c r="H35" i="6"/>
  <c r="N35" i="6"/>
  <c r="M35" i="6"/>
  <c r="U34" i="6"/>
  <c r="O35" i="6"/>
  <c r="B36" i="6"/>
  <c r="D35" i="6"/>
  <c r="E35" i="6"/>
  <c r="G35" i="6" s="1"/>
  <c r="P32" i="6"/>
  <c r="V34" i="6"/>
  <c r="F40" i="6"/>
  <c r="F41" i="6" s="1"/>
  <c r="S40" i="6"/>
  <c r="R40" i="6"/>
  <c r="F70" i="37"/>
  <c r="F71" i="37" s="1"/>
  <c r="O15" i="19"/>
  <c r="P14" i="15"/>
  <c r="O37" i="19"/>
  <c r="N36" i="6" l="1"/>
  <c r="M36" i="6"/>
  <c r="L36" i="6"/>
  <c r="K36" i="6"/>
  <c r="J36" i="6"/>
  <c r="I36" i="6"/>
  <c r="H36" i="6"/>
  <c r="B37" i="19"/>
  <c r="P33" i="6"/>
  <c r="B37" i="6"/>
  <c r="D36" i="6"/>
  <c r="E36" i="6"/>
  <c r="G36" i="6" s="1"/>
  <c r="O36" i="6"/>
  <c r="U35" i="6"/>
  <c r="V35" i="6"/>
  <c r="P15" i="15"/>
  <c r="O38" i="19"/>
  <c r="B38" i="19" s="1"/>
  <c r="O16" i="19"/>
  <c r="I37" i="6" l="1"/>
  <c r="K37" i="6"/>
  <c r="J37" i="6"/>
  <c r="H37" i="6"/>
  <c r="M37" i="6"/>
  <c r="L37" i="6"/>
  <c r="N37" i="6"/>
  <c r="U36" i="6"/>
  <c r="V36" i="6"/>
  <c r="P34" i="6"/>
  <c r="E37" i="6"/>
  <c r="G37" i="6" s="1"/>
  <c r="B38" i="6"/>
  <c r="D37" i="6"/>
  <c r="O37" i="6"/>
  <c r="P16" i="15"/>
  <c r="O39" i="19"/>
  <c r="B39" i="19" s="1"/>
  <c r="O17" i="19"/>
  <c r="N38" i="6" l="1"/>
  <c r="M38" i="6"/>
  <c r="L38" i="6"/>
  <c r="K38" i="6"/>
  <c r="J38" i="6"/>
  <c r="I38" i="6"/>
  <c r="H38" i="6"/>
  <c r="V37" i="6"/>
  <c r="U37" i="6"/>
  <c r="P35" i="6"/>
  <c r="D38" i="6"/>
  <c r="E38" i="6"/>
  <c r="G38" i="6" s="1"/>
  <c r="O38" i="6"/>
  <c r="B39" i="6"/>
  <c r="P17" i="15"/>
  <c r="O40" i="19"/>
  <c r="H39" i="6" l="1"/>
  <c r="M39" i="6"/>
  <c r="L39" i="6"/>
  <c r="K39" i="6"/>
  <c r="J39" i="6"/>
  <c r="I39" i="6"/>
  <c r="N39" i="6"/>
  <c r="B40" i="19"/>
  <c r="P36" i="6"/>
  <c r="U38" i="6"/>
  <c r="V38" i="6"/>
  <c r="D39" i="6"/>
  <c r="E39" i="6"/>
  <c r="B40" i="6"/>
  <c r="M10" i="6" l="1"/>
  <c r="E20" i="6" s="1"/>
  <c r="M40" i="6"/>
  <c r="L40" i="6"/>
  <c r="K40" i="6"/>
  <c r="J40" i="6"/>
  <c r="N40" i="6"/>
  <c r="I40" i="6"/>
  <c r="H40" i="6"/>
  <c r="P37" i="6"/>
  <c r="E40" i="6"/>
  <c r="E41" i="6" s="1"/>
  <c r="D40" i="6"/>
  <c r="D41" i="6" s="1"/>
  <c r="B41" i="6"/>
  <c r="E21" i="6" l="1"/>
  <c r="P38" i="6"/>
  <c r="N70" i="37"/>
  <c r="F27" i="37"/>
  <c r="F28" i="37" s="1"/>
  <c r="M70" i="37"/>
  <c r="P45" i="15" l="1"/>
  <c r="A173" i="13"/>
  <c r="C173" i="13" s="1"/>
  <c r="O173" i="13" l="1"/>
  <c r="M173" i="13"/>
  <c r="I173" i="13"/>
  <c r="J173" i="13"/>
  <c r="L173" i="13"/>
  <c r="G173" i="13"/>
  <c r="K173" i="13"/>
  <c r="H173" i="13"/>
  <c r="A158" i="13"/>
  <c r="O150" i="13"/>
  <c r="G16" i="19"/>
  <c r="G19" i="19"/>
  <c r="G18" i="19"/>
  <c r="G17" i="19"/>
  <c r="P173" i="13" l="1"/>
  <c r="C35" i="19"/>
  <c r="C33" i="19"/>
  <c r="C31" i="19"/>
  <c r="C32" i="19"/>
  <c r="C40" i="19"/>
  <c r="C39" i="19"/>
  <c r="C34" i="19"/>
  <c r="C38" i="19"/>
  <c r="C37" i="19"/>
  <c r="C30" i="19"/>
  <c r="C36" i="19"/>
  <c r="C29" i="19"/>
  <c r="D33" i="19"/>
  <c r="D32" i="19"/>
  <c r="D31" i="19"/>
  <c r="D30" i="19"/>
  <c r="D29" i="19"/>
  <c r="D40" i="19"/>
  <c r="D39" i="19"/>
  <c r="D38" i="19"/>
  <c r="D37" i="19"/>
  <c r="D36" i="19"/>
  <c r="D34" i="19"/>
  <c r="D35" i="19"/>
  <c r="E38" i="19"/>
  <c r="E29" i="19"/>
  <c r="E37" i="19"/>
  <c r="E40" i="19"/>
  <c r="E39" i="19"/>
  <c r="E36" i="19"/>
  <c r="E35" i="19"/>
  <c r="E34" i="19"/>
  <c r="E33" i="19"/>
  <c r="E32" i="19"/>
  <c r="E31" i="19"/>
  <c r="E30" i="19"/>
  <c r="A29" i="13"/>
  <c r="B17" i="13"/>
  <c r="B16" i="13"/>
  <c r="N13" i="13"/>
  <c r="B17" i="20"/>
  <c r="B16" i="20"/>
  <c r="B15" i="20"/>
  <c r="P6" i="20"/>
  <c r="O5" i="20"/>
  <c r="C29" i="13" l="1"/>
  <c r="O6" i="13"/>
  <c r="A29" i="20"/>
  <c r="P7" i="20"/>
  <c r="A14" i="13"/>
  <c r="P7" i="13"/>
  <c r="R30" i="13" l="1"/>
  <c r="S30" i="13"/>
  <c r="C29" i="20"/>
  <c r="A14" i="20"/>
  <c r="O6" i="20"/>
  <c r="F29" i="20"/>
  <c r="B29" i="20"/>
  <c r="P8" i="20"/>
  <c r="P9" i="20" s="1"/>
  <c r="P8" i="13"/>
  <c r="S31" i="13" l="1"/>
  <c r="R31" i="13"/>
  <c r="O29" i="20"/>
  <c r="D29" i="20"/>
  <c r="E29" i="20"/>
  <c r="P9" i="13"/>
  <c r="P10" i="20"/>
  <c r="N29" i="20" l="1"/>
  <c r="H29" i="20"/>
  <c r="M29" i="20"/>
  <c r="I29" i="20"/>
  <c r="K29" i="20"/>
  <c r="J29" i="20"/>
  <c r="L29" i="20"/>
  <c r="S32" i="13"/>
  <c r="R32" i="13"/>
  <c r="G29" i="20"/>
  <c r="P11" i="20"/>
  <c r="P10" i="13"/>
  <c r="P29" i="20" l="1"/>
  <c r="S33" i="13"/>
  <c r="R33" i="13"/>
  <c r="P11" i="13"/>
  <c r="P12" i="20"/>
  <c r="S34" i="13" l="1"/>
  <c r="R34" i="13"/>
  <c r="P13" i="20"/>
  <c r="P12" i="13"/>
  <c r="S35" i="13" l="1"/>
  <c r="R35" i="13"/>
  <c r="P14" i="20"/>
  <c r="P13" i="13"/>
  <c r="Q83" i="36"/>
  <c r="R36" i="13" l="1"/>
  <c r="S36" i="13"/>
  <c r="P14" i="13"/>
  <c r="P15" i="20"/>
  <c r="Q82" i="36"/>
  <c r="Q84" i="36"/>
  <c r="S37" i="13" l="1"/>
  <c r="R37" i="13"/>
  <c r="G82" i="36"/>
  <c r="P16" i="20"/>
  <c r="G83" i="36"/>
  <c r="P15" i="13"/>
  <c r="R38" i="13" l="1"/>
  <c r="S38" i="13"/>
  <c r="P17" i="20"/>
  <c r="P16" i="13"/>
  <c r="S39" i="13" l="1"/>
  <c r="R39" i="13"/>
  <c r="P17" i="13"/>
  <c r="S40" i="13" l="1"/>
  <c r="R40" i="13"/>
  <c r="A34" i="15" l="1"/>
  <c r="A34" i="19"/>
  <c r="N11" i="19" s="1"/>
  <c r="A34" i="13"/>
  <c r="A34" i="20"/>
  <c r="A31" i="15"/>
  <c r="A31" i="19"/>
  <c r="N8" i="19" s="1"/>
  <c r="A31" i="13"/>
  <c r="A31" i="20"/>
  <c r="A30" i="15"/>
  <c r="A30" i="19"/>
  <c r="N7" i="19" s="1"/>
  <c r="A30" i="13"/>
  <c r="A30" i="20"/>
  <c r="A36" i="15"/>
  <c r="A36" i="19"/>
  <c r="N13" i="19" s="1"/>
  <c r="A36" i="20"/>
  <c r="A36" i="13"/>
  <c r="A40" i="15"/>
  <c r="A40" i="19"/>
  <c r="N17" i="19" s="1"/>
  <c r="A184" i="13"/>
  <c r="A40" i="13"/>
  <c r="O17" i="13" s="1"/>
  <c r="A40" i="20"/>
  <c r="A32" i="15"/>
  <c r="A32" i="19"/>
  <c r="N9" i="19" s="1"/>
  <c r="A32" i="13"/>
  <c r="A32" i="20"/>
  <c r="A38" i="15"/>
  <c r="A38" i="19"/>
  <c r="N15" i="19" s="1"/>
  <c r="A182" i="13"/>
  <c r="C182" i="13" s="1"/>
  <c r="A38" i="20"/>
  <c r="A38" i="13"/>
  <c r="A35" i="15"/>
  <c r="A35" i="19"/>
  <c r="N12" i="19" s="1"/>
  <c r="A35" i="13"/>
  <c r="A35" i="20"/>
  <c r="A37" i="15"/>
  <c r="A37" i="19"/>
  <c r="N14" i="19" s="1"/>
  <c r="A181" i="13"/>
  <c r="C181" i="13" s="1"/>
  <c r="A37" i="20"/>
  <c r="A37" i="13"/>
  <c r="A33" i="15"/>
  <c r="A33" i="19"/>
  <c r="N10" i="19" s="1"/>
  <c r="A33" i="13"/>
  <c r="A33" i="20"/>
  <c r="A39" i="15"/>
  <c r="A39" i="19"/>
  <c r="N16" i="19" s="1"/>
  <c r="A183" i="13"/>
  <c r="A39" i="13"/>
  <c r="O16" i="13" s="1"/>
  <c r="A39" i="20"/>
  <c r="O5" i="2"/>
  <c r="G182" i="13" l="1"/>
  <c r="O182" i="13"/>
  <c r="K182" i="13"/>
  <c r="H182" i="13"/>
  <c r="M182" i="13"/>
  <c r="L182" i="13"/>
  <c r="J182" i="13"/>
  <c r="O181" i="13"/>
  <c r="M181" i="13"/>
  <c r="G181" i="13"/>
  <c r="K181" i="13"/>
  <c r="I181" i="13"/>
  <c r="L181" i="13"/>
  <c r="H181" i="13"/>
  <c r="J181" i="13"/>
  <c r="I182" i="13"/>
  <c r="O8" i="15"/>
  <c r="O7" i="15"/>
  <c r="B30" i="15"/>
  <c r="O12" i="15"/>
  <c r="O15" i="15"/>
  <c r="O14" i="15"/>
  <c r="O9" i="15"/>
  <c r="O16" i="15"/>
  <c r="O17" i="15"/>
  <c r="O10" i="15"/>
  <c r="O13" i="15"/>
  <c r="O11" i="15"/>
  <c r="O159" i="13"/>
  <c r="O158" i="13"/>
  <c r="O160" i="13"/>
  <c r="O161" i="13"/>
  <c r="C30" i="13"/>
  <c r="O7" i="13"/>
  <c r="C31" i="13"/>
  <c r="O8" i="13"/>
  <c r="O12" i="13"/>
  <c r="C35" i="13"/>
  <c r="C38" i="13"/>
  <c r="O15" i="13"/>
  <c r="O14" i="13"/>
  <c r="C37" i="13"/>
  <c r="C32" i="13"/>
  <c r="O9" i="13"/>
  <c r="C34" i="13"/>
  <c r="O11" i="13"/>
  <c r="C33" i="13"/>
  <c r="O10" i="13"/>
  <c r="O13" i="13"/>
  <c r="C36" i="13"/>
  <c r="O12" i="20"/>
  <c r="C35" i="20"/>
  <c r="O13" i="20"/>
  <c r="C36" i="20"/>
  <c r="O11" i="20"/>
  <c r="C34" i="20"/>
  <c r="O17" i="20"/>
  <c r="O9" i="20"/>
  <c r="C32" i="20"/>
  <c r="C33" i="20"/>
  <c r="O10" i="20"/>
  <c r="O14" i="20"/>
  <c r="C37" i="20"/>
  <c r="C31" i="20"/>
  <c r="O8" i="20"/>
  <c r="O16" i="20"/>
  <c r="C30" i="20"/>
  <c r="O7" i="20"/>
  <c r="B30" i="20"/>
  <c r="F30" i="20"/>
  <c r="O15" i="20"/>
  <c r="C38" i="20"/>
  <c r="A39" i="2"/>
  <c r="O16" i="2" s="1"/>
  <c r="A38" i="2"/>
  <c r="A34" i="2"/>
  <c r="A31" i="2"/>
  <c r="A37" i="2"/>
  <c r="A33" i="2"/>
  <c r="A30" i="2"/>
  <c r="A36" i="2"/>
  <c r="A35" i="2"/>
  <c r="A32" i="2"/>
  <c r="A29" i="2"/>
  <c r="A40" i="2"/>
  <c r="O17" i="2" s="1"/>
  <c r="P181" i="13" l="1"/>
  <c r="P182" i="13"/>
  <c r="E30" i="15"/>
  <c r="N30" i="15"/>
  <c r="D30" i="15"/>
  <c r="F30" i="15"/>
  <c r="B31" i="15"/>
  <c r="F31" i="20"/>
  <c r="F32" i="20" s="1"/>
  <c r="F33" i="20" s="1"/>
  <c r="F34" i="20" s="1"/>
  <c r="F35" i="20" s="1"/>
  <c r="F36" i="20" s="1"/>
  <c r="F37" i="20" s="1"/>
  <c r="F38" i="20" s="1"/>
  <c r="E30" i="20"/>
  <c r="O30" i="20"/>
  <c r="D30" i="20"/>
  <c r="B31" i="20"/>
  <c r="O6" i="2"/>
  <c r="C29" i="2"/>
  <c r="C36" i="2"/>
  <c r="O13" i="2"/>
  <c r="C30" i="2"/>
  <c r="O7" i="2"/>
  <c r="O10" i="2"/>
  <c r="O9" i="2"/>
  <c r="C32" i="2"/>
  <c r="O12" i="2"/>
  <c r="C35" i="2"/>
  <c r="O14" i="2"/>
  <c r="C37" i="2"/>
  <c r="O8" i="2"/>
  <c r="O11" i="2"/>
  <c r="C34" i="2"/>
  <c r="O15" i="2"/>
  <c r="N31" i="15" l="1"/>
  <c r="E31" i="15"/>
  <c r="F39" i="20"/>
  <c r="F40" i="20" s="1"/>
  <c r="K30" i="15"/>
  <c r="L30" i="15"/>
  <c r="F31" i="15"/>
  <c r="D31" i="15"/>
  <c r="B32" i="15"/>
  <c r="M30" i="20"/>
  <c r="L30" i="20"/>
  <c r="H30" i="20"/>
  <c r="K30" i="20"/>
  <c r="J30" i="20"/>
  <c r="N30" i="20"/>
  <c r="F41" i="20"/>
  <c r="I30" i="20"/>
  <c r="O31" i="20"/>
  <c r="D31" i="20"/>
  <c r="E31" i="20"/>
  <c r="B32" i="20"/>
  <c r="I27" i="37"/>
  <c r="J70" i="37"/>
  <c r="N32" i="15" l="1"/>
  <c r="E32" i="15"/>
  <c r="J31" i="20"/>
  <c r="K31" i="15"/>
  <c r="L31" i="15"/>
  <c r="F32" i="15"/>
  <c r="D32" i="15"/>
  <c r="B33" i="15"/>
  <c r="K31" i="20"/>
  <c r="I31" i="20"/>
  <c r="M155" i="13"/>
  <c r="M31" i="20"/>
  <c r="L31" i="20"/>
  <c r="H31" i="20"/>
  <c r="O32" i="20"/>
  <c r="D32" i="20"/>
  <c r="I32" i="20" s="1"/>
  <c r="E32" i="20"/>
  <c r="B33" i="20"/>
  <c r="N31" i="20"/>
  <c r="M63" i="37"/>
  <c r="I63" i="37"/>
  <c r="O63" i="37"/>
  <c r="I46" i="37"/>
  <c r="M46" i="37"/>
  <c r="N63" i="37"/>
  <c r="O46" i="37"/>
  <c r="N46" i="37"/>
  <c r="M27" i="37"/>
  <c r="I70" i="37"/>
  <c r="N27" i="37"/>
  <c r="O27" i="37"/>
  <c r="N33" i="15" l="1"/>
  <c r="E33" i="15"/>
  <c r="K32" i="15"/>
  <c r="L32" i="15"/>
  <c r="F33" i="15"/>
  <c r="D33" i="15"/>
  <c r="B34" i="15"/>
  <c r="N32" i="20"/>
  <c r="J32" i="20"/>
  <c r="M32" i="20"/>
  <c r="L32" i="20"/>
  <c r="H32" i="20"/>
  <c r="E164" i="13"/>
  <c r="C183" i="13" s="1"/>
  <c r="S167" i="13"/>
  <c r="S163" i="13" s="1"/>
  <c r="P162" i="13"/>
  <c r="M156" i="13" s="1"/>
  <c r="G114" i="36" s="1"/>
  <c r="S168" i="13"/>
  <c r="S164" i="13" s="1"/>
  <c r="R164" i="13"/>
  <c r="R163" i="13"/>
  <c r="K32" i="20"/>
  <c r="D33" i="20"/>
  <c r="E33" i="20"/>
  <c r="O33" i="20"/>
  <c r="B34" i="20"/>
  <c r="O70" i="37"/>
  <c r="L63" i="37"/>
  <c r="L46" i="37"/>
  <c r="J150" i="36"/>
  <c r="P150" i="36"/>
  <c r="L27" i="37"/>
  <c r="I57" i="37"/>
  <c r="I41" i="37"/>
  <c r="O150" i="36"/>
  <c r="N150" i="36"/>
  <c r="N34" i="15" l="1"/>
  <c r="E34" i="15"/>
  <c r="J183" i="13"/>
  <c r="O183" i="13"/>
  <c r="M183" i="13"/>
  <c r="K183" i="13"/>
  <c r="H183" i="13"/>
  <c r="L183" i="13"/>
  <c r="G183" i="13"/>
  <c r="I183" i="13"/>
  <c r="J33" i="20"/>
  <c r="L33" i="20"/>
  <c r="I33" i="20"/>
  <c r="L33" i="15"/>
  <c r="K33" i="15"/>
  <c r="F34" i="15"/>
  <c r="D34" i="15"/>
  <c r="B35" i="15"/>
  <c r="N33" i="20"/>
  <c r="H33" i="20"/>
  <c r="M33" i="20"/>
  <c r="K33" i="20"/>
  <c r="B35" i="20"/>
  <c r="E34" i="20"/>
  <c r="O34" i="20"/>
  <c r="D34" i="20"/>
  <c r="O57" i="37"/>
  <c r="D65" i="38" s="1"/>
  <c r="M150" i="36"/>
  <c r="N35" i="15" l="1"/>
  <c r="E35" i="15"/>
  <c r="P183" i="13"/>
  <c r="L34" i="15"/>
  <c r="N34" i="20"/>
  <c r="L34" i="20"/>
  <c r="I34" i="20"/>
  <c r="J34" i="20"/>
  <c r="K34" i="15"/>
  <c r="D35" i="15"/>
  <c r="F35" i="15"/>
  <c r="B36" i="15"/>
  <c r="K34" i="20"/>
  <c r="E61" i="40"/>
  <c r="L61" i="40" s="1"/>
  <c r="G65" i="38"/>
  <c r="F65" i="38"/>
  <c r="M34" i="20"/>
  <c r="H34" i="20"/>
  <c r="O35" i="20"/>
  <c r="E35" i="20"/>
  <c r="D35" i="20"/>
  <c r="B36" i="20"/>
  <c r="E65" i="38"/>
  <c r="L57" i="37"/>
  <c r="M41" i="37"/>
  <c r="L41" i="37"/>
  <c r="N57" i="37"/>
  <c r="D63" i="38" s="1"/>
  <c r="N41" i="37"/>
  <c r="D52" i="38" s="1"/>
  <c r="M57" i="37"/>
  <c r="E36" i="15" l="1"/>
  <c r="N36" i="15"/>
  <c r="H35" i="20"/>
  <c r="K35" i="15"/>
  <c r="L35" i="15"/>
  <c r="D36" i="15"/>
  <c r="F36" i="15"/>
  <c r="B37" i="15"/>
  <c r="L35" i="20"/>
  <c r="N35" i="20"/>
  <c r="J35" i="20"/>
  <c r="K35" i="20"/>
  <c r="I35" i="20"/>
  <c r="J61" i="40"/>
  <c r="K61" i="40"/>
  <c r="G61" i="40"/>
  <c r="E59" i="40"/>
  <c r="L59" i="40" s="1"/>
  <c r="G63" i="38"/>
  <c r="E48" i="40"/>
  <c r="L48" i="40" s="1"/>
  <c r="G52" i="38"/>
  <c r="F63" i="38"/>
  <c r="F52" i="38"/>
  <c r="M35" i="20"/>
  <c r="O36" i="20"/>
  <c r="E36" i="20"/>
  <c r="D36" i="20"/>
  <c r="B37" i="20"/>
  <c r="E63" i="38"/>
  <c r="E52" i="38"/>
  <c r="D64" i="38"/>
  <c r="L42" i="37"/>
  <c r="D53" i="38"/>
  <c r="L58" i="37"/>
  <c r="N37" i="15" l="1"/>
  <c r="E37" i="15"/>
  <c r="I36" i="20"/>
  <c r="M36" i="20"/>
  <c r="K36" i="20"/>
  <c r="J36" i="20"/>
  <c r="L36" i="15"/>
  <c r="K36" i="15"/>
  <c r="F37" i="15"/>
  <c r="D37" i="15"/>
  <c r="B38" i="15"/>
  <c r="H36" i="20"/>
  <c r="N36" i="20"/>
  <c r="L36" i="20"/>
  <c r="G48" i="40"/>
  <c r="K59" i="40"/>
  <c r="G59" i="40"/>
  <c r="J59" i="40"/>
  <c r="E60" i="40"/>
  <c r="L60" i="40" s="1"/>
  <c r="G64" i="38"/>
  <c r="K48" i="40"/>
  <c r="J48" i="40"/>
  <c r="E49" i="40"/>
  <c r="L49" i="40" s="1"/>
  <c r="G53" i="38"/>
  <c r="F53" i="38"/>
  <c r="F64" i="38"/>
  <c r="O37" i="20"/>
  <c r="D37" i="20"/>
  <c r="E37" i="20"/>
  <c r="B38" i="20"/>
  <c r="E64" i="38"/>
  <c r="E53" i="38"/>
  <c r="P18" i="6"/>
  <c r="N38" i="15" l="1"/>
  <c r="E38" i="15"/>
  <c r="M37" i="20"/>
  <c r="H37" i="20"/>
  <c r="N37" i="20"/>
  <c r="J37" i="20"/>
  <c r="K37" i="20"/>
  <c r="I37" i="20"/>
  <c r="K37" i="15"/>
  <c r="L37" i="15"/>
  <c r="F38" i="15"/>
  <c r="D38" i="15"/>
  <c r="B39" i="15"/>
  <c r="L37" i="20"/>
  <c r="J60" i="40"/>
  <c r="K60" i="40"/>
  <c r="G60" i="40"/>
  <c r="J49" i="40"/>
  <c r="K49" i="40"/>
  <c r="G49" i="40"/>
  <c r="O38" i="20"/>
  <c r="D38" i="20"/>
  <c r="E38" i="20"/>
  <c r="B39" i="20"/>
  <c r="M11" i="6"/>
  <c r="N39" i="15" l="1"/>
  <c r="E39" i="15"/>
  <c r="L38" i="20"/>
  <c r="I38" i="20"/>
  <c r="L38" i="15"/>
  <c r="K38" i="15"/>
  <c r="F39" i="15"/>
  <c r="D39" i="15"/>
  <c r="K39" i="15"/>
  <c r="B40" i="15"/>
  <c r="H38" i="20"/>
  <c r="N38" i="20"/>
  <c r="K38" i="20"/>
  <c r="M38" i="20"/>
  <c r="J38" i="20"/>
  <c r="C39" i="6"/>
  <c r="C40" i="6"/>
  <c r="R19" i="6"/>
  <c r="R20" i="6"/>
  <c r="S23" i="6"/>
  <c r="S19" i="6" s="1"/>
  <c r="S24" i="6"/>
  <c r="S20" i="6" s="1"/>
  <c r="E39" i="20"/>
  <c r="D39" i="20"/>
  <c r="B40" i="20"/>
  <c r="B41" i="20" s="1"/>
  <c r="F16" i="37"/>
  <c r="F21" i="37" s="1"/>
  <c r="N40" i="15" l="1"/>
  <c r="N41" i="15" s="1"/>
  <c r="E40" i="15"/>
  <c r="B41" i="15"/>
  <c r="L39" i="15"/>
  <c r="M11" i="15"/>
  <c r="D40" i="15"/>
  <c r="D41" i="15" s="1"/>
  <c r="E41" i="15"/>
  <c r="F40" i="15"/>
  <c r="F41" i="15" s="1"/>
  <c r="U40" i="6"/>
  <c r="G40" i="6"/>
  <c r="O40" i="6"/>
  <c r="U39" i="6"/>
  <c r="O39" i="6"/>
  <c r="G39" i="6"/>
  <c r="V40" i="6"/>
  <c r="V39" i="6"/>
  <c r="C41" i="6"/>
  <c r="E40" i="20"/>
  <c r="E41" i="20" s="1"/>
  <c r="D40" i="20"/>
  <c r="D41" i="20" s="1"/>
  <c r="F22" i="37"/>
  <c r="O41" i="6" l="1"/>
  <c r="K16" i="37" s="1"/>
  <c r="P18" i="15"/>
  <c r="M12" i="15" s="1"/>
  <c r="E20" i="15"/>
  <c r="C33" i="15"/>
  <c r="E21" i="15"/>
  <c r="C39" i="15"/>
  <c r="C30" i="15"/>
  <c r="C36" i="15"/>
  <c r="C34" i="15"/>
  <c r="C38" i="15"/>
  <c r="C40" i="15"/>
  <c r="C37" i="15"/>
  <c r="C31" i="15"/>
  <c r="C32" i="15"/>
  <c r="C29" i="15"/>
  <c r="G29" i="15" s="1"/>
  <c r="C35" i="15"/>
  <c r="L40" i="15"/>
  <c r="K40" i="15"/>
  <c r="G140" i="36"/>
  <c r="G143" i="36" s="1"/>
  <c r="G144" i="36" s="1"/>
  <c r="P47" i="15"/>
  <c r="P140" i="36" s="1"/>
  <c r="G41" i="6"/>
  <c r="C41" i="15" l="1"/>
  <c r="P43" i="6"/>
  <c r="I16" i="37"/>
  <c r="I21" i="37" s="1"/>
  <c r="P44" i="6"/>
  <c r="P47" i="6"/>
  <c r="P46" i="6"/>
  <c r="P40" i="6"/>
  <c r="H41" i="6"/>
  <c r="J16" i="37" s="1"/>
  <c r="P39" i="6"/>
  <c r="M16" i="37" l="1"/>
  <c r="N16" i="37"/>
  <c r="N21" i="37" s="1"/>
  <c r="D42" i="38" s="1"/>
  <c r="G42" i="38" s="1"/>
  <c r="O16" i="37"/>
  <c r="O21" i="37" s="1"/>
  <c r="D44" i="38" s="1"/>
  <c r="G44" i="38" s="1"/>
  <c r="L16" i="37"/>
  <c r="L21" i="37" s="1"/>
  <c r="P41" i="6"/>
  <c r="F42" i="38"/>
  <c r="M21" i="37"/>
  <c r="E38" i="40" l="1"/>
  <c r="L38" i="40" s="1"/>
  <c r="E42" i="38"/>
  <c r="K38" i="40"/>
  <c r="J38" i="40"/>
  <c r="P48" i="6"/>
  <c r="L22" i="37"/>
  <c r="D43" i="38"/>
  <c r="G43" i="38" s="1"/>
  <c r="E44" i="38"/>
  <c r="E40" i="40"/>
  <c r="L40" i="40" s="1"/>
  <c r="F44" i="38"/>
  <c r="J16" i="2"/>
  <c r="J17" i="2"/>
  <c r="K16" i="2"/>
  <c r="K17" i="2"/>
  <c r="L16" i="2"/>
  <c r="L17" i="2"/>
  <c r="M16" i="2"/>
  <c r="M17" i="2"/>
  <c r="K14" i="2"/>
  <c r="L14" i="2"/>
  <c r="M14" i="2"/>
  <c r="J14" i="2"/>
  <c r="K18" i="2"/>
  <c r="L18" i="2"/>
  <c r="M18" i="2"/>
  <c r="J18" i="2"/>
  <c r="F14" i="2"/>
  <c r="F17" i="2"/>
  <c r="F16" i="2"/>
  <c r="F15" i="2"/>
  <c r="D15" i="2"/>
  <c r="E15" i="2"/>
  <c r="D16" i="2"/>
  <c r="E16" i="2"/>
  <c r="D17" i="2"/>
  <c r="E17" i="2"/>
  <c r="E14" i="2"/>
  <c r="D14" i="2"/>
  <c r="G38" i="40" l="1"/>
  <c r="G40" i="40"/>
  <c r="K40" i="40"/>
  <c r="J40" i="40"/>
  <c r="E39" i="40"/>
  <c r="L39" i="40" s="1"/>
  <c r="E43" i="38"/>
  <c r="F43" i="38"/>
  <c r="I14" i="2"/>
  <c r="I17" i="2"/>
  <c r="I16" i="2"/>
  <c r="G39" i="40" l="1"/>
  <c r="J39" i="40"/>
  <c r="K39" i="40"/>
  <c r="P68" i="37" l="1"/>
  <c r="P69" i="37"/>
  <c r="Q142" i="36"/>
  <c r="Q141" i="36"/>
  <c r="P16" i="37" l="1"/>
  <c r="P50" i="37"/>
  <c r="K70" i="37"/>
  <c r="P67" i="37"/>
  <c r="P70" i="37" s="1"/>
  <c r="P55" i="37"/>
  <c r="P39" i="37"/>
  <c r="Q147" i="36"/>
  <c r="P19" i="37"/>
  <c r="J46" i="37"/>
  <c r="J63" i="37"/>
  <c r="P17" i="37" l="1"/>
  <c r="P51" i="37"/>
  <c r="P32" i="37"/>
  <c r="J57" i="37"/>
  <c r="P40" i="37"/>
  <c r="P20" i="37"/>
  <c r="P56" i="37"/>
  <c r="J41" i="37"/>
  <c r="Q148" i="36"/>
  <c r="K150" i="36"/>
  <c r="J27" i="37"/>
  <c r="J21" i="37"/>
  <c r="L150" i="36"/>
  <c r="P25" i="37"/>
  <c r="M6" i="2"/>
  <c r="I22" i="36" s="1"/>
  <c r="M7" i="2"/>
  <c r="H11" i="2"/>
  <c r="D10" i="2"/>
  <c r="D9" i="2"/>
  <c r="F22" i="36" s="1"/>
  <c r="P18" i="37" l="1"/>
  <c r="P21" i="37" s="1"/>
  <c r="P52" i="37"/>
  <c r="P33" i="37"/>
  <c r="Q149" i="36"/>
  <c r="Q150" i="36" s="1"/>
  <c r="D152" i="38" s="1"/>
  <c r="G152" i="38" s="1"/>
  <c r="G153" i="38" s="1"/>
  <c r="P44" i="37"/>
  <c r="P61" i="37"/>
  <c r="P62" i="37"/>
  <c r="P45" i="37"/>
  <c r="K21" i="37" l="1"/>
  <c r="I22" i="37" s="1"/>
  <c r="D41" i="38" s="1"/>
  <c r="E37" i="40" s="1"/>
  <c r="P34" i="37"/>
  <c r="P53" i="37"/>
  <c r="D153" i="38"/>
  <c r="F152" i="38"/>
  <c r="F153" i="38" s="1"/>
  <c r="E152" i="38"/>
  <c r="E153" i="38" s="1"/>
  <c r="E165" i="40"/>
  <c r="L165" i="40" s="1"/>
  <c r="L166" i="40" s="1"/>
  <c r="L168" i="40" s="1"/>
  <c r="L170" i="40" s="1"/>
  <c r="P46" i="37"/>
  <c r="G56" i="38" s="1"/>
  <c r="K46" i="37"/>
  <c r="K63" i="37"/>
  <c r="P63" i="37" s="1"/>
  <c r="G67" i="38" s="1"/>
  <c r="K27" i="37"/>
  <c r="P26" i="37"/>
  <c r="P27" i="37" s="1"/>
  <c r="G46" i="38" s="1"/>
  <c r="G41" i="38" l="1"/>
  <c r="G48" i="38" s="1"/>
  <c r="F41" i="38"/>
  <c r="E41" i="38"/>
  <c r="P35" i="37"/>
  <c r="K57" i="37"/>
  <c r="I58" i="37" s="1"/>
  <c r="D62" i="38" s="1"/>
  <c r="D69" i="38" s="1"/>
  <c r="D48" i="38"/>
  <c r="L37" i="40"/>
  <c r="E42" i="40"/>
  <c r="E44" i="40" s="1"/>
  <c r="E46" i="38"/>
  <c r="F46" i="38"/>
  <c r="G165" i="40"/>
  <c r="J165" i="40"/>
  <c r="J166" i="40" s="1"/>
  <c r="J168" i="40" s="1"/>
  <c r="J170" i="40" s="1"/>
  <c r="K165" i="40"/>
  <c r="K166" i="40" s="1"/>
  <c r="K168" i="40" s="1"/>
  <c r="K170" i="40" s="1"/>
  <c r="E63" i="40"/>
  <c r="F67" i="38"/>
  <c r="E67" i="38"/>
  <c r="E52" i="40"/>
  <c r="L52" i="40" s="1"/>
  <c r="F56" i="38"/>
  <c r="E56" i="38"/>
  <c r="K37" i="40"/>
  <c r="J37" i="40"/>
  <c r="E166" i="40"/>
  <c r="G166" i="40" s="1"/>
  <c r="G168" i="40" s="1"/>
  <c r="G170" i="40" s="1"/>
  <c r="G37" i="40"/>
  <c r="F48" i="38" l="1"/>
  <c r="E48" i="38"/>
  <c r="P54" i="37"/>
  <c r="P57" i="37" s="1"/>
  <c r="P36" i="37"/>
  <c r="L63" i="40"/>
  <c r="G62" i="38"/>
  <c r="G69" i="38" s="1"/>
  <c r="L42" i="40"/>
  <c r="L44" i="40" s="1"/>
  <c r="F62" i="38"/>
  <c r="F69" i="38" s="1"/>
  <c r="E62" i="38"/>
  <c r="E69" i="38" s="1"/>
  <c r="G52" i="40"/>
  <c r="K52" i="40"/>
  <c r="J52" i="40"/>
  <c r="G63" i="40"/>
  <c r="J63" i="40"/>
  <c r="K63" i="40"/>
  <c r="G42" i="40"/>
  <c r="J42" i="40"/>
  <c r="J44" i="40" s="1"/>
  <c r="K42" i="40"/>
  <c r="K44" i="40" s="1"/>
  <c r="E168" i="40"/>
  <c r="E170" i="40" s="1"/>
  <c r="E58" i="40"/>
  <c r="E65" i="40" s="1"/>
  <c r="P37" i="37" l="1"/>
  <c r="L58" i="40"/>
  <c r="L65" i="40" s="1"/>
  <c r="J58" i="40"/>
  <c r="J65" i="40" s="1"/>
  <c r="K58" i="40"/>
  <c r="K65" i="40" s="1"/>
  <c r="G58" i="40"/>
  <c r="K41" i="37" l="1"/>
  <c r="I42" i="37" s="1"/>
  <c r="D51" i="38" s="1"/>
  <c r="P38" i="37" l="1"/>
  <c r="G51" i="38"/>
  <c r="E51" i="38"/>
  <c r="F51" i="38"/>
  <c r="E47" i="40"/>
  <c r="L47" i="40" l="1"/>
  <c r="K47" i="40"/>
  <c r="J47" i="40"/>
  <c r="G47" i="40"/>
  <c r="B254" i="2" l="1"/>
  <c r="B14" i="1"/>
  <c r="D50" i="1"/>
  <c r="D49" i="1"/>
  <c r="N51" i="1"/>
  <c r="D51" i="1"/>
  <c r="F13" i="1"/>
  <c r="G63" i="1" l="1"/>
  <c r="G65" i="1"/>
  <c r="G62" i="1"/>
  <c r="G64" i="1"/>
  <c r="F61" i="1"/>
  <c r="F29" i="13"/>
  <c r="B62" i="1"/>
  <c r="B158" i="2"/>
  <c r="B206" i="2"/>
  <c r="B62" i="2"/>
  <c r="B110" i="2"/>
  <c r="G14" i="2"/>
  <c r="G15" i="2"/>
  <c r="G16" i="2"/>
  <c r="G17" i="2"/>
  <c r="G17" i="13"/>
  <c r="G16" i="13"/>
  <c r="G15" i="13"/>
  <c r="G14" i="13"/>
  <c r="B29" i="13" s="1"/>
  <c r="F13" i="13"/>
  <c r="F13" i="20"/>
  <c r="B14" i="13"/>
  <c r="B14" i="2"/>
  <c r="B17" i="2" s="1"/>
  <c r="F30" i="13" l="1"/>
  <c r="F31" i="13" s="1"/>
  <c r="F32" i="13" s="1"/>
  <c r="O29" i="13"/>
  <c r="D29" i="13"/>
  <c r="E29" i="13"/>
  <c r="B30" i="13"/>
  <c r="F33" i="13"/>
  <c r="F34" i="13" s="1"/>
  <c r="F35" i="13" s="1"/>
  <c r="N29" i="13" l="1"/>
  <c r="M29" i="13"/>
  <c r="H29" i="13"/>
  <c r="K29" i="13"/>
  <c r="J29" i="13"/>
  <c r="L29" i="13"/>
  <c r="I29" i="13"/>
  <c r="F36" i="13"/>
  <c r="F37" i="13" s="1"/>
  <c r="F38" i="13" s="1"/>
  <c r="B31" i="13"/>
  <c r="E30" i="13"/>
  <c r="D30" i="13"/>
  <c r="O41" i="19"/>
  <c r="E41" i="19"/>
  <c r="D41" i="19"/>
  <c r="C41" i="19"/>
  <c r="B41" i="19"/>
  <c r="F39" i="19"/>
  <c r="F38" i="19"/>
  <c r="F37" i="19"/>
  <c r="F36" i="19"/>
  <c r="F35" i="19"/>
  <c r="F34" i="19"/>
  <c r="F33" i="19"/>
  <c r="F32" i="19"/>
  <c r="F31" i="19"/>
  <c r="F30" i="19"/>
  <c r="F29" i="19"/>
  <c r="F39" i="13" l="1"/>
  <c r="J30" i="13"/>
  <c r="L30" i="13"/>
  <c r="K30" i="13"/>
  <c r="M30" i="13"/>
  <c r="H30" i="13"/>
  <c r="D31" i="13"/>
  <c r="E31" i="13"/>
  <c r="B32" i="13"/>
  <c r="L81" i="36"/>
  <c r="L32" i="19"/>
  <c r="J32" i="19"/>
  <c r="G32" i="19"/>
  <c r="I32" i="19"/>
  <c r="K32" i="19"/>
  <c r="H32" i="19"/>
  <c r="L35" i="19"/>
  <c r="I35" i="19"/>
  <c r="J35" i="19"/>
  <c r="G35" i="19"/>
  <c r="H35" i="19"/>
  <c r="K35" i="19"/>
  <c r="G38" i="19"/>
  <c r="I38" i="19"/>
  <c r="L38" i="19"/>
  <c r="K38" i="19"/>
  <c r="H38" i="19"/>
  <c r="J38" i="19"/>
  <c r="J37" i="19"/>
  <c r="I37" i="19"/>
  <c r="G37" i="19"/>
  <c r="L37" i="19"/>
  <c r="K37" i="19"/>
  <c r="H37" i="19"/>
  <c r="J33" i="19"/>
  <c r="L33" i="19"/>
  <c r="G33" i="19"/>
  <c r="I33" i="19"/>
  <c r="K33" i="19"/>
  <c r="H33" i="19"/>
  <c r="G30" i="19"/>
  <c r="J30" i="19"/>
  <c r="L30" i="19"/>
  <c r="I30" i="19"/>
  <c r="K30" i="19"/>
  <c r="H30" i="19"/>
  <c r="J36" i="19"/>
  <c r="I36" i="19"/>
  <c r="G36" i="19"/>
  <c r="H36" i="19"/>
  <c r="L36" i="19"/>
  <c r="K36" i="19"/>
  <c r="J31" i="19"/>
  <c r="G31" i="19"/>
  <c r="L31" i="19"/>
  <c r="I31" i="19"/>
  <c r="H31" i="19"/>
  <c r="K31" i="19"/>
  <c r="G39" i="19"/>
  <c r="I39" i="19"/>
  <c r="L39" i="19"/>
  <c r="K39" i="19"/>
  <c r="H39" i="19"/>
  <c r="J39" i="19"/>
  <c r="H29" i="19"/>
  <c r="L29" i="19"/>
  <c r="J29" i="19"/>
  <c r="G29" i="19"/>
  <c r="I29" i="19"/>
  <c r="K29" i="19"/>
  <c r="I34" i="19"/>
  <c r="J34" i="19"/>
  <c r="K34" i="19"/>
  <c r="G34" i="19"/>
  <c r="L34" i="19"/>
  <c r="H34" i="19"/>
  <c r="N30" i="13"/>
  <c r="F40" i="13" l="1"/>
  <c r="F41" i="13" s="1"/>
  <c r="L31" i="13"/>
  <c r="M31" i="13"/>
  <c r="J31" i="13"/>
  <c r="K31" i="13"/>
  <c r="H31" i="13"/>
  <c r="M29" i="19"/>
  <c r="M36" i="19"/>
  <c r="N36" i="19" s="1"/>
  <c r="M35" i="19"/>
  <c r="N35" i="19" s="1"/>
  <c r="E32" i="13"/>
  <c r="D32" i="13"/>
  <c r="B33" i="13"/>
  <c r="M38" i="19"/>
  <c r="N38" i="19" s="1"/>
  <c r="M37" i="19"/>
  <c r="M31" i="19"/>
  <c r="N31" i="19" s="1"/>
  <c r="M34" i="19"/>
  <c r="M30" i="19"/>
  <c r="N30" i="19" s="1"/>
  <c r="M33" i="19"/>
  <c r="N33" i="19" s="1"/>
  <c r="M32" i="19"/>
  <c r="N32" i="19" s="1"/>
  <c r="M39" i="19"/>
  <c r="N39" i="19" s="1"/>
  <c r="N31" i="13"/>
  <c r="F40" i="19"/>
  <c r="M32" i="13" l="1"/>
  <c r="N37" i="19"/>
  <c r="K32" i="13"/>
  <c r="J32" i="13"/>
  <c r="L32" i="13"/>
  <c r="H32" i="13"/>
  <c r="E33" i="13"/>
  <c r="D33" i="13"/>
  <c r="B34" i="13"/>
  <c r="F41" i="19"/>
  <c r="G40" i="19"/>
  <c r="L40" i="19"/>
  <c r="I40" i="19"/>
  <c r="K40" i="19"/>
  <c r="H40" i="19"/>
  <c r="J40" i="19"/>
  <c r="N32" i="13"/>
  <c r="N34" i="19"/>
  <c r="N29" i="19"/>
  <c r="H33" i="13" l="1"/>
  <c r="J33" i="13"/>
  <c r="K33" i="13"/>
  <c r="L33" i="13"/>
  <c r="M33" i="13"/>
  <c r="J81" i="36"/>
  <c r="D34" i="13"/>
  <c r="E34" i="13"/>
  <c r="B35" i="13"/>
  <c r="M40" i="19"/>
  <c r="N33" i="13"/>
  <c r="G41" i="19"/>
  <c r="K81" i="36" s="1"/>
  <c r="M34" i="13" l="1"/>
  <c r="J34" i="13"/>
  <c r="K34" i="13"/>
  <c r="L34" i="13"/>
  <c r="H34" i="13"/>
  <c r="E35" i="13"/>
  <c r="B36" i="13"/>
  <c r="D35" i="13"/>
  <c r="N34" i="13"/>
  <c r="N40" i="19"/>
  <c r="O18" i="19" s="1"/>
  <c r="M41" i="19"/>
  <c r="O81" i="36" s="1"/>
  <c r="H35" i="13" l="1"/>
  <c r="J35" i="13"/>
  <c r="K35" i="13"/>
  <c r="L35" i="13"/>
  <c r="M35" i="13"/>
  <c r="E36" i="13"/>
  <c r="D36" i="13"/>
  <c r="B37" i="13"/>
  <c r="N41" i="19"/>
  <c r="L11" i="19"/>
  <c r="C81" i="36" s="1"/>
  <c r="N35" i="13"/>
  <c r="B26" i="14"/>
  <c r="H36" i="13" l="1"/>
  <c r="L36" i="13"/>
  <c r="K36" i="13"/>
  <c r="M36" i="13"/>
  <c r="J36" i="13"/>
  <c r="L12" i="19"/>
  <c r="E37" i="13"/>
  <c r="D37" i="13"/>
  <c r="B38" i="13"/>
  <c r="N36" i="13"/>
  <c r="H37" i="13" l="1"/>
  <c r="J37" i="13"/>
  <c r="K37" i="13"/>
  <c r="L37" i="13"/>
  <c r="M37" i="13"/>
  <c r="O46" i="19"/>
  <c r="P81" i="36" s="1"/>
  <c r="O45" i="19"/>
  <c r="O44" i="19"/>
  <c r="N81" i="36" s="1"/>
  <c r="E38" i="13"/>
  <c r="B39" i="13"/>
  <c r="D38" i="13"/>
  <c r="N37" i="13"/>
  <c r="M38" i="13" l="1"/>
  <c r="K38" i="13"/>
  <c r="L38" i="13"/>
  <c r="J38" i="13"/>
  <c r="H38" i="13"/>
  <c r="O43" i="19"/>
  <c r="B40" i="13"/>
  <c r="B41" i="13" s="1"/>
  <c r="E39" i="13"/>
  <c r="D39" i="13"/>
  <c r="N38" i="13"/>
  <c r="M11" i="20"/>
  <c r="C73" i="36" s="1"/>
  <c r="C85" i="36" s="1"/>
  <c r="M11" i="13" l="1"/>
  <c r="R20" i="13" s="1"/>
  <c r="O47" i="19"/>
  <c r="M81" i="36"/>
  <c r="Q81" i="36" s="1"/>
  <c r="D19" i="39"/>
  <c r="C19" i="39"/>
  <c r="P18" i="20"/>
  <c r="M12" i="20" s="1"/>
  <c r="G73" i="36" s="1"/>
  <c r="E20" i="20"/>
  <c r="C39" i="20" s="1"/>
  <c r="G81" i="36"/>
  <c r="D40" i="13"/>
  <c r="D41" i="13" s="1"/>
  <c r="E40" i="13"/>
  <c r="E41" i="13" s="1"/>
  <c r="N39" i="13"/>
  <c r="J19" i="39" l="1"/>
  <c r="I19" i="39" s="1"/>
  <c r="E19" i="39"/>
  <c r="E21" i="20"/>
  <c r="C40" i="20" s="1"/>
  <c r="C41" i="20" s="1"/>
  <c r="G85" i="36"/>
  <c r="G86" i="36" s="1"/>
  <c r="I39" i="20"/>
  <c r="O39" i="20"/>
  <c r="N39" i="20"/>
  <c r="M39" i="20"/>
  <c r="L39" i="20"/>
  <c r="K39" i="20"/>
  <c r="J39" i="20"/>
  <c r="H39" i="20"/>
  <c r="G31" i="20"/>
  <c r="P31" i="20" s="1"/>
  <c r="G38" i="20"/>
  <c r="P38" i="20" s="1"/>
  <c r="G33" i="20"/>
  <c r="P33" i="20" s="1"/>
  <c r="G35" i="20"/>
  <c r="P35" i="20" s="1"/>
  <c r="G30" i="20"/>
  <c r="G37" i="20"/>
  <c r="P37" i="20" s="1"/>
  <c r="G32" i="20"/>
  <c r="P32" i="20" s="1"/>
  <c r="G36" i="20"/>
  <c r="P36" i="20" s="1"/>
  <c r="G34" i="20"/>
  <c r="P34" i="20" s="1"/>
  <c r="N40" i="13"/>
  <c r="N41" i="13" s="1"/>
  <c r="E165" i="13" l="1"/>
  <c r="C184" i="13" s="1"/>
  <c r="S23" i="13"/>
  <c r="S19" i="13" s="1"/>
  <c r="S24" i="13"/>
  <c r="S20" i="13" s="1"/>
  <c r="R19" i="13"/>
  <c r="C107" i="36"/>
  <c r="C110" i="36" s="1"/>
  <c r="E20" i="13"/>
  <c r="C39" i="13" s="1"/>
  <c r="P30" i="20"/>
  <c r="N40" i="20"/>
  <c r="M40" i="20"/>
  <c r="L40" i="20"/>
  <c r="K40" i="20"/>
  <c r="J40" i="20"/>
  <c r="H40" i="20"/>
  <c r="O40" i="20"/>
  <c r="O41" i="20" s="1"/>
  <c r="I40" i="20"/>
  <c r="G40" i="20"/>
  <c r="G39" i="20"/>
  <c r="P39" i="20" s="1"/>
  <c r="G117" i="36"/>
  <c r="G118" i="36" s="1"/>
  <c r="P18" i="13"/>
  <c r="M12" i="13" s="1"/>
  <c r="G184" i="13" l="1"/>
  <c r="G185" i="13" s="1"/>
  <c r="M184" i="13"/>
  <c r="J184" i="13"/>
  <c r="L184" i="13"/>
  <c r="O184" i="13"/>
  <c r="O185" i="13" s="1"/>
  <c r="K184" i="13"/>
  <c r="H184" i="13"/>
  <c r="C185" i="13"/>
  <c r="I184" i="13"/>
  <c r="K39" i="13"/>
  <c r="M39" i="13"/>
  <c r="J39" i="13"/>
  <c r="L39" i="13"/>
  <c r="H39" i="13"/>
  <c r="D20" i="39"/>
  <c r="C20" i="39"/>
  <c r="H41" i="20"/>
  <c r="K73" i="36" s="1"/>
  <c r="G41" i="20"/>
  <c r="P40" i="20"/>
  <c r="G107" i="36"/>
  <c r="G110" i="36" s="1"/>
  <c r="G111" i="36" s="1"/>
  <c r="P184" i="13" l="1"/>
  <c r="P185" i="13" s="1"/>
  <c r="H185" i="13"/>
  <c r="K114" i="36" s="1"/>
  <c r="P41" i="20"/>
  <c r="E21" i="13"/>
  <c r="C40" i="13" s="1"/>
  <c r="J20" i="39"/>
  <c r="I20" i="39" s="1"/>
  <c r="E20" i="39"/>
  <c r="P46" i="20"/>
  <c r="O73" i="36" s="1"/>
  <c r="P45" i="20"/>
  <c r="P47" i="20"/>
  <c r="P73" i="36" s="1"/>
  <c r="C10" i="39"/>
  <c r="I10" i="39" s="1"/>
  <c r="L73" i="36"/>
  <c r="J73" i="36"/>
  <c r="J114" i="36"/>
  <c r="C41" i="13" l="1"/>
  <c r="J40" i="13"/>
  <c r="L40" i="13"/>
  <c r="K40" i="13"/>
  <c r="M40" i="13"/>
  <c r="H40" i="13"/>
  <c r="O33" i="13"/>
  <c r="O35" i="13"/>
  <c r="O31" i="13"/>
  <c r="O37" i="13"/>
  <c r="O36" i="13"/>
  <c r="O38" i="13"/>
  <c r="O34" i="13"/>
  <c r="O32" i="13"/>
  <c r="O30" i="13"/>
  <c r="P43" i="20"/>
  <c r="P44" i="20"/>
  <c r="N73" i="36" s="1"/>
  <c r="O40" i="13"/>
  <c r="L114" i="36"/>
  <c r="O39" i="13"/>
  <c r="I38" i="13"/>
  <c r="I33" i="13"/>
  <c r="I34" i="13"/>
  <c r="I40" i="13"/>
  <c r="I39" i="13"/>
  <c r="I37" i="13"/>
  <c r="I36" i="13"/>
  <c r="I30" i="13"/>
  <c r="I35" i="13"/>
  <c r="I32" i="13"/>
  <c r="I31" i="13"/>
  <c r="O37" i="15"/>
  <c r="M37" i="15"/>
  <c r="J37" i="15"/>
  <c r="H37" i="15"/>
  <c r="I37" i="15"/>
  <c r="O40" i="15"/>
  <c r="I40" i="15"/>
  <c r="M40" i="15"/>
  <c r="J40" i="15"/>
  <c r="H40" i="15"/>
  <c r="O36" i="15"/>
  <c r="J36" i="15"/>
  <c r="M36" i="15"/>
  <c r="H36" i="15"/>
  <c r="I36" i="15"/>
  <c r="O29" i="15"/>
  <c r="M29" i="15"/>
  <c r="H29" i="15"/>
  <c r="I29" i="15"/>
  <c r="J29" i="15"/>
  <c r="O30" i="15"/>
  <c r="I30" i="15"/>
  <c r="M30" i="15"/>
  <c r="H30" i="15"/>
  <c r="J30" i="15"/>
  <c r="O31" i="15"/>
  <c r="M31" i="15"/>
  <c r="I31" i="15"/>
  <c r="H31" i="15"/>
  <c r="J31" i="15"/>
  <c r="O32" i="15"/>
  <c r="H32" i="15"/>
  <c r="M32" i="15"/>
  <c r="I32" i="15"/>
  <c r="J32" i="15"/>
  <c r="M33" i="15"/>
  <c r="O33" i="15"/>
  <c r="H33" i="15"/>
  <c r="J33" i="15"/>
  <c r="I33" i="15"/>
  <c r="O39" i="15"/>
  <c r="M39" i="15"/>
  <c r="J39" i="15"/>
  <c r="H39" i="15"/>
  <c r="I39" i="15"/>
  <c r="O35" i="15"/>
  <c r="M35" i="15"/>
  <c r="H35" i="15"/>
  <c r="J35" i="15"/>
  <c r="I35" i="15"/>
  <c r="O34" i="15"/>
  <c r="H34" i="15"/>
  <c r="M34" i="15"/>
  <c r="J34" i="15"/>
  <c r="I34" i="15"/>
  <c r="O38" i="15"/>
  <c r="M38" i="15"/>
  <c r="J38" i="15"/>
  <c r="H38" i="15"/>
  <c r="I38" i="15"/>
  <c r="G33" i="13"/>
  <c r="G34" i="13"/>
  <c r="G36" i="13"/>
  <c r="G30" i="13"/>
  <c r="G38" i="13"/>
  <c r="G35" i="13"/>
  <c r="G37" i="13"/>
  <c r="K117" i="36"/>
  <c r="G39" i="13"/>
  <c r="G40" i="13"/>
  <c r="G39" i="15"/>
  <c r="G31" i="13"/>
  <c r="G32" i="13"/>
  <c r="G35" i="15"/>
  <c r="G32" i="15"/>
  <c r="G34" i="15"/>
  <c r="G37" i="15"/>
  <c r="G33" i="15"/>
  <c r="G36" i="15"/>
  <c r="G38" i="15"/>
  <c r="G40" i="15"/>
  <c r="G31" i="15"/>
  <c r="G30" i="15"/>
  <c r="G29" i="13"/>
  <c r="G41" i="15" l="1"/>
  <c r="O41" i="15"/>
  <c r="G41" i="13"/>
  <c r="P43" i="13" s="1"/>
  <c r="H41" i="13"/>
  <c r="O41" i="13"/>
  <c r="H41" i="15"/>
  <c r="K140" i="36" s="1"/>
  <c r="K143" i="36" s="1"/>
  <c r="M73" i="36"/>
  <c r="Q73" i="36" s="1"/>
  <c r="P48" i="20"/>
  <c r="L85" i="36"/>
  <c r="L117" i="36"/>
  <c r="P36" i="13"/>
  <c r="J117" i="36"/>
  <c r="P29" i="15"/>
  <c r="P37" i="13"/>
  <c r="P33" i="13"/>
  <c r="P30" i="13"/>
  <c r="P43" i="15" l="1"/>
  <c r="M140" i="36" s="1"/>
  <c r="M143" i="36" s="1"/>
  <c r="P44" i="15"/>
  <c r="N140" i="36" s="1"/>
  <c r="L140" i="36"/>
  <c r="L143" i="36" s="1"/>
  <c r="J140" i="36"/>
  <c r="J143" i="36" s="1"/>
  <c r="P46" i="15"/>
  <c r="L107" i="36"/>
  <c r="L110" i="36" s="1"/>
  <c r="J107" i="36"/>
  <c r="J110" i="36" s="1"/>
  <c r="P39" i="15"/>
  <c r="N143" i="36"/>
  <c r="P35" i="15"/>
  <c r="P31" i="15"/>
  <c r="P32" i="15"/>
  <c r="P34" i="15"/>
  <c r="P33" i="15"/>
  <c r="P30" i="15"/>
  <c r="P37" i="15"/>
  <c r="P36" i="15"/>
  <c r="P38" i="15"/>
  <c r="P40" i="15"/>
  <c r="P35" i="13"/>
  <c r="P39" i="13"/>
  <c r="P38" i="13"/>
  <c r="P40" i="13"/>
  <c r="P31" i="13"/>
  <c r="P34" i="13"/>
  <c r="K107" i="36"/>
  <c r="K110" i="36" s="1"/>
  <c r="P32" i="13"/>
  <c r="P29" i="13"/>
  <c r="P41" i="15" l="1"/>
  <c r="P41" i="13"/>
  <c r="O140" i="36"/>
  <c r="O143" i="36" s="1"/>
  <c r="Q74" i="36"/>
  <c r="O85" i="36"/>
  <c r="Q76" i="36"/>
  <c r="Q75" i="36"/>
  <c r="P143" i="36"/>
  <c r="J111" i="36"/>
  <c r="P48" i="15" l="1"/>
  <c r="Q140" i="36"/>
  <c r="Q143" i="36" s="1"/>
  <c r="D126" i="38" s="1"/>
  <c r="Q116" i="36"/>
  <c r="E16" i="40"/>
  <c r="L16" i="40" s="1"/>
  <c r="G21" i="38"/>
  <c r="F21" i="38"/>
  <c r="E21" i="38"/>
  <c r="E131" i="40" l="1"/>
  <c r="L131" i="40" s="1"/>
  <c r="L132" i="40" s="1"/>
  <c r="L134" i="40" s="1"/>
  <c r="E41" i="41" s="1"/>
  <c r="G126" i="38"/>
  <c r="G127" i="38" s="1"/>
  <c r="F126" i="38"/>
  <c r="F127" i="38" s="1"/>
  <c r="E126" i="38"/>
  <c r="E127" i="38" s="1"/>
  <c r="D127" i="38"/>
  <c r="K16" i="40"/>
  <c r="J16" i="40"/>
  <c r="B26" i="41"/>
  <c r="E26" i="41" s="1"/>
  <c r="G16" i="40"/>
  <c r="J131" i="40" l="1"/>
  <c r="J132" i="40" s="1"/>
  <c r="J134" i="40" s="1"/>
  <c r="C41" i="41" s="1"/>
  <c r="E132" i="40"/>
  <c r="E134" i="40" s="1"/>
  <c r="B41" i="41" s="1"/>
  <c r="K131" i="40"/>
  <c r="K132" i="40" s="1"/>
  <c r="K134" i="40" s="1"/>
  <c r="D41" i="41" s="1"/>
  <c r="G131" i="40"/>
  <c r="D26" i="41"/>
  <c r="C26" i="41"/>
  <c r="F13" i="2"/>
  <c r="G132" i="40" l="1"/>
  <c r="G134" i="40" s="1"/>
  <c r="Q64" i="36" l="1"/>
  <c r="Q65" i="36"/>
  <c r="Q67" i="36"/>
  <c r="Q63" i="36"/>
  <c r="Q66" i="36"/>
  <c r="Q79" i="36" l="1"/>
  <c r="Q80" i="36"/>
  <c r="Q78" i="36"/>
  <c r="D11" i="2" l="1"/>
  <c r="E22" i="36" s="1"/>
  <c r="Q24" i="36" l="1"/>
  <c r="Q68" i="36" l="1"/>
  <c r="Q62" i="36"/>
  <c r="C69" i="36" l="1"/>
  <c r="G69" i="36" l="1"/>
  <c r="D17" i="39"/>
  <c r="C17" i="39"/>
  <c r="G70" i="36" l="1"/>
  <c r="C7" i="39"/>
  <c r="I7" i="39" s="1"/>
  <c r="E17" i="39"/>
  <c r="J17" i="39"/>
  <c r="I17" i="39" s="1"/>
  <c r="K69" i="36" l="1"/>
  <c r="L69" i="36" l="1"/>
  <c r="J69" i="36"/>
  <c r="J70" i="36" l="1"/>
  <c r="P69" i="36"/>
  <c r="M69" i="36"/>
  <c r="N69" i="36"/>
  <c r="O69" i="36"/>
  <c r="M70" i="36" l="1"/>
  <c r="Q61" i="36"/>
  <c r="Q69" i="36" s="1"/>
  <c r="S125" i="1" l="1"/>
  <c r="R125" i="1"/>
  <c r="F125" i="1"/>
  <c r="B125" i="1"/>
  <c r="P103" i="1"/>
  <c r="N125" i="1" l="1"/>
  <c r="K125" i="1"/>
  <c r="J125" i="1"/>
  <c r="I125" i="1"/>
  <c r="H125" i="1"/>
  <c r="M125" i="1"/>
  <c r="L125" i="1"/>
  <c r="S126" i="1"/>
  <c r="R126" i="1"/>
  <c r="P104" i="1"/>
  <c r="F126" i="1"/>
  <c r="B126" i="1"/>
  <c r="E125" i="1"/>
  <c r="G125" i="1" s="1"/>
  <c r="D125" i="1"/>
  <c r="V125" i="1" s="1"/>
  <c r="O125" i="1"/>
  <c r="K126" i="1" l="1"/>
  <c r="J126" i="1"/>
  <c r="I126" i="1"/>
  <c r="H126" i="1"/>
  <c r="N126" i="1"/>
  <c r="M126" i="1"/>
  <c r="L126" i="1"/>
  <c r="S127" i="1"/>
  <c r="R127" i="1"/>
  <c r="U125" i="1"/>
  <c r="D126" i="1"/>
  <c r="O126" i="1"/>
  <c r="E126" i="1"/>
  <c r="B127" i="1"/>
  <c r="P105" i="1"/>
  <c r="F127" i="1"/>
  <c r="G17" i="36"/>
  <c r="N127" i="1" l="1"/>
  <c r="M127" i="1"/>
  <c r="L127" i="1"/>
  <c r="K127" i="1"/>
  <c r="J127" i="1"/>
  <c r="I127" i="1"/>
  <c r="H127" i="1"/>
  <c r="U126" i="1"/>
  <c r="R128" i="1"/>
  <c r="S128" i="1"/>
  <c r="V126" i="1"/>
  <c r="G126" i="1"/>
  <c r="E127" i="1"/>
  <c r="G127" i="1" s="1"/>
  <c r="O127" i="1"/>
  <c r="D127" i="1"/>
  <c r="V127" i="1" s="1"/>
  <c r="F128" i="1"/>
  <c r="P106" i="1"/>
  <c r="B128" i="1"/>
  <c r="I128" i="1" l="1"/>
  <c r="H128" i="1"/>
  <c r="K128" i="1"/>
  <c r="M128" i="1"/>
  <c r="L128" i="1"/>
  <c r="J128" i="1"/>
  <c r="N128" i="1"/>
  <c r="R129" i="1"/>
  <c r="S129" i="1"/>
  <c r="P125" i="1"/>
  <c r="E128" i="1"/>
  <c r="G128" i="1" s="1"/>
  <c r="D128" i="1"/>
  <c r="O128" i="1"/>
  <c r="U127" i="1"/>
  <c r="F129" i="1"/>
  <c r="P107" i="1"/>
  <c r="B129" i="1"/>
  <c r="N129" i="1" l="1"/>
  <c r="M129" i="1"/>
  <c r="L129" i="1"/>
  <c r="K129" i="1"/>
  <c r="J129" i="1"/>
  <c r="I129" i="1"/>
  <c r="H129" i="1"/>
  <c r="P126" i="1"/>
  <c r="R130" i="1"/>
  <c r="S130" i="1"/>
  <c r="E129" i="1"/>
  <c r="G129" i="1" s="1"/>
  <c r="D129" i="1"/>
  <c r="O129" i="1"/>
  <c r="V128" i="1"/>
  <c r="U128" i="1"/>
  <c r="B130" i="1"/>
  <c r="P108" i="1"/>
  <c r="F130" i="1"/>
  <c r="I130" i="1" l="1"/>
  <c r="N130" i="1"/>
  <c r="M130" i="1"/>
  <c r="L130" i="1"/>
  <c r="K130" i="1"/>
  <c r="J130" i="1"/>
  <c r="H130" i="1"/>
  <c r="R131" i="1"/>
  <c r="S131" i="1"/>
  <c r="P127" i="1"/>
  <c r="F131" i="1"/>
  <c r="B131" i="1"/>
  <c r="P109" i="1"/>
  <c r="V129" i="1"/>
  <c r="U129" i="1"/>
  <c r="E130" i="1"/>
  <c r="G130" i="1"/>
  <c r="D130" i="1"/>
  <c r="O130" i="1"/>
  <c r="U130" i="1"/>
  <c r="L131" i="1" l="1"/>
  <c r="K131" i="1"/>
  <c r="J131" i="1"/>
  <c r="I131" i="1"/>
  <c r="H131" i="1"/>
  <c r="N131" i="1"/>
  <c r="M131" i="1"/>
  <c r="S132" i="1"/>
  <c r="R132" i="1"/>
  <c r="V130" i="1"/>
  <c r="P110" i="1"/>
  <c r="F132" i="1"/>
  <c r="B132" i="1"/>
  <c r="E131" i="1"/>
  <c r="D131" i="1"/>
  <c r="V131" i="1" s="1"/>
  <c r="G131" i="1"/>
  <c r="O131" i="1"/>
  <c r="P128" i="1"/>
  <c r="N132" i="1" l="1"/>
  <c r="M132" i="1"/>
  <c r="I132" i="1"/>
  <c r="H132" i="1"/>
  <c r="L132" i="1"/>
  <c r="K132" i="1"/>
  <c r="J132" i="1"/>
  <c r="P130" i="1"/>
  <c r="R133" i="1"/>
  <c r="S133" i="1"/>
  <c r="O132" i="1"/>
  <c r="D132" i="1"/>
  <c r="E132" i="1"/>
  <c r="G132" i="1" s="1"/>
  <c r="B133" i="1"/>
  <c r="P111" i="1"/>
  <c r="F133" i="1"/>
  <c r="V132" i="1"/>
  <c r="U131" i="1"/>
  <c r="P129" i="1"/>
  <c r="J133" i="1" l="1"/>
  <c r="I133" i="1"/>
  <c r="H133" i="1"/>
  <c r="L133" i="1"/>
  <c r="N133" i="1"/>
  <c r="M133" i="1"/>
  <c r="K133" i="1"/>
  <c r="R134" i="1"/>
  <c r="S134" i="1"/>
  <c r="U132" i="1"/>
  <c r="V133" i="1"/>
  <c r="F134" i="1"/>
  <c r="P112" i="1"/>
  <c r="B134" i="1"/>
  <c r="O133" i="1"/>
  <c r="D133" i="1"/>
  <c r="E133" i="1"/>
  <c r="G133" i="1" s="1"/>
  <c r="K85" i="36"/>
  <c r="N134" i="1" l="1"/>
  <c r="M134" i="1"/>
  <c r="L134" i="1"/>
  <c r="K134" i="1"/>
  <c r="J134" i="1"/>
  <c r="I134" i="1"/>
  <c r="H134" i="1"/>
  <c r="P132" i="1"/>
  <c r="S135" i="1"/>
  <c r="R135" i="1"/>
  <c r="U133" i="1"/>
  <c r="P131" i="1"/>
  <c r="P113" i="1"/>
  <c r="F135" i="1"/>
  <c r="B135" i="1"/>
  <c r="E134" i="1"/>
  <c r="G134" i="1" s="1"/>
  <c r="D134" i="1"/>
  <c r="O134" i="1"/>
  <c r="P85" i="36"/>
  <c r="H135" i="1" l="1"/>
  <c r="J135" i="1"/>
  <c r="L135" i="1"/>
  <c r="K135" i="1"/>
  <c r="I135" i="1"/>
  <c r="N135" i="1"/>
  <c r="M135" i="1"/>
  <c r="V134" i="1"/>
  <c r="R136" i="1"/>
  <c r="S136" i="1"/>
  <c r="B136" i="1"/>
  <c r="F136" i="1"/>
  <c r="U134" i="1"/>
  <c r="D135" i="1"/>
  <c r="E135" i="1"/>
  <c r="M85" i="36"/>
  <c r="N85" i="36"/>
  <c r="J85" i="36"/>
  <c r="M136" i="1" l="1"/>
  <c r="L136" i="1"/>
  <c r="K136" i="1"/>
  <c r="J136" i="1"/>
  <c r="I136" i="1"/>
  <c r="N136" i="1"/>
  <c r="H136" i="1"/>
  <c r="P133" i="1"/>
  <c r="F137" i="1"/>
  <c r="D136" i="1"/>
  <c r="D137" i="1" s="1"/>
  <c r="E136" i="1"/>
  <c r="E137" i="1" s="1"/>
  <c r="B137" i="1"/>
  <c r="M106" i="1"/>
  <c r="E116" i="1" s="1"/>
  <c r="Q77" i="36"/>
  <c r="Q85" i="36" s="1"/>
  <c r="D115" i="38" s="1"/>
  <c r="G115" i="38" s="1"/>
  <c r="R116" i="1" l="1"/>
  <c r="E117" i="1"/>
  <c r="C136" i="1" s="1"/>
  <c r="C17" i="36"/>
  <c r="C135" i="1"/>
  <c r="F115" i="38"/>
  <c r="R115" i="1"/>
  <c r="P134" i="1"/>
  <c r="P114" i="1"/>
  <c r="M107" i="1" s="1"/>
  <c r="S120" i="1"/>
  <c r="S116" i="1" s="1"/>
  <c r="S119" i="1"/>
  <c r="S115" i="1" s="1"/>
  <c r="E115" i="38"/>
  <c r="E116" i="40"/>
  <c r="L116" i="40" s="1"/>
  <c r="O143" i="1" l="1"/>
  <c r="O142" i="1"/>
  <c r="V136" i="1"/>
  <c r="O136" i="1"/>
  <c r="G136" i="1"/>
  <c r="C137" i="1"/>
  <c r="O135" i="1"/>
  <c r="U135" i="1"/>
  <c r="V135" i="1"/>
  <c r="G135" i="1"/>
  <c r="U136" i="1"/>
  <c r="K116" i="40"/>
  <c r="J116" i="40"/>
  <c r="G116" i="40"/>
  <c r="G137" i="1" l="1"/>
  <c r="O137" i="1"/>
  <c r="L17" i="36" s="1"/>
  <c r="P136" i="1" l="1"/>
  <c r="P135" i="1"/>
  <c r="H137" i="1"/>
  <c r="K17" i="36" s="1"/>
  <c r="J17" i="36"/>
  <c r="P142" i="1"/>
  <c r="O17" i="36" s="1"/>
  <c r="M139" i="1"/>
  <c r="J141" i="1"/>
  <c r="P141" i="1" s="1"/>
  <c r="L141" i="1"/>
  <c r="O139" i="1"/>
  <c r="O141" i="1"/>
  <c r="P143" i="1"/>
  <c r="P17" i="36" s="1"/>
  <c r="O140" i="1"/>
  <c r="P140" i="1" s="1"/>
  <c r="N17" i="36" s="1"/>
  <c r="P137" i="1" l="1"/>
  <c r="P139" i="1"/>
  <c r="M17" i="36" s="1"/>
  <c r="Q17" i="36" s="1"/>
  <c r="P144" i="1" l="1"/>
  <c r="C33" i="2" l="1"/>
  <c r="H44" i="40" l="1"/>
  <c r="I44" i="40" s="1"/>
  <c r="G44" i="40" l="1"/>
  <c r="H55" i="40"/>
  <c r="I55" i="40" s="1"/>
  <c r="C129" i="38" l="1"/>
  <c r="H65" i="40"/>
  <c r="I65" i="40" s="1"/>
  <c r="C99" i="40"/>
  <c r="G65" i="40"/>
  <c r="H99" i="40" l="1"/>
  <c r="I99" i="40" s="1"/>
  <c r="I20" i="2" l="1"/>
  <c r="R23" i="2"/>
  <c r="R24" i="2" l="1"/>
  <c r="P31" i="37" l="1"/>
  <c r="P41" i="37" s="1"/>
  <c r="O41" i="37" l="1"/>
  <c r="D54" i="38" s="1"/>
  <c r="G54" i="38" l="1"/>
  <c r="G59" i="38" s="1"/>
  <c r="D59" i="38"/>
  <c r="F54" i="38"/>
  <c r="F59" i="38" s="1"/>
  <c r="E54" i="38"/>
  <c r="E59" i="38" s="1"/>
  <c r="E50" i="40"/>
  <c r="L50" i="40" l="1"/>
  <c r="L55" i="40" s="1"/>
  <c r="L99" i="40" s="1"/>
  <c r="E31" i="41" s="1"/>
  <c r="E55" i="40"/>
  <c r="J50" i="40"/>
  <c r="J55" i="40" s="1"/>
  <c r="J99" i="40" s="1"/>
  <c r="C31" i="41" s="1"/>
  <c r="G50" i="40"/>
  <c r="K50" i="40"/>
  <c r="K55" i="40" s="1"/>
  <c r="K99" i="40" s="1"/>
  <c r="D31" i="41" s="1"/>
  <c r="G55" i="40" l="1"/>
  <c r="E99" i="40"/>
  <c r="B31" i="41" l="1"/>
  <c r="G99" i="40"/>
  <c r="C79" i="1" l="1"/>
  <c r="C31" i="1"/>
  <c r="C33" i="1"/>
  <c r="O76" i="2" l="1"/>
  <c r="O28" i="2" l="1"/>
  <c r="B308" i="7" l="1"/>
  <c r="B452" i="7"/>
  <c r="B500" i="7"/>
  <c r="B212" i="7"/>
  <c r="B68" i="7"/>
  <c r="B356" i="7"/>
  <c r="B548" i="7"/>
  <c r="B260" i="7"/>
  <c r="B116" i="7"/>
  <c r="B404" i="7"/>
  <c r="B164" i="7"/>
  <c r="B308" i="6"/>
  <c r="B68" i="6"/>
  <c r="B260" i="6"/>
  <c r="B116" i="6"/>
  <c r="B164" i="6"/>
  <c r="B212" i="6"/>
  <c r="O93" i="13"/>
  <c r="O237" i="13"/>
  <c r="O189" i="13"/>
  <c r="O141" i="13"/>
  <c r="L237" i="13"/>
  <c r="L189" i="13"/>
  <c r="L141" i="13"/>
  <c r="L93" i="13"/>
  <c r="O187" i="13"/>
  <c r="O139" i="13"/>
  <c r="O91" i="13"/>
  <c r="O235" i="13"/>
  <c r="O142" i="13"/>
  <c r="P142" i="13" s="1"/>
  <c r="O109" i="36" s="1"/>
  <c r="P45" i="13"/>
  <c r="J189" i="13"/>
  <c r="P189" i="13" s="1"/>
  <c r="O238" i="13"/>
  <c r="P238" i="13" s="1"/>
  <c r="O115" i="36" s="1"/>
  <c r="J141" i="13"/>
  <c r="P141" i="13" s="1"/>
  <c r="K143" i="13"/>
  <c r="K239" i="13"/>
  <c r="K191" i="13"/>
  <c r="K95" i="13"/>
  <c r="K287" i="13"/>
  <c r="O188" i="13"/>
  <c r="P188" i="13" s="1"/>
  <c r="N114" i="36" s="1"/>
  <c r="M91" i="13"/>
  <c r="J237" i="13"/>
  <c r="P237" i="13" s="1"/>
  <c r="O92" i="13"/>
  <c r="P92" i="13" s="1"/>
  <c r="N108" i="36" s="1"/>
  <c r="O143" i="13"/>
  <c r="P143" i="13" s="1"/>
  <c r="P109" i="36" s="1"/>
  <c r="O191" i="13"/>
  <c r="P191" i="13" s="1"/>
  <c r="P114" i="36" s="1"/>
  <c r="J93" i="13"/>
  <c r="P93" i="13" s="1"/>
  <c r="M235" i="13"/>
  <c r="P235" i="13" s="1"/>
  <c r="O239" i="13"/>
  <c r="P239" i="13" s="1"/>
  <c r="P115" i="36" s="1"/>
  <c r="M139" i="13"/>
  <c r="P47" i="13"/>
  <c r="O236" i="13"/>
  <c r="P236" i="13" s="1"/>
  <c r="N115" i="36" s="1"/>
  <c r="O140" i="13"/>
  <c r="P140" i="13" s="1"/>
  <c r="N109" i="36" s="1"/>
  <c r="M187" i="13"/>
  <c r="O95" i="13"/>
  <c r="P95" i="13" s="1"/>
  <c r="P108" i="36" s="1"/>
  <c r="O94" i="13"/>
  <c r="P94" i="13" s="1"/>
  <c r="O108" i="36" s="1"/>
  <c r="O190" i="13"/>
  <c r="P190" i="13" s="1"/>
  <c r="O114" i="36" s="1"/>
  <c r="P44" i="13"/>
  <c r="P46" i="13"/>
  <c r="P187" i="13" l="1"/>
  <c r="P139" i="13"/>
  <c r="M109" i="36" s="1"/>
  <c r="Q109" i="36" s="1"/>
  <c r="P91" i="13"/>
  <c r="M108" i="36" s="1"/>
  <c r="Q108" i="36" s="1"/>
  <c r="O107" i="36"/>
  <c r="P107" i="36"/>
  <c r="P110" i="36" s="1"/>
  <c r="N107" i="36"/>
  <c r="N110" i="36" s="1"/>
  <c r="P48" i="13"/>
  <c r="O110" i="36"/>
  <c r="M114" i="36"/>
  <c r="Q114" i="36" s="1"/>
  <c r="M115" i="36"/>
  <c r="N117" i="36"/>
  <c r="O117" i="36"/>
  <c r="P192" i="13"/>
  <c r="P240" i="13"/>
  <c r="P117" i="36"/>
  <c r="M107" i="36"/>
  <c r="P144" i="13" l="1"/>
  <c r="P96" i="13"/>
  <c r="M117" i="36"/>
  <c r="Q115" i="36"/>
  <c r="Q117" i="36" s="1"/>
  <c r="D116" i="38" s="1"/>
  <c r="E116" i="38" s="1"/>
  <c r="E117" i="38" s="1"/>
  <c r="M110" i="36"/>
  <c r="Q107" i="36"/>
  <c r="Q110" i="36" s="1"/>
  <c r="M111" i="36" l="1"/>
  <c r="D117" i="38"/>
  <c r="F116" i="38"/>
  <c r="F117" i="38" s="1"/>
  <c r="G116" i="38"/>
  <c r="G117" i="38" s="1"/>
  <c r="E117" i="40"/>
  <c r="J117" i="40" s="1"/>
  <c r="J118" i="40" s="1"/>
  <c r="J120" i="40" s="1"/>
  <c r="C37" i="41" s="1"/>
  <c r="K117" i="40" l="1"/>
  <c r="K118" i="40" s="1"/>
  <c r="K120" i="40" s="1"/>
  <c r="D37" i="41" s="1"/>
  <c r="G117" i="40"/>
  <c r="L117" i="40"/>
  <c r="L118" i="40" s="1"/>
  <c r="L120" i="40" s="1"/>
  <c r="E37" i="41" s="1"/>
  <c r="E118" i="40"/>
  <c r="G118" i="40" l="1"/>
  <c r="E120" i="40"/>
  <c r="B37" i="41" l="1"/>
  <c r="G120" i="40"/>
  <c r="C38" i="1" l="1"/>
  <c r="C31" i="2"/>
  <c r="C38" i="2"/>
  <c r="M8" i="2"/>
  <c r="P6" i="2" s="1"/>
  <c r="R29" i="2" l="1"/>
  <c r="S29" i="2"/>
  <c r="F29" i="2"/>
  <c r="B29" i="2"/>
  <c r="P7" i="2"/>
  <c r="I29" i="2" l="1"/>
  <c r="H29" i="2"/>
  <c r="N29" i="2"/>
  <c r="J29" i="2"/>
  <c r="M29" i="2"/>
  <c r="L29" i="2"/>
  <c r="K29" i="2"/>
  <c r="S30" i="2"/>
  <c r="R30" i="2"/>
  <c r="F30" i="2"/>
  <c r="B30" i="2"/>
  <c r="P8" i="2"/>
  <c r="D29" i="2"/>
  <c r="E29" i="2"/>
  <c r="G29" i="2" s="1"/>
  <c r="O29" i="2"/>
  <c r="N30" i="2" l="1"/>
  <c r="M30" i="2"/>
  <c r="L30" i="2"/>
  <c r="K30" i="2"/>
  <c r="J30" i="2"/>
  <c r="I30" i="2"/>
  <c r="H30" i="2"/>
  <c r="B31" i="2"/>
  <c r="S31" i="2"/>
  <c r="F31" i="2"/>
  <c r="R31" i="2"/>
  <c r="P9" i="2"/>
  <c r="U29" i="2"/>
  <c r="D30" i="2"/>
  <c r="O30" i="2"/>
  <c r="E30" i="2"/>
  <c r="G30" i="2" s="1"/>
  <c r="V29" i="2"/>
  <c r="N31" i="2" l="1"/>
  <c r="M31" i="2"/>
  <c r="L31" i="2"/>
  <c r="K31" i="2"/>
  <c r="H31" i="2"/>
  <c r="J31" i="2"/>
  <c r="I31" i="2"/>
  <c r="U30" i="2"/>
  <c r="B32" i="2"/>
  <c r="F32" i="2"/>
  <c r="S32" i="2"/>
  <c r="R32" i="2"/>
  <c r="P10" i="2"/>
  <c r="O31" i="2"/>
  <c r="D31" i="2"/>
  <c r="E31" i="2"/>
  <c r="G31" i="2" s="1"/>
  <c r="V31" i="2"/>
  <c r="V30" i="2"/>
  <c r="L32" i="2" l="1"/>
  <c r="K32" i="2"/>
  <c r="J32" i="2"/>
  <c r="I32" i="2"/>
  <c r="H32" i="2"/>
  <c r="M32" i="2"/>
  <c r="N32" i="2"/>
  <c r="U31" i="2"/>
  <c r="F33" i="2"/>
  <c r="R33" i="2"/>
  <c r="S33" i="2"/>
  <c r="B33" i="2"/>
  <c r="P11" i="2"/>
  <c r="D32" i="2"/>
  <c r="E32" i="2"/>
  <c r="G32" i="2" s="1"/>
  <c r="O32" i="2"/>
  <c r="U32" i="2"/>
  <c r="P29" i="2"/>
  <c r="N33" i="2" l="1"/>
  <c r="M33" i="2"/>
  <c r="L33" i="2"/>
  <c r="K33" i="2"/>
  <c r="J33" i="2"/>
  <c r="I33" i="2"/>
  <c r="H33" i="2"/>
  <c r="P30" i="2"/>
  <c r="V32" i="2"/>
  <c r="P31" i="2"/>
  <c r="R34" i="2"/>
  <c r="F34" i="2"/>
  <c r="S34" i="2"/>
  <c r="B34" i="2"/>
  <c r="P12" i="2"/>
  <c r="O33" i="2"/>
  <c r="D33" i="2"/>
  <c r="E33" i="2"/>
  <c r="G33" i="2" s="1"/>
  <c r="J34" i="2" l="1"/>
  <c r="I34" i="2"/>
  <c r="H34" i="2"/>
  <c r="N34" i="2"/>
  <c r="M34" i="2"/>
  <c r="K34" i="2"/>
  <c r="L34" i="2"/>
  <c r="U33" i="2"/>
  <c r="V33" i="2"/>
  <c r="B35" i="2"/>
  <c r="S35" i="2"/>
  <c r="R35" i="2"/>
  <c r="F35" i="2"/>
  <c r="P13" i="2"/>
  <c r="E34" i="2"/>
  <c r="G34" i="2" s="1"/>
  <c r="D34" i="2"/>
  <c r="O34" i="2"/>
  <c r="N35" i="2" l="1"/>
  <c r="M35" i="2"/>
  <c r="L35" i="2"/>
  <c r="K35" i="2"/>
  <c r="J35" i="2"/>
  <c r="I35" i="2"/>
  <c r="H35" i="2"/>
  <c r="U34" i="2"/>
  <c r="P32" i="2"/>
  <c r="D35" i="2"/>
  <c r="O35" i="2"/>
  <c r="E35" i="2"/>
  <c r="G35" i="2" s="1"/>
  <c r="R36" i="2"/>
  <c r="B36" i="2"/>
  <c r="S36" i="2"/>
  <c r="F36" i="2"/>
  <c r="P14" i="2"/>
  <c r="V34" i="2"/>
  <c r="H36" i="2" l="1"/>
  <c r="N36" i="2"/>
  <c r="I36" i="2"/>
  <c r="M36" i="2"/>
  <c r="L36" i="2"/>
  <c r="K36" i="2"/>
  <c r="J36" i="2"/>
  <c r="P33" i="2"/>
  <c r="U35" i="2"/>
  <c r="E36" i="2"/>
  <c r="O36" i="2"/>
  <c r="D36" i="2"/>
  <c r="P15" i="2"/>
  <c r="R37" i="2"/>
  <c r="S37" i="2"/>
  <c r="F37" i="2"/>
  <c r="B37" i="2"/>
  <c r="V35" i="2"/>
  <c r="M37" i="2" l="1"/>
  <c r="N37" i="2"/>
  <c r="L37" i="2"/>
  <c r="K37" i="2"/>
  <c r="J37" i="2"/>
  <c r="I37" i="2"/>
  <c r="H37" i="2"/>
  <c r="U36" i="2"/>
  <c r="G36" i="2"/>
  <c r="V36" i="2"/>
  <c r="P35" i="2"/>
  <c r="S38" i="2"/>
  <c r="F38" i="2"/>
  <c r="P16" i="2"/>
  <c r="B38" i="2"/>
  <c r="R38" i="2"/>
  <c r="D37" i="2"/>
  <c r="O37" i="2"/>
  <c r="E37" i="2"/>
  <c r="G37" i="2" s="1"/>
  <c r="P34" i="2"/>
  <c r="N38" i="2" l="1"/>
  <c r="M38" i="2"/>
  <c r="L38" i="2"/>
  <c r="K38" i="2"/>
  <c r="J38" i="2"/>
  <c r="I38" i="2"/>
  <c r="H38" i="2"/>
  <c r="U37" i="2"/>
  <c r="V37" i="2"/>
  <c r="D38" i="2"/>
  <c r="O38" i="2"/>
  <c r="E38" i="2"/>
  <c r="G38" i="2" s="1"/>
  <c r="R39" i="2"/>
  <c r="F39" i="2"/>
  <c r="S39" i="2"/>
  <c r="P17" i="2"/>
  <c r="B39" i="2"/>
  <c r="U38" i="2" l="1"/>
  <c r="K39" i="2"/>
  <c r="J39" i="2"/>
  <c r="I39" i="2"/>
  <c r="H39" i="2"/>
  <c r="L39" i="2"/>
  <c r="N39" i="2"/>
  <c r="M39" i="2"/>
  <c r="P36" i="2"/>
  <c r="V38" i="2"/>
  <c r="F40" i="2"/>
  <c r="B40" i="2"/>
  <c r="S40" i="2"/>
  <c r="R40" i="2"/>
  <c r="D39" i="2"/>
  <c r="E39" i="2"/>
  <c r="N40" i="2" l="1"/>
  <c r="M40" i="2"/>
  <c r="L40" i="2"/>
  <c r="K40" i="2"/>
  <c r="J40" i="2"/>
  <c r="I40" i="2"/>
  <c r="H40" i="2"/>
  <c r="P37" i="2"/>
  <c r="P38" i="2"/>
  <c r="E40" i="2"/>
  <c r="E41" i="2" s="1"/>
  <c r="D40" i="2"/>
  <c r="D41" i="2" s="1"/>
  <c r="M11" i="2"/>
  <c r="R19" i="2" s="1"/>
  <c r="B41" i="2"/>
  <c r="F41" i="2"/>
  <c r="R20" i="2" l="1"/>
  <c r="E21" i="2"/>
  <c r="C40" i="2" s="1"/>
  <c r="S24" i="2"/>
  <c r="S20" i="2" s="1"/>
  <c r="S23" i="2"/>
  <c r="S19" i="2" s="1"/>
  <c r="P18" i="2"/>
  <c r="M12" i="2" s="1"/>
  <c r="C39" i="2"/>
  <c r="C41" i="2" l="1"/>
  <c r="U39" i="2"/>
  <c r="V39" i="2"/>
  <c r="G39" i="2"/>
  <c r="O39" i="2"/>
  <c r="V40" i="2"/>
  <c r="G22" i="36"/>
  <c r="U40" i="2"/>
  <c r="G40" i="2"/>
  <c r="O40" i="2"/>
  <c r="O41" i="2" l="1"/>
  <c r="L22" i="36" s="1"/>
  <c r="G41" i="2"/>
  <c r="O46" i="2" l="1"/>
  <c r="O47" i="2"/>
  <c r="P39" i="2"/>
  <c r="O43" i="2"/>
  <c r="L45" i="2"/>
  <c r="O45" i="2"/>
  <c r="P46" i="2"/>
  <c r="O44" i="2"/>
  <c r="M43" i="2"/>
  <c r="J22" i="36"/>
  <c r="J45" i="2"/>
  <c r="P40" i="2"/>
  <c r="P41" i="2" s="1"/>
  <c r="H41" i="2"/>
  <c r="K22" i="36" s="1"/>
  <c r="O22" i="36" l="1"/>
  <c r="P45" i="2"/>
  <c r="P1343" i="2"/>
  <c r="P1151" i="2"/>
  <c r="P1631" i="2"/>
  <c r="P1487" i="2"/>
  <c r="P575" i="2"/>
  <c r="P1583" i="2"/>
  <c r="P1103" i="2"/>
  <c r="P239" i="2"/>
  <c r="P959" i="2"/>
  <c r="P815" i="2"/>
  <c r="P287" i="2"/>
  <c r="P623" i="2"/>
  <c r="P719" i="2"/>
  <c r="P1199" i="2"/>
  <c r="P671" i="2"/>
  <c r="P479" i="2"/>
  <c r="P1007" i="2"/>
  <c r="P863" i="2"/>
  <c r="P767" i="2"/>
  <c r="P383" i="2"/>
  <c r="P1535" i="2"/>
  <c r="P1055" i="2"/>
  <c r="P1679" i="2"/>
  <c r="P911" i="2"/>
  <c r="P1295" i="2"/>
  <c r="P527" i="2"/>
  <c r="P431" i="2"/>
  <c r="P1247" i="2"/>
  <c r="P1439" i="2"/>
  <c r="P335" i="2"/>
  <c r="P1391" i="2"/>
  <c r="P44" i="2"/>
  <c r="P1486" i="2"/>
  <c r="P1630" i="2"/>
  <c r="P574" i="2"/>
  <c r="P1390" i="2"/>
  <c r="P1102" i="2"/>
  <c r="P478" i="2"/>
  <c r="P1438" i="2"/>
  <c r="P382" i="2"/>
  <c r="P718" i="2"/>
  <c r="P1294" i="2"/>
  <c r="P1582" i="2"/>
  <c r="P1678" i="2"/>
  <c r="P670" i="2"/>
  <c r="P1054" i="2"/>
  <c r="P766" i="2"/>
  <c r="P1006" i="2"/>
  <c r="P1342" i="2"/>
  <c r="P526" i="2"/>
  <c r="P862" i="2"/>
  <c r="P286" i="2"/>
  <c r="P814" i="2"/>
  <c r="P430" i="2"/>
  <c r="P910" i="2"/>
  <c r="P334" i="2"/>
  <c r="P1198" i="2"/>
  <c r="P1534" i="2"/>
  <c r="P622" i="2"/>
  <c r="P1150" i="2"/>
  <c r="P238" i="2"/>
  <c r="P1246" i="2"/>
  <c r="P958" i="2"/>
  <c r="P43" i="2"/>
  <c r="P47" i="2"/>
  <c r="M44" i="36" l="1"/>
  <c r="M39" i="36"/>
  <c r="M31" i="36"/>
  <c r="P1056" i="2"/>
  <c r="P1488" i="2"/>
  <c r="P1344" i="2"/>
  <c r="N30" i="36"/>
  <c r="N55" i="36"/>
  <c r="N48" i="36"/>
  <c r="P53" i="36"/>
  <c r="P41" i="36"/>
  <c r="N25" i="36"/>
  <c r="N56" i="36"/>
  <c r="P50" i="36"/>
  <c r="P29" i="36"/>
  <c r="P26" i="36"/>
  <c r="P1008" i="2"/>
  <c r="M42" i="36"/>
  <c r="N22" i="36"/>
  <c r="N28" i="36"/>
  <c r="P28" i="36"/>
  <c r="P37" i="36"/>
  <c r="P44" i="36"/>
  <c r="P1632" i="2"/>
  <c r="M55" i="36"/>
  <c r="N50" i="36"/>
  <c r="N41" i="36"/>
  <c r="P51" i="36"/>
  <c r="P39" i="36"/>
  <c r="P54" i="36"/>
  <c r="P624" i="2"/>
  <c r="M34" i="36"/>
  <c r="N45" i="36"/>
  <c r="N52" i="36"/>
  <c r="P47" i="36"/>
  <c r="P42" i="36"/>
  <c r="P33" i="36"/>
  <c r="O47" i="36"/>
  <c r="P528" i="2"/>
  <c r="M32" i="36"/>
  <c r="P30" i="36"/>
  <c r="P31" i="36"/>
  <c r="P52" i="36"/>
  <c r="P912" i="2"/>
  <c r="M40" i="36"/>
  <c r="O26" i="36"/>
  <c r="P22" i="36"/>
  <c r="M28" i="36"/>
  <c r="P336" i="2"/>
  <c r="P576" i="2"/>
  <c r="M33" i="36"/>
  <c r="O33" i="36"/>
  <c r="O43" i="36"/>
  <c r="P1104" i="2"/>
  <c r="O28" i="36"/>
  <c r="O35" i="36"/>
  <c r="O52" i="36"/>
  <c r="P48" i="2"/>
  <c r="N34" i="36"/>
  <c r="N36" i="36"/>
  <c r="N46" i="36"/>
  <c r="P32" i="36"/>
  <c r="P35" i="36"/>
  <c r="P55" i="36"/>
  <c r="P1152" i="2"/>
  <c r="M45" i="36"/>
  <c r="M53" i="36"/>
  <c r="P1536" i="2"/>
  <c r="O34" i="36"/>
  <c r="N31" i="36"/>
  <c r="M47" i="36"/>
  <c r="P1248" i="2"/>
  <c r="O40" i="36"/>
  <c r="O56" i="36"/>
  <c r="N53" i="36"/>
  <c r="N37" i="36"/>
  <c r="N40" i="36"/>
  <c r="P46" i="36"/>
  <c r="P45" i="36"/>
  <c r="O51" i="36"/>
  <c r="O45" i="36"/>
  <c r="O50" i="36"/>
  <c r="N33" i="36"/>
  <c r="O30" i="36"/>
  <c r="O54" i="36"/>
  <c r="N51" i="36"/>
  <c r="N38" i="36"/>
  <c r="N39" i="36"/>
  <c r="P48" i="36"/>
  <c r="P36" i="36"/>
  <c r="P49" i="36"/>
  <c r="P1296" i="2"/>
  <c r="M48" i="36"/>
  <c r="O49" i="36"/>
  <c r="O42" i="36"/>
  <c r="O53" i="36"/>
  <c r="N26" i="36"/>
  <c r="P1440" i="2"/>
  <c r="M51" i="36"/>
  <c r="N27" i="36"/>
  <c r="N44" i="36"/>
  <c r="P40" i="36"/>
  <c r="P34" i="36"/>
  <c r="M29" i="36"/>
  <c r="P384" i="2"/>
  <c r="O32" i="36"/>
  <c r="O44" i="36"/>
  <c r="P960" i="2"/>
  <c r="M41" i="36"/>
  <c r="N43" i="36"/>
  <c r="O46" i="36"/>
  <c r="M25" i="36"/>
  <c r="O38" i="36"/>
  <c r="O48" i="36"/>
  <c r="N42" i="36"/>
  <c r="M22" i="36"/>
  <c r="O27" i="36"/>
  <c r="O36" i="36"/>
  <c r="N47" i="36"/>
  <c r="N35" i="36"/>
  <c r="N29" i="36"/>
  <c r="P56" i="36"/>
  <c r="P27" i="36"/>
  <c r="P768" i="2"/>
  <c r="M37" i="36"/>
  <c r="O31" i="36"/>
  <c r="P1680" i="2"/>
  <c r="M56" i="36"/>
  <c r="O37" i="36"/>
  <c r="O55" i="36"/>
  <c r="P1584" i="2"/>
  <c r="M54" i="36"/>
  <c r="P240" i="2"/>
  <c r="M26" i="36"/>
  <c r="P1392" i="2"/>
  <c r="M50" i="36"/>
  <c r="O41" i="36"/>
  <c r="O39" i="36"/>
  <c r="O29" i="36"/>
  <c r="N49" i="36"/>
  <c r="N32" i="36"/>
  <c r="N54" i="36"/>
  <c r="P43" i="36"/>
  <c r="P38" i="36"/>
  <c r="P480" i="2" l="1"/>
  <c r="P864" i="2"/>
  <c r="M30" i="36"/>
  <c r="Q30" i="36" s="1"/>
  <c r="M52" i="36"/>
  <c r="Q52" i="36" s="1"/>
  <c r="M43" i="36"/>
  <c r="Q43" i="36" s="1"/>
  <c r="P432" i="2"/>
  <c r="M49" i="36"/>
  <c r="Q49" i="36" s="1"/>
  <c r="Q28" i="36"/>
  <c r="Q53" i="36"/>
  <c r="Q44" i="36"/>
  <c r="Q42" i="36"/>
  <c r="Q45" i="36"/>
  <c r="Q47" i="36"/>
  <c r="Q32" i="36"/>
  <c r="Q54" i="36"/>
  <c r="Q56" i="36"/>
  <c r="Q55" i="36"/>
  <c r="P672" i="2"/>
  <c r="M35" i="36"/>
  <c r="Q35" i="36" s="1"/>
  <c r="P816" i="2"/>
  <c r="M38" i="36"/>
  <c r="Q38" i="36" s="1"/>
  <c r="Q40" i="36"/>
  <c r="P720" i="2"/>
  <c r="M36" i="36"/>
  <c r="Q36" i="36" s="1"/>
  <c r="Q31" i="36"/>
  <c r="Q29" i="36"/>
  <c r="P288" i="2"/>
  <c r="M27" i="36"/>
  <c r="Q27" i="36" s="1"/>
  <c r="Q50" i="36"/>
  <c r="Q33" i="36"/>
  <c r="Q22" i="36"/>
  <c r="P1200" i="2"/>
  <c r="M46" i="36"/>
  <c r="Q46" i="36" s="1"/>
  <c r="Q51" i="36"/>
  <c r="Q26" i="36"/>
  <c r="Q34" i="36"/>
  <c r="Q39" i="36"/>
  <c r="Q37" i="36"/>
  <c r="Q41" i="36"/>
  <c r="Q48" i="36"/>
  <c r="P54" i="2" l="1"/>
  <c r="S77" i="2" l="1"/>
  <c r="F77" i="2"/>
  <c r="B77" i="2"/>
  <c r="P55" i="2"/>
  <c r="R77" i="2"/>
  <c r="L77" i="2" l="1"/>
  <c r="K77" i="2"/>
  <c r="J77" i="2"/>
  <c r="I77" i="2"/>
  <c r="H77" i="2"/>
  <c r="N77" i="2"/>
  <c r="M77" i="2"/>
  <c r="F78" i="2"/>
  <c r="S78" i="2"/>
  <c r="B78" i="2"/>
  <c r="R78" i="2"/>
  <c r="P56" i="2"/>
  <c r="E77" i="2"/>
  <c r="D77" i="2"/>
  <c r="U77" i="2" s="1"/>
  <c r="O77" i="2"/>
  <c r="L78" i="2" l="1"/>
  <c r="N78" i="2"/>
  <c r="M78" i="2"/>
  <c r="K78" i="2"/>
  <c r="H78" i="2"/>
  <c r="J78" i="2"/>
  <c r="I78" i="2"/>
  <c r="V77" i="2"/>
  <c r="B79" i="2"/>
  <c r="S79" i="2"/>
  <c r="P57" i="2"/>
  <c r="R79" i="2"/>
  <c r="F79" i="2"/>
  <c r="D78" i="2"/>
  <c r="O78" i="2"/>
  <c r="E78" i="2"/>
  <c r="G78" i="2" s="1"/>
  <c r="G77" i="2"/>
  <c r="J79" i="2" l="1"/>
  <c r="I79" i="2"/>
  <c r="H79" i="2"/>
  <c r="L79" i="2"/>
  <c r="N79" i="2"/>
  <c r="M79" i="2"/>
  <c r="K79" i="2"/>
  <c r="P58" i="2"/>
  <c r="R80" i="2"/>
  <c r="F80" i="2"/>
  <c r="S80" i="2"/>
  <c r="B80" i="2"/>
  <c r="D79" i="2"/>
  <c r="E79" i="2"/>
  <c r="O79" i="2"/>
  <c r="G79" i="2"/>
  <c r="P77" i="2"/>
  <c r="V79" i="2"/>
  <c r="U78" i="2"/>
  <c r="V78" i="2"/>
  <c r="N80" i="2" l="1"/>
  <c r="I80" i="2"/>
  <c r="M80" i="2"/>
  <c r="J80" i="2"/>
  <c r="L80" i="2"/>
  <c r="K80" i="2"/>
  <c r="H80" i="2"/>
  <c r="U79" i="2"/>
  <c r="S81" i="2"/>
  <c r="R81" i="2"/>
  <c r="B81" i="2"/>
  <c r="P59" i="2"/>
  <c r="F81" i="2"/>
  <c r="O80" i="2"/>
  <c r="D80" i="2"/>
  <c r="E80" i="2"/>
  <c r="G80" i="2" s="1"/>
  <c r="H81" i="2" l="1"/>
  <c r="N81" i="2"/>
  <c r="J81" i="2"/>
  <c r="M81" i="2"/>
  <c r="L81" i="2"/>
  <c r="I81" i="2"/>
  <c r="K81" i="2"/>
  <c r="P79" i="2"/>
  <c r="U80" i="2"/>
  <c r="O81" i="2"/>
  <c r="D81" i="2"/>
  <c r="E81" i="2"/>
  <c r="P78" i="2"/>
  <c r="V80" i="2"/>
  <c r="S82" i="2"/>
  <c r="B82" i="2"/>
  <c r="F82" i="2"/>
  <c r="P60" i="2"/>
  <c r="R82" i="2"/>
  <c r="M82" i="2" l="1"/>
  <c r="L82" i="2"/>
  <c r="K82" i="2"/>
  <c r="J82" i="2"/>
  <c r="H82" i="2"/>
  <c r="I82" i="2"/>
  <c r="N82" i="2"/>
  <c r="U81" i="2"/>
  <c r="R83" i="2"/>
  <c r="S83" i="2"/>
  <c r="F83" i="2"/>
  <c r="B83" i="2"/>
  <c r="P61" i="2"/>
  <c r="V81" i="2"/>
  <c r="O82" i="2"/>
  <c r="E82" i="2"/>
  <c r="G82" i="2" s="1"/>
  <c r="D82" i="2"/>
  <c r="G81" i="2"/>
  <c r="M83" i="2" l="1"/>
  <c r="L83" i="2"/>
  <c r="N83" i="2"/>
  <c r="J83" i="2"/>
  <c r="H83" i="2"/>
  <c r="I83" i="2"/>
  <c r="K83" i="2"/>
  <c r="U82" i="2"/>
  <c r="V82" i="2"/>
  <c r="R84" i="2"/>
  <c r="S84" i="2"/>
  <c r="B84" i="2"/>
  <c r="F84" i="2"/>
  <c r="P62" i="2"/>
  <c r="P80" i="2"/>
  <c r="E83" i="2"/>
  <c r="O83" i="2"/>
  <c r="D83" i="2"/>
  <c r="K84" i="2" l="1"/>
  <c r="J84" i="2"/>
  <c r="I84" i="2"/>
  <c r="H84" i="2"/>
  <c r="M84" i="2"/>
  <c r="N84" i="2"/>
  <c r="L84" i="2"/>
  <c r="P81" i="2"/>
  <c r="V83" i="2"/>
  <c r="U83" i="2"/>
  <c r="D84" i="2"/>
  <c r="V84" i="2" s="1"/>
  <c r="E84" i="2"/>
  <c r="G84" i="2" s="1"/>
  <c r="O84" i="2"/>
  <c r="R85" i="2"/>
  <c r="S85" i="2"/>
  <c r="P63" i="2"/>
  <c r="B85" i="2"/>
  <c r="F85" i="2"/>
  <c r="G83" i="2"/>
  <c r="J85" i="2" l="1"/>
  <c r="N85" i="2"/>
  <c r="M85" i="2"/>
  <c r="L85" i="2"/>
  <c r="K85" i="2"/>
  <c r="H85" i="2"/>
  <c r="I85" i="2"/>
  <c r="U84" i="2"/>
  <c r="P82" i="2"/>
  <c r="O85" i="2"/>
  <c r="E85" i="2"/>
  <c r="G85" i="2" s="1"/>
  <c r="D85" i="2"/>
  <c r="F86" i="2"/>
  <c r="R86" i="2"/>
  <c r="P64" i="2"/>
  <c r="B86" i="2"/>
  <c r="S86" i="2"/>
  <c r="I86" i="2" l="1"/>
  <c r="H86" i="2"/>
  <c r="M86" i="2"/>
  <c r="K86" i="2"/>
  <c r="L86" i="2"/>
  <c r="J86" i="2"/>
  <c r="N86" i="2"/>
  <c r="V85" i="2"/>
  <c r="P84" i="2"/>
  <c r="O86" i="2"/>
  <c r="D86" i="2"/>
  <c r="E86" i="2"/>
  <c r="G86" i="2" s="1"/>
  <c r="R87" i="2"/>
  <c r="P65" i="2"/>
  <c r="B87" i="2"/>
  <c r="F87" i="2"/>
  <c r="S87" i="2"/>
  <c r="U85" i="2"/>
  <c r="P83" i="2"/>
  <c r="N87" i="2" l="1"/>
  <c r="M87" i="2"/>
  <c r="I87" i="2"/>
  <c r="L87" i="2"/>
  <c r="K87" i="2"/>
  <c r="J87" i="2"/>
  <c r="H87" i="2"/>
  <c r="V86" i="2"/>
  <c r="F88" i="2"/>
  <c r="B88" i="2"/>
  <c r="R88" i="2"/>
  <c r="S88" i="2"/>
  <c r="E87" i="2"/>
  <c r="D87" i="2"/>
  <c r="U86" i="2"/>
  <c r="N88" i="2" l="1"/>
  <c r="L88" i="2"/>
  <c r="M88" i="2"/>
  <c r="K88" i="2"/>
  <c r="I88" i="2"/>
  <c r="J88" i="2"/>
  <c r="H88" i="2"/>
  <c r="E88" i="2"/>
  <c r="E89" i="2" s="1"/>
  <c r="D88" i="2"/>
  <c r="D89" i="2" s="1"/>
  <c r="M59" i="2"/>
  <c r="R68" i="2" s="1"/>
  <c r="B89" i="2"/>
  <c r="F89" i="2"/>
  <c r="P85" i="2"/>
  <c r="R67" i="2" l="1"/>
  <c r="E69" i="2"/>
  <c r="C88" i="2" s="1"/>
  <c r="S71" i="2"/>
  <c r="S67" i="2" s="1"/>
  <c r="S72" i="2"/>
  <c r="S68" i="2" s="1"/>
  <c r="C23" i="36"/>
  <c r="C57" i="36" s="1"/>
  <c r="P66" i="2"/>
  <c r="M60" i="2" s="1"/>
  <c r="E68" i="2"/>
  <c r="C87" i="2" s="1"/>
  <c r="P86" i="2"/>
  <c r="G23" i="36" l="1"/>
  <c r="G57" i="36" s="1"/>
  <c r="G58" i="36" s="1"/>
  <c r="D16" i="39"/>
  <c r="C16" i="39"/>
  <c r="C23" i="39" s="1"/>
  <c r="O88" i="2"/>
  <c r="U88" i="2"/>
  <c r="G88" i="2"/>
  <c r="C89" i="2"/>
  <c r="V87" i="2"/>
  <c r="G87" i="2"/>
  <c r="O87" i="2"/>
  <c r="U87" i="2"/>
  <c r="V88" i="2"/>
  <c r="O89" i="2" l="1"/>
  <c r="G89" i="2"/>
  <c r="L23" i="36"/>
  <c r="L57" i="36" s="1"/>
  <c r="C58" i="34"/>
  <c r="C25" i="39" s="1"/>
  <c r="J16" i="39"/>
  <c r="I16" i="39" s="1"/>
  <c r="I23" i="39" s="1"/>
  <c r="E16" i="39"/>
  <c r="P87" i="2" l="1"/>
  <c r="H89" i="2"/>
  <c r="K23" i="36" s="1"/>
  <c r="K57" i="36" s="1"/>
  <c r="C38" i="39"/>
  <c r="I25" i="39"/>
  <c r="I38" i="39" s="1"/>
  <c r="P94" i="2"/>
  <c r="O93" i="2"/>
  <c r="P95" i="2"/>
  <c r="J23" i="36"/>
  <c r="L93" i="2"/>
  <c r="J93" i="2"/>
  <c r="P93" i="2" s="1"/>
  <c r="M91" i="2"/>
  <c r="O91" i="2"/>
  <c r="O92" i="2"/>
  <c r="P92" i="2" s="1"/>
  <c r="P88" i="2"/>
  <c r="P89" i="2" s="1"/>
  <c r="P23" i="36" l="1"/>
  <c r="N23" i="36"/>
  <c r="N57" i="36" s="1"/>
  <c r="P91" i="2"/>
  <c r="O23" i="36"/>
  <c r="H18" i="36"/>
  <c r="I18" i="36" s="1"/>
  <c r="C60" i="34"/>
  <c r="J57" i="36"/>
  <c r="J58" i="36" s="1"/>
  <c r="D15" i="38" s="1"/>
  <c r="M23" i="36" l="1"/>
  <c r="E15" i="38"/>
  <c r="F15" i="38"/>
  <c r="G15" i="38"/>
  <c r="E10" i="40"/>
  <c r="P96" i="2"/>
  <c r="M8" i="1"/>
  <c r="M56" i="1" s="1"/>
  <c r="C74" i="34"/>
  <c r="L10" i="40" l="1"/>
  <c r="J10" i="40"/>
  <c r="K10" i="40"/>
  <c r="G10" i="40"/>
  <c r="B12" i="41"/>
  <c r="P54" i="1"/>
  <c r="P6" i="1"/>
  <c r="M57" i="36"/>
  <c r="M58" i="36" s="1"/>
  <c r="Q23" i="36"/>
  <c r="S29" i="1" l="1"/>
  <c r="B29" i="1"/>
  <c r="R29" i="1"/>
  <c r="F29" i="1"/>
  <c r="P7" i="1"/>
  <c r="E12" i="41"/>
  <c r="C12" i="41"/>
  <c r="D12" i="41"/>
  <c r="R77" i="1"/>
  <c r="S77" i="1"/>
  <c r="B77" i="1"/>
  <c r="F77" i="1"/>
  <c r="P55" i="1"/>
  <c r="I77" i="1" l="1"/>
  <c r="H77" i="1"/>
  <c r="J77" i="1"/>
  <c r="N77" i="1"/>
  <c r="M77" i="1"/>
  <c r="L77" i="1"/>
  <c r="K77" i="1"/>
  <c r="I29" i="1"/>
  <c r="H29" i="1"/>
  <c r="J29" i="1"/>
  <c r="N29" i="1"/>
  <c r="M29" i="1"/>
  <c r="L29" i="1"/>
  <c r="K29" i="1"/>
  <c r="F78" i="1"/>
  <c r="P56" i="1"/>
  <c r="R78" i="1"/>
  <c r="S78" i="1"/>
  <c r="B78" i="1"/>
  <c r="F30" i="1"/>
  <c r="R30" i="1"/>
  <c r="P8" i="1"/>
  <c r="S30" i="1"/>
  <c r="B30" i="1"/>
  <c r="O77" i="1"/>
  <c r="E77" i="1"/>
  <c r="G77" i="1" s="1"/>
  <c r="D77" i="1"/>
  <c r="E29" i="1"/>
  <c r="O29" i="1"/>
  <c r="D29" i="1"/>
  <c r="N30" i="1" l="1"/>
  <c r="M30" i="1"/>
  <c r="L30" i="1"/>
  <c r="K30" i="1"/>
  <c r="J30" i="1"/>
  <c r="I30" i="1"/>
  <c r="H30" i="1"/>
  <c r="N78" i="1"/>
  <c r="M78" i="1"/>
  <c r="L78" i="1"/>
  <c r="K78" i="1"/>
  <c r="J78" i="1"/>
  <c r="I78" i="1"/>
  <c r="H78" i="1"/>
  <c r="U29" i="1"/>
  <c r="U77" i="1"/>
  <c r="F79" i="1"/>
  <c r="R79" i="1"/>
  <c r="S79" i="1"/>
  <c r="P57" i="1"/>
  <c r="B79" i="1"/>
  <c r="R31" i="1"/>
  <c r="S31" i="1"/>
  <c r="F31" i="1"/>
  <c r="B31" i="1"/>
  <c r="P9" i="1"/>
  <c r="E78" i="1"/>
  <c r="O78" i="1"/>
  <c r="D78" i="1"/>
  <c r="V77" i="1"/>
  <c r="V29" i="1"/>
  <c r="G29" i="1"/>
  <c r="E30" i="1"/>
  <c r="G30" i="1" s="1"/>
  <c r="O30" i="1"/>
  <c r="D30" i="1"/>
  <c r="N79" i="1" l="1"/>
  <c r="M79" i="1"/>
  <c r="L79" i="1"/>
  <c r="K79" i="1"/>
  <c r="J79" i="1"/>
  <c r="H79" i="1"/>
  <c r="I79" i="1"/>
  <c r="N31" i="1"/>
  <c r="M31" i="1"/>
  <c r="L31" i="1"/>
  <c r="K31" i="1"/>
  <c r="J31" i="1"/>
  <c r="H31" i="1"/>
  <c r="I31" i="1"/>
  <c r="U30" i="1"/>
  <c r="U78" i="1"/>
  <c r="S32" i="1"/>
  <c r="B32" i="1"/>
  <c r="F32" i="1"/>
  <c r="R32" i="1"/>
  <c r="P10" i="1"/>
  <c r="O31" i="1"/>
  <c r="E31" i="1"/>
  <c r="G31" i="1" s="1"/>
  <c r="D31" i="1"/>
  <c r="O79" i="1"/>
  <c r="E79" i="1"/>
  <c r="G79" i="1" s="1"/>
  <c r="D79" i="1"/>
  <c r="B80" i="1"/>
  <c r="S80" i="1"/>
  <c r="F80" i="1"/>
  <c r="P58" i="1"/>
  <c r="R80" i="1"/>
  <c r="V78" i="1"/>
  <c r="G78" i="1"/>
  <c r="V30" i="1"/>
  <c r="L32" i="1" l="1"/>
  <c r="K32" i="1"/>
  <c r="J32" i="1"/>
  <c r="M32" i="1"/>
  <c r="I32" i="1"/>
  <c r="H32" i="1"/>
  <c r="N32" i="1"/>
  <c r="L80" i="1"/>
  <c r="K80" i="1"/>
  <c r="J80" i="1"/>
  <c r="I80" i="1"/>
  <c r="H80" i="1"/>
  <c r="M80" i="1"/>
  <c r="N80" i="1"/>
  <c r="P29" i="1"/>
  <c r="V31" i="1"/>
  <c r="P77" i="1"/>
  <c r="F81" i="1"/>
  <c r="R81" i="1"/>
  <c r="B81" i="1"/>
  <c r="S81" i="1"/>
  <c r="P59" i="1"/>
  <c r="U31" i="1"/>
  <c r="E32" i="1"/>
  <c r="G32" i="1" s="1"/>
  <c r="O32" i="1"/>
  <c r="D32" i="1"/>
  <c r="V79" i="1"/>
  <c r="R33" i="1"/>
  <c r="B33" i="1"/>
  <c r="P11" i="1"/>
  <c r="S33" i="1"/>
  <c r="F33" i="1"/>
  <c r="E80" i="1"/>
  <c r="O80" i="1"/>
  <c r="D80" i="1"/>
  <c r="U79" i="1"/>
  <c r="N81" i="1" l="1"/>
  <c r="M81" i="1"/>
  <c r="L81" i="1"/>
  <c r="K81" i="1"/>
  <c r="J81" i="1"/>
  <c r="I81" i="1"/>
  <c r="H81" i="1"/>
  <c r="N33" i="1"/>
  <c r="M33" i="1"/>
  <c r="L33" i="1"/>
  <c r="K33" i="1"/>
  <c r="J33" i="1"/>
  <c r="I33" i="1"/>
  <c r="H33" i="1"/>
  <c r="P30" i="1"/>
  <c r="U80" i="1"/>
  <c r="V80" i="1"/>
  <c r="V32" i="1"/>
  <c r="P12" i="1"/>
  <c r="R34" i="1"/>
  <c r="B34" i="1"/>
  <c r="S34" i="1"/>
  <c r="F34" i="1"/>
  <c r="U32" i="1"/>
  <c r="D33" i="1"/>
  <c r="E33" i="1"/>
  <c r="O33" i="1"/>
  <c r="S82" i="1"/>
  <c r="B82" i="1"/>
  <c r="R82" i="1"/>
  <c r="P60" i="1"/>
  <c r="F82" i="1"/>
  <c r="E81" i="1"/>
  <c r="G81" i="1" s="1"/>
  <c r="D81" i="1"/>
  <c r="O81" i="1"/>
  <c r="G80" i="1"/>
  <c r="P78" i="1"/>
  <c r="J34" i="1" l="1"/>
  <c r="I34" i="1"/>
  <c r="H34" i="1"/>
  <c r="N34" i="1"/>
  <c r="M34" i="1"/>
  <c r="L34" i="1"/>
  <c r="K34" i="1"/>
  <c r="J82" i="1"/>
  <c r="I82" i="1"/>
  <c r="H82" i="1"/>
  <c r="N82" i="1"/>
  <c r="M82" i="1"/>
  <c r="L82" i="1"/>
  <c r="K82" i="1"/>
  <c r="V33" i="1"/>
  <c r="G33" i="1"/>
  <c r="O34" i="1"/>
  <c r="E34" i="1"/>
  <c r="G34" i="1" s="1"/>
  <c r="D34" i="1"/>
  <c r="P79" i="1"/>
  <c r="O82" i="1"/>
  <c r="D82" i="1"/>
  <c r="E82" i="1"/>
  <c r="V81" i="1"/>
  <c r="U81" i="1"/>
  <c r="U33" i="1"/>
  <c r="P31" i="1"/>
  <c r="S35" i="1"/>
  <c r="P13" i="1"/>
  <c r="B35" i="1"/>
  <c r="F35" i="1"/>
  <c r="R35" i="1"/>
  <c r="P61" i="1"/>
  <c r="S83" i="1"/>
  <c r="F83" i="1"/>
  <c r="R83" i="1"/>
  <c r="B83" i="1"/>
  <c r="N35" i="1" l="1"/>
  <c r="M35" i="1"/>
  <c r="L35" i="1"/>
  <c r="K35" i="1"/>
  <c r="J35" i="1"/>
  <c r="I35" i="1"/>
  <c r="H35" i="1"/>
  <c r="N83" i="1"/>
  <c r="M83" i="1"/>
  <c r="L83" i="1"/>
  <c r="K83" i="1"/>
  <c r="J83" i="1"/>
  <c r="I83" i="1"/>
  <c r="H83" i="1"/>
  <c r="V82" i="1"/>
  <c r="V34" i="1"/>
  <c r="P80" i="1"/>
  <c r="U82" i="1"/>
  <c r="O83" i="1"/>
  <c r="E83" i="1"/>
  <c r="G83" i="1" s="1"/>
  <c r="D83" i="1"/>
  <c r="P32" i="1"/>
  <c r="E35" i="1"/>
  <c r="G35" i="1" s="1"/>
  <c r="D35" i="1"/>
  <c r="O35" i="1"/>
  <c r="S36" i="1"/>
  <c r="R36" i="1"/>
  <c r="P14" i="1"/>
  <c r="F36" i="1"/>
  <c r="B36" i="1"/>
  <c r="U34" i="1"/>
  <c r="R84" i="1"/>
  <c r="B84" i="1"/>
  <c r="S84" i="1"/>
  <c r="F84" i="1"/>
  <c r="P62" i="1"/>
  <c r="G82" i="1"/>
  <c r="H84" i="1" l="1"/>
  <c r="I84" i="1"/>
  <c r="N84" i="1"/>
  <c r="M84" i="1"/>
  <c r="L84" i="1"/>
  <c r="K84" i="1"/>
  <c r="J84" i="1"/>
  <c r="H36" i="1"/>
  <c r="I36" i="1"/>
  <c r="N36" i="1"/>
  <c r="M36" i="1"/>
  <c r="L36" i="1"/>
  <c r="K36" i="1"/>
  <c r="J36" i="1"/>
  <c r="V35" i="1"/>
  <c r="U83" i="1"/>
  <c r="U35" i="1"/>
  <c r="V83" i="1"/>
  <c r="S85" i="1"/>
  <c r="B85" i="1"/>
  <c r="R85" i="1"/>
  <c r="F85" i="1"/>
  <c r="P63" i="1"/>
  <c r="O84" i="1"/>
  <c r="D84" i="1"/>
  <c r="E84" i="1"/>
  <c r="G84" i="1" s="1"/>
  <c r="P81" i="1"/>
  <c r="P33" i="1"/>
  <c r="D36" i="1"/>
  <c r="O36" i="1"/>
  <c r="E36" i="1"/>
  <c r="G36" i="1" s="1"/>
  <c r="S37" i="1"/>
  <c r="B37" i="1"/>
  <c r="P15" i="1"/>
  <c r="R37" i="1"/>
  <c r="F37" i="1"/>
  <c r="M37" i="1" l="1"/>
  <c r="N37" i="1"/>
  <c r="L37" i="1"/>
  <c r="K37" i="1"/>
  <c r="J37" i="1"/>
  <c r="I37" i="1"/>
  <c r="H37" i="1"/>
  <c r="M85" i="1"/>
  <c r="N85" i="1"/>
  <c r="L85" i="1"/>
  <c r="K85" i="1"/>
  <c r="J85" i="1"/>
  <c r="I85" i="1"/>
  <c r="H85" i="1"/>
  <c r="P82" i="1"/>
  <c r="V84" i="1"/>
  <c r="U36" i="1"/>
  <c r="V36" i="1"/>
  <c r="P34" i="1"/>
  <c r="U84" i="1"/>
  <c r="R86" i="1"/>
  <c r="B86" i="1"/>
  <c r="P64" i="1"/>
  <c r="F86" i="1"/>
  <c r="S86" i="1"/>
  <c r="R38" i="1"/>
  <c r="S38" i="1"/>
  <c r="B38" i="1"/>
  <c r="P16" i="1"/>
  <c r="F38" i="1"/>
  <c r="O37" i="1"/>
  <c r="D37" i="1"/>
  <c r="E37" i="1"/>
  <c r="G37" i="1" s="1"/>
  <c r="D85" i="1"/>
  <c r="O85" i="1"/>
  <c r="E85" i="1"/>
  <c r="G85" i="1" s="1"/>
  <c r="N86" i="1" l="1"/>
  <c r="M86" i="1"/>
  <c r="L86" i="1"/>
  <c r="K86" i="1"/>
  <c r="J86" i="1"/>
  <c r="I86" i="1"/>
  <c r="H86" i="1"/>
  <c r="N38" i="1"/>
  <c r="M38" i="1"/>
  <c r="L38" i="1"/>
  <c r="K38" i="1"/>
  <c r="J38" i="1"/>
  <c r="I38" i="1"/>
  <c r="H38" i="1"/>
  <c r="U37" i="1"/>
  <c r="V37" i="1"/>
  <c r="P83" i="1"/>
  <c r="P35" i="1"/>
  <c r="U85" i="1"/>
  <c r="V85" i="1"/>
  <c r="D86" i="1"/>
  <c r="O86" i="1"/>
  <c r="E86" i="1"/>
  <c r="G86" i="1" s="1"/>
  <c r="S87" i="1"/>
  <c r="R87" i="1"/>
  <c r="P65" i="1"/>
  <c r="B87" i="1"/>
  <c r="F87" i="1"/>
  <c r="P17" i="1"/>
  <c r="S39" i="1"/>
  <c r="B39" i="1"/>
  <c r="F39" i="1"/>
  <c r="R39" i="1"/>
  <c r="E38" i="1"/>
  <c r="G38" i="1" s="1"/>
  <c r="D38" i="1"/>
  <c r="O38" i="1"/>
  <c r="K39" i="1" l="1"/>
  <c r="J39" i="1"/>
  <c r="L39" i="1"/>
  <c r="I39" i="1"/>
  <c r="H39" i="1"/>
  <c r="N39" i="1"/>
  <c r="M39" i="1"/>
  <c r="K87" i="1"/>
  <c r="J87" i="1"/>
  <c r="I87" i="1"/>
  <c r="H87" i="1"/>
  <c r="L87" i="1"/>
  <c r="N87" i="1"/>
  <c r="M87" i="1"/>
  <c r="U38" i="1"/>
  <c r="P36" i="1"/>
  <c r="U86" i="1"/>
  <c r="D39" i="1"/>
  <c r="E39" i="1"/>
  <c r="V86" i="1"/>
  <c r="V38" i="1"/>
  <c r="P84" i="1"/>
  <c r="R40" i="1"/>
  <c r="B40" i="1"/>
  <c r="S40" i="1"/>
  <c r="F40" i="1"/>
  <c r="E87" i="1"/>
  <c r="D87" i="1"/>
  <c r="R88" i="1"/>
  <c r="F88" i="1"/>
  <c r="S88" i="1"/>
  <c r="B88" i="1"/>
  <c r="N40" i="1" l="1"/>
  <c r="M40" i="1"/>
  <c r="L40" i="1"/>
  <c r="K40" i="1"/>
  <c r="J40" i="1"/>
  <c r="I40" i="1"/>
  <c r="H40" i="1"/>
  <c r="N88" i="1"/>
  <c r="M88" i="1"/>
  <c r="L88" i="1"/>
  <c r="K88" i="1"/>
  <c r="J88" i="1"/>
  <c r="I88" i="1"/>
  <c r="H88" i="1"/>
  <c r="P37" i="1"/>
  <c r="P85" i="1"/>
  <c r="F41" i="1"/>
  <c r="D88" i="1"/>
  <c r="D89" i="1" s="1"/>
  <c r="E88" i="1"/>
  <c r="E89" i="1" s="1"/>
  <c r="M58" i="1"/>
  <c r="R68" i="1" s="1"/>
  <c r="B89" i="1"/>
  <c r="E40" i="1"/>
  <c r="E41" i="1" s="1"/>
  <c r="D40" i="1"/>
  <c r="D41" i="1" s="1"/>
  <c r="B41" i="1"/>
  <c r="M10" i="1"/>
  <c r="F89" i="1"/>
  <c r="P38" i="1" l="1"/>
  <c r="R67" i="1"/>
  <c r="E69" i="1"/>
  <c r="C88" i="1" s="1"/>
  <c r="S23" i="1"/>
  <c r="S19" i="1" s="1"/>
  <c r="S24" i="1"/>
  <c r="S20" i="1" s="1"/>
  <c r="C15" i="36"/>
  <c r="P18" i="1"/>
  <c r="M11" i="1" s="1"/>
  <c r="E20" i="1"/>
  <c r="C39" i="1" s="1"/>
  <c r="P86" i="1"/>
  <c r="R19" i="1"/>
  <c r="E21" i="1"/>
  <c r="C40" i="1" s="1"/>
  <c r="R20" i="1"/>
  <c r="S71" i="1"/>
  <c r="S67" i="1" s="1"/>
  <c r="S72" i="1"/>
  <c r="S68" i="1" s="1"/>
  <c r="C16" i="36"/>
  <c r="P66" i="1"/>
  <c r="M59" i="1" s="1"/>
  <c r="E68" i="1"/>
  <c r="C87" i="1" s="1"/>
  <c r="O95" i="1" l="1"/>
  <c r="O94" i="1"/>
  <c r="G15" i="36"/>
  <c r="C18" i="36"/>
  <c r="D18" i="39"/>
  <c r="U88" i="1"/>
  <c r="O88" i="1"/>
  <c r="G88" i="1"/>
  <c r="C89" i="1"/>
  <c r="O87" i="1"/>
  <c r="V87" i="1"/>
  <c r="G87" i="1"/>
  <c r="U87" i="1"/>
  <c r="V88" i="1"/>
  <c r="G16" i="36"/>
  <c r="C41" i="1"/>
  <c r="U39" i="1"/>
  <c r="V39" i="1"/>
  <c r="O39" i="1"/>
  <c r="G39" i="1"/>
  <c r="V40" i="1"/>
  <c r="O40" i="1"/>
  <c r="G40" i="1"/>
  <c r="U40" i="1"/>
  <c r="O1198" i="2" l="1"/>
  <c r="O382" i="2"/>
  <c r="O526" i="2"/>
  <c r="O622" i="2"/>
  <c r="O1678" i="2"/>
  <c r="O238" i="2"/>
  <c r="O1054" i="2"/>
  <c r="O1006" i="2"/>
  <c r="O334" i="2"/>
  <c r="O478" i="2"/>
  <c r="O286" i="2"/>
  <c r="O1438" i="2"/>
  <c r="O1534" i="2"/>
  <c r="O574" i="2"/>
  <c r="O142" i="2"/>
  <c r="O958" i="2"/>
  <c r="O1102" i="2"/>
  <c r="O1294" i="2"/>
  <c r="O1630" i="2"/>
  <c r="O862" i="2"/>
  <c r="O1390" i="2"/>
  <c r="O1486" i="2"/>
  <c r="O1246" i="2"/>
  <c r="O1150" i="2"/>
  <c r="O910" i="2"/>
  <c r="O430" i="2"/>
  <c r="O1582" i="2"/>
  <c r="O814" i="2"/>
  <c r="O766" i="2"/>
  <c r="O1342" i="2"/>
  <c r="O670" i="2"/>
  <c r="O718" i="2"/>
  <c r="O190" i="2"/>
  <c r="P190" i="2" s="1"/>
  <c r="O94" i="2"/>
  <c r="O623" i="2"/>
  <c r="O1679" i="2"/>
  <c r="O1199" i="2"/>
  <c r="O383" i="2"/>
  <c r="O1007" i="2"/>
  <c r="O335" i="2"/>
  <c r="O479" i="2"/>
  <c r="O287" i="2"/>
  <c r="O239" i="2"/>
  <c r="O575" i="2"/>
  <c r="O143" i="2"/>
  <c r="O959" i="2"/>
  <c r="O1439" i="2"/>
  <c r="O1535" i="2"/>
  <c r="O1631" i="2"/>
  <c r="O863" i="2"/>
  <c r="O1391" i="2"/>
  <c r="O671" i="2"/>
  <c r="O1487" i="2"/>
  <c r="O1103" i="2"/>
  <c r="O1295" i="2"/>
  <c r="O911" i="2"/>
  <c r="O1583" i="2"/>
  <c r="O815" i="2"/>
  <c r="O1247" i="2"/>
  <c r="O527" i="2"/>
  <c r="O1151" i="2"/>
  <c r="O431" i="2"/>
  <c r="O719" i="2"/>
  <c r="O191" i="2"/>
  <c r="P191" i="2" s="1"/>
  <c r="P25" i="36" s="1"/>
  <c r="P57" i="36" s="1"/>
  <c r="O767" i="2"/>
  <c r="O1055" i="2"/>
  <c r="O1343" i="2"/>
  <c r="O95" i="2"/>
  <c r="O89" i="1"/>
  <c r="L16" i="36" s="1"/>
  <c r="O41" i="1"/>
  <c r="G18" i="36"/>
  <c r="C6" i="39" s="1"/>
  <c r="G89" i="1"/>
  <c r="G41" i="1"/>
  <c r="E18" i="39"/>
  <c r="J18" i="39"/>
  <c r="P192" i="2" l="1"/>
  <c r="O25" i="36"/>
  <c r="L15" i="36"/>
  <c r="L18" i="36" s="1"/>
  <c r="G19" i="36"/>
  <c r="P40" i="1"/>
  <c r="P39" i="1"/>
  <c r="P87" i="1"/>
  <c r="O93" i="1"/>
  <c r="P94" i="1"/>
  <c r="L93" i="1"/>
  <c r="J16" i="36"/>
  <c r="P95" i="1"/>
  <c r="O91" i="1"/>
  <c r="M91" i="1"/>
  <c r="O92" i="1"/>
  <c r="P92" i="1" s="1"/>
  <c r="J93" i="1"/>
  <c r="P93" i="1" s="1"/>
  <c r="P88" i="1"/>
  <c r="H41" i="1"/>
  <c r="K15" i="36" s="1"/>
  <c r="J15" i="36"/>
  <c r="P43" i="1"/>
  <c r="P46" i="1"/>
  <c r="P47" i="1"/>
  <c r="P44" i="1"/>
  <c r="H89" i="1"/>
  <c r="K16" i="36" s="1"/>
  <c r="I6" i="39"/>
  <c r="I13" i="39" s="1"/>
  <c r="C13" i="39"/>
  <c r="Q25" i="36" l="1"/>
  <c r="Q57" i="36" s="1"/>
  <c r="O57" i="36"/>
  <c r="P89" i="1"/>
  <c r="P91" i="1"/>
  <c r="M16" i="36" s="1"/>
  <c r="P41" i="1"/>
  <c r="P48" i="1" s="1"/>
  <c r="P16" i="36"/>
  <c r="I29" i="39"/>
  <c r="I32" i="39" s="1"/>
  <c r="I39" i="39" s="1"/>
  <c r="I41" i="39" s="1"/>
  <c r="I45" i="39" s="1"/>
  <c r="I44" i="39"/>
  <c r="M15" i="36"/>
  <c r="N15" i="36"/>
  <c r="O16" i="36"/>
  <c r="K18" i="36"/>
  <c r="P15" i="36"/>
  <c r="O15" i="36"/>
  <c r="J18" i="36"/>
  <c r="C29" i="39"/>
  <c r="C44" i="39"/>
  <c r="N16" i="36"/>
  <c r="P96" i="1" l="1"/>
  <c r="I46" i="39"/>
  <c r="J46" i="39" s="1"/>
  <c r="Q16" i="36"/>
  <c r="P18" i="36"/>
  <c r="D19" i="38" s="1"/>
  <c r="F19" i="38" s="1"/>
  <c r="M18" i="36"/>
  <c r="J19" i="36"/>
  <c r="D16" i="38" s="1"/>
  <c r="N18" i="36"/>
  <c r="Q15" i="36"/>
  <c r="C79" i="34"/>
  <c r="E79" i="34" s="1"/>
  <c r="C63" i="34"/>
  <c r="C69" i="34" s="1"/>
  <c r="C75" i="34" s="1"/>
  <c r="C76" i="34" s="1"/>
  <c r="C80" i="34" s="1"/>
  <c r="E80" i="34" s="1"/>
  <c r="C32" i="39"/>
  <c r="C39" i="39" s="1"/>
  <c r="C41" i="39" s="1"/>
  <c r="C45" i="39" s="1"/>
  <c r="C46" i="39" s="1"/>
  <c r="O18" i="36"/>
  <c r="D17" i="38" s="1"/>
  <c r="Q18" i="36" l="1"/>
  <c r="I50" i="39"/>
  <c r="J50" i="39" s="1"/>
  <c r="D18" i="38"/>
  <c r="G18" i="38" s="1"/>
  <c r="E14" i="40"/>
  <c r="L14" i="40" s="1"/>
  <c r="G19" i="38"/>
  <c r="E19" i="38"/>
  <c r="C81" i="34"/>
  <c r="C50" i="39"/>
  <c r="D50" i="39" s="1"/>
  <c r="D46" i="39"/>
  <c r="F16" i="38"/>
  <c r="E16" i="38"/>
  <c r="E11" i="40"/>
  <c r="G16" i="38"/>
  <c r="M19" i="36"/>
  <c r="G17" i="38"/>
  <c r="E12" i="40"/>
  <c r="E17" i="38"/>
  <c r="F17" i="38"/>
  <c r="D57" i="39" l="1"/>
  <c r="J57" i="39"/>
  <c r="E55" i="39"/>
  <c r="K55" i="39" s="1"/>
  <c r="E13" i="40"/>
  <c r="L13" i="40" s="1"/>
  <c r="E18" i="38"/>
  <c r="K14" i="40"/>
  <c r="F18" i="38"/>
  <c r="J14" i="40"/>
  <c r="B25" i="41"/>
  <c r="E25" i="41" s="1"/>
  <c r="G14" i="40"/>
  <c r="L12" i="40"/>
  <c r="K12" i="40"/>
  <c r="B22" i="41"/>
  <c r="G12" i="40"/>
  <c r="J12" i="40"/>
  <c r="G11" i="40"/>
  <c r="K11" i="40"/>
  <c r="L11" i="40"/>
  <c r="B20" i="41"/>
  <c r="J11" i="40"/>
  <c r="D81" i="34"/>
  <c r="E56" i="39" l="1"/>
  <c r="E57" i="39" s="1"/>
  <c r="E59" i="39" s="1"/>
  <c r="C83" i="34" s="1"/>
  <c r="F55" i="39"/>
  <c r="F56" i="39" s="1"/>
  <c r="F57" i="39" s="1"/>
  <c r="C25" i="41"/>
  <c r="B23" i="41"/>
  <c r="E23" i="41" s="1"/>
  <c r="G13" i="40"/>
  <c r="J13" i="40"/>
  <c r="K13" i="40"/>
  <c r="D25" i="41"/>
  <c r="C20" i="41"/>
  <c r="E20" i="41"/>
  <c r="D20" i="41"/>
  <c r="D22" i="41"/>
  <c r="E22" i="41"/>
  <c r="C22" i="41"/>
  <c r="K56" i="39"/>
  <c r="K57" i="39" s="1"/>
  <c r="K59" i="39" s="1"/>
  <c r="L55" i="39"/>
  <c r="L56" i="39" s="1"/>
  <c r="L57" i="39" s="1"/>
  <c r="D22" i="38" l="1"/>
  <c r="E22" i="38" s="1"/>
  <c r="E23" i="38" s="1"/>
  <c r="E129" i="38" s="1"/>
  <c r="D59" i="39"/>
  <c r="B22" i="38" s="1"/>
  <c r="E60" i="39"/>
  <c r="D23" i="41"/>
  <c r="C23" i="41"/>
  <c r="J59" i="39"/>
  <c r="B17" i="40" s="1"/>
  <c r="E17" i="40"/>
  <c r="K60" i="39"/>
  <c r="D23" i="38" l="1"/>
  <c r="I6" i="38" s="1"/>
  <c r="G22" i="38"/>
  <c r="G23" i="38" s="1"/>
  <c r="G129" i="38" s="1"/>
  <c r="F22" i="38"/>
  <c r="F23" i="38" s="1"/>
  <c r="F129" i="38" s="1"/>
  <c r="B83" i="34"/>
  <c r="C18" i="40"/>
  <c r="A13" i="41"/>
  <c r="L17" i="40"/>
  <c r="K17" i="40"/>
  <c r="J17" i="40"/>
  <c r="B13" i="41"/>
  <c r="G17" i="40"/>
  <c r="E18" i="40"/>
  <c r="D129" i="38" l="1"/>
  <c r="G18" i="40"/>
  <c r="E20" i="40"/>
  <c r="E13" i="41"/>
  <c r="C13" i="41"/>
  <c r="D13" i="41"/>
  <c r="B14" i="41"/>
  <c r="B15" i="41" s="1"/>
  <c r="B17" i="41" s="1"/>
  <c r="H18" i="40"/>
  <c r="I18" i="40" s="1"/>
  <c r="C20" i="40"/>
  <c r="H20" i="40" l="1"/>
  <c r="I20" i="40" s="1"/>
  <c r="C136" i="40"/>
  <c r="B21" i="41"/>
  <c r="C14" i="41"/>
  <c r="C15" i="41" s="1"/>
  <c r="C17" i="41" s="1"/>
  <c r="E14" i="41"/>
  <c r="E15" i="41" s="1"/>
  <c r="E17" i="41" s="1"/>
  <c r="D14" i="41"/>
  <c r="D15" i="41" s="1"/>
  <c r="D17" i="41" s="1"/>
  <c r="G20" i="40"/>
  <c r="G136" i="40" s="1"/>
  <c r="G1" i="40"/>
  <c r="E136" i="40"/>
  <c r="K18" i="40" l="1"/>
  <c r="K20" i="40" s="1"/>
  <c r="K136" i="40" s="1"/>
  <c r="J18" i="40"/>
  <c r="J20" i="40" s="1"/>
  <c r="J136" i="40" s="1"/>
  <c r="D6" i="41"/>
  <c r="L18" i="40"/>
  <c r="L20" i="40" s="1"/>
  <c r="L136" i="40" s="1"/>
  <c r="R22" i="42"/>
  <c r="R25" i="42" s="1"/>
  <c r="R58" i="42"/>
  <c r="R61" i="42" s="1"/>
  <c r="R39" i="42"/>
  <c r="R42" i="42" s="1"/>
  <c r="C21" i="41"/>
  <c r="C27" i="41" s="1"/>
  <c r="C43" i="41" s="1"/>
  <c r="W22" i="42" s="1"/>
  <c r="W25" i="42" s="1"/>
  <c r="E21" i="41"/>
  <c r="E27" i="41" s="1"/>
  <c r="E43" i="41" s="1"/>
  <c r="W58" i="42" s="1"/>
  <c r="W61" i="42" s="1"/>
  <c r="D21" i="41"/>
  <c r="D27" i="41" s="1"/>
  <c r="D43" i="41" s="1"/>
  <c r="W39" i="42" s="1"/>
  <c r="W42" i="42" s="1"/>
  <c r="B27" i="41"/>
  <c r="B43" i="41" s="1"/>
  <c r="B45" i="41" s="1"/>
  <c r="B58" i="41" s="1"/>
  <c r="D45" i="41" l="1"/>
  <c r="D58" i="41" s="1"/>
  <c r="U18" i="42"/>
  <c r="U16" i="42"/>
  <c r="U19" i="42"/>
  <c r="U12" i="42"/>
  <c r="U15" i="42"/>
  <c r="U14" i="42"/>
  <c r="U13" i="42"/>
  <c r="U17" i="42"/>
  <c r="T35" i="42"/>
  <c r="E45" i="41"/>
  <c r="E58" i="41" s="1"/>
  <c r="T51" i="42"/>
  <c r="T53" i="42" s="1"/>
  <c r="U47" i="42"/>
  <c r="U53" i="42"/>
  <c r="U50" i="42"/>
  <c r="U48" i="42"/>
  <c r="U52" i="42"/>
  <c r="U46" i="42"/>
  <c r="U54" i="42"/>
  <c r="U49" i="42"/>
  <c r="U51" i="42"/>
  <c r="U55" i="42"/>
  <c r="C45" i="41"/>
  <c r="C58" i="41" s="1"/>
  <c r="T18" i="42"/>
  <c r="U33" i="42"/>
  <c r="U31" i="42"/>
  <c r="U29" i="42"/>
  <c r="U36" i="42"/>
  <c r="U34" i="42"/>
  <c r="U35" i="42"/>
  <c r="U30" i="42"/>
  <c r="U32" i="42"/>
  <c r="V35" i="42" l="1"/>
  <c r="W35" i="42" s="1"/>
  <c r="T48" i="42"/>
  <c r="V48" i="42" s="1"/>
  <c r="W48" i="42" s="1"/>
  <c r="T34" i="42"/>
  <c r="V34" i="42" s="1"/>
  <c r="W34" i="42" s="1"/>
  <c r="V18" i="42"/>
  <c r="W18" i="42" s="1"/>
  <c r="V53" i="42"/>
  <c r="W53" i="42" s="1"/>
  <c r="T50" i="42"/>
  <c r="V50" i="42" s="1"/>
  <c r="W50" i="42" s="1"/>
  <c r="T46" i="42"/>
  <c r="V46" i="42" s="1"/>
  <c r="W46" i="42" s="1"/>
  <c r="T49" i="42"/>
  <c r="V49" i="42" s="1"/>
  <c r="W49" i="42" s="1"/>
  <c r="T47" i="42"/>
  <c r="V47" i="42" s="1"/>
  <c r="W47" i="42" s="1"/>
  <c r="T52" i="42"/>
  <c r="V52" i="42" s="1"/>
  <c r="W52" i="42" s="1"/>
  <c r="T55" i="42"/>
  <c r="V55" i="42" s="1"/>
  <c r="W55" i="42" s="1"/>
  <c r="T32" i="42"/>
  <c r="V32" i="42" s="1"/>
  <c r="W32" i="42" s="1"/>
  <c r="T36" i="42"/>
  <c r="V36" i="42" s="1"/>
  <c r="W36" i="42" s="1"/>
  <c r="T15" i="42"/>
  <c r="V15" i="42" s="1"/>
  <c r="W15" i="42" s="1"/>
  <c r="T14" i="42"/>
  <c r="V14" i="42" s="1"/>
  <c r="W14" i="42" s="1"/>
  <c r="T33" i="42"/>
  <c r="V33" i="42" s="1"/>
  <c r="W33" i="42" s="1"/>
  <c r="T17" i="42"/>
  <c r="V17" i="42" s="1"/>
  <c r="W17" i="42" s="1"/>
  <c r="T13" i="42"/>
  <c r="V13" i="42" s="1"/>
  <c r="W13" i="42" s="1"/>
  <c r="T12" i="42"/>
  <c r="V12" i="42" s="1"/>
  <c r="W12" i="42" s="1"/>
  <c r="T16" i="42"/>
  <c r="V16" i="42" s="1"/>
  <c r="W16" i="42" s="1"/>
  <c r="T19" i="42"/>
  <c r="V19" i="42" s="1"/>
  <c r="W19" i="42" s="1"/>
  <c r="T30" i="42"/>
  <c r="V30" i="42" s="1"/>
  <c r="W30" i="42" s="1"/>
  <c r="V51" i="42"/>
  <c r="W51" i="42" s="1"/>
  <c r="T31" i="42"/>
  <c r="V31" i="42" s="1"/>
  <c r="W31" i="42" s="1"/>
  <c r="T54" i="42"/>
  <c r="V54" i="42" s="1"/>
  <c r="W54" i="42" s="1"/>
  <c r="T29" i="42"/>
  <c r="V29" i="42" s="1"/>
  <c r="W29" i="42" s="1"/>
  <c r="W20" i="42" l="1"/>
  <c r="W64" i="42" s="1"/>
  <c r="W74" i="42" s="1"/>
  <c r="W37" i="42"/>
  <c r="W65" i="42" s="1"/>
  <c r="W75" i="42" s="1"/>
  <c r="W56" i="42"/>
  <c r="W66" i="42" s="1"/>
  <c r="W76" i="42" s="1"/>
  <c r="W67" i="42" l="1"/>
  <c r="W77" i="42"/>
</calcChain>
</file>

<file path=xl/sharedStrings.xml><?xml version="1.0" encoding="utf-8"?>
<sst xmlns="http://schemas.openxmlformats.org/spreadsheetml/2006/main" count="9385" uniqueCount="758">
  <si>
    <t>Insgesamt</t>
  </si>
  <si>
    <t>Summe</t>
  </si>
  <si>
    <t>Pflege-versicherung</t>
  </si>
  <si>
    <t>Arbeitslosen-versicherung</t>
  </si>
  <si>
    <t>Renten-versicherung</t>
  </si>
  <si>
    <t>Gesamt</t>
  </si>
  <si>
    <t>(Sonstiges)</t>
  </si>
  <si>
    <t>Sozialversicherungsbeiträge</t>
  </si>
  <si>
    <t>Sozialversicherungspflichtiges Brutto</t>
  </si>
  <si>
    <t>Bei den farblich orange hinterlegten Feldern handelt es sich, soweit zutreffend, um auszufüllende Pflichtfelder.</t>
  </si>
  <si>
    <t>Die farblich grau hinterlegten Felder werden automatisch ausgefüllt.</t>
  </si>
  <si>
    <t>Tätigkeit lt. Stellenplan:</t>
  </si>
  <si>
    <t>Qualifikation:</t>
  </si>
  <si>
    <t>Entgeltgruppe / Stufe:</t>
  </si>
  <si>
    <t/>
  </si>
  <si>
    <t>gültiger Tarif:</t>
  </si>
  <si>
    <t>Einrichtung:</t>
  </si>
  <si>
    <t>Träger:</t>
  </si>
  <si>
    <t>Krankenkasse:</t>
  </si>
  <si>
    <t>Die Personalkostenberechnung ist für jede/n pädagogische/n Arbeitnehmer/-in (Leiter/-in) im Regelbereich einzeln auszufüllen.</t>
  </si>
  <si>
    <t>lfd. Nr. 1 - Leiter/in</t>
  </si>
  <si>
    <t>lfd. Nr. 1 - Hilfskraft</t>
  </si>
  <si>
    <t>lfd. Nr. 2 - Hilfskraft</t>
  </si>
  <si>
    <t>lfd. Nr. 4 - Hilfskraft</t>
  </si>
  <si>
    <t>lfd. Nr. 5 - Hilfskraft</t>
  </si>
  <si>
    <t>lfd. Nr. 6 - Hilfskraft</t>
  </si>
  <si>
    <t>lfd. Nr. 7 - Hilfskraft</t>
  </si>
  <si>
    <t>lfd. Nr. 1 - Hausmeister/in</t>
  </si>
  <si>
    <t>lfd. Nr. 2 - Hausmeister/in</t>
  </si>
  <si>
    <t>lfd. Nr. 3 - Hausmeister/in</t>
  </si>
  <si>
    <t>lfd. Nr. 1 - Reinigungskraft</t>
  </si>
  <si>
    <t>lfd. Nr. 2 - Reinigungskraft</t>
  </si>
  <si>
    <t>lfd. Nr. 3 - Reinigungskraft</t>
  </si>
  <si>
    <t>lfd. Nr. 4 - Reinigungskraft</t>
  </si>
  <si>
    <t>lfd. Nr. 5 - Reinigungskraft</t>
  </si>
  <si>
    <t>lfd. Nr. 6 - Reinigungskraft</t>
  </si>
  <si>
    <t>lfd. Nr. 7 - Reinigungskraft</t>
  </si>
  <si>
    <t>lfd. Nr. 8 - Reinigungskraft</t>
  </si>
  <si>
    <t>lfd. Nr. 1 - Erzieher/in</t>
  </si>
  <si>
    <t>lfd. Nr. 2 - Erzieher/in</t>
  </si>
  <si>
    <t>lfd. Nr. 3 - Erzieher/in</t>
  </si>
  <si>
    <t>lfd. Nr. 5 - Erzieher/in</t>
  </si>
  <si>
    <t>lfd. Nr. 7 - Erzieher/in</t>
  </si>
  <si>
    <t>lfd. Nr. 8 - Erzieher/in</t>
  </si>
  <si>
    <t>lfd. Nr. 9 - Erzieher/in</t>
  </si>
  <si>
    <t>lfd. Nr. 10 - Erzieher/in</t>
  </si>
  <si>
    <t>lfd. Nr. 11 - Erzieher/in</t>
  </si>
  <si>
    <t>lfd. Nr. 12 - Erzieher/in</t>
  </si>
  <si>
    <t>lfd. Nr. 13 - Erzieher/in</t>
  </si>
  <si>
    <t>lfd. Nr. 14 - Erzieher/in</t>
  </si>
  <si>
    <t>lfd. Nr. 18 - Erzieher/in</t>
  </si>
  <si>
    <t>lfd. Nr. 19 - Erzieher/in</t>
  </si>
  <si>
    <t>lfd. Nr. 20 - Erzieher/in</t>
  </si>
  <si>
    <t>lfd. Nr. 21 - Erzieher/in</t>
  </si>
  <si>
    <t>lfd. Nr. 22 - Erzieher/in</t>
  </si>
  <si>
    <t>lfd. Nr. 23 - Erzieher/in</t>
  </si>
  <si>
    <t>lfd. Nr. 24 - Erzieher/in</t>
  </si>
  <si>
    <t>lfd. Nr. 25 - Erzieher/in</t>
  </si>
  <si>
    <t>lfd. Nr. 26 - Erzieher/in</t>
  </si>
  <si>
    <t>lfd. Nr. 27 - Erzieher/in</t>
  </si>
  <si>
    <t>lfd. Nr. 28 - Erzieher/in</t>
  </si>
  <si>
    <t>lfd. Nr. 29 - Erzieher/in</t>
  </si>
  <si>
    <t>lfd. Nr. 30 - Erzieher/in</t>
  </si>
  <si>
    <t>lfd. Nr. 31 - Erzieher/in</t>
  </si>
  <si>
    <t>lfd. Nr. 8 - Hilfskraft</t>
  </si>
  <si>
    <t>lfd. Nr. 1 - Hausmeister/in (passive Altersteilzeitphase)</t>
  </si>
  <si>
    <t>lfd. Nr. 2 - Hausmeister/in (passive Altersteilzeitphase)</t>
  </si>
  <si>
    <t>lfd. Nr. 1 - Reinigungskraft (passive Altersteilzeitphase)</t>
  </si>
  <si>
    <t>lfd. Nr. 2 - Reinigungskraft (passive Altersteilzeitphase)</t>
  </si>
  <si>
    <t>Taschengeld</t>
  </si>
  <si>
    <t>Verpflegungs-kosten</t>
  </si>
  <si>
    <t>Unterkunft</t>
  </si>
  <si>
    <t>lfd. Nr. 1 - BFD/FSJ</t>
  </si>
  <si>
    <t>lfd. Nr. 2 - BFD/FSJ</t>
  </si>
  <si>
    <t>lfd. Nr. 3 - BFD/FSJ</t>
  </si>
  <si>
    <t>lfd. Nr. 4 - BFD/FSJ</t>
  </si>
  <si>
    <t>Taschengeld und/oder Sachleistungen</t>
  </si>
  <si>
    <t>Tätigkeit:</t>
  </si>
  <si>
    <t>Qualifikation nach Abschluss:</t>
  </si>
  <si>
    <t>lfd. Nr. 1</t>
  </si>
  <si>
    <t>lfd. Nr. 2</t>
  </si>
  <si>
    <t>lfd. Nr. 3</t>
  </si>
  <si>
    <t>lfd. Nr. 4</t>
  </si>
  <si>
    <t>lfd. Nr. 5</t>
  </si>
  <si>
    <t>lfd. Nr. 6</t>
  </si>
  <si>
    <t>lfd. Nr. 7</t>
  </si>
  <si>
    <t>lfd. Nr. 8</t>
  </si>
  <si>
    <t>lfd. Nr. 9</t>
  </si>
  <si>
    <t>lfd. Nr. 10</t>
  </si>
  <si>
    <t>lfd. Nr. 11</t>
  </si>
  <si>
    <t>lfd. Nr. 12</t>
  </si>
  <si>
    <t>lfd. Nr. 13</t>
  </si>
  <si>
    <t>lfd. Nr. 14</t>
  </si>
  <si>
    <t>lfd. Nr. 15</t>
  </si>
  <si>
    <t>Beschäftigungsmonate:</t>
  </si>
  <si>
    <t>U1/U2/U3</t>
  </si>
  <si>
    <t>lfd. Nr. 1 - Hausmeister/in (aktive Altersteilzeitphase)</t>
  </si>
  <si>
    <t>lfd. Nr. 2 - Hausmeister/in (aktive Altersteilzeitphase)</t>
  </si>
  <si>
    <t>lfd. Nr. 1 - Reinigungskraft (aktive Altersteilzeitphase)</t>
  </si>
  <si>
    <t>lfd. Nr. 2 - Reinigungskraft (aktive Altersteilzeitphase)</t>
  </si>
  <si>
    <t>regelmäßige Wochenarbeitszeit:</t>
  </si>
  <si>
    <t>gesamte Arbeitszeit (h/W):</t>
  </si>
  <si>
    <t>davon Leitungstätigkeit (h/W):</t>
  </si>
  <si>
    <t>Beschäftigungsbeginn:</t>
  </si>
  <si>
    <t>Beginn des Dienstes:</t>
  </si>
  <si>
    <t>Ende des Dienstes:</t>
  </si>
  <si>
    <t>lfd. Nr. 1 - Auszubildende/r</t>
  </si>
  <si>
    <t>Beginn ATZ (aktiv):</t>
  </si>
  <si>
    <t>Beginn ATZ (passiv):</t>
  </si>
  <si>
    <r>
      <t>BAV</t>
    </r>
    <r>
      <rPr>
        <sz val="8"/>
        <rFont val="Arial"/>
        <family val="2"/>
      </rPr>
      <t xml:space="preserve">             (SV-frei)</t>
    </r>
  </si>
  <si>
    <r>
      <t xml:space="preserve">Förderung Bund/ Land/EU </t>
    </r>
    <r>
      <rPr>
        <b/>
        <sz val="8"/>
        <color rgb="FFFF0000"/>
        <rFont val="Arial"/>
        <family val="2"/>
      </rPr>
      <t>(mit Minus)</t>
    </r>
  </si>
  <si>
    <r>
      <t xml:space="preserve">Bruttoarbeits-entgelt </t>
    </r>
    <r>
      <rPr>
        <sz val="8"/>
        <rFont val="Arial"/>
        <family val="2"/>
      </rPr>
      <t>(Tabellenentgelt)</t>
    </r>
  </si>
  <si>
    <t>Die Personalkostenberechnung ist für jede/n Arbeitnehmer/in einzeln auszufüllen.</t>
  </si>
  <si>
    <t>Sozialversicherungsbeiträge (AG-Anteile)</t>
  </si>
  <si>
    <r>
      <t>U1</t>
    </r>
    <r>
      <rPr>
        <sz val="7"/>
        <rFont val="Arial"/>
        <family val="2"/>
      </rPr>
      <t xml:space="preserve">               (Krankheit)</t>
    </r>
  </si>
  <si>
    <r>
      <t>U2</t>
    </r>
    <r>
      <rPr>
        <sz val="7"/>
        <rFont val="Arial"/>
        <family val="2"/>
      </rPr>
      <t xml:space="preserve"> (Mutterschaft)</t>
    </r>
  </si>
  <si>
    <r>
      <t>U3</t>
    </r>
    <r>
      <rPr>
        <sz val="7"/>
        <rFont val="Arial"/>
        <family val="2"/>
      </rPr>
      <t xml:space="preserve">         (Insolvenz)</t>
    </r>
  </si>
  <si>
    <t>(7,30% + AG Zusatzbeitrag)</t>
  </si>
  <si>
    <t>(7,30% + Zusatz)</t>
  </si>
  <si>
    <t>Kranken-versicherung</t>
  </si>
  <si>
    <t>mit Kind:</t>
  </si>
  <si>
    <t>Vollrentner:</t>
  </si>
  <si>
    <t>Rentenalter erreicht:</t>
  </si>
  <si>
    <t>Berufsgenossenschaft:</t>
  </si>
  <si>
    <t>Gefahrenklasse:</t>
  </si>
  <si>
    <t>Beitragsfuß:</t>
  </si>
  <si>
    <t>Unfallkasse:</t>
  </si>
  <si>
    <t>Grundlage:</t>
  </si>
  <si>
    <t>Beitragssatz:</t>
  </si>
  <si>
    <t>Ausgleichsumlage Wohlfahrtspflege:</t>
  </si>
  <si>
    <t>Schwerbehindertenausgleichsabgabe:</t>
  </si>
  <si>
    <t>Betrag:</t>
  </si>
  <si>
    <t>Beschäftigte (Anzahl):</t>
  </si>
  <si>
    <r>
      <t>VwL</t>
    </r>
    <r>
      <rPr>
        <sz val="8"/>
        <rFont val="Arial"/>
        <family val="2"/>
      </rPr>
      <t xml:space="preserve"> (ver-mögenswirk-same Leist.)</t>
    </r>
  </si>
  <si>
    <t>ab</t>
  </si>
  <si>
    <t>Tarif des Trägers</t>
  </si>
  <si>
    <t>EG</t>
  </si>
  <si>
    <t>Stufe</t>
  </si>
  <si>
    <r>
      <t xml:space="preserve">Entg. </t>
    </r>
    <r>
      <rPr>
        <b/>
        <sz val="10"/>
        <color theme="1"/>
        <rFont val="Arial"/>
        <family val="2"/>
      </rPr>
      <t>1 h/Wo</t>
    </r>
  </si>
  <si>
    <t>Zulagen</t>
  </si>
  <si>
    <t>h/Wo</t>
  </si>
  <si>
    <t>Die farblich grau hinterlegten Felder werden automatisch ausgefüllt. Bei den farblich orange hinterlegten Feldern handelt es sich, soweit zutreffend, um auszufüllende Pflichtfelder.</t>
  </si>
  <si>
    <t>Leistungsentgelt (LOB)</t>
  </si>
  <si>
    <t>Jahressonderzahlung (JSZ)</t>
  </si>
  <si>
    <t>KV und PV</t>
  </si>
  <si>
    <t>RV und AV</t>
  </si>
  <si>
    <t>lfd. Nr. 2 - Leiter/in</t>
  </si>
  <si>
    <t>Geburtsdatum:</t>
  </si>
  <si>
    <t>lfd. Nr. 3 - Leiter/in</t>
  </si>
  <si>
    <t>davon im Regelbereich (h/W)</t>
  </si>
  <si>
    <t>davon integrativ (h/W):</t>
  </si>
  <si>
    <t>Die Personalkostenberechnung ist für jede/n pädagogische/n Arbeitnehmer/-in (Erzieher/-in) im Regelbereich einzeln auszufüllen.</t>
  </si>
  <si>
    <t>lfd. Nr. 4 - Erzieher/in</t>
  </si>
  <si>
    <t>lfd. Nr. 6 - Erzieher/in</t>
  </si>
  <si>
    <t>lfd. Nr. 15 - Erzieher/in</t>
  </si>
  <si>
    <t>lfd. Nr. 16 - Erzieher/in</t>
  </si>
  <si>
    <t>lfd. Nr. 17 - Erzieher/in</t>
  </si>
  <si>
    <t>lfd. Nr. 3 - Hilfskraft</t>
  </si>
  <si>
    <r>
      <t xml:space="preserve">Die Personalkostenberechnung ist für jede/n </t>
    </r>
    <r>
      <rPr>
        <b/>
        <i/>
        <sz val="10"/>
        <color rgb="FF00B050"/>
        <rFont val="Arial"/>
        <family val="2"/>
      </rPr>
      <t>(eigenen)</t>
    </r>
    <r>
      <rPr>
        <b/>
        <i/>
        <sz val="10"/>
        <color rgb="FFFF0000"/>
        <rFont val="Arial"/>
        <family val="2"/>
      </rPr>
      <t xml:space="preserve"> Auszubildenden im Regelbereich einzeln auszufüllen. </t>
    </r>
    <r>
      <rPr>
        <b/>
        <i/>
        <sz val="10"/>
        <color rgb="FF00B050"/>
        <rFont val="Arial"/>
        <family val="2"/>
      </rPr>
      <t>Bitte Ausbildungsvertrag einreichen.</t>
    </r>
  </si>
  <si>
    <t>lfd. Nr. 1 - Erzieher/in (aktive Altersteilzeitphase)</t>
  </si>
  <si>
    <t>Ende ATZ (aktiv):</t>
  </si>
  <si>
    <r>
      <t xml:space="preserve">Die Personalkostenberechnung ist für jede/n Arbeitnehmer/in in der aktiven Altersteilzeitphase im Regelbereich einzeln auszufüllen. </t>
    </r>
    <r>
      <rPr>
        <b/>
        <i/>
        <sz val="10"/>
        <color rgb="FF00B050"/>
        <rFont val="Arial"/>
        <family val="2"/>
      </rPr>
      <t>Bitte Altersteilzeitvertrag einreichen.</t>
    </r>
  </si>
  <si>
    <t>lfd. Nr. 2 - Erzieher/in (aktive Altersteilzeitphase)</t>
  </si>
  <si>
    <t>lfd. Nr. 3 - Erzieher/in (aktive Altersteilzeitphase)</t>
  </si>
  <si>
    <t>lfd. Nr. 1 - Erzieher/in (passive Altersteilzeitphase)</t>
  </si>
  <si>
    <t>lfd. Nr. 2 - Erzieher/in (passive Altersteilzeitphase)</t>
  </si>
  <si>
    <t>lfd. Nr. 3 - Erzieher/in (passive Altersteilzeitphase)</t>
  </si>
  <si>
    <r>
      <t xml:space="preserve">Die Personalkostenberechnung ist für jede/n Praktikantin/en im Regenbereich einzeln auszufüllen. </t>
    </r>
    <r>
      <rPr>
        <b/>
        <i/>
        <sz val="10"/>
        <color rgb="FF00B050"/>
        <rFont val="Arial"/>
        <family val="2"/>
      </rPr>
      <t>Bitte Praktikumsvertrag einreichen.</t>
    </r>
  </si>
  <si>
    <t>Ausbildungsbeginn:</t>
  </si>
  <si>
    <t>Ausbildungsende:</t>
  </si>
  <si>
    <t>manuelle Eintragung</t>
  </si>
  <si>
    <r>
      <t xml:space="preserve">Entgelt </t>
    </r>
    <r>
      <rPr>
        <b/>
        <sz val="10"/>
        <rFont val="Arial"/>
        <family val="2"/>
      </rPr>
      <t>entspr. AZ (h/Wo)</t>
    </r>
  </si>
  <si>
    <t>Verpflegungskosten</t>
  </si>
  <si>
    <r>
      <t>Förderung Bund/Land/EU</t>
    </r>
    <r>
      <rPr>
        <sz val="8"/>
        <color theme="1"/>
        <rFont val="Arial"/>
        <family val="2"/>
      </rPr>
      <t xml:space="preserve"> (mit Minus ausweisen)</t>
    </r>
  </si>
  <si>
    <t>(14,60% + Zusatz)</t>
  </si>
  <si>
    <r>
      <t>(Sonstiges)</t>
    </r>
    <r>
      <rPr>
        <sz val="8"/>
        <rFont val="Arial"/>
        <family val="2"/>
      </rPr>
      <t xml:space="preserve"> z.B. Rechnung</t>
    </r>
  </si>
  <si>
    <t>Sonstiges:</t>
  </si>
  <si>
    <t>lfd. Nr. 1 - sonstige/r Arbeitnehmer/in (z.B. geringfügige Beschäftigte)</t>
  </si>
  <si>
    <t>pauschale Lohnsteuer</t>
  </si>
  <si>
    <t>lfd. Nr. 2 - sonstige/r Arbeitnehmer/in (z.B. geringfügige Beschäftigte)</t>
  </si>
  <si>
    <t>lfd. Nr. 3 - sonstige/r Arbeitnehmer/in (z.B. geringfügige Beschäftigte)</t>
  </si>
  <si>
    <t>lfd. Nr. 1 - päd. Personal (§ 23 KiFöG)</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</si>
  <si>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im Regelbereich einzeln auszufüllen.</t>
    </r>
  </si>
  <si>
    <r>
      <t xml:space="preserve">Die Personalkostenberechnung ist für jede Person im Bereich BFD/FSJ im Regelbereich einzeln auszufüllen. </t>
    </r>
    <r>
      <rPr>
        <b/>
        <i/>
        <sz val="10"/>
        <color rgb="FF00B050"/>
        <rFont val="Arial"/>
        <family val="2"/>
      </rPr>
      <t>Bitte BFD/FSJ-Vertrag und/oder Abrechnung einreichen.</t>
    </r>
  </si>
  <si>
    <t>lfd. Nr. 2 - päd. Personal (§ 23 KiFöG)</t>
  </si>
  <si>
    <t>lfd. Nr. 3 - päd. Personal (§ 23 KiFöG)</t>
  </si>
  <si>
    <t>lfd. Nr. 32 - Erzieher/in</t>
  </si>
  <si>
    <t>lfd. Nr. 33 - Erzieher/in</t>
  </si>
  <si>
    <t>lfd. Nr. 34 - Erzieher/in</t>
  </si>
  <si>
    <t>lfd. Nr. 35 - Erzieher/in</t>
  </si>
  <si>
    <t>Die Personalkostenberechnung ist für jede/n Hausmeister/in einzeln auszufüllen.</t>
  </si>
  <si>
    <r>
      <t xml:space="preserve">Die Personalkostenberechnung ist für jede/n Arbeitnehmer/in in der passiven Altersteilzeitphase im Regelbereich einzeln auszufüllen. </t>
    </r>
    <r>
      <rPr>
        <b/>
        <i/>
        <sz val="10"/>
        <color rgb="FF00B050"/>
        <rFont val="Arial"/>
        <family val="2"/>
      </rPr>
      <t>Bitte Altersteilzeitvertrag einreichen.</t>
    </r>
  </si>
  <si>
    <r>
      <t xml:space="preserve">Die Personalkostenberechnung ist für jede/n Hausmeister/in in der passiven Altersteilzeitphase einzeln auszufüllen. </t>
    </r>
    <r>
      <rPr>
        <b/>
        <i/>
        <sz val="10"/>
        <color rgb="FF00B050"/>
        <rFont val="Arial"/>
        <family val="2"/>
      </rPr>
      <t>Bitte Altersteilzeitvertrag einreichen.</t>
    </r>
  </si>
  <si>
    <r>
      <t xml:space="preserve">Die Personalkostenberechnung ist für jede/n Hausmeister/in in der aktiven Altersteilzeitphase einzeln auszufüllen. </t>
    </r>
    <r>
      <rPr>
        <b/>
        <i/>
        <sz val="10"/>
        <color rgb="FF00B050"/>
        <rFont val="Arial"/>
        <family val="2"/>
      </rPr>
      <t>Bitte Altersteilzeitvertrag einreichen.</t>
    </r>
  </si>
  <si>
    <t>davon in Einrichtung (h/W)</t>
  </si>
  <si>
    <t>davon in anderer Einrichtung (h/W):</t>
  </si>
  <si>
    <t>Die Personalkostenberechnung ist für jede Reinigungskraft einzeln auszufüllen.</t>
  </si>
  <si>
    <r>
      <t xml:space="preserve">Die Personalkostenberechnung ist für jede Reinigungskraft in der aktiven Altersteilzeitphase einzeln auszufüllen. </t>
    </r>
    <r>
      <rPr>
        <b/>
        <i/>
        <sz val="10"/>
        <color rgb="FF00B050"/>
        <rFont val="Arial"/>
        <family val="2"/>
      </rPr>
      <t>Bitte Altersteilzeitvertrag einreichen.</t>
    </r>
  </si>
  <si>
    <r>
      <t xml:space="preserve">Die Personalkostenberechnung ist für jede Reinigungskraft in der passiven Altersteilzeitphase einzeln auszufüllen. </t>
    </r>
    <r>
      <rPr>
        <b/>
        <i/>
        <sz val="10"/>
        <color rgb="FF00B050"/>
        <rFont val="Arial"/>
        <family val="2"/>
      </rPr>
      <t>Bitte Altersteilzeitvertrag einreichen.</t>
    </r>
  </si>
  <si>
    <t>Die Personalkostenberechnung ist für jede Wirtschaftskraft/Haushaltshilfe/Küchenkraft einzeln auszufüllen.</t>
  </si>
  <si>
    <t>lfd. Nr. 1 - Wirtschaftskraft/Haushaltshilfe/Küchenkraft</t>
  </si>
  <si>
    <t>lfd. Nr. 2 - Wirtschaftskraft/Haushaltshilfe/Küchenkraft</t>
  </si>
  <si>
    <t>lfd. Nr. 3 - Wirtschaftskraft/Haushaltshilfe/Küchenkraft</t>
  </si>
  <si>
    <t>lfd. Nr. 4 - Wirtschaftskraft/Haushaltshilfe/Küchenkraft</t>
  </si>
  <si>
    <t>lfd. Nr. 5 - Wirtschaftskraft/Haushaltshilfe/Küchenkraft</t>
  </si>
  <si>
    <r>
      <t xml:space="preserve">Die Personalkostenberechnung ist für jede Wirtschaftskraft/Haushaltshilfe/Küchenkraft in der aktiven Altersteilzeitphase einzeln auszufüllen. </t>
    </r>
    <r>
      <rPr>
        <b/>
        <i/>
        <sz val="10"/>
        <color rgb="FF00B050"/>
        <rFont val="Arial"/>
        <family val="2"/>
      </rPr>
      <t>Bitte Altersteilzeitvertrag einreichen.</t>
    </r>
  </si>
  <si>
    <t>lfd. Nr. 1 - Wirtschafskraft/Haushaltshilfe/Küchenkraft (aktive Altersteilzeitphase)</t>
  </si>
  <si>
    <t>lfd. Nr. 2 - Wirtschafskraft/Haushaltshilfe/Küchenkraft (aktive Altersteilzeitphase)</t>
  </si>
  <si>
    <t>lfd. Nr. 1 - Wirtschafskraft/Haushaltshilfe/Küchenkraft (passive Altersteilzeitphase)</t>
  </si>
  <si>
    <r>
      <t xml:space="preserve">Die Personalkostenberechnung ist für jede Wirtschaftskraft/Haushaltshilfe/Küchenkraft in der passiven Altersteilzeitphase einzeln auszufüllen. </t>
    </r>
    <r>
      <rPr>
        <b/>
        <i/>
        <sz val="10"/>
        <color rgb="FF00B050"/>
        <rFont val="Arial"/>
        <family val="2"/>
      </rPr>
      <t>Bitte Altersteilzeitvertrag einreichen.</t>
    </r>
  </si>
  <si>
    <t>lfd. Nr. 2 - Wirtschafskraft/Haushaltshilfe/Küchenkraft (passive Altersteilzeitphase)</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</si>
  <si>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einzeln auszufüllen.</t>
    </r>
  </si>
  <si>
    <r>
      <t xml:space="preserve">Die Personalkostenberechnung ist für jede/n sonstige/n Arbeitnehmer/in </t>
    </r>
    <r>
      <rPr>
        <b/>
        <i/>
        <sz val="10"/>
        <color rgb="FF00B050"/>
        <rFont val="Arial"/>
        <family val="2"/>
      </rPr>
      <t xml:space="preserve">(u.a. geringfügig Beschäftigte/r) </t>
    </r>
    <r>
      <rPr>
        <b/>
        <i/>
        <sz val="10"/>
        <color rgb="FFFF0000"/>
        <rFont val="Arial"/>
        <family val="2"/>
      </rPr>
      <t>einzeln auszufüllen.</t>
    </r>
  </si>
  <si>
    <t>Ende ATZ (passiv):</t>
  </si>
  <si>
    <t>Heilpädagogische Fachkräfte</t>
  </si>
  <si>
    <t>Geburts-     datum:</t>
  </si>
  <si>
    <t>Arbeitszeit (h/W):</t>
  </si>
  <si>
    <t>integrativ</t>
  </si>
  <si>
    <t>insgesamt</t>
  </si>
  <si>
    <t>Anzahl Monate</t>
  </si>
  <si>
    <t>von - bis</t>
  </si>
  <si>
    <t>Ø</t>
  </si>
  <si>
    <t>oder in anderer Einrichtung. (h/W):</t>
  </si>
  <si>
    <t>BITTE nur ausfüllen, wenn nicht bereits als Erzieher/in im Regelbereich erfasst!</t>
  </si>
  <si>
    <t>Wochenstunden:</t>
  </si>
  <si>
    <t>(z.B. Schülerpraktikanten, Auszubildende ohne Vergütung, o.ä.)</t>
  </si>
  <si>
    <t>Veränderung SV-Brutto oder Entgelt-umwandlung</t>
  </si>
  <si>
    <t>Die farblich orange hinterlegten Feldern sind auszufüllende Pflichtfelder.</t>
  </si>
  <si>
    <t>1. allgemeine Angaben</t>
  </si>
  <si>
    <t>Verhandlungsjahr:</t>
  </si>
  <si>
    <t>(Bitte angeben)</t>
  </si>
  <si>
    <t>Anschrift:</t>
  </si>
  <si>
    <t>2. Personalkosten</t>
  </si>
  <si>
    <t>(Bitte in Stunden angeben: z.B. 40,0 oder 38,5)</t>
  </si>
  <si>
    <t>3. Betriebserlaubnis</t>
  </si>
  <si>
    <t>Kinderkrippe:</t>
  </si>
  <si>
    <t>Kindergarten:</t>
  </si>
  <si>
    <t>Hort:</t>
  </si>
  <si>
    <t>gesamt:</t>
  </si>
  <si>
    <t>4. Betrieb der Einrichtung</t>
  </si>
  <si>
    <t>Betriebsmonate (Anzahl):</t>
  </si>
  <si>
    <t>Beginn bzw. Ende des Betriebes:</t>
  </si>
  <si>
    <t>(wenn Beginn bzw. Ende des Betriebes unterjährig)</t>
  </si>
  <si>
    <t>Bemerkung:</t>
  </si>
  <si>
    <t>5. Angaben zu Gebäude und Grundstück</t>
  </si>
  <si>
    <t>Baujahr des Gebäudes:</t>
  </si>
  <si>
    <r>
      <t>Gebäudefläche (m</t>
    </r>
    <r>
      <rPr>
        <vertAlign val="superscript"/>
        <sz val="11"/>
        <color theme="1"/>
        <rFont val="Arial"/>
        <family val="2"/>
      </rPr>
      <t>2</t>
    </r>
    <r>
      <rPr>
        <sz val="11"/>
        <color theme="1"/>
        <rFont val="Arial"/>
        <family val="2"/>
      </rPr>
      <t>):</t>
    </r>
  </si>
  <si>
    <r>
      <t>davon betreuungsbezogene Fläche (m</t>
    </r>
    <r>
      <rPr>
        <vertAlign val="superscript"/>
        <sz val="11"/>
        <color theme="1"/>
        <rFont val="Arial"/>
        <family val="2"/>
      </rPr>
      <t>2</t>
    </r>
    <r>
      <rPr>
        <sz val="11"/>
        <color theme="1"/>
        <rFont val="Arial"/>
        <family val="2"/>
      </rPr>
      <t>):</t>
    </r>
  </si>
  <si>
    <r>
      <t>Außenfläche (m</t>
    </r>
    <r>
      <rPr>
        <vertAlign val="superscript"/>
        <sz val="11"/>
        <color theme="1"/>
        <rFont val="Arial"/>
        <family val="2"/>
      </rPr>
      <t>2</t>
    </r>
    <r>
      <rPr>
        <sz val="11"/>
        <color theme="1"/>
        <rFont val="Arial"/>
        <family val="2"/>
      </rPr>
      <t>):</t>
    </r>
  </si>
  <si>
    <r>
      <t xml:space="preserve">Eigentumsverhältnis </t>
    </r>
    <r>
      <rPr>
        <sz val="11"/>
        <color theme="1"/>
        <rFont val="Arial"/>
        <family val="2"/>
      </rPr>
      <t>:</t>
    </r>
  </si>
  <si>
    <t>(Eigentum, Miete, Pacht, unentgeltliche Nutzung)</t>
  </si>
  <si>
    <t>Wochenstunden</t>
  </si>
  <si>
    <t>Jahresstunden</t>
  </si>
  <si>
    <t>Ja</t>
  </si>
  <si>
    <t>Nein</t>
  </si>
  <si>
    <t>Abfrage zu Leitungsstunden</t>
  </si>
  <si>
    <t>Leitungsstunden (lt. RL SLK):</t>
  </si>
  <si>
    <t>abweichende Leitungsstunden:</t>
  </si>
  <si>
    <t>siehe Abfrage zu Leitungsstunden →</t>
  </si>
  <si>
    <t>Fortbildung:</t>
  </si>
  <si>
    <t>Abfrage zum Mehrbedarf</t>
  </si>
  <si>
    <r>
      <t>Mehrbedarf</t>
    </r>
    <r>
      <rPr>
        <sz val="8"/>
        <color theme="1"/>
        <rFont val="Arial"/>
        <family val="2"/>
      </rPr>
      <t xml:space="preserve"> (z.B. Kleinsteinrichtung, o.ä.)</t>
    </r>
  </si>
  <si>
    <t>siehe Abfrage zum Mehrbedarf →</t>
  </si>
  <si>
    <t>Leitungsstunden:</t>
  </si>
  <si>
    <t>IST:</t>
  </si>
  <si>
    <t>VzÄ:</t>
  </si>
  <si>
    <t>SOLL:</t>
  </si>
  <si>
    <r>
      <t xml:space="preserve"> Status </t>
    </r>
    <r>
      <rPr>
        <sz val="8"/>
        <color theme="1"/>
        <rFont val="Arial"/>
        <family val="2"/>
      </rPr>
      <t>(siehe Dropdown-Liste)</t>
    </r>
  </si>
  <si>
    <t>als Anlage beigefügt</t>
  </si>
  <si>
    <t>wird nachgereicht</t>
  </si>
  <si>
    <t>Personalkosten</t>
  </si>
  <si>
    <t>liegt vor</t>
  </si>
  <si>
    <t>Offenlegung der Verwaltungskosten</t>
  </si>
  <si>
    <t>Investitionen</t>
  </si>
  <si>
    <t>Verh.jahr:</t>
  </si>
  <si>
    <t>lfd. Nr.</t>
  </si>
  <si>
    <t>Be-treu-ungs-art</t>
  </si>
  <si>
    <t>Betreu-ungs-zeit</t>
  </si>
  <si>
    <t>Ver-träge</t>
  </si>
  <si>
    <t>Platzkosten</t>
  </si>
  <si>
    <t>Probe</t>
  </si>
  <si>
    <t>in h</t>
  </si>
  <si>
    <t>Instandhaltung (über Pauschale)</t>
  </si>
  <si>
    <t>1-8</t>
  </si>
  <si>
    <t>KK</t>
  </si>
  <si>
    <t>40%-110%</t>
  </si>
  <si>
    <t>KG</t>
  </si>
  <si>
    <t>1-10</t>
  </si>
  <si>
    <t>H</t>
  </si>
  <si>
    <t>17% - 167%</t>
  </si>
  <si>
    <t>Kosten</t>
  </si>
  <si>
    <t>Verträge</t>
  </si>
  <si>
    <t>Monate</t>
  </si>
  <si>
    <t>Kosten je Platz/Monat</t>
  </si>
  <si>
    <t>Neu-/Ersatzbeschaffungen</t>
  </si>
  <si>
    <t>Zeit-staffe-lung</t>
  </si>
  <si>
    <t>Wich-tung</t>
  </si>
  <si>
    <t>2</t>
  </si>
  <si>
    <t>3</t>
  </si>
  <si>
    <t>4</t>
  </si>
  <si>
    <t>5</t>
  </si>
  <si>
    <t>6</t>
  </si>
  <si>
    <t>7</t>
  </si>
  <si>
    <t>8</t>
  </si>
  <si>
    <t>9</t>
  </si>
  <si>
    <t>10</t>
  </si>
  <si>
    <t>11</t>
  </si>
  <si>
    <t>12</t>
  </si>
  <si>
    <t>gewich-tete Ver-träge</t>
  </si>
  <si>
    <t>Personal-kosten nach Wichtung</t>
  </si>
  <si>
    <t>Sachkosten</t>
  </si>
  <si>
    <t>Platz-kosten</t>
  </si>
  <si>
    <t>1. Kinder unter 3 Jahren - Kinderkrippe (KK)</t>
  </si>
  <si>
    <t>1</t>
  </si>
  <si>
    <t>Kosten päd. Personal</t>
  </si>
  <si>
    <t>gewichtete Verträge</t>
  </si>
  <si>
    <t>2. Kinder über 3 Jahren bis zum Beginn der Schulpflicht - Kindergarten (KG)</t>
  </si>
  <si>
    <t>3. Schulkind - Hort (H)</t>
  </si>
  <si>
    <t>Summe Platzkosten</t>
  </si>
  <si>
    <t>Summe Platzkosten über die Pauschalen hinaus im Rahmen der Richtlinie</t>
  </si>
  <si>
    <t>Gesamtplatzkosten</t>
  </si>
  <si>
    <t>Stunden</t>
  </si>
  <si>
    <t>Anzahl</t>
  </si>
  <si>
    <t>Krippenbetreuung - KK</t>
  </si>
  <si>
    <t>Kindergartenbetreuung - KG</t>
  </si>
  <si>
    <t>Hortbetreuung - H</t>
  </si>
  <si>
    <t>gesamt</t>
  </si>
  <si>
    <t>Erzieher/h</t>
  </si>
  <si>
    <t>Position</t>
  </si>
  <si>
    <t>Soll</t>
  </si>
  <si>
    <t>Kosten pro</t>
  </si>
  <si>
    <t>KKP</t>
  </si>
  <si>
    <t>KGP</t>
  </si>
  <si>
    <t>HP</t>
  </si>
  <si>
    <t>abzüglich § 8a/Fobi</t>
  </si>
  <si>
    <t>Personalkosten - päd. Personal</t>
  </si>
  <si>
    <t>sonstige Personalkosten</t>
  </si>
  <si>
    <t>§ 8a/Fobi</t>
  </si>
  <si>
    <t>Sachkosten und Fortbildung</t>
  </si>
  <si>
    <t>Betriebs- und Bewirtschaftungskosten, Instandhaltung, Miete usw.</t>
  </si>
  <si>
    <t>Verwaltungskosten</t>
  </si>
  <si>
    <t>Qualitätsentwicklung</t>
  </si>
  <si>
    <t>Weitere Personalkosten</t>
  </si>
  <si>
    <t>Abschreibungen</t>
  </si>
  <si>
    <t>Sonstige Kosten</t>
  </si>
  <si>
    <t>Personal- und Sachkosten</t>
  </si>
  <si>
    <t>Zwischensumme</t>
  </si>
  <si>
    <t>Kosten über die Pauschalen hinaus im Rahmen der Richtlinie</t>
  </si>
  <si>
    <t>.</t>
  </si>
  <si>
    <t>Gesamtsumme</t>
  </si>
  <si>
    <t>Verh.jahr</t>
  </si>
  <si>
    <t>h KK</t>
  </si>
  <si>
    <t>Anzahl KK</t>
  </si>
  <si>
    <t>Ges. Kinder</t>
  </si>
  <si>
    <t>Träger</t>
  </si>
  <si>
    <t>h Gesamt</t>
  </si>
  <si>
    <t>h KG</t>
  </si>
  <si>
    <t>Anzahl KG</t>
  </si>
  <si>
    <t>Einrichtung</t>
  </si>
  <si>
    <t>h Zusatz</t>
  </si>
  <si>
    <t>h H</t>
  </si>
  <si>
    <t>Anzahl H</t>
  </si>
  <si>
    <t>IST</t>
  </si>
  <si>
    <t>Nachweis</t>
  </si>
  <si>
    <t>Abweichung</t>
  </si>
  <si>
    <t>Satz</t>
  </si>
  <si>
    <t>Veränd.</t>
  </si>
  <si>
    <t>lt. Kostenplan</t>
  </si>
  <si>
    <t>in €</t>
  </si>
  <si>
    <t>in %</t>
  </si>
  <si>
    <t>Insgesamt (Ausgaben)</t>
  </si>
  <si>
    <t>Insgesamt (Einnahmen)</t>
  </si>
  <si>
    <t>nicht entgeltrelevant</t>
  </si>
  <si>
    <t>Insgesamt (nicht entgeltrelevant)</t>
  </si>
  <si>
    <t>Bitte manuell ändern!</t>
  </si>
  <si>
    <t>Personal:</t>
  </si>
  <si>
    <t>lt. geprüfte Personalkosten</t>
  </si>
  <si>
    <t>staatl. anerk. Erzieher/innen (mit Leitung):</t>
  </si>
  <si>
    <t>anerkannte Hilfskraft:</t>
  </si>
  <si>
    <t>davon Leitung:</t>
  </si>
  <si>
    <t>Azubi/Praktikant/BFD/FSJ:</t>
  </si>
  <si>
    <t>Altersteilzeit (aktiv):</t>
  </si>
  <si>
    <t>heilpäd. Fachkräfte:</t>
  </si>
  <si>
    <t>sonstiges päd. Fachpersonal:</t>
  </si>
  <si>
    <r>
      <t>staatl. anerk. Erzieher/innen</t>
    </r>
    <r>
      <rPr>
        <sz val="11"/>
        <color theme="1"/>
        <rFont val="Arial"/>
        <family val="2"/>
      </rPr>
      <t>:</t>
    </r>
  </si>
  <si>
    <t>Azubi;Praktikant;BFD/FSJ:</t>
  </si>
  <si>
    <t>Gesamtbedarf:</t>
  </si>
  <si>
    <t>am Kind:</t>
  </si>
  <si>
    <t>Leitung:</t>
  </si>
  <si>
    <t>Mehrbedarf:</t>
  </si>
  <si>
    <t>Gesamt:</t>
  </si>
  <si>
    <t>Bedarf:</t>
  </si>
  <si>
    <t>"IST" laut Personalliste:</t>
  </si>
  <si>
    <t>"Soll":</t>
  </si>
  <si>
    <t>Differenz:</t>
  </si>
  <si>
    <t>für Kleinsteinrichtung anerkannt:</t>
  </si>
  <si>
    <t>nicht mitgetragen werden:</t>
  </si>
  <si>
    <t>lt. Kostenplan:</t>
  </si>
  <si>
    <t>jährlich</t>
  </si>
  <si>
    <t>wöchentlich</t>
  </si>
  <si>
    <t>lt. geprüfte Personalkosten:</t>
  </si>
  <si>
    <t>Brutto-Verdienst päd. Personal</t>
  </si>
  <si>
    <t>je Stunde laut "IST" Personalliste</t>
  </si>
  <si>
    <t>Differenz</t>
  </si>
  <si>
    <t>Gesamtsumme Personalkosten:</t>
  </si>
  <si>
    <t>Krippenbetr. - KK</t>
  </si>
  <si>
    <t>Kindergartenbetr. - KG</t>
  </si>
  <si>
    <t>Bitte Nachweise beifügen!</t>
  </si>
  <si>
    <t>SOLL</t>
  </si>
  <si>
    <t>AUSGABEN</t>
  </si>
  <si>
    <t>Bemerkungen</t>
  </si>
  <si>
    <t>Betrag in €</t>
  </si>
  <si>
    <t>bzw.</t>
  </si>
  <si>
    <t>vorvergangenes Jahr</t>
  </si>
  <si>
    <t>empf. Bemessungsgrenzen</t>
  </si>
  <si>
    <t>in € jährlich</t>
  </si>
  <si>
    <t>1.1</t>
  </si>
  <si>
    <t>Kosten päd. Personal und Leitung</t>
  </si>
  <si>
    <t>1.1.1</t>
  </si>
  <si>
    <t>1.1.2</t>
  </si>
  <si>
    <t>1.1.3</t>
  </si>
  <si>
    <t>Schwerbehindertenausgleichsabgabe</t>
  </si>
  <si>
    <t>1.1.4</t>
  </si>
  <si>
    <r>
      <t xml:space="preserve">Berufsgenossenschaft </t>
    </r>
    <r>
      <rPr>
        <sz val="8"/>
        <color theme="1"/>
        <rFont val="Arial"/>
        <family val="2"/>
      </rPr>
      <t>(inkl. etwaig Wohlfahrtspflege)</t>
    </r>
    <r>
      <rPr>
        <sz val="10"/>
        <color theme="1"/>
        <rFont val="Arial"/>
        <family val="2"/>
      </rPr>
      <t xml:space="preserve"> bzw. Unfallkasse</t>
    </r>
  </si>
  <si>
    <t>1.1.5</t>
  </si>
  <si>
    <t>1.1.6</t>
  </si>
  <si>
    <t>Betriebsmedizin / Arbeitsmedizin</t>
  </si>
  <si>
    <t>1.1.7</t>
  </si>
  <si>
    <t>1.1.8</t>
  </si>
  <si>
    <t>2.1</t>
  </si>
  <si>
    <t>2.1.1</t>
  </si>
  <si>
    <t>kindbezogene Sachkosten</t>
  </si>
  <si>
    <t>2.1.2</t>
  </si>
  <si>
    <t>Raum- und Wirtschaftsausstattung</t>
  </si>
  <si>
    <t>Mischeinrichtung</t>
  </si>
  <si>
    <t>Horteinrichtung</t>
  </si>
  <si>
    <t>bis 100</t>
  </si>
  <si>
    <t>ab 101</t>
  </si>
  <si>
    <t>2.2</t>
  </si>
  <si>
    <t>Fortbildung</t>
  </si>
  <si>
    <t>2.2.1</t>
  </si>
  <si>
    <r>
      <t>Fort- und Weiterbildung</t>
    </r>
    <r>
      <rPr>
        <sz val="8"/>
        <color theme="1"/>
        <rFont val="Arial"/>
        <family val="2"/>
      </rPr>
      <t xml:space="preserve"> (inkl. Supervision, Fachberatung und Fahrtkosten)</t>
    </r>
  </si>
  <si>
    <t>2.2.2</t>
  </si>
  <si>
    <t>sonstige Ausbildungskosten</t>
  </si>
  <si>
    <t>Betriebskosten</t>
  </si>
  <si>
    <t>3.1</t>
  </si>
  <si>
    <t>Hausmeister, Hausmeisterdienstleitungen</t>
  </si>
  <si>
    <t>3.1.1</t>
  </si>
  <si>
    <t>3.1.2</t>
  </si>
  <si>
    <t>3.1.3</t>
  </si>
  <si>
    <t>3.1.4</t>
  </si>
  <si>
    <t>3.1.5</t>
  </si>
  <si>
    <t>Betriebsmedizin, Arbeitsmedizin</t>
  </si>
  <si>
    <t>3.1.6</t>
  </si>
  <si>
    <t>3.1.7</t>
  </si>
  <si>
    <t>Fremdfirmen für Hausmeisterdienste</t>
  </si>
  <si>
    <t xml:space="preserve">Summe </t>
  </si>
  <si>
    <t>3.2</t>
  </si>
  <si>
    <t>Reinigungskraft, Reinigungsdienstleistungen</t>
  </si>
  <si>
    <t>3.2.1</t>
  </si>
  <si>
    <t>3.2.2</t>
  </si>
  <si>
    <t>3.2.3</t>
  </si>
  <si>
    <t>3.2.4</t>
  </si>
  <si>
    <t>3.2.5</t>
  </si>
  <si>
    <t>3.2.6</t>
  </si>
  <si>
    <t>3.2.7</t>
  </si>
  <si>
    <t>Kosten der Fremdreinigung</t>
  </si>
  <si>
    <t>3.2.8</t>
  </si>
  <si>
    <t>Reinigungsmittel</t>
  </si>
  <si>
    <t>3.3</t>
  </si>
  <si>
    <t>Wirtschaftskraft/Haushaltshilfe/ Küchenkraft</t>
  </si>
  <si>
    <t>3.3.1</t>
  </si>
  <si>
    <t>3.3.2</t>
  </si>
  <si>
    <t>3.3.3</t>
  </si>
  <si>
    <t>3.3.4</t>
  </si>
  <si>
    <t>3.3.5</t>
  </si>
  <si>
    <t>3.3.6</t>
  </si>
  <si>
    <t>3.3.7</t>
  </si>
  <si>
    <t>Kosten für Fremdfirmen</t>
  </si>
  <si>
    <t>3.4</t>
  </si>
  <si>
    <t>Bewirtschaftungskosten</t>
  </si>
  <si>
    <t>3.4.1</t>
  </si>
  <si>
    <t>Grundsteuer</t>
  </si>
  <si>
    <t>3.4.2</t>
  </si>
  <si>
    <t>Wasser/Abwasser</t>
  </si>
  <si>
    <t>3.4.3</t>
  </si>
  <si>
    <t>Heizkosten</t>
  </si>
  <si>
    <t>3.4.4</t>
  </si>
  <si>
    <t>Energie</t>
  </si>
  <si>
    <t>3.4.5</t>
  </si>
  <si>
    <t>Abfallentsorgung</t>
  </si>
  <si>
    <t>3.4.6</t>
  </si>
  <si>
    <t>Straßenreinigung und Winterdienst</t>
  </si>
  <si>
    <t>3.4.7</t>
  </si>
  <si>
    <t>Schornsteinfeger</t>
  </si>
  <si>
    <t>3.4.8</t>
  </si>
  <si>
    <t xml:space="preserve">Wartungen </t>
  </si>
  <si>
    <t>3.4.9</t>
  </si>
  <si>
    <t>Versicherung</t>
  </si>
  <si>
    <t>3.4.10</t>
  </si>
  <si>
    <t>Rundfunkgebühren</t>
  </si>
  <si>
    <t>3.4.11</t>
  </si>
  <si>
    <t>Kosten kommunaler Gutachten</t>
  </si>
  <si>
    <t>3.4.12</t>
  </si>
  <si>
    <t>Sicherheitsdienstleistungen</t>
  </si>
  <si>
    <t>3.4.13</t>
  </si>
  <si>
    <r>
      <t xml:space="preserve">abzgl. Sonderleistungen </t>
    </r>
    <r>
      <rPr>
        <sz val="8"/>
        <color theme="1"/>
        <rFont val="Arial"/>
        <family val="2"/>
      </rPr>
      <t>(z.B. Kneipp, o.ä.)</t>
    </r>
  </si>
  <si>
    <t>3.5</t>
  </si>
  <si>
    <t>Instandhaltung</t>
  </si>
  <si>
    <t>3.5.1</t>
  </si>
  <si>
    <t>Instandhaltungskosten</t>
  </si>
  <si>
    <t>3.5.2</t>
  </si>
  <si>
    <r>
      <t xml:space="preserve">Neu-/Ersatzbeschaffungen </t>
    </r>
    <r>
      <rPr>
        <sz val="7"/>
        <color theme="1"/>
        <rFont val="Arial"/>
        <family val="2"/>
      </rPr>
      <t>(unter 1.000 € netto)</t>
    </r>
  </si>
  <si>
    <t>3.5.3</t>
  </si>
  <si>
    <t>Ausstattung und Pflege Grünanlagen</t>
  </si>
  <si>
    <t>3.6</t>
  </si>
  <si>
    <t>Miete, Pacht, Erbbauzins</t>
  </si>
  <si>
    <t>3.6.1</t>
  </si>
  <si>
    <t>Kaltmiete</t>
  </si>
  <si>
    <t>3.6.2</t>
  </si>
  <si>
    <t>Kaltmiete - sonstige Gebäude</t>
  </si>
  <si>
    <t>3.6.3</t>
  </si>
  <si>
    <t>Pacht</t>
  </si>
  <si>
    <t>3.6.4</t>
  </si>
  <si>
    <t>Erbbauzins</t>
  </si>
  <si>
    <t>3.6.5</t>
  </si>
  <si>
    <t>kalkulatorische Miete</t>
  </si>
  <si>
    <t>3.6.6</t>
  </si>
  <si>
    <t>Abschreibung auf Gebäude</t>
  </si>
  <si>
    <t>3.6.7</t>
  </si>
  <si>
    <t>Darlehen und Darlehenszinsen</t>
  </si>
  <si>
    <t>4.1</t>
  </si>
  <si>
    <t>Verwaltungskosten oder</t>
  </si>
  <si>
    <t>4.2</t>
  </si>
  <si>
    <t>Qualitätsentwicklungskosten</t>
  </si>
  <si>
    <t>6.1</t>
  </si>
  <si>
    <t>6.2</t>
  </si>
  <si>
    <t>6.3</t>
  </si>
  <si>
    <r>
      <t xml:space="preserve">Altersteilzeit </t>
    </r>
    <r>
      <rPr>
        <sz val="8"/>
        <color theme="1"/>
        <rFont val="Arial"/>
        <family val="2"/>
      </rPr>
      <t>(Passivphase)</t>
    </r>
  </si>
  <si>
    <t>Investitionen und Abschreibungen</t>
  </si>
  <si>
    <t>7.1</t>
  </si>
  <si>
    <t>7.2</t>
  </si>
  <si>
    <r>
      <t xml:space="preserve">Abschreibungen </t>
    </r>
    <r>
      <rPr>
        <sz val="8"/>
        <color theme="1"/>
        <rFont val="Arial"/>
        <family val="2"/>
      </rPr>
      <t>(bewegliche Gegenstände)</t>
    </r>
  </si>
  <si>
    <t>Weitere Kosten</t>
  </si>
  <si>
    <t>8.1</t>
  </si>
  <si>
    <t>8.2</t>
  </si>
  <si>
    <r>
      <t xml:space="preserve">Personalkosten </t>
    </r>
    <r>
      <rPr>
        <sz val="8"/>
        <color theme="1"/>
        <rFont val="Arial"/>
        <family val="2"/>
      </rPr>
      <t>(u.a. geringf. Beschäftigte)</t>
    </r>
  </si>
  <si>
    <t>Gesamtsumme (Ausgaben)</t>
  </si>
  <si>
    <t>Einnahmen</t>
  </si>
  <si>
    <t>9.1</t>
  </si>
  <si>
    <t>Zuweisungen nach § 12 KiFöG</t>
  </si>
  <si>
    <t>9.2</t>
  </si>
  <si>
    <t>Zuweisungen nach § 12a KiFöG</t>
  </si>
  <si>
    <t>9.3</t>
  </si>
  <si>
    <t>Fördermittel</t>
  </si>
  <si>
    <t>9.4</t>
  </si>
  <si>
    <r>
      <t>Kostenbeiträge gem. Satzung</t>
    </r>
    <r>
      <rPr>
        <sz val="8"/>
        <color theme="1"/>
        <rFont val="Arial"/>
        <family val="2"/>
      </rPr>
      <t xml:space="preserve"> (soweit Kostenerhebung durch Träger erfolgt)</t>
    </r>
  </si>
  <si>
    <t>9.5</t>
  </si>
  <si>
    <t>Zusatzbeiträge der Eltern</t>
  </si>
  <si>
    <t>9.6</t>
  </si>
  <si>
    <t>Einnahmen für Gastkinder</t>
  </si>
  <si>
    <t>9.7</t>
  </si>
  <si>
    <t>Einnahmen aus Mitteln des ÖTJH</t>
  </si>
  <si>
    <t>9.8</t>
  </si>
  <si>
    <t>Sonstige Einnahmen</t>
  </si>
  <si>
    <t>Gesamtsumme (Einnahmen)</t>
  </si>
  <si>
    <t>Sachkosten für Verpflegung</t>
  </si>
  <si>
    <t>10.1</t>
  </si>
  <si>
    <t>Nahrungsmittel und Getränke</t>
  </si>
  <si>
    <t>10.2</t>
  </si>
  <si>
    <r>
      <t xml:space="preserve">abzgl. Essensbeiträge </t>
    </r>
    <r>
      <rPr>
        <sz val="8"/>
        <color theme="1"/>
        <rFont val="Arial"/>
        <family val="2"/>
      </rPr>
      <t>(soweit Einnahme erfolgt)</t>
    </r>
  </si>
  <si>
    <t>10.3</t>
  </si>
  <si>
    <r>
      <t xml:space="preserve">abzgl. Getränkegelder </t>
    </r>
    <r>
      <rPr>
        <sz val="8"/>
        <color theme="1"/>
        <rFont val="Arial"/>
        <family val="2"/>
      </rPr>
      <t>(soweit Einnahme erfolgt)</t>
    </r>
  </si>
  <si>
    <t>Personalkosten § 23 KiFöG</t>
  </si>
  <si>
    <t>Personalkosten nach § 23 KiFöG</t>
  </si>
  <si>
    <t>Ort, Datum</t>
  </si>
  <si>
    <t>Unterschrift, Stempel</t>
  </si>
  <si>
    <t>Verhandl.jahr:</t>
  </si>
  <si>
    <t>Die farblich grau hinterlegten Felder werden automatisch ausgefüllt, wenn die Personalkosten in die Datei "personalkosten" eingegeben wurden.</t>
  </si>
  <si>
    <t>AN</t>
  </si>
  <si>
    <t>Geb.-Datum</t>
  </si>
  <si>
    <t>Tätigkeit lt. Stellenplan</t>
  </si>
  <si>
    <t>VzÄ</t>
  </si>
  <si>
    <t>Qualifikation</t>
  </si>
  <si>
    <t>Entgelt-gruppe / Stufe</t>
  </si>
  <si>
    <t>Jahresbeträge</t>
  </si>
  <si>
    <t>SV-pflichtiges Brutto</t>
  </si>
  <si>
    <t>SV-Beiträge</t>
  </si>
  <si>
    <t>BAV                    (SV-frei)</t>
  </si>
  <si>
    <t>BG / UK</t>
  </si>
  <si>
    <t>Ausgleich Wohlfahrts-pflege</t>
  </si>
  <si>
    <t>Schwerbeh. ausgleichs-abgabe</t>
  </si>
  <si>
    <t>Angabe in h</t>
  </si>
  <si>
    <t>inkl. Entgelt Aufstockung</t>
  </si>
  <si>
    <t>inkl. RV Aufstockung</t>
  </si>
  <si>
    <t>Anzahl:</t>
  </si>
  <si>
    <t>Stunden:</t>
  </si>
  <si>
    <t>2. Angaben zu Hausmeistern in Altersteilzeit-Passivphase</t>
  </si>
  <si>
    <t>4. Angaben zu Reinigungskräften in Altersteilzeit-Passivphase</t>
  </si>
  <si>
    <t>6. Angaben zu Wirtschaftskräften/Haushaltshilfen/Küchenkräften in Altersteilzeit-Passivphase</t>
  </si>
  <si>
    <t>7. Angaben zu sonstigem Personal (u.a. geringfügig Beschäftigte)</t>
  </si>
  <si>
    <t>1. Angaben zur Leitung</t>
  </si>
  <si>
    <t>Leiter:</t>
  </si>
  <si>
    <t>2. Angaben zu Erziehern</t>
  </si>
  <si>
    <t>3. Angaben zu anerkannten Hilfskräften</t>
  </si>
  <si>
    <t>Sonstiges</t>
  </si>
  <si>
    <t xml:space="preserve">Förderung </t>
  </si>
  <si>
    <t xml:space="preserve">4. Angaben zu Auszubildenden (erste Zeilen 1-4); Praktikanten (zweite Zeilen 1-4) bzw. BFD/FSJ (dritte Zeilen 1-4) </t>
  </si>
  <si>
    <r>
      <t xml:space="preserve">5. Angaben zu Praktikanten </t>
    </r>
    <r>
      <rPr>
        <b/>
        <sz val="10"/>
        <color rgb="FFFF0000"/>
        <rFont val="Arial"/>
        <family val="2"/>
      </rPr>
      <t>(unentgeltlich)</t>
    </r>
  </si>
  <si>
    <t>Beschäftigungsdauer</t>
  </si>
  <si>
    <t>6. Angaben zur Altersteilzeit-Aktivphase</t>
  </si>
  <si>
    <t>7. Angaben zur Altersteilzeit-Passivphase</t>
  </si>
  <si>
    <t>Ist</t>
  </si>
  <si>
    <t>Jan</t>
  </si>
  <si>
    <t>Feb</t>
  </si>
  <si>
    <t>März</t>
  </si>
  <si>
    <t>April</t>
  </si>
  <si>
    <t>Mai</t>
  </si>
  <si>
    <t>Juni</t>
  </si>
  <si>
    <t>Juli</t>
  </si>
  <si>
    <t>Aug</t>
  </si>
  <si>
    <t>Sept</t>
  </si>
  <si>
    <t>Okt</t>
  </si>
  <si>
    <t>Nov</t>
  </si>
  <si>
    <t>Dez</t>
  </si>
  <si>
    <t>Kinderkrippe (KK)</t>
  </si>
  <si>
    <t>Betreuungsstd.   4</t>
  </si>
  <si>
    <t>Betreuungsstd.   5</t>
  </si>
  <si>
    <t>Betreuungsstd.   6</t>
  </si>
  <si>
    <t>Betreuungsstd.   7</t>
  </si>
  <si>
    <t>Betreuungsstd.   8</t>
  </si>
  <si>
    <t>Betreuungsstd.   9</t>
  </si>
  <si>
    <t>Betreuungsstd.  10</t>
  </si>
  <si>
    <t>Betreuungsstd.  11</t>
  </si>
  <si>
    <t>Kindergarten (KG)</t>
  </si>
  <si>
    <r>
      <t>Hort (H)</t>
    </r>
    <r>
      <rPr>
        <b/>
        <i/>
        <sz val="10"/>
        <color rgb="FFFF0000"/>
        <rFont val="Arial"/>
        <family val="2"/>
      </rPr>
      <t xml:space="preserve"> - nächste Seite</t>
    </r>
  </si>
  <si>
    <t>Schul-Hort (H)</t>
  </si>
  <si>
    <t>Betreuungsstd.   1</t>
  </si>
  <si>
    <t>Betreuungsstd.   2</t>
  </si>
  <si>
    <t>Betreuungsstd.   3</t>
  </si>
  <si>
    <t>Ferien-Hort (H)</t>
  </si>
  <si>
    <t>Hier bitte die Anzahl der Kinder eintragen, die auch während der Ferienzeit betreut werden.</t>
  </si>
  <si>
    <t>Betreuungsstd.   10</t>
  </si>
  <si>
    <t>Schul-Hort (%)</t>
  </si>
  <si>
    <t>Ferien-Hort (%)</t>
  </si>
  <si>
    <t>Schul-Hort und Ferien-Hort (GESAMT)</t>
  </si>
  <si>
    <t>Mindestpersonalschlüssel</t>
  </si>
  <si>
    <t xml:space="preserve">Mindestpersonalschlüssel </t>
  </si>
  <si>
    <t>Hort (H)</t>
  </si>
  <si>
    <t>gesamte Jahresstunden</t>
  </si>
  <si>
    <r>
      <t xml:space="preserve">Kosten der päd. Fach-/Hilfskräfte, einschl. Erziehertätigkeit der Leiter/innen                                                                                                       </t>
    </r>
    <r>
      <rPr>
        <sz val="8"/>
        <color theme="1"/>
        <rFont val="Arial"/>
        <family val="2"/>
      </rPr>
      <t xml:space="preserve">(inkl. AG-Anteile zur SV und BAV SV-frei)  </t>
    </r>
  </si>
  <si>
    <r>
      <t xml:space="preserve">Leitungsstunden                                                                                                                                                                                                     </t>
    </r>
    <r>
      <rPr>
        <sz val="8"/>
        <color theme="1"/>
        <rFont val="Arial"/>
        <family val="2"/>
      </rPr>
      <t xml:space="preserve">(inkl. AG-Anteile zur SV und BAV SV-frei) </t>
    </r>
  </si>
  <si>
    <r>
      <t xml:space="preserve">Personalkosten                                                                                                                                                                                                       </t>
    </r>
    <r>
      <rPr>
        <sz val="8"/>
        <color theme="1"/>
        <rFont val="Arial"/>
        <family val="2"/>
      </rPr>
      <t xml:space="preserve">(inkl. AG-Anteile zur SV und BAV SV-frei) </t>
    </r>
  </si>
  <si>
    <t>Personalkosten                                                                                                                                                                                                       (inkl. AG-Anteile zur SV und BAV SV-frei)</t>
  </si>
  <si>
    <r>
      <t xml:space="preserve">Personalkosten                                                                                                                                                                                                       </t>
    </r>
    <r>
      <rPr>
        <sz val="8"/>
        <color theme="1"/>
        <rFont val="Arial"/>
        <family val="2"/>
      </rPr>
      <t>(inkl. AG-Anteile zur SV und BAV SV-frei)</t>
    </r>
  </si>
  <si>
    <t>davon Erz., integr. o. in and.Einr. (h/W):</t>
  </si>
  <si>
    <t>4-10</t>
  </si>
  <si>
    <t>Aufstockung Rentenvers.</t>
  </si>
  <si>
    <t>Aufstockung Regelarbeits-entgelt</t>
  </si>
  <si>
    <t>monatlich</t>
  </si>
  <si>
    <t>§8a/Fortbildung:</t>
  </si>
  <si>
    <t>Qualifizierung/Vorbereitung:</t>
  </si>
  <si>
    <r>
      <t>Regenerationstage</t>
    </r>
    <r>
      <rPr>
        <sz val="11"/>
        <color theme="1"/>
        <rFont val="Arial"/>
        <family val="2"/>
      </rPr>
      <t>:</t>
    </r>
  </si>
  <si>
    <r>
      <t>Qualifizierung/Vorbereitung</t>
    </r>
    <r>
      <rPr>
        <sz val="11"/>
        <color theme="1"/>
        <rFont val="Arial"/>
        <family val="2"/>
      </rPr>
      <t>:</t>
    </r>
  </si>
  <si>
    <t>Zusammenfassung</t>
  </si>
  <si>
    <r>
      <rPr>
        <b/>
        <sz val="10"/>
        <rFont val="Arial"/>
        <family val="2"/>
      </rPr>
      <t>Schul-Hort und Ferien-Hort (GESAMT)</t>
    </r>
    <r>
      <rPr>
        <b/>
        <sz val="10"/>
        <color rgb="FFFF0000"/>
        <rFont val="Arial"/>
        <family val="2"/>
      </rPr>
      <t xml:space="preserve"> </t>
    </r>
    <r>
      <rPr>
        <b/>
        <i/>
        <sz val="10"/>
        <color rgb="FFFF0000"/>
        <rFont val="Arial"/>
        <family val="2"/>
      </rPr>
      <t>- nächste Seite</t>
    </r>
  </si>
  <si>
    <t>h im Monat</t>
  </si>
  <si>
    <t>h im Jahr</t>
  </si>
  <si>
    <t>Tage im Jahr</t>
  </si>
  <si>
    <t>siehe Abfrage zu Qualifizierung/ Vorbereitung, Regenerationstage →</t>
  </si>
  <si>
    <t>Wurden abweichende Leitungsstunden beantragt?</t>
  </si>
  <si>
    <t>Abfrage zu  Qualifizierung/Vorbereitung, Regenerationstage</t>
  </si>
  <si>
    <t>Wurde Mehrbedarf beantragt?</t>
  </si>
  <si>
    <t>Werden Regenerationstage gewährt?</t>
  </si>
  <si>
    <t>Hier bitte die Anzahl der Kinder eintragen, die während der Schulzeit betreut werden.</t>
  </si>
  <si>
    <t>zusätzlicher Bedarf für:</t>
  </si>
  <si>
    <t>zusätzlicher Bedarf:</t>
  </si>
  <si>
    <t>Kinderschutzfachkraft (§ 8a):</t>
  </si>
  <si>
    <t>Leistungsbeschreibung:</t>
  </si>
  <si>
    <t>Konzeption:</t>
  </si>
  <si>
    <t>Personalkosten:</t>
  </si>
  <si>
    <t>Offenlegung der Verwaltungskosten:</t>
  </si>
  <si>
    <t>Investitionen:</t>
  </si>
  <si>
    <t>6. Anlagen</t>
  </si>
  <si>
    <t>Wird Qualifizierung/Vorbereitungszeit gewährt?</t>
  </si>
  <si>
    <t>gewährte Quali./Vorb.zeit (in h/Jahr):</t>
  </si>
  <si>
    <t>gewährte Reg.tage (in Tage/Jahr):</t>
  </si>
  <si>
    <t>beantragte Leitungsstunden (in h/W):</t>
  </si>
  <si>
    <t>beantragter Mehrbedarf (in h/W):</t>
  </si>
  <si>
    <t xml:space="preserve"> Verhandlungsjahr</t>
  </si>
  <si>
    <t>Regelbetrieb oder andere Einrichtung</t>
  </si>
  <si>
    <r>
      <t>gültiger Tarif (Träger)</t>
    </r>
    <r>
      <rPr>
        <sz val="11"/>
        <color theme="1"/>
        <rFont val="Arial"/>
        <family val="2"/>
      </rPr>
      <t>:</t>
    </r>
  </si>
  <si>
    <r>
      <t>regelmäßige Wochenarbeitszeit (Träger)</t>
    </r>
    <r>
      <rPr>
        <sz val="11"/>
        <color theme="1"/>
        <rFont val="Arial"/>
        <family val="2"/>
      </rPr>
      <t>:</t>
    </r>
  </si>
  <si>
    <t>7. Bemerkungen</t>
  </si>
  <si>
    <t>8. Belegung und Stunden</t>
  </si>
  <si>
    <t>8.1 voraussichtliche Belegung</t>
  </si>
  <si>
    <t>8.2 voraussichtliche Stunden</t>
  </si>
  <si>
    <t>8.3 Leitungsstunden</t>
  </si>
  <si>
    <t>8.4 zusätzlicher Bedarf</t>
  </si>
  <si>
    <t>8.5 SOLL (gesamt)</t>
  </si>
  <si>
    <t>9. Personalstunden (Mindestpersonalschlüssel)</t>
  </si>
  <si>
    <t>(z.B. TVöD oder anderer Tarif, Anlehnung an TVöD, Haustarif, einzel-vertragliche Regelung, o.ä.)</t>
  </si>
  <si>
    <t>Finanzierungsbeitrag / Sanierungsgeld</t>
  </si>
  <si>
    <t>sonstige Personalnebenkosten</t>
  </si>
  <si>
    <t>6. Angaben zu heilpädagogischen Fachkräften</t>
  </si>
  <si>
    <r>
      <t xml:space="preserve">8. Angaben zu Personal nach § 23 KiFöG </t>
    </r>
    <r>
      <rPr>
        <b/>
        <sz val="10"/>
        <color rgb="FFFF0000"/>
        <rFont val="Arial"/>
        <family val="2"/>
      </rPr>
      <t>(nicht entgeltrelevant)</t>
    </r>
  </si>
  <si>
    <t>1. Angaben zu Hausmeistern</t>
  </si>
  <si>
    <t>2. Angaben zu Reinigungskräften</t>
  </si>
  <si>
    <t>3. Angaben zu Wirtschafts- / Haushalts- / Küchenkräften</t>
  </si>
  <si>
    <t>4. Angaben zu sonstigem Personal (u.a. geringfügig Beschäftigte)</t>
  </si>
  <si>
    <t>Brand- und Datenschutz, Hygiene- und  Arbeitssicherheit</t>
  </si>
  <si>
    <t>Auszubildende, Praktikanten, BFD, FSJ</t>
  </si>
  <si>
    <t>lfd. Nr. 1 - Praktikant/in</t>
  </si>
  <si>
    <t>lfd. Nr. 2 - Praktikant/in</t>
  </si>
  <si>
    <t>lfd. Nr. 3 - Praktikant/in</t>
  </si>
  <si>
    <t>lfd. Nr. 4 - Praktikant/in</t>
  </si>
  <si>
    <r>
      <t xml:space="preserve">Tätigkeit                                                                </t>
    </r>
    <r>
      <rPr>
        <sz val="8"/>
        <color theme="1"/>
        <rFont val="Arial"/>
        <family val="2"/>
      </rPr>
      <t>(z.B. Schulpraktikum, o.ä.)</t>
    </r>
  </si>
  <si>
    <t xml:space="preserve"> (2024: 9,30%)</t>
  </si>
  <si>
    <t>(2024: 1,30%)</t>
  </si>
  <si>
    <t>(2024: 0,06%)</t>
  </si>
  <si>
    <t>(2024: 1,700%)</t>
  </si>
  <si>
    <t>2024</t>
  </si>
  <si>
    <t xml:space="preserve"> (2024: 18,60%)</t>
  </si>
  <si>
    <t>(2024: 2,60%)</t>
  </si>
  <si>
    <t>(2024: 3,4%)</t>
  </si>
  <si>
    <t>(2024: 13%)</t>
  </si>
  <si>
    <t xml:space="preserve"> (2024: 15%)</t>
  </si>
  <si>
    <t>(2024: 2%)</t>
  </si>
  <si>
    <t>(2024: 1,10%)</t>
  </si>
  <si>
    <t>(2024: 0,24%)</t>
  </si>
  <si>
    <t>Zuschläge / Zulagen / o.ä.:</t>
  </si>
  <si>
    <t>(entspr. TVöD - Bitte Formel bei Bedarf anpassen!)</t>
  </si>
  <si>
    <t>Einmalzahlungen (EZ)</t>
  </si>
  <si>
    <t>Midi-Job:</t>
  </si>
  <si>
    <t>ja</t>
  </si>
  <si>
    <t>nein</t>
  </si>
  <si>
    <t>Beitragsbemessungsgrenze (BBG):</t>
  </si>
  <si>
    <t>Mini-Job bis:</t>
  </si>
  <si>
    <t>Midi-Job bis:</t>
  </si>
  <si>
    <t>Faktor (F):</t>
  </si>
  <si>
    <t>SV-Beiträge 2024:</t>
  </si>
  <si>
    <t>inkl. aller Vormonate</t>
  </si>
  <si>
    <t>Die farblich grau hinterlegten Felder werden automatisch ausgefüllt, wenn die Personalkosten eingegeben wurden.</t>
  </si>
  <si>
    <r>
      <t>Einmal-zahlungen</t>
    </r>
    <r>
      <rPr>
        <sz val="8"/>
        <rFont val="Arial"/>
        <family val="2"/>
      </rPr>
      <t xml:space="preserve"> (sv-pflichtig)</t>
    </r>
  </si>
  <si>
    <t>lfd. Nr. 2 - Auszubildende/r</t>
  </si>
  <si>
    <t>lfd. Nr. 3 - Auszubildende/r</t>
  </si>
  <si>
    <t>lfd. Nr. 4 - Auszubildende/r</t>
  </si>
  <si>
    <t xml:space="preserve"> (2024: 20%)</t>
  </si>
  <si>
    <t>Praktikumsbeginn:</t>
  </si>
  <si>
    <t>Praktikumsende:</t>
  </si>
  <si>
    <t>Die Personalkostenberechnung ist für jede/n pädagogische/n Arbeitnehmer/-in (Hilfskraft) im Regelbereich einzeln auszufüllen.</t>
  </si>
  <si>
    <t>für max. 10 h/W</t>
  </si>
  <si>
    <t>Mindestlohn 2025:</t>
  </si>
  <si>
    <t>(Bitte BBG ändern, sonst BBG aus Vorjahr!)</t>
  </si>
  <si>
    <t>Pers.-Nr. bzw. Stelleninhaber/in:</t>
  </si>
  <si>
    <t>Pers.-Nr. bzw. Stellen-inhaber</t>
  </si>
  <si>
    <t>Pers.-Nr. bzw. Praktikant:</t>
  </si>
  <si>
    <t>Pers.-Nr. bzw.                                      Stelleninhaber/in: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</si>
</sst>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 #,##0.00\ &quot;€&quot;_-;\-* #,##0.00\ &quot;€&quot;_-;_-* &quot;-&quot;??\ &quot;€&quot;_-;_-@_-"/>
    <numFmt numFmtId="164" formatCode="_-* #,##0\ _€_-;\-* #,##0\ _€_-;_-* &quot;-&quot;\ _€_-;_-@_-"/>
    <numFmt numFmtId="165" formatCode="_-* #,##0.00\ _€_-;\-* #,##0.00\ _€_-;_-* &quot;-&quot;??\ _€_-;_-@_-"/>
    <numFmt numFmtId="166" formatCode="&quot;(&quot;0.00&quot;)&quot;"/>
    <numFmt numFmtId="167" formatCode="0.000%"/>
    <numFmt numFmtId="168" formatCode="_-* #,##0.00\ [$€-1]_-;\-* #,##0.00\ [$€-1]_-;_-* &quot;-&quot;??\ [$€-1]_-"/>
    <numFmt numFmtId="169" formatCode="#,##0.00_ ;\-#,##0.00\ "/>
    <numFmt numFmtId="170" formatCode="0.0"/>
    <numFmt numFmtId="171" formatCode="&quot;(&quot;0.000&quot;)&quot;"/>
    <numFmt numFmtId="172" formatCode="#,##0_ ;\-#,##0\ "/>
    <numFmt numFmtId="173" formatCode="_-* #,##0.00\ _€_-;\-* #,##0.00\ _€_-;_-* &quot;-&quot;?????\ _€_-;_-@_-"/>
    <numFmt numFmtId="174" formatCode="yyyy"/>
    <numFmt numFmtId="175" formatCode="mmmm\ yy"/>
    <numFmt numFmtId="176" formatCode="#,##0.00\ &quot;€&quot;"/>
    <numFmt numFmtId="177" formatCode="0.0000"/>
  </numFmts>
  <fonts count="9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FF0000"/>
      <name val="Arial"/>
      <family val="2"/>
    </font>
    <font>
      <b/>
      <sz val="11"/>
      <color theme="1"/>
      <name val="Arial"/>
      <family val="2"/>
    </font>
    <font>
      <sz val="10"/>
      <name val="Arial"/>
      <family val="2"/>
    </font>
    <font>
      <sz val="10"/>
      <color theme="1"/>
      <name val="Arial"/>
      <family val="2"/>
    </font>
    <font>
      <sz val="10"/>
      <color indexed="8"/>
      <name val="Arial"/>
      <family val="2"/>
    </font>
    <font>
      <sz val="8"/>
      <name val="Arial"/>
      <family val="2"/>
    </font>
    <font>
      <b/>
      <sz val="10"/>
      <name val="Arial"/>
      <family val="2"/>
    </font>
    <font>
      <b/>
      <i/>
      <sz val="10"/>
      <color rgb="FFFF0000"/>
      <name val="Arial"/>
      <family val="2"/>
    </font>
    <font>
      <b/>
      <i/>
      <sz val="10"/>
      <color indexed="10"/>
      <name val="Arial"/>
      <family val="2"/>
    </font>
    <font>
      <b/>
      <sz val="8"/>
      <color rgb="FFFF0000"/>
      <name val="Arial"/>
      <family val="2"/>
    </font>
    <font>
      <sz val="12"/>
      <name val="Arial"/>
      <family val="2"/>
    </font>
    <font>
      <sz val="12"/>
      <color rgb="FFFF0000"/>
      <name val="Arial"/>
      <family val="2"/>
    </font>
    <font>
      <sz val="8"/>
      <color rgb="FFFF0000"/>
      <name val="Arial"/>
      <family val="2"/>
    </font>
    <font>
      <b/>
      <sz val="8"/>
      <name val="Arial"/>
      <family val="2"/>
    </font>
    <font>
      <sz val="11"/>
      <color theme="1"/>
      <name val="Calibri"/>
      <family val="2"/>
      <scheme val="minor"/>
    </font>
    <font>
      <b/>
      <sz val="10"/>
      <color theme="1"/>
      <name val="Arial"/>
      <family val="2"/>
    </font>
    <font>
      <sz val="8"/>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b/>
      <sz val="11"/>
      <color rgb="FF3F3F3F"/>
      <name val="Calibri"/>
      <family val="2"/>
      <scheme val="minor"/>
    </font>
    <font>
      <u/>
      <sz val="11"/>
      <color theme="10"/>
      <name val="Arial"/>
      <family val="2"/>
    </font>
    <font>
      <sz val="9"/>
      <name val="Arial"/>
      <family val="2"/>
    </font>
    <font>
      <sz val="7"/>
      <name val="Arial"/>
      <family val="2"/>
    </font>
    <font>
      <b/>
      <i/>
      <sz val="9"/>
      <color rgb="FFFF0000"/>
      <name val="Arial"/>
      <family val="2"/>
    </font>
    <font>
      <b/>
      <i/>
      <sz val="10"/>
      <color rgb="FF00B050"/>
      <name val="Arial"/>
      <family val="2"/>
    </font>
    <font>
      <b/>
      <u/>
      <sz val="10"/>
      <color theme="1"/>
      <name val="Arial"/>
      <family val="2"/>
    </font>
    <font>
      <b/>
      <sz val="9"/>
      <name val="Arial"/>
      <family val="2"/>
    </font>
    <font>
      <sz val="7"/>
      <color theme="1"/>
      <name val="Arial"/>
      <family val="2"/>
    </font>
    <font>
      <b/>
      <u/>
      <sz val="11"/>
      <color theme="1"/>
      <name val="Arial"/>
      <family val="2"/>
    </font>
    <font>
      <u/>
      <sz val="11"/>
      <color theme="10"/>
      <name val="Calibri"/>
      <family val="2"/>
      <scheme val="minor"/>
    </font>
    <font>
      <b/>
      <u/>
      <sz val="11"/>
      <color rgb="FFFF0000"/>
      <name val="Arial"/>
      <family val="2"/>
    </font>
    <font>
      <vertAlign val="superscript"/>
      <sz val="11"/>
      <color theme="1"/>
      <name val="Arial"/>
      <family val="2"/>
    </font>
    <font>
      <b/>
      <sz val="11"/>
      <color rgb="FFFF0000"/>
      <name val="Arial"/>
      <family val="2"/>
    </font>
    <font>
      <b/>
      <u/>
      <sz val="11"/>
      <color theme="10"/>
      <name val="Arial"/>
      <family val="2"/>
    </font>
    <font>
      <u/>
      <sz val="11"/>
      <color theme="1"/>
      <name val="Arial"/>
      <family val="2"/>
    </font>
    <font>
      <b/>
      <sz val="9"/>
      <color theme="1"/>
      <name val="Arial"/>
      <family val="2"/>
    </font>
    <font>
      <b/>
      <sz val="10"/>
      <color rgb="FFFF0000"/>
      <name val="Arial"/>
      <family val="2"/>
    </font>
    <font>
      <b/>
      <sz val="8"/>
      <color theme="1"/>
      <name val="Arial"/>
      <family val="2"/>
    </font>
    <font>
      <sz val="16"/>
      <color theme="1"/>
      <name val="Wingdings"/>
      <charset val="2"/>
    </font>
    <font>
      <sz val="10"/>
      <color theme="1"/>
      <name val="Calibri"/>
      <family val="2"/>
      <scheme val="minor"/>
    </font>
    <font>
      <b/>
      <u val="doubleAccounting"/>
      <sz val="10"/>
      <color theme="1"/>
      <name val="Arial"/>
      <family val="2"/>
    </font>
    <font>
      <b/>
      <sz val="10"/>
      <color theme="0"/>
      <name val="Arial"/>
      <family val="2"/>
    </font>
    <font>
      <b/>
      <u/>
      <sz val="12"/>
      <color theme="1"/>
      <name val="Arial"/>
      <family val="2"/>
    </font>
    <font>
      <b/>
      <sz val="12"/>
      <color theme="0"/>
      <name val="Arial"/>
      <family val="2"/>
    </font>
    <font>
      <sz val="10"/>
      <color rgb="FF9C6500"/>
      <name val="Arial"/>
      <family val="2"/>
    </font>
    <font>
      <b/>
      <sz val="10"/>
      <color rgb="FF3F3F3F"/>
      <name val="Arial"/>
      <family val="2"/>
    </font>
    <font>
      <sz val="10"/>
      <color rgb="FF9C0006"/>
      <name val="Arial"/>
      <family val="2"/>
    </font>
    <font>
      <sz val="10"/>
      <color rgb="FF006100"/>
      <name val="Arial"/>
      <family val="2"/>
    </font>
    <font>
      <sz val="10"/>
      <color rgb="FF3F3F3F"/>
      <name val="Arial"/>
      <family val="2"/>
    </font>
    <font>
      <b/>
      <u val="doubleAccounting"/>
      <sz val="10"/>
      <name val="Arial"/>
      <family val="2"/>
    </font>
    <font>
      <u/>
      <sz val="10"/>
      <color theme="1"/>
      <name val="Arial"/>
      <family val="2"/>
    </font>
    <font>
      <b/>
      <i/>
      <u/>
      <sz val="11"/>
      <color rgb="FFFF0000"/>
      <name val="Arial"/>
      <family val="2"/>
    </font>
    <font>
      <b/>
      <u/>
      <sz val="8"/>
      <color theme="1"/>
      <name val="Arial"/>
      <family val="2"/>
    </font>
    <font>
      <b/>
      <sz val="7"/>
      <color theme="1"/>
      <name val="Arial"/>
      <family val="2"/>
    </font>
    <font>
      <b/>
      <u val="singleAccounting"/>
      <sz val="11"/>
      <color theme="1"/>
      <name val="Arial"/>
      <family val="2"/>
    </font>
    <font>
      <b/>
      <i/>
      <sz val="10"/>
      <name val="Arial"/>
      <family val="2"/>
    </font>
    <font>
      <sz val="8"/>
      <color theme="1"/>
      <name val="Calibri"/>
      <family val="2"/>
      <scheme val="minor"/>
    </font>
    <font>
      <i/>
      <sz val="8"/>
      <color theme="1"/>
      <name val="Arial"/>
      <family val="2"/>
    </font>
    <font>
      <sz val="8"/>
      <color theme="0"/>
      <name val="Arial"/>
      <family val="2"/>
    </font>
    <font>
      <sz val="11"/>
      <name val="Calibri"/>
      <family val="2"/>
      <scheme val="minor"/>
    </font>
    <font>
      <sz val="9"/>
      <color theme="1"/>
      <name val="Arial"/>
      <family val="2"/>
    </font>
    <font>
      <sz val="9"/>
      <color theme="1"/>
      <name val="Calibri"/>
      <family val="2"/>
      <scheme val="minor"/>
    </font>
    <font>
      <b/>
      <sz val="6"/>
      <name val="Arial"/>
      <family val="2"/>
    </font>
    <font>
      <sz val="6"/>
      <name val="Arial"/>
      <family val="2"/>
    </font>
    <font>
      <sz val="6"/>
      <color theme="1"/>
      <name val="Arial"/>
      <family val="2"/>
    </font>
    <font>
      <i/>
      <sz val="8"/>
      <color rgb="FFFF0000"/>
      <name val="Arial"/>
      <family val="2"/>
    </font>
    <font>
      <sz val="10"/>
      <color indexed="10"/>
      <name val="Arial"/>
      <family val="2"/>
    </font>
    <font>
      <b/>
      <i/>
      <sz val="8"/>
      <color rgb="FFFF0000"/>
      <name val="Arial"/>
      <family val="2"/>
    </font>
    <font>
      <sz val="11"/>
      <color theme="0"/>
      <name val="Arial"/>
      <family val="2"/>
    </font>
    <font>
      <b/>
      <i/>
      <sz val="10"/>
      <color theme="0"/>
      <name val="Arial"/>
      <family val="2"/>
    </font>
    <font>
      <b/>
      <sz val="8"/>
      <color theme="0"/>
      <name val="Arial"/>
      <family val="2"/>
    </font>
    <font>
      <i/>
      <sz val="8"/>
      <color indexed="10"/>
      <name val="Arial"/>
      <family val="2"/>
    </font>
  </fonts>
  <fills count="20">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5"/>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C7CE"/>
        <bgColor indexed="64"/>
      </patternFill>
    </fill>
    <fill>
      <patternFill patternType="solid">
        <fgColor theme="6" tint="0.39997558519241921"/>
        <bgColor indexed="64"/>
      </patternFill>
    </fill>
    <fill>
      <patternFill patternType="solid">
        <fgColor rgb="FFFFFF99"/>
        <bgColor indexed="64"/>
      </patternFill>
    </fill>
    <fill>
      <patternFill patternType="solid">
        <fgColor rgb="FFCCFFFF"/>
        <bgColor indexed="64"/>
      </patternFill>
    </fill>
    <fill>
      <patternFill patternType="solid">
        <fgColor theme="9"/>
        <bgColor indexed="64"/>
      </patternFill>
    </fill>
    <fill>
      <patternFill patternType="solid">
        <fgColor indexed="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bottom style="thin">
        <color auto="1"/>
      </bottom>
      <diagonal/>
    </border>
    <border>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style="medium">
        <color indexed="64"/>
      </bottom>
      <diagonal/>
    </border>
    <border>
      <left/>
      <right/>
      <top style="thin">
        <color auto="1"/>
      </top>
      <bottom style="double">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3F3F3F"/>
      </left>
      <right style="medium">
        <color indexed="64"/>
      </right>
      <top/>
      <bottom style="thin">
        <color rgb="FF3F3F3F"/>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rgb="FF3F3F3F"/>
      </left>
      <right style="thin">
        <color rgb="FF3F3F3F"/>
      </right>
      <top style="thin">
        <color rgb="FF3F3F3F"/>
      </top>
      <bottom style="thin">
        <color indexed="64"/>
      </bottom>
      <diagonal/>
    </border>
    <border>
      <left style="thin">
        <color rgb="FF3F3F3F"/>
      </left>
      <right style="thin">
        <color rgb="FF3F3F3F"/>
      </right>
      <top style="thin">
        <color rgb="FF3F3F3F"/>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style="thin">
        <color auto="1"/>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bottom/>
      <diagonal/>
    </border>
    <border>
      <left style="thin">
        <color indexed="64"/>
      </left>
      <right style="thin">
        <color rgb="FF3F3F3F"/>
      </right>
      <top style="thin">
        <color indexed="64"/>
      </top>
      <bottom style="thin">
        <color indexed="64"/>
      </bottom>
      <diagonal/>
    </border>
  </borders>
  <cellStyleXfs count="2218">
    <xf numFmtId="0" fontId="0" fillId="0" borderId="0"/>
    <xf numFmtId="0" fontId="23" fillId="0" borderId="0"/>
    <xf numFmtId="0" fontId="26" fillId="0" borderId="0"/>
    <xf numFmtId="168" fontId="26" fillId="0" borderId="0" applyFont="0" applyFill="0" applyBorder="0" applyAlignment="0" applyProtection="0"/>
    <xf numFmtId="0" fontId="22" fillId="0" borderId="0"/>
    <xf numFmtId="0" fontId="22" fillId="0" borderId="0"/>
    <xf numFmtId="0" fontId="22" fillId="0" borderId="0"/>
    <xf numFmtId="0" fontId="38" fillId="0" borderId="0">
      <alignment horizontal="left" vertical="center" wrapText="1"/>
      <protection locked="0"/>
    </xf>
    <xf numFmtId="0" fontId="38" fillId="2" borderId="0"/>
    <xf numFmtId="0" fontId="22"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5" borderId="0" applyNumberFormat="0" applyBorder="0" applyAlignment="0" applyProtection="0"/>
    <xf numFmtId="0" fontId="42" fillId="6" borderId="0" applyNumberFormat="0" applyBorder="0" applyAlignment="0" applyProtection="0"/>
    <xf numFmtId="0" fontId="43" fillId="7" borderId="0" applyNumberFormat="0" applyBorder="0" applyAlignment="0" applyProtection="0"/>
    <xf numFmtId="0" fontId="44" fillId="9" borderId="17" applyNumberFormat="0" applyAlignment="0" applyProtection="0"/>
    <xf numFmtId="0" fontId="45" fillId="10" borderId="0" applyNumberFormat="0" applyBorder="0" applyAlignment="0" applyProtection="0"/>
    <xf numFmtId="0" fontId="46" fillId="8" borderId="16"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4" fontId="38" fillId="0" borderId="0" applyFont="0" applyFill="0" applyBorder="0" applyAlignment="0" applyProtection="0"/>
    <xf numFmtId="165" fontId="38" fillId="0" borderId="0" applyFont="0" applyFill="0" applyBorder="0" applyAlignment="0" applyProtection="0"/>
    <xf numFmtId="0" fontId="56" fillId="0" borderId="0" applyNumberFormat="0" applyFill="0" applyBorder="0" applyAlignment="0" applyProtection="0"/>
    <xf numFmtId="0" fontId="26" fillId="0" borderId="0"/>
    <xf numFmtId="0" fontId="18" fillId="0" borderId="0"/>
    <xf numFmtId="0" fontId="18" fillId="0" borderId="0"/>
  </cellStyleXfs>
  <cellXfs count="1406">
    <xf numFmtId="0" fontId="0" fillId="0" borderId="0" xfId="0"/>
    <xf numFmtId="0" fontId="23" fillId="2" borderId="0" xfId="1" applyFill="1" applyProtection="1">
      <protection hidden="1"/>
    </xf>
    <xf numFmtId="0" fontId="30" fillId="2" borderId="1" xfId="2" applyFont="1" applyFill="1" applyBorder="1" applyAlignment="1" applyProtection="1">
      <alignment shrinkToFit="1"/>
      <protection hidden="1"/>
    </xf>
    <xf numFmtId="0" fontId="26" fillId="2" borderId="0" xfId="2" applyFont="1" applyFill="1" applyBorder="1" applyAlignment="1" applyProtection="1">
      <protection hidden="1"/>
    </xf>
    <xf numFmtId="0" fontId="26" fillId="2" borderId="0" xfId="2" applyFill="1" applyBorder="1" applyProtection="1">
      <protection hidden="1"/>
    </xf>
    <xf numFmtId="0" fontId="23" fillId="2" borderId="0" xfId="1" applyFill="1" applyAlignment="1" applyProtection="1">
      <alignment vertical="center"/>
      <protection hidden="1"/>
    </xf>
    <xf numFmtId="0" fontId="31" fillId="2" borderId="0" xfId="1" applyFont="1" applyFill="1" applyBorder="1" applyAlignment="1" applyProtection="1">
      <alignment vertical="center"/>
      <protection hidden="1"/>
    </xf>
    <xf numFmtId="0" fontId="31" fillId="2" borderId="0" xfId="1" applyFont="1" applyFill="1" applyBorder="1" applyAlignment="1" applyProtection="1">
      <protection hidden="1"/>
    </xf>
    <xf numFmtId="0" fontId="36" fillId="2" borderId="0" xfId="1" applyFont="1" applyFill="1" applyProtection="1">
      <protection hidden="1"/>
    </xf>
    <xf numFmtId="0" fontId="37" fillId="2" borderId="0" xfId="2" applyFont="1" applyFill="1" applyBorder="1" applyAlignment="1" applyProtection="1">
      <protection hidden="1"/>
    </xf>
    <xf numFmtId="0" fontId="27" fillId="2" borderId="0" xfId="0" applyFont="1" applyFill="1" applyProtection="1">
      <protection hidden="1"/>
    </xf>
    <xf numFmtId="0" fontId="40" fillId="2" borderId="0" xfId="1" applyFont="1" applyFill="1" applyProtection="1">
      <protection hidden="1"/>
    </xf>
    <xf numFmtId="0" fontId="25" fillId="2" borderId="0" xfId="1" applyFont="1" applyFill="1" applyAlignment="1" applyProtection="1">
      <protection hidden="1"/>
    </xf>
    <xf numFmtId="0" fontId="24" fillId="2" borderId="0" xfId="1" applyFont="1" applyFill="1" applyProtection="1">
      <protection hidden="1"/>
    </xf>
    <xf numFmtId="0" fontId="22" fillId="2" borderId="0" xfId="9" applyFill="1" applyProtection="1">
      <protection hidden="1"/>
    </xf>
    <xf numFmtId="0" fontId="30" fillId="4" borderId="0" xfId="1" applyNumberFormat="1" applyFont="1" applyFill="1" applyBorder="1" applyAlignment="1" applyProtection="1">
      <alignment horizontal="center" vertical="center"/>
      <protection hidden="1"/>
    </xf>
    <xf numFmtId="0" fontId="23" fillId="2" borderId="0" xfId="1" applyFill="1" applyBorder="1" applyProtection="1">
      <protection hidden="1"/>
    </xf>
    <xf numFmtId="0" fontId="21" fillId="2" borderId="0" xfId="10" applyFill="1" applyAlignment="1" applyProtection="1">
      <alignment vertical="center"/>
      <protection hidden="1"/>
    </xf>
    <xf numFmtId="0" fontId="21" fillId="2" borderId="0" xfId="10" applyFill="1" applyProtection="1">
      <protection hidden="1"/>
    </xf>
    <xf numFmtId="10" fontId="26" fillId="3" borderId="7" xfId="2" applyNumberFormat="1" applyFont="1" applyFill="1" applyBorder="1" applyAlignment="1" applyProtection="1">
      <alignment horizontal="center" vertical="top" wrapText="1"/>
      <protection locked="0"/>
    </xf>
    <xf numFmtId="0" fontId="26" fillId="3" borderId="6" xfId="2" applyFont="1" applyFill="1" applyBorder="1" applyAlignment="1" applyProtection="1">
      <alignment horizontal="center" vertical="center" wrapText="1"/>
      <protection locked="0"/>
    </xf>
    <xf numFmtId="44" fontId="26" fillId="3" borderId="1" xfId="2" applyNumberFormat="1" applyFont="1" applyFill="1" applyBorder="1" applyAlignment="1" applyProtection="1">
      <alignment shrinkToFit="1"/>
      <protection locked="0"/>
    </xf>
    <xf numFmtId="44" fontId="26" fillId="3" borderId="1" xfId="2" applyNumberFormat="1" applyFont="1" applyFill="1" applyBorder="1" applyAlignment="1" applyProtection="1">
      <alignment horizontal="center" shrinkToFit="1"/>
      <protection locked="0"/>
    </xf>
    <xf numFmtId="10" fontId="26" fillId="3" borderId="7" xfId="2" applyNumberFormat="1" applyFont="1" applyFill="1" applyBorder="1" applyAlignment="1" applyProtection="1">
      <alignment horizontal="center" vertical="center" wrapText="1"/>
      <protection locked="0"/>
    </xf>
    <xf numFmtId="0" fontId="0" fillId="0" borderId="0" xfId="0" quotePrefix="1" applyAlignment="1" applyProtection="1">
      <protection hidden="1"/>
    </xf>
    <xf numFmtId="44" fontId="26" fillId="4" borderId="1" xfId="2" applyNumberFormat="1" applyFont="1" applyFill="1" applyBorder="1" applyAlignment="1" applyProtection="1">
      <alignment shrinkToFit="1"/>
      <protection hidden="1"/>
    </xf>
    <xf numFmtId="0" fontId="26" fillId="2" borderId="0" xfId="2" applyFont="1" applyFill="1" applyAlignment="1" applyProtection="1">
      <alignment horizontal="right" shrinkToFit="1"/>
      <protection hidden="1"/>
    </xf>
    <xf numFmtId="0" fontId="26" fillId="2" borderId="0" xfId="2" applyFill="1" applyAlignment="1" applyProtection="1">
      <alignment shrinkToFit="1"/>
      <protection hidden="1"/>
    </xf>
    <xf numFmtId="0" fontId="34" fillId="2" borderId="0" xfId="2" applyFont="1" applyFill="1" applyBorder="1" applyAlignment="1" applyProtection="1">
      <protection hidden="1"/>
    </xf>
    <xf numFmtId="0" fontId="35" fillId="2" borderId="0" xfId="2" applyFont="1" applyFill="1" applyBorder="1" applyAlignment="1" applyProtection="1">
      <protection hidden="1"/>
    </xf>
    <xf numFmtId="0" fontId="30" fillId="2" borderId="10" xfId="2" applyFont="1" applyFill="1" applyBorder="1" applyAlignment="1" applyProtection="1">
      <alignment vertical="top" wrapText="1"/>
      <protection hidden="1"/>
    </xf>
    <xf numFmtId="10" fontId="26" fillId="3" borderId="7" xfId="2" applyNumberFormat="1" applyFill="1" applyBorder="1" applyAlignment="1" applyProtection="1">
      <alignment horizontal="center" wrapText="1"/>
      <protection locked="0"/>
    </xf>
    <xf numFmtId="49" fontId="39" fillId="2" borderId="0" xfId="0" applyNumberFormat="1" applyFont="1" applyFill="1" applyBorder="1" applyAlignment="1" applyProtection="1">
      <alignment horizontal="right" vertical="center"/>
      <protection hidden="1"/>
    </xf>
    <xf numFmtId="0" fontId="37" fillId="2" borderId="0" xfId="10" applyFont="1" applyFill="1" applyBorder="1" applyAlignment="1" applyProtection="1">
      <alignment horizontal="left" vertical="center"/>
      <protection hidden="1"/>
    </xf>
    <xf numFmtId="0" fontId="29" fillId="2" borderId="0" xfId="2" applyFont="1" applyFill="1" applyBorder="1" applyAlignment="1" applyProtection="1">
      <alignment horizontal="center" vertical="center"/>
      <protection hidden="1"/>
    </xf>
    <xf numFmtId="0" fontId="27" fillId="3" borderId="1" xfId="10" applyFont="1" applyFill="1" applyBorder="1" applyAlignment="1" applyProtection="1">
      <alignment horizontal="left" vertical="center"/>
      <protection locked="0"/>
    </xf>
    <xf numFmtId="0" fontId="27" fillId="3" borderId="1" xfId="10" applyFont="1" applyFill="1" applyBorder="1" applyAlignment="1" applyProtection="1">
      <alignment horizontal="center" vertical="center"/>
      <protection locked="0"/>
    </xf>
    <xf numFmtId="0" fontId="27" fillId="3" borderId="1" xfId="10" applyFont="1" applyFill="1" applyBorder="1" applyAlignment="1" applyProtection="1">
      <alignment vertical="center"/>
      <protection locked="0"/>
    </xf>
    <xf numFmtId="170" fontId="22" fillId="4" borderId="0" xfId="0" applyNumberFormat="1" applyFont="1" applyFill="1" applyAlignment="1" applyProtection="1">
      <alignment horizontal="center" wrapText="1"/>
      <protection hidden="1"/>
    </xf>
    <xf numFmtId="0" fontId="49" fillId="2" borderId="7" xfId="2" applyFont="1" applyFill="1" applyBorder="1" applyAlignment="1" applyProtection="1">
      <alignment horizontal="center" vertical="center" wrapText="1"/>
      <protection hidden="1"/>
    </xf>
    <xf numFmtId="167" fontId="26" fillId="4" borderId="7" xfId="2" applyNumberFormat="1" applyFont="1" applyFill="1" applyBorder="1" applyAlignment="1" applyProtection="1">
      <alignment horizontal="center" vertical="top" wrapText="1"/>
      <protection hidden="1"/>
    </xf>
    <xf numFmtId="49" fontId="37" fillId="3" borderId="0" xfId="10" applyNumberFormat="1" applyFont="1" applyFill="1" applyBorder="1" applyAlignment="1" applyProtection="1">
      <alignment horizontal="center" vertical="center"/>
      <protection locked="0"/>
    </xf>
    <xf numFmtId="0" fontId="27" fillId="2" borderId="0" xfId="1" applyFont="1" applyFill="1" applyBorder="1" applyAlignment="1" applyProtection="1">
      <alignment vertical="center"/>
      <protection hidden="1"/>
    </xf>
    <xf numFmtId="171" fontId="28" fillId="3" borderId="0" xfId="2" applyNumberFormat="1" applyFont="1" applyFill="1" applyBorder="1" applyAlignment="1" applyProtection="1">
      <alignment horizontal="center" vertical="center" shrinkToFit="1"/>
      <protection locked="0"/>
    </xf>
    <xf numFmtId="0" fontId="0" fillId="0" borderId="0" xfId="0" applyProtection="1">
      <protection locked="0"/>
    </xf>
    <xf numFmtId="44" fontId="26" fillId="3" borderId="6" xfId="2" applyNumberFormat="1" applyFont="1" applyFill="1" applyBorder="1" applyAlignment="1" applyProtection="1">
      <alignment horizontal="center" vertical="center" wrapText="1"/>
      <protection locked="0"/>
    </xf>
    <xf numFmtId="0" fontId="32" fillId="0" borderId="0" xfId="1" applyFont="1" applyFill="1" applyAlignment="1" applyProtection="1">
      <alignment vertical="top"/>
      <protection hidden="1"/>
    </xf>
    <xf numFmtId="44" fontId="30" fillId="4" borderId="1" xfId="2212" applyFont="1" applyFill="1" applyBorder="1" applyAlignment="1" applyProtection="1">
      <alignment horizontal="center" vertical="center" shrinkToFit="1"/>
      <protection hidden="1"/>
    </xf>
    <xf numFmtId="17" fontId="27" fillId="4" borderId="1" xfId="1" applyNumberFormat="1" applyFont="1" applyFill="1" applyBorder="1" applyAlignment="1" applyProtection="1">
      <alignment horizontal="center" vertical="center"/>
      <protection hidden="1"/>
    </xf>
    <xf numFmtId="17" fontId="27" fillId="3" borderId="1" xfId="1" applyNumberFormat="1" applyFont="1" applyFill="1" applyBorder="1" applyAlignment="1" applyProtection="1">
      <alignment horizontal="center" vertical="center"/>
      <protection locked="0"/>
    </xf>
    <xf numFmtId="44" fontId="27" fillId="4" borderId="1" xfId="1" applyNumberFormat="1" applyFont="1" applyFill="1" applyBorder="1" applyAlignment="1" applyProtection="1">
      <alignment horizontal="center" vertical="center"/>
      <protection hidden="1"/>
    </xf>
    <xf numFmtId="44" fontId="27" fillId="4" borderId="1" xfId="0" applyNumberFormat="1" applyFont="1" applyFill="1" applyBorder="1" applyAlignment="1" applyProtection="1">
      <alignment vertical="center"/>
      <protection hidden="1"/>
    </xf>
    <xf numFmtId="0" fontId="48" fillId="2" borderId="0" xfId="1" applyFont="1" applyFill="1" applyBorder="1" applyAlignment="1" applyProtection="1">
      <alignment horizontal="center" vertical="center"/>
      <protection hidden="1"/>
    </xf>
    <xf numFmtId="0" fontId="50" fillId="2" borderId="0" xfId="1" applyFont="1" applyFill="1" applyBorder="1" applyAlignment="1" applyProtection="1">
      <protection hidden="1"/>
    </xf>
    <xf numFmtId="0" fontId="27" fillId="0" borderId="0" xfId="1" applyFont="1" applyFill="1" applyAlignment="1" applyProtection="1">
      <alignment horizontal="center"/>
      <protection hidden="1"/>
    </xf>
    <xf numFmtId="0" fontId="26" fillId="0" borderId="0" xfId="0" applyFont="1" applyFill="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26" fillId="0" borderId="14" xfId="0" applyFont="1" applyFill="1" applyBorder="1" applyAlignment="1" applyProtection="1">
      <alignment horizontal="center" vertical="center" shrinkToFit="1"/>
      <protection hidden="1"/>
    </xf>
    <xf numFmtId="0" fontId="27" fillId="0" borderId="0" xfId="0" applyFont="1" applyFill="1" applyBorder="1" applyAlignment="1" applyProtection="1">
      <alignment horizontal="center" vertical="center" shrinkToFit="1"/>
      <protection hidden="1"/>
    </xf>
    <xf numFmtId="17" fontId="27" fillId="0" borderId="14" xfId="0" applyNumberFormat="1" applyFont="1" applyFill="1" applyBorder="1" applyAlignment="1" applyProtection="1">
      <alignment horizontal="center" vertical="center" shrinkToFit="1"/>
      <protection hidden="1"/>
    </xf>
    <xf numFmtId="17" fontId="26" fillId="3" borderId="1" xfId="1" applyNumberFormat="1" applyFont="1" applyFill="1" applyBorder="1" applyAlignment="1" applyProtection="1">
      <alignment horizontal="center" vertical="center"/>
      <protection locked="0"/>
    </xf>
    <xf numFmtId="0" fontId="26" fillId="0" borderId="0" xfId="1" applyFont="1" applyFill="1" applyAlignment="1" applyProtection="1">
      <alignment horizontal="center" vertical="center"/>
      <protection hidden="1"/>
    </xf>
    <xf numFmtId="0" fontId="26" fillId="2" borderId="0" xfId="2" applyFont="1" applyFill="1" applyBorder="1" applyAlignment="1" applyProtection="1">
      <alignment vertical="center" shrinkToFit="1"/>
      <protection hidden="1"/>
    </xf>
    <xf numFmtId="3" fontId="26" fillId="2" borderId="0" xfId="2" applyNumberFormat="1" applyFont="1" applyFill="1" applyBorder="1" applyAlignment="1" applyProtection="1">
      <alignment vertical="center" shrinkToFit="1"/>
      <protection hidden="1"/>
    </xf>
    <xf numFmtId="44" fontId="26" fillId="4" borderId="1" xfId="0" applyNumberFormat="1" applyFont="1" applyFill="1" applyBorder="1" applyAlignment="1" applyProtection="1">
      <alignment vertical="center" shrinkToFit="1"/>
      <protection hidden="1"/>
    </xf>
    <xf numFmtId="44" fontId="29" fillId="0" borderId="0" xfId="2" applyNumberFormat="1" applyFont="1" applyFill="1" applyBorder="1" applyAlignment="1" applyProtection="1">
      <alignment horizontal="center" vertical="center" shrinkToFit="1"/>
      <protection hidden="1"/>
    </xf>
    <xf numFmtId="44" fontId="40" fillId="0" borderId="0" xfId="0" applyNumberFormat="1" applyFont="1" applyFill="1" applyBorder="1" applyAlignment="1" applyProtection="1">
      <alignment horizontal="center" vertical="center" shrinkToFit="1"/>
      <protection hidden="1"/>
    </xf>
    <xf numFmtId="0" fontId="26" fillId="0" borderId="0" xfId="2" applyFill="1" applyBorder="1" applyAlignment="1" applyProtection="1">
      <alignment vertical="center" shrinkToFit="1"/>
      <protection hidden="1"/>
    </xf>
    <xf numFmtId="2" fontId="40" fillId="3" borderId="1" xfId="0" quotePrefix="1" applyNumberFormat="1" applyFont="1" applyFill="1" applyBorder="1" applyAlignment="1" applyProtection="1">
      <alignment horizontal="center" vertical="center"/>
      <protection locked="0"/>
    </xf>
    <xf numFmtId="2" fontId="40" fillId="3" borderId="1" xfId="1" applyNumberFormat="1" applyFont="1" applyFill="1" applyBorder="1" applyAlignment="1" applyProtection="1">
      <alignment horizontal="center" vertical="center"/>
      <protection locked="0"/>
    </xf>
    <xf numFmtId="44" fontId="27" fillId="3" borderId="1" xfId="0" applyNumberFormat="1" applyFont="1" applyFill="1" applyBorder="1" applyAlignment="1" applyProtection="1">
      <alignment vertical="center"/>
      <protection locked="0"/>
    </xf>
    <xf numFmtId="44" fontId="30" fillId="3" borderId="5" xfId="2212" applyFont="1" applyFill="1" applyBorder="1" applyAlignment="1" applyProtection="1">
      <alignment vertical="center" shrinkToFit="1"/>
      <protection locked="0"/>
    </xf>
    <xf numFmtId="44" fontId="30" fillId="3" borderId="13" xfId="2212" applyFont="1" applyFill="1" applyBorder="1" applyAlignment="1" applyProtection="1">
      <alignment vertical="center" shrinkToFit="1"/>
      <protection locked="0"/>
    </xf>
    <xf numFmtId="2" fontId="23" fillId="2" borderId="0" xfId="1" applyNumberFormat="1" applyFill="1" applyAlignment="1" applyProtection="1">
      <alignment horizontal="center" vertical="center"/>
      <protection hidden="1"/>
    </xf>
    <xf numFmtId="167" fontId="26" fillId="3" borderId="7" xfId="2" applyNumberFormat="1" applyFont="1" applyFill="1" applyBorder="1" applyAlignment="1" applyProtection="1">
      <alignment horizontal="center" vertical="top" wrapText="1"/>
      <protection locked="0"/>
    </xf>
    <xf numFmtId="171" fontId="28" fillId="4" borderId="0" xfId="2" applyNumberFormat="1" applyFont="1" applyFill="1" applyBorder="1" applyAlignment="1" applyProtection="1">
      <alignment horizontal="center" vertical="center" shrinkToFit="1"/>
      <protection hidden="1"/>
    </xf>
    <xf numFmtId="17" fontId="26" fillId="4" borderId="1" xfId="2" applyNumberFormat="1" applyFont="1" applyFill="1" applyBorder="1" applyAlignment="1" applyProtection="1">
      <alignment horizontal="center" vertical="center" shrinkToFit="1"/>
      <protection hidden="1"/>
    </xf>
    <xf numFmtId="17" fontId="26" fillId="4" borderId="1" xfId="1" applyNumberFormat="1" applyFont="1" applyFill="1" applyBorder="1" applyAlignment="1" applyProtection="1">
      <alignment horizontal="center" vertical="center"/>
      <protection hidden="1"/>
    </xf>
    <xf numFmtId="0" fontId="26" fillId="2" borderId="0" xfId="1" applyFont="1" applyFill="1" applyBorder="1" applyAlignment="1" applyProtection="1">
      <alignment horizontal="right" vertical="center"/>
      <protection hidden="1"/>
    </xf>
    <xf numFmtId="0" fontId="27" fillId="2" borderId="0" xfId="1" applyFont="1" applyFill="1" applyBorder="1" applyAlignment="1" applyProtection="1">
      <alignment horizontal="right" vertical="center"/>
      <protection hidden="1"/>
    </xf>
    <xf numFmtId="0" fontId="27" fillId="2" borderId="0" xfId="1" applyFont="1" applyFill="1" applyBorder="1" applyAlignment="1" applyProtection="1">
      <alignment horizontal="right" vertical="center"/>
      <protection hidden="1"/>
    </xf>
    <xf numFmtId="0" fontId="30" fillId="0" borderId="0" xfId="1" applyNumberFormat="1" applyFont="1" applyFill="1" applyBorder="1" applyAlignment="1" applyProtection="1">
      <alignment horizontal="center" vertical="center"/>
      <protection hidden="1"/>
    </xf>
    <xf numFmtId="44" fontId="30" fillId="4" borderId="1" xfId="2" applyNumberFormat="1" applyFont="1" applyFill="1" applyBorder="1" applyAlignment="1" applyProtection="1">
      <alignment shrinkToFit="1"/>
      <protection hidden="1"/>
    </xf>
    <xf numFmtId="0" fontId="29" fillId="2" borderId="0" xfId="2" applyFont="1" applyFill="1" applyBorder="1" applyAlignment="1" applyProtection="1">
      <protection hidden="1"/>
    </xf>
    <xf numFmtId="0" fontId="22" fillId="0" borderId="0" xfId="0" applyFont="1" applyFill="1" applyAlignment="1" applyProtection="1">
      <alignment vertical="center" wrapText="1"/>
      <protection hidden="1"/>
    </xf>
    <xf numFmtId="0" fontId="27" fillId="0" borderId="0" xfId="0" applyFont="1" applyFill="1" applyBorder="1" applyAlignment="1" applyProtection="1">
      <alignment vertical="center"/>
      <protection hidden="1"/>
    </xf>
    <xf numFmtId="10" fontId="27" fillId="0" borderId="0" xfId="0" applyNumberFormat="1" applyFont="1" applyFill="1" applyBorder="1" applyAlignment="1" applyProtection="1">
      <alignment vertical="center"/>
      <protection hidden="1"/>
    </xf>
    <xf numFmtId="0" fontId="27" fillId="0" borderId="0" xfId="0" applyFont="1" applyFill="1" applyAlignment="1" applyProtection="1">
      <alignment vertical="center"/>
      <protection hidden="1"/>
    </xf>
    <xf numFmtId="44" fontId="27" fillId="0" borderId="0" xfId="0" applyNumberFormat="1" applyFont="1" applyFill="1" applyBorder="1" applyAlignment="1" applyProtection="1">
      <alignment horizontal="right" vertical="center"/>
      <protection hidden="1"/>
    </xf>
    <xf numFmtId="9" fontId="29" fillId="2" borderId="7" xfId="2" applyNumberFormat="1" applyFont="1" applyFill="1" applyBorder="1" applyAlignment="1" applyProtection="1">
      <alignment horizontal="center" vertical="center" wrapText="1"/>
      <protection hidden="1"/>
    </xf>
    <xf numFmtId="0" fontId="26" fillId="2" borderId="0" xfId="1" applyFont="1" applyFill="1" applyBorder="1" applyAlignment="1" applyProtection="1">
      <alignment horizontal="right" vertical="center"/>
      <protection hidden="1"/>
    </xf>
    <xf numFmtId="165" fontId="30" fillId="3" borderId="0" xfId="1" applyNumberFormat="1" applyFont="1" applyFill="1" applyBorder="1" applyAlignment="1" applyProtection="1">
      <alignment horizontal="center" vertical="center"/>
      <protection locked="0"/>
    </xf>
    <xf numFmtId="165" fontId="30" fillId="4" borderId="0" xfId="1" applyNumberFormat="1" applyFont="1" applyFill="1" applyBorder="1" applyAlignment="1" applyProtection="1">
      <alignment horizontal="center" vertical="center"/>
      <protection hidden="1"/>
    </xf>
    <xf numFmtId="0" fontId="30" fillId="2" borderId="12" xfId="2" applyFont="1" applyFill="1" applyBorder="1" applyAlignment="1" applyProtection="1">
      <alignment horizontal="center" vertical="top" wrapText="1"/>
      <protection hidden="1"/>
    </xf>
    <xf numFmtId="0" fontId="29" fillId="2" borderId="7" xfId="2" applyFont="1" applyFill="1" applyBorder="1" applyAlignment="1" applyProtection="1">
      <alignment horizontal="center" vertical="center" wrapText="1"/>
      <protection hidden="1"/>
    </xf>
    <xf numFmtId="0" fontId="26" fillId="2" borderId="0" xfId="1" applyFont="1" applyFill="1" applyBorder="1" applyAlignment="1" applyProtection="1">
      <alignment horizontal="right" vertical="center"/>
      <protection hidden="1"/>
    </xf>
    <xf numFmtId="0" fontId="26" fillId="0" borderId="7" xfId="2" applyFont="1" applyFill="1" applyBorder="1" applyAlignment="1" applyProtection="1">
      <alignment horizontal="center" vertical="center" wrapText="1"/>
      <protection hidden="1"/>
    </xf>
    <xf numFmtId="0" fontId="21" fillId="2" borderId="0" xfId="10" applyFill="1" applyAlignment="1" applyProtection="1">
      <alignment horizontal="center" vertical="center"/>
      <protection hidden="1"/>
    </xf>
    <xf numFmtId="44" fontId="30" fillId="4" borderId="5" xfId="2212" applyFont="1" applyFill="1" applyBorder="1" applyAlignment="1" applyProtection="1">
      <alignment vertical="center" shrinkToFit="1"/>
      <protection hidden="1"/>
    </xf>
    <xf numFmtId="10" fontId="26" fillId="4" borderId="7" xfId="2" applyNumberFormat="1" applyFont="1" applyFill="1" applyBorder="1" applyAlignment="1" applyProtection="1">
      <alignment horizontal="center" vertical="top" wrapText="1"/>
      <protection hidden="1"/>
    </xf>
    <xf numFmtId="0" fontId="26" fillId="2" borderId="0" xfId="1" applyFont="1" applyFill="1" applyBorder="1" applyAlignment="1" applyProtection="1">
      <alignment horizontal="right" vertical="center"/>
      <protection hidden="1"/>
    </xf>
    <xf numFmtId="165" fontId="30" fillId="3" borderId="0" xfId="1" applyNumberFormat="1" applyFont="1" applyFill="1" applyBorder="1" applyAlignment="1" applyProtection="1">
      <alignment horizontal="center" vertical="center"/>
      <protection locked="0"/>
    </xf>
    <xf numFmtId="165" fontId="30" fillId="4" borderId="0" xfId="1" applyNumberFormat="1" applyFont="1" applyFill="1" applyBorder="1" applyAlignment="1" applyProtection="1">
      <alignment horizontal="center" vertical="center"/>
      <protection hidden="1"/>
    </xf>
    <xf numFmtId="0" fontId="52" fillId="2" borderId="0" xfId="0" applyFont="1" applyFill="1" applyAlignment="1" applyProtection="1">
      <alignment horizontal="left" vertical="center"/>
      <protection hidden="1"/>
    </xf>
    <xf numFmtId="0" fontId="26" fillId="0" borderId="0" xfId="0" applyNumberFormat="1" applyFont="1" applyFill="1" applyBorder="1" applyAlignment="1" applyProtection="1">
      <alignment horizontal="center" vertical="center"/>
      <protection hidden="1"/>
    </xf>
    <xf numFmtId="44" fontId="27" fillId="2" borderId="0" xfId="2212" applyFont="1" applyFill="1" applyBorder="1" applyAlignment="1" applyProtection="1">
      <alignment vertical="center"/>
      <protection hidden="1"/>
    </xf>
    <xf numFmtId="17" fontId="27" fillId="0" borderId="0" xfId="0" applyNumberFormat="1" applyFont="1" applyFill="1" applyBorder="1" applyAlignment="1" applyProtection="1">
      <alignment horizontal="right" vertical="center"/>
      <protection hidden="1"/>
    </xf>
    <xf numFmtId="2" fontId="27" fillId="0" borderId="0" xfId="2212" applyNumberFormat="1" applyFont="1" applyFill="1" applyBorder="1" applyAlignment="1" applyProtection="1">
      <alignment horizontal="center" vertical="center"/>
      <protection hidden="1"/>
    </xf>
    <xf numFmtId="2" fontId="27" fillId="0" borderId="0" xfId="0" applyNumberFormat="1" applyFont="1" applyFill="1" applyBorder="1" applyAlignment="1" applyProtection="1">
      <alignment horizontal="center" vertical="center"/>
      <protection hidden="1"/>
    </xf>
    <xf numFmtId="0" fontId="27" fillId="0" borderId="0" xfId="0" applyFont="1" applyAlignment="1" applyProtection="1">
      <alignment vertical="center"/>
      <protection hidden="1"/>
    </xf>
    <xf numFmtId="44" fontId="27" fillId="4" borderId="1" xfId="0" applyNumberFormat="1" applyFont="1" applyFill="1" applyBorder="1" applyAlignment="1" applyProtection="1">
      <alignment horizontal="right" vertical="center"/>
      <protection hidden="1"/>
    </xf>
    <xf numFmtId="10" fontId="27" fillId="2" borderId="0" xfId="2212" applyNumberFormat="1" applyFont="1" applyFill="1" applyBorder="1" applyAlignment="1" applyProtection="1">
      <alignment vertical="center"/>
      <protection hidden="1"/>
    </xf>
    <xf numFmtId="3" fontId="27" fillId="2" borderId="0" xfId="2212" applyNumberFormat="1" applyFont="1" applyFill="1" applyBorder="1" applyAlignment="1" applyProtection="1">
      <alignment vertical="center"/>
      <protection hidden="1"/>
    </xf>
    <xf numFmtId="0" fontId="27" fillId="2" borderId="0" xfId="10" applyFont="1" applyFill="1" applyAlignment="1" applyProtection="1">
      <alignment vertical="center"/>
      <protection hidden="1"/>
    </xf>
    <xf numFmtId="0" fontId="27" fillId="4" borderId="1" xfId="10" applyFont="1" applyFill="1" applyBorder="1" applyAlignment="1" applyProtection="1">
      <alignment horizontal="right" vertical="center"/>
      <protection hidden="1"/>
    </xf>
    <xf numFmtId="0" fontId="27" fillId="2" borderId="12" xfId="10" applyFont="1" applyFill="1" applyBorder="1" applyAlignment="1" applyProtection="1">
      <alignment vertical="center"/>
      <protection hidden="1"/>
    </xf>
    <xf numFmtId="0" fontId="39" fillId="4" borderId="18" xfId="10" applyFont="1" applyFill="1" applyBorder="1" applyAlignment="1" applyProtection="1">
      <alignment horizontal="center" vertical="center"/>
      <protection hidden="1"/>
    </xf>
    <xf numFmtId="0" fontId="27" fillId="2" borderId="0" xfId="10" applyFont="1" applyFill="1" applyAlignment="1" applyProtection="1">
      <alignment horizontal="center" vertical="center"/>
      <protection hidden="1"/>
    </xf>
    <xf numFmtId="170" fontId="22" fillId="0" borderId="0" xfId="0" applyNumberFormat="1" applyFont="1" applyFill="1" applyAlignment="1" applyProtection="1">
      <alignment horizontal="center" wrapText="1"/>
      <protection hidden="1"/>
    </xf>
    <xf numFmtId="2" fontId="27" fillId="3" borderId="1" xfId="10" applyNumberFormat="1" applyFont="1" applyFill="1" applyBorder="1" applyAlignment="1" applyProtection="1">
      <alignment horizontal="center" vertical="center"/>
      <protection locked="0"/>
    </xf>
    <xf numFmtId="0" fontId="27" fillId="4" borderId="6" xfId="10" applyFont="1" applyFill="1" applyBorder="1" applyAlignment="1" applyProtection="1">
      <alignment horizontal="center" vertical="center" wrapText="1"/>
      <protection hidden="1"/>
    </xf>
    <xf numFmtId="2" fontId="27" fillId="4" borderId="1" xfId="10" applyNumberFormat="1" applyFont="1" applyFill="1" applyBorder="1" applyAlignment="1" applyProtection="1">
      <alignment horizontal="center" vertical="center"/>
      <protection hidden="1"/>
    </xf>
    <xf numFmtId="165" fontId="30" fillId="4" borderId="0" xfId="1" applyNumberFormat="1" applyFont="1" applyFill="1" applyBorder="1" applyAlignment="1" applyProtection="1">
      <alignment vertical="center"/>
      <protection hidden="1"/>
    </xf>
    <xf numFmtId="165" fontId="30" fillId="3" borderId="0" xfId="1" applyNumberFormat="1" applyFont="1" applyFill="1" applyBorder="1" applyAlignment="1" applyProtection="1">
      <alignment vertical="center"/>
      <protection locked="0"/>
    </xf>
    <xf numFmtId="44" fontId="27" fillId="3" borderId="1" xfId="0" applyNumberFormat="1" applyFont="1" applyFill="1" applyBorder="1" applyAlignment="1" applyProtection="1">
      <alignment vertical="center" shrinkToFit="1"/>
      <protection locked="0"/>
    </xf>
    <xf numFmtId="44" fontId="27" fillId="4" borderId="1" xfId="0" applyNumberFormat="1" applyFont="1" applyFill="1" applyBorder="1" applyAlignment="1" applyProtection="1">
      <alignment vertical="center" shrinkToFit="1"/>
      <protection hidden="1"/>
    </xf>
    <xf numFmtId="0" fontId="25" fillId="2" borderId="0" xfId="1" applyFont="1" applyFill="1" applyAlignment="1" applyProtection="1">
      <alignment horizontal="right" vertical="center"/>
      <protection hidden="1"/>
    </xf>
    <xf numFmtId="2" fontId="37" fillId="2" borderId="0" xfId="2" applyNumberFormat="1" applyFont="1" applyFill="1" applyBorder="1" applyAlignment="1" applyProtection="1">
      <alignment horizontal="center" vertical="center"/>
      <protection hidden="1"/>
    </xf>
    <xf numFmtId="0" fontId="31" fillId="2" borderId="0" xfId="10" applyFont="1" applyFill="1" applyBorder="1" applyAlignment="1" applyProtection="1">
      <alignment horizontal="left" vertical="center"/>
      <protection hidden="1"/>
    </xf>
    <xf numFmtId="0" fontId="51" fillId="2" borderId="0" xfId="1" applyFont="1" applyFill="1" applyBorder="1" applyAlignment="1" applyProtection="1">
      <alignment vertical="center"/>
      <protection hidden="1"/>
    </xf>
    <xf numFmtId="0" fontId="51" fillId="2" borderId="0" xfId="1" applyFont="1" applyFill="1" applyAlignment="1" applyProtection="1">
      <alignment vertical="center"/>
      <protection hidden="1"/>
    </xf>
    <xf numFmtId="49" fontId="30" fillId="3" borderId="0" xfId="1" applyNumberFormat="1" applyFont="1" applyFill="1" applyBorder="1" applyAlignment="1" applyProtection="1">
      <alignment horizontal="center" vertical="center"/>
      <protection locked="0"/>
    </xf>
    <xf numFmtId="49" fontId="26" fillId="3" borderId="1" xfId="0" applyNumberFormat="1" applyFont="1" applyFill="1" applyBorder="1" applyAlignment="1" applyProtection="1">
      <alignment horizontal="center" vertical="center"/>
      <protection locked="0"/>
    </xf>
    <xf numFmtId="49" fontId="30" fillId="4" borderId="0" xfId="1" applyNumberFormat="1" applyFont="1" applyFill="1" applyBorder="1" applyAlignment="1" applyProtection="1">
      <alignment horizontal="center" vertical="center"/>
      <protection hidden="1"/>
    </xf>
    <xf numFmtId="49" fontId="26" fillId="4" borderId="1" xfId="0" applyNumberFormat="1" applyFont="1" applyFill="1" applyBorder="1" applyAlignment="1" applyProtection="1">
      <alignment horizontal="center" vertical="center"/>
      <protection hidden="1"/>
    </xf>
    <xf numFmtId="0" fontId="27" fillId="4" borderId="6" xfId="10" applyFont="1" applyFill="1" applyBorder="1" applyAlignment="1" applyProtection="1">
      <alignment horizontal="center" vertical="center" wrapText="1"/>
      <protection hidden="1"/>
    </xf>
    <xf numFmtId="49" fontId="27" fillId="3" borderId="1" xfId="10" applyNumberFormat="1" applyFont="1" applyFill="1" applyBorder="1" applyAlignment="1" applyProtection="1">
      <alignment horizontal="center" vertical="center"/>
      <protection locked="0"/>
    </xf>
    <xf numFmtId="2" fontId="27" fillId="11" borderId="1" xfId="10" applyNumberFormat="1" applyFont="1" applyFill="1" applyBorder="1" applyAlignment="1" applyProtection="1">
      <alignment horizontal="center" vertical="center"/>
      <protection locked="0"/>
    </xf>
    <xf numFmtId="49" fontId="48" fillId="2" borderId="0" xfId="1" applyNumberFormat="1" applyFont="1" applyFill="1" applyBorder="1" applyAlignment="1" applyProtection="1">
      <alignment horizontal="center" vertical="center"/>
      <protection hidden="1"/>
    </xf>
    <xf numFmtId="14" fontId="29" fillId="4" borderId="0" xfId="2" applyNumberFormat="1" applyFont="1" applyFill="1" applyBorder="1" applyAlignment="1" applyProtection="1">
      <alignment horizontal="center" vertical="center" shrinkToFit="1"/>
      <protection hidden="1"/>
    </xf>
    <xf numFmtId="44" fontId="40" fillId="4" borderId="0" xfId="0" applyNumberFormat="1" applyFont="1" applyFill="1" applyBorder="1" applyAlignment="1" applyProtection="1">
      <alignment horizontal="center" vertical="center" shrinkToFit="1"/>
      <protection hidden="1"/>
    </xf>
    <xf numFmtId="44" fontId="29" fillId="4" borderId="0" xfId="2" applyNumberFormat="1" applyFont="1" applyFill="1" applyBorder="1" applyAlignment="1" applyProtection="1">
      <alignment horizontal="center" vertical="center" shrinkToFit="1"/>
      <protection hidden="1"/>
    </xf>
    <xf numFmtId="0" fontId="0" fillId="0" borderId="0" xfId="0" applyAlignment="1" applyProtection="1">
      <alignment vertical="center"/>
      <protection hidden="1"/>
    </xf>
    <xf numFmtId="0" fontId="27" fillId="0" borderId="0" xfId="0" applyFont="1" applyAlignment="1" applyProtection="1">
      <alignment vertical="center"/>
    </xf>
    <xf numFmtId="0" fontId="27" fillId="0" borderId="0" xfId="0" applyFont="1" applyAlignment="1" applyProtection="1">
      <alignment horizontal="center" vertical="center"/>
    </xf>
    <xf numFmtId="0" fontId="18" fillId="0" borderId="0" xfId="0" applyFont="1" applyProtection="1">
      <protection hidden="1"/>
    </xf>
    <xf numFmtId="0" fontId="18" fillId="0" borderId="0" xfId="0" applyFont="1" applyAlignment="1" applyProtection="1">
      <alignment horizontal="center"/>
      <protection hidden="1"/>
    </xf>
    <xf numFmtId="0" fontId="18" fillId="0" borderId="0" xfId="0" applyFont="1" applyAlignment="1" applyProtection="1">
      <alignment horizontal="right"/>
      <protection hidden="1"/>
    </xf>
    <xf numFmtId="0" fontId="25" fillId="3"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left" vertical="center"/>
      <protection hidden="1"/>
    </xf>
    <xf numFmtId="0" fontId="0" fillId="0" borderId="0" xfId="0" applyFill="1" applyBorder="1" applyAlignment="1" applyProtection="1">
      <alignment vertical="center" wrapText="1"/>
      <protection hidden="1"/>
    </xf>
    <xf numFmtId="0" fontId="25" fillId="0" borderId="0" xfId="0" applyFont="1" applyProtection="1">
      <protection hidden="1"/>
    </xf>
    <xf numFmtId="0" fontId="18" fillId="0" borderId="0" xfId="0" applyFont="1" applyAlignment="1" applyProtection="1">
      <alignment horizontal="right" vertical="center"/>
      <protection hidden="1"/>
    </xf>
    <xf numFmtId="0" fontId="18" fillId="0" borderId="0" xfId="0" applyFont="1" applyAlignment="1" applyProtection="1">
      <alignment horizontal="left"/>
      <protection hidden="1"/>
    </xf>
    <xf numFmtId="0" fontId="0" fillId="0" borderId="0" xfId="0" applyAlignment="1" applyProtection="1">
      <protection hidden="1"/>
    </xf>
    <xf numFmtId="0" fontId="18" fillId="0" borderId="0" xfId="0" applyFont="1" applyBorder="1" applyAlignment="1" applyProtection="1">
      <alignment horizontal="center"/>
      <protection hidden="1"/>
    </xf>
    <xf numFmtId="14" fontId="18" fillId="0" borderId="0" xfId="0" applyNumberFormat="1" applyFont="1" applyFill="1" applyBorder="1" applyAlignment="1" applyProtection="1">
      <alignment horizontal="right" vertical="center"/>
      <protection hidden="1"/>
    </xf>
    <xf numFmtId="14" fontId="18" fillId="0" borderId="0" xfId="0" applyNumberFormat="1" applyFont="1" applyFill="1" applyBorder="1" applyAlignment="1" applyProtection="1">
      <alignment horizontal="center" vertical="center"/>
      <protection hidden="1"/>
    </xf>
    <xf numFmtId="0" fontId="55" fillId="0" borderId="0" xfId="0" applyFont="1" applyAlignment="1" applyProtection="1">
      <alignment horizontal="left"/>
      <protection hidden="1"/>
    </xf>
    <xf numFmtId="0" fontId="25" fillId="0" borderId="0" xfId="0" applyFont="1" applyAlignment="1" applyProtection="1">
      <alignment horizontal="center" vertical="center"/>
      <protection hidden="1"/>
    </xf>
    <xf numFmtId="0" fontId="18" fillId="0" borderId="0" xfId="0" applyFont="1" applyFill="1" applyBorder="1" applyProtection="1">
      <protection hidden="1"/>
    </xf>
    <xf numFmtId="0" fontId="25" fillId="0" borderId="0" xfId="0" applyFont="1" applyFill="1" applyBorder="1" applyAlignment="1" applyProtection="1">
      <alignment horizontal="center" vertical="center"/>
      <protection hidden="1"/>
    </xf>
    <xf numFmtId="0" fontId="18" fillId="0" borderId="0" xfId="0" applyFont="1" applyFill="1" applyBorder="1" applyAlignment="1" applyProtection="1">
      <alignment horizontal="right" vertical="center"/>
      <protection hidden="1"/>
    </xf>
    <xf numFmtId="0" fontId="18" fillId="0" borderId="0" xfId="0" applyNumberFormat="1" applyFont="1" applyFill="1" applyBorder="1" applyAlignment="1" applyProtection="1">
      <alignment horizontal="center" vertical="center"/>
      <protection hidden="1"/>
    </xf>
    <xf numFmtId="0" fontId="25" fillId="0" borderId="0" xfId="0" applyFont="1" applyAlignment="1" applyProtection="1">
      <alignment horizontal="right" vertical="center"/>
      <protection hidden="1"/>
    </xf>
    <xf numFmtId="0" fontId="25" fillId="4" borderId="19" xfId="0" applyNumberFormat="1" applyFont="1" applyFill="1" applyBorder="1" applyAlignment="1" applyProtection="1">
      <alignment horizontal="center"/>
      <protection hidden="1"/>
    </xf>
    <xf numFmtId="0" fontId="25" fillId="0" borderId="0" xfId="0" applyFont="1" applyFill="1" applyBorder="1" applyAlignment="1" applyProtection="1">
      <alignment horizontal="right" vertical="center"/>
      <protection hidden="1"/>
    </xf>
    <xf numFmtId="0" fontId="25" fillId="0" borderId="0" xfId="0" applyNumberFormat="1" applyFont="1" applyFill="1" applyBorder="1" applyAlignment="1" applyProtection="1">
      <alignment horizontal="center"/>
      <protection hidden="1"/>
    </xf>
    <xf numFmtId="0" fontId="18" fillId="0" borderId="0" xfId="0" applyFont="1" applyFill="1" applyBorder="1" applyAlignment="1" applyProtection="1">
      <alignment horizontal="right"/>
      <protection hidden="1"/>
    </xf>
    <xf numFmtId="14" fontId="18" fillId="0" borderId="0" xfId="0" applyNumberFormat="1" applyFont="1" applyFill="1" applyBorder="1" applyProtection="1">
      <protection hidden="1"/>
    </xf>
    <xf numFmtId="1" fontId="18" fillId="3" borderId="0" xfId="0" applyNumberFormat="1" applyFont="1" applyFill="1" applyBorder="1" applyAlignment="1" applyProtection="1">
      <alignment horizontal="center" vertical="center"/>
      <protection locked="0"/>
    </xf>
    <xf numFmtId="0" fontId="18" fillId="0" borderId="0" xfId="0" applyFont="1" applyFill="1" applyBorder="1" applyAlignment="1" applyProtection="1">
      <alignment horizontal="center"/>
      <protection hidden="1"/>
    </xf>
    <xf numFmtId="165" fontId="18" fillId="0" borderId="0" xfId="0" applyNumberFormat="1" applyFont="1" applyFill="1" applyBorder="1" applyAlignment="1" applyProtection="1">
      <alignment horizontal="center"/>
      <protection hidden="1"/>
    </xf>
    <xf numFmtId="14" fontId="18" fillId="3" borderId="0" xfId="0" applyNumberFormat="1" applyFont="1" applyFill="1" applyBorder="1" applyAlignment="1" applyProtection="1">
      <alignment horizontal="center" vertical="center"/>
      <protection locked="0"/>
    </xf>
    <xf numFmtId="0" fontId="55" fillId="0" borderId="0" xfId="0" applyFont="1" applyProtection="1">
      <protection hidden="1"/>
    </xf>
    <xf numFmtId="0" fontId="18" fillId="0" borderId="0" xfId="0" applyFont="1" applyFill="1" applyBorder="1" applyAlignment="1" applyProtection="1">
      <alignment horizontal="left" vertical="center"/>
      <protection hidden="1"/>
    </xf>
    <xf numFmtId="0" fontId="18" fillId="0" borderId="0" xfId="0" applyFont="1" applyAlignment="1" applyProtection="1">
      <alignment horizontal="right" vertical="center" wrapText="1"/>
      <protection hidden="1"/>
    </xf>
    <xf numFmtId="0" fontId="25" fillId="0" borderId="0" xfId="0" applyFont="1" applyAlignment="1" applyProtection="1">
      <alignment horizontal="right"/>
      <protection hidden="1"/>
    </xf>
    <xf numFmtId="0" fontId="18" fillId="0" borderId="0" xfId="0" applyFont="1" applyBorder="1" applyAlignment="1" applyProtection="1">
      <alignment horizontal="left" vertical="center" wrapText="1"/>
      <protection hidden="1"/>
    </xf>
    <xf numFmtId="0" fontId="59" fillId="0" borderId="0" xfId="2214" applyFont="1" applyFill="1" applyBorder="1" applyAlignment="1" applyProtection="1">
      <alignment horizontal="center"/>
      <protection hidden="1"/>
    </xf>
    <xf numFmtId="0" fontId="60" fillId="0" borderId="0" xfId="2214" applyFont="1" applyFill="1" applyAlignment="1" applyProtection="1">
      <alignment horizontal="center"/>
      <protection hidden="1"/>
    </xf>
    <xf numFmtId="165" fontId="18" fillId="4" borderId="0" xfId="0" applyNumberFormat="1" applyFont="1" applyFill="1" applyAlignment="1" applyProtection="1">
      <alignment horizontal="center"/>
      <protection hidden="1"/>
    </xf>
    <xf numFmtId="165" fontId="25" fillId="4" borderId="19" xfId="0" applyNumberFormat="1" applyFont="1" applyFill="1" applyBorder="1" applyAlignment="1" applyProtection="1">
      <alignment horizontal="center"/>
      <protection hidden="1"/>
    </xf>
    <xf numFmtId="0" fontId="25" fillId="0" borderId="0" xfId="0" applyFont="1" applyAlignment="1" applyProtection="1">
      <alignment horizontal="left" vertical="center"/>
      <protection hidden="1"/>
    </xf>
    <xf numFmtId="0" fontId="61" fillId="0" borderId="0" xfId="0" applyFont="1" applyAlignment="1" applyProtection="1">
      <alignment horizontal="right"/>
      <protection hidden="1"/>
    </xf>
    <xf numFmtId="0" fontId="62" fillId="0" borderId="0" xfId="0" applyFont="1" applyFill="1" applyAlignment="1" applyProtection="1">
      <alignment horizontal="right"/>
      <protection hidden="1"/>
    </xf>
    <xf numFmtId="0" fontId="18" fillId="0" borderId="0" xfId="0" applyFont="1" applyFill="1" applyProtection="1">
      <protection hidden="1"/>
    </xf>
    <xf numFmtId="164" fontId="25" fillId="0" borderId="0" xfId="0" applyNumberFormat="1" applyFont="1" applyFill="1" applyAlignment="1" applyProtection="1">
      <alignment vertical="center"/>
      <protection hidden="1"/>
    </xf>
    <xf numFmtId="0" fontId="30" fillId="0" borderId="13" xfId="0" applyFont="1" applyBorder="1" applyAlignment="1" applyProtection="1">
      <alignment vertical="center"/>
    </xf>
    <xf numFmtId="0" fontId="30" fillId="0" borderId="12" xfId="0" applyFont="1" applyBorder="1" applyAlignment="1" applyProtection="1">
      <alignment vertical="center"/>
    </xf>
    <xf numFmtId="0" fontId="40" fillId="0" borderId="12" xfId="0" applyFont="1" applyBorder="1" applyAlignment="1" applyProtection="1">
      <alignment horizontal="left"/>
      <protection hidden="1"/>
    </xf>
    <xf numFmtId="0" fontId="27" fillId="0" borderId="12" xfId="0" applyFont="1" applyBorder="1" applyAlignment="1" applyProtection="1">
      <alignment vertical="center"/>
    </xf>
    <xf numFmtId="0" fontId="25" fillId="0" borderId="0" xfId="0" applyFont="1" applyAlignment="1" applyProtection="1">
      <alignment horizontal="left"/>
      <protection hidden="1"/>
    </xf>
    <xf numFmtId="165" fontId="18" fillId="4" borderId="0" xfId="0" applyNumberFormat="1" applyFont="1" applyFill="1" applyAlignment="1" applyProtection="1">
      <alignment vertical="center"/>
      <protection hidden="1"/>
    </xf>
    <xf numFmtId="165" fontId="18" fillId="4" borderId="14" xfId="0" applyNumberFormat="1" applyFont="1" applyFill="1" applyBorder="1" applyAlignment="1" applyProtection="1">
      <alignment vertical="center"/>
    </xf>
    <xf numFmtId="0" fontId="27" fillId="0" borderId="0" xfId="0" applyFont="1" applyBorder="1" applyAlignment="1" applyProtection="1">
      <alignment horizontal="center" vertical="center"/>
    </xf>
    <xf numFmtId="0" fontId="27" fillId="0" borderId="0" xfId="0" applyFont="1" applyBorder="1" applyAlignment="1" applyProtection="1">
      <alignment vertical="center"/>
    </xf>
    <xf numFmtId="0" fontId="27" fillId="0" borderId="0" xfId="0" applyFont="1" applyBorder="1" applyAlignment="1" applyProtection="1">
      <alignment horizontal="right" vertical="center"/>
    </xf>
    <xf numFmtId="0" fontId="27" fillId="0" borderId="2" xfId="0" applyFont="1" applyBorder="1" applyAlignment="1" applyProtection="1">
      <alignment vertical="center"/>
    </xf>
    <xf numFmtId="165" fontId="18" fillId="0" borderId="0" xfId="0" applyNumberFormat="1" applyFont="1" applyFill="1" applyAlignment="1" applyProtection="1">
      <alignment horizontal="center"/>
      <protection hidden="1"/>
    </xf>
    <xf numFmtId="0" fontId="27" fillId="0" borderId="0" xfId="0" applyFont="1" applyBorder="1" applyAlignment="1" applyProtection="1">
      <alignment vertical="center"/>
      <protection hidden="1"/>
    </xf>
    <xf numFmtId="0" fontId="39" fillId="0" borderId="0" xfId="0" applyFont="1" applyBorder="1" applyAlignment="1" applyProtection="1">
      <alignment vertical="center"/>
      <protection hidden="1"/>
    </xf>
    <xf numFmtId="165" fontId="18" fillId="12" borderId="0" xfId="0" applyNumberFormat="1" applyFont="1" applyFill="1" applyAlignment="1" applyProtection="1">
      <alignment horizontal="center"/>
      <protection hidden="1"/>
    </xf>
    <xf numFmtId="165" fontId="18" fillId="12" borderId="14" xfId="0" applyNumberFormat="1" applyFont="1" applyFill="1" applyBorder="1" applyAlignment="1" applyProtection="1">
      <alignment horizontal="center"/>
      <protection hidden="1"/>
    </xf>
    <xf numFmtId="0" fontId="63" fillId="0" borderId="0" xfId="0" applyFont="1" applyAlignment="1" applyProtection="1">
      <alignment vertical="center" wrapText="1"/>
      <protection hidden="1"/>
    </xf>
    <xf numFmtId="0" fontId="18" fillId="0" borderId="0" xfId="0" applyFont="1" applyBorder="1" applyProtection="1">
      <protection hidden="1"/>
    </xf>
    <xf numFmtId="165" fontId="18" fillId="4" borderId="0" xfId="0" applyNumberFormat="1" applyFont="1" applyFill="1" applyAlignment="1" applyProtection="1">
      <alignment horizontal="center" vertical="center"/>
      <protection hidden="1"/>
    </xf>
    <xf numFmtId="0" fontId="27" fillId="0" borderId="8" xfId="0" applyFont="1" applyBorder="1" applyAlignment="1" applyProtection="1">
      <alignment vertical="center"/>
    </xf>
    <xf numFmtId="0" fontId="27" fillId="0" borderId="14" xfId="0" applyFont="1" applyBorder="1" applyAlignment="1" applyProtection="1">
      <alignment horizontal="center" vertical="center"/>
    </xf>
    <xf numFmtId="0" fontId="27" fillId="0" borderId="14" xfId="0" applyFont="1" applyBorder="1" applyAlignment="1" applyProtection="1">
      <alignment vertical="center"/>
    </xf>
    <xf numFmtId="0" fontId="27" fillId="0" borderId="15" xfId="0" applyFont="1" applyBorder="1" applyAlignment="1" applyProtection="1">
      <alignment vertical="center"/>
    </xf>
    <xf numFmtId="0" fontId="18" fillId="4" borderId="0" xfId="0" applyFont="1" applyFill="1" applyAlignment="1" applyProtection="1">
      <protection hidden="1"/>
    </xf>
    <xf numFmtId="0" fontId="18" fillId="0" borderId="0" xfId="0" applyFont="1" applyFill="1" applyAlignment="1" applyProtection="1">
      <protection hidden="1"/>
    </xf>
    <xf numFmtId="0" fontId="25" fillId="0" borderId="0" xfId="0" applyNumberFormat="1" applyFont="1" applyAlignment="1" applyProtection="1">
      <alignment horizontal="right" shrinkToFit="1"/>
      <protection hidden="1"/>
    </xf>
    <xf numFmtId="44" fontId="18" fillId="4" borderId="0" xfId="0" applyNumberFormat="1" applyFont="1" applyFill="1" applyAlignment="1" applyProtection="1">
      <alignment horizontal="center"/>
      <protection hidden="1"/>
    </xf>
    <xf numFmtId="0" fontId="25" fillId="0" borderId="0" xfId="0" applyFont="1" applyBorder="1" applyProtection="1">
      <protection hidden="1"/>
    </xf>
    <xf numFmtId="0" fontId="65" fillId="0" borderId="0" xfId="0" applyFont="1" applyBorder="1" applyAlignment="1" applyProtection="1">
      <alignment horizontal="center" vertical="center"/>
      <protection hidden="1"/>
    </xf>
    <xf numFmtId="49" fontId="39" fillId="0" borderId="0" xfId="0" applyNumberFormat="1" applyFont="1" applyBorder="1" applyAlignment="1" applyProtection="1">
      <alignment vertical="center"/>
      <protection hidden="1"/>
    </xf>
    <xf numFmtId="0" fontId="27" fillId="0" borderId="0" xfId="0" applyFont="1"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39" fillId="0" borderId="6" xfId="0" applyFont="1" applyBorder="1" applyAlignment="1" applyProtection="1">
      <alignment horizontal="center" vertical="center" wrapText="1"/>
      <protection hidden="1"/>
    </xf>
    <xf numFmtId="0" fontId="52" fillId="0" borderId="0" xfId="0" applyFont="1" applyBorder="1" applyAlignment="1" applyProtection="1">
      <alignment vertical="center"/>
      <protection hidden="1"/>
    </xf>
    <xf numFmtId="49" fontId="27" fillId="0" borderId="1" xfId="0" applyNumberFormat="1" applyFont="1" applyBorder="1" applyAlignment="1" applyProtection="1">
      <alignment horizontal="center" vertical="center"/>
      <protection hidden="1"/>
    </xf>
    <xf numFmtId="0" fontId="27" fillId="0" borderId="1" xfId="0" applyFont="1" applyBorder="1" applyAlignment="1" applyProtection="1">
      <alignment horizontal="center" vertical="center" wrapText="1"/>
      <protection hidden="1"/>
    </xf>
    <xf numFmtId="9" fontId="27" fillId="0" borderId="1" xfId="0" applyNumberFormat="1"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wrapText="1"/>
      <protection hidden="1"/>
    </xf>
    <xf numFmtId="49" fontId="27" fillId="0" borderId="12" xfId="0" applyNumberFormat="1" applyFont="1" applyBorder="1" applyAlignment="1" applyProtection="1">
      <alignment horizontal="center" vertical="center"/>
      <protection hidden="1"/>
    </xf>
    <xf numFmtId="0" fontId="27" fillId="0" borderId="0"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center" vertical="center"/>
      <protection hidden="1"/>
    </xf>
    <xf numFmtId="9" fontId="27" fillId="0" borderId="2" xfId="0" applyNumberFormat="1" applyFont="1" applyBorder="1" applyAlignment="1" applyProtection="1">
      <alignment horizontal="center" vertical="center" wrapText="1"/>
      <protection hidden="1"/>
    </xf>
    <xf numFmtId="44" fontId="27" fillId="0" borderId="9" xfId="0" applyNumberFormat="1" applyFont="1" applyBorder="1" applyAlignment="1" applyProtection="1">
      <alignment horizontal="left" vertical="center"/>
      <protection hidden="1"/>
    </xf>
    <xf numFmtId="0" fontId="39" fillId="0" borderId="0" xfId="0" applyFont="1" applyBorder="1" applyAlignment="1" applyProtection="1">
      <alignment horizontal="center" vertical="center"/>
      <protection hidden="1"/>
    </xf>
    <xf numFmtId="0" fontId="39" fillId="0" borderId="0" xfId="0" applyFont="1" applyBorder="1" applyAlignment="1" applyProtection="1">
      <alignment horizontal="center" vertical="center" wrapText="1"/>
      <protection hidden="1"/>
    </xf>
    <xf numFmtId="0" fontId="27" fillId="0" borderId="0" xfId="0" applyFont="1" applyBorder="1" applyAlignment="1" applyProtection="1">
      <alignment horizontal="left" vertical="center" wrapText="1"/>
      <protection hidden="1"/>
    </xf>
    <xf numFmtId="0" fontId="27" fillId="0" borderId="0" xfId="0" applyFont="1" applyBorder="1" applyAlignment="1" applyProtection="1">
      <alignment horizontal="center" vertical="center"/>
      <protection hidden="1"/>
    </xf>
    <xf numFmtId="44" fontId="27" fillId="0" borderId="0" xfId="0" applyNumberFormat="1" applyFont="1" applyBorder="1" applyAlignment="1" applyProtection="1">
      <alignment horizontal="center" vertical="center"/>
      <protection hidden="1"/>
    </xf>
    <xf numFmtId="49" fontId="27" fillId="0" borderId="6" xfId="0" applyNumberFormat="1" applyFont="1" applyBorder="1" applyAlignment="1" applyProtection="1">
      <alignment horizontal="center" vertical="center"/>
      <protection hidden="1"/>
    </xf>
    <xf numFmtId="9" fontId="27" fillId="0" borderId="6" xfId="0" applyNumberFormat="1" applyFont="1" applyBorder="1" applyAlignment="1" applyProtection="1">
      <alignment horizontal="center" vertical="center" wrapText="1"/>
      <protection hidden="1"/>
    </xf>
    <xf numFmtId="2" fontId="27" fillId="0" borderId="6" xfId="0" applyNumberFormat="1" applyFont="1" applyBorder="1" applyAlignment="1" applyProtection="1">
      <alignment horizontal="center" vertical="center" wrapText="1"/>
      <protection hidden="1"/>
    </xf>
    <xf numFmtId="2" fontId="27" fillId="0" borderId="0" xfId="0" applyNumberFormat="1" applyFont="1" applyAlignment="1" applyProtection="1">
      <alignment horizontal="center" vertical="center"/>
      <protection hidden="1"/>
    </xf>
    <xf numFmtId="0" fontId="27" fillId="0" borderId="0" xfId="0" applyFont="1" applyAlignment="1" applyProtection="1">
      <alignment horizontal="left" vertical="center" wrapText="1"/>
      <protection hidden="1"/>
    </xf>
    <xf numFmtId="0" fontId="27" fillId="0" borderId="0" xfId="0" applyFont="1" applyAlignment="1" applyProtection="1">
      <alignment horizontal="center" vertical="center"/>
      <protection hidden="1"/>
    </xf>
    <xf numFmtId="0" fontId="27" fillId="0" borderId="6" xfId="0" applyFont="1" applyBorder="1" applyAlignment="1" applyProtection="1">
      <alignment horizontal="center" vertical="center" wrapText="1"/>
      <protection hidden="1"/>
    </xf>
    <xf numFmtId="49" fontId="27" fillId="0" borderId="0" xfId="0" applyNumberFormat="1" applyFont="1" applyAlignment="1" applyProtection="1">
      <alignment horizontal="center" vertical="center"/>
      <protection hidden="1"/>
    </xf>
    <xf numFmtId="0" fontId="0" fillId="0" borderId="0" xfId="0" applyAlignment="1">
      <alignment vertical="center"/>
    </xf>
    <xf numFmtId="44" fontId="27" fillId="0" borderId="0" xfId="0" applyNumberFormat="1" applyFont="1" applyAlignment="1" applyProtection="1">
      <alignment horizontal="right" vertical="center"/>
      <protection hidden="1"/>
    </xf>
    <xf numFmtId="2" fontId="27" fillId="0" borderId="0" xfId="0" applyNumberFormat="1" applyFont="1" applyBorder="1" applyAlignment="1" applyProtection="1">
      <alignment horizontal="center" vertical="center"/>
      <protection hidden="1"/>
    </xf>
    <xf numFmtId="44" fontId="27" fillId="0" borderId="0" xfId="0" applyNumberFormat="1" applyFont="1" applyAlignment="1" applyProtection="1">
      <alignment horizontal="left" vertical="center"/>
      <protection hidden="1"/>
    </xf>
    <xf numFmtId="0" fontId="39" fillId="0" borderId="0" xfId="0" applyFont="1" applyAlignment="1" applyProtection="1">
      <alignment horizontal="center" vertical="center"/>
      <protection hidden="1"/>
    </xf>
    <xf numFmtId="2" fontId="39" fillId="0" borderId="0" xfId="0" applyNumberFormat="1" applyFont="1" applyBorder="1" applyAlignment="1" applyProtection="1">
      <alignment horizontal="center" vertical="center"/>
      <protection hidden="1"/>
    </xf>
    <xf numFmtId="44" fontId="39" fillId="0" borderId="0" xfId="0" applyNumberFormat="1" applyFont="1" applyBorder="1" applyAlignment="1" applyProtection="1">
      <alignment horizontal="center" vertical="center"/>
      <protection hidden="1"/>
    </xf>
    <xf numFmtId="0" fontId="39" fillId="0" borderId="0" xfId="0" applyFont="1" applyBorder="1" applyAlignment="1" applyProtection="1">
      <alignment horizontal="left" vertical="center"/>
      <protection hidden="1"/>
    </xf>
    <xf numFmtId="0" fontId="27" fillId="0" borderId="1" xfId="0" applyFont="1" applyBorder="1" applyAlignment="1" applyProtection="1">
      <alignment horizontal="center" vertical="center"/>
      <protection hidden="1"/>
    </xf>
    <xf numFmtId="1" fontId="27" fillId="0" borderId="1" xfId="0" applyNumberFormat="1"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protection hidden="1"/>
    </xf>
    <xf numFmtId="44" fontId="27" fillId="0" borderId="1" xfId="0" applyNumberFormat="1" applyFont="1" applyBorder="1" applyAlignment="1" applyProtection="1">
      <alignment horizontal="left" vertical="center"/>
      <protection hidden="1"/>
    </xf>
    <xf numFmtId="44" fontId="27" fillId="0" borderId="1" xfId="0" applyNumberFormat="1" applyFont="1" applyBorder="1" applyAlignment="1" applyProtection="1">
      <alignment horizontal="center" vertical="center"/>
      <protection hidden="1"/>
    </xf>
    <xf numFmtId="9" fontId="27" fillId="0" borderId="1" xfId="0" applyNumberFormat="1" applyFont="1" applyBorder="1" applyAlignment="1" applyProtection="1">
      <alignment horizontal="center" vertical="center"/>
      <protection hidden="1"/>
    </xf>
    <xf numFmtId="9" fontId="27" fillId="0" borderId="0" xfId="0" applyNumberFormat="1" applyFont="1" applyBorder="1" applyAlignment="1" applyProtection="1">
      <alignment horizontal="center" vertical="center" wrapText="1"/>
      <protection hidden="1"/>
    </xf>
    <xf numFmtId="9" fontId="27" fillId="0" borderId="0" xfId="0" applyNumberFormat="1" applyFont="1" applyBorder="1" applyAlignment="1" applyProtection="1">
      <alignment horizontal="center" vertical="center"/>
      <protection hidden="1"/>
    </xf>
    <xf numFmtId="1" fontId="27" fillId="0" borderId="0" xfId="0" applyNumberFormat="1" applyFont="1" applyBorder="1" applyAlignment="1" applyProtection="1">
      <alignment horizontal="center" vertical="center" wrapText="1"/>
      <protection hidden="1"/>
    </xf>
    <xf numFmtId="44" fontId="27" fillId="0" borderId="0" xfId="0" applyNumberFormat="1" applyFont="1" applyBorder="1" applyAlignment="1" applyProtection="1">
      <alignment horizontal="left" vertical="center"/>
      <protection hidden="1"/>
    </xf>
    <xf numFmtId="0" fontId="39" fillId="0" borderId="5" xfId="0" applyFont="1" applyBorder="1" applyAlignment="1" applyProtection="1">
      <alignment horizontal="center" vertical="center"/>
      <protection hidden="1"/>
    </xf>
    <xf numFmtId="0" fontId="39" fillId="0" borderId="4" xfId="0" applyFont="1" applyBorder="1" applyAlignment="1" applyProtection="1">
      <alignment horizontal="center" vertical="center" wrapText="1"/>
      <protection hidden="1"/>
    </xf>
    <xf numFmtId="49" fontId="27" fillId="0" borderId="3" xfId="0" applyNumberFormat="1" applyFont="1" applyBorder="1" applyAlignment="1" applyProtection="1">
      <alignment horizontal="right" vertical="center"/>
      <protection hidden="1"/>
    </xf>
    <xf numFmtId="0" fontId="27" fillId="0" borderId="4" xfId="0" applyFont="1" applyBorder="1" applyAlignment="1" applyProtection="1">
      <alignment horizontal="left" vertical="center" wrapText="1"/>
      <protection hidden="1"/>
    </xf>
    <xf numFmtId="44" fontId="27" fillId="0" borderId="4" xfId="0" applyNumberFormat="1" applyFont="1" applyBorder="1" applyAlignment="1" applyProtection="1">
      <alignment vertical="center" wrapText="1"/>
      <protection hidden="1"/>
    </xf>
    <xf numFmtId="44" fontId="27" fillId="0" borderId="5" xfId="0" applyNumberFormat="1" applyFont="1" applyBorder="1" applyAlignment="1" applyProtection="1">
      <alignment horizontal="left" vertical="center"/>
      <protection hidden="1"/>
    </xf>
    <xf numFmtId="0" fontId="27" fillId="0" borderId="3" xfId="0" applyFont="1" applyBorder="1" applyAlignment="1" applyProtection="1">
      <alignment horizontal="right" vertical="center"/>
      <protection hidden="1"/>
    </xf>
    <xf numFmtId="44" fontId="27" fillId="0" borderId="1" xfId="0" applyNumberFormat="1" applyFont="1" applyBorder="1" applyAlignment="1" applyProtection="1">
      <alignment vertical="center" wrapText="1"/>
      <protection hidden="1"/>
    </xf>
    <xf numFmtId="0" fontId="27" fillId="0" borderId="5" xfId="0" applyFont="1" applyBorder="1" applyAlignment="1" applyProtection="1">
      <alignment horizontal="left" vertical="center" wrapText="1"/>
      <protection hidden="1"/>
    </xf>
    <xf numFmtId="2" fontId="27" fillId="0" borderId="4" xfId="0" applyNumberFormat="1" applyFont="1" applyBorder="1" applyAlignment="1" applyProtection="1">
      <alignment vertical="center" wrapText="1"/>
      <protection hidden="1"/>
    </xf>
    <xf numFmtId="169" fontId="27" fillId="0" borderId="1" xfId="0" applyNumberFormat="1" applyFont="1" applyBorder="1" applyAlignment="1" applyProtection="1">
      <alignment horizontal="center" vertical="center"/>
      <protection hidden="1"/>
    </xf>
    <xf numFmtId="1" fontId="27" fillId="0" borderId="4" xfId="0" applyNumberFormat="1" applyFont="1" applyBorder="1" applyAlignment="1" applyProtection="1">
      <alignment vertical="center" wrapText="1"/>
      <protection hidden="1"/>
    </xf>
    <xf numFmtId="2" fontId="27" fillId="0" borderId="4" xfId="0" applyNumberFormat="1" applyFont="1" applyBorder="1" applyAlignment="1" applyProtection="1">
      <alignment horizontal="center" vertical="center"/>
      <protection hidden="1"/>
    </xf>
    <xf numFmtId="172" fontId="27" fillId="0" borderId="1" xfId="0" applyNumberFormat="1" applyFont="1" applyBorder="1" applyAlignment="1" applyProtection="1">
      <alignment horizontal="center" vertical="center"/>
      <protection hidden="1"/>
    </xf>
    <xf numFmtId="0" fontId="39"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wrapText="1"/>
      <protection hidden="1"/>
    </xf>
    <xf numFmtId="164" fontId="39" fillId="0" borderId="0" xfId="0" applyNumberFormat="1" applyFont="1" applyFill="1" applyBorder="1" applyAlignment="1" applyProtection="1">
      <alignment horizontal="center" vertical="center"/>
      <protection hidden="1"/>
    </xf>
    <xf numFmtId="165" fontId="39" fillId="0" borderId="0" xfId="0" applyNumberFormat="1" applyFont="1" applyFill="1" applyBorder="1" applyAlignment="1" applyProtection="1">
      <alignment horizontal="center" vertical="center"/>
      <protection hidden="1"/>
    </xf>
    <xf numFmtId="44" fontId="39" fillId="0" borderId="1" xfId="0" applyNumberFormat="1" applyFont="1" applyBorder="1" applyAlignment="1" applyProtection="1">
      <alignment horizontal="center" vertical="center"/>
      <protection hidden="1"/>
    </xf>
    <xf numFmtId="44" fontId="39" fillId="0" borderId="10" xfId="0" applyNumberFormat="1" applyFont="1" applyBorder="1" applyAlignment="1" applyProtection="1">
      <alignment horizontal="center" vertical="center"/>
      <protection hidden="1"/>
    </xf>
    <xf numFmtId="44" fontId="39" fillId="0" borderId="0" xfId="0" applyNumberFormat="1" applyFont="1" applyBorder="1" applyAlignment="1" applyProtection="1">
      <alignment horizontal="right" vertical="center"/>
      <protection hidden="1"/>
    </xf>
    <xf numFmtId="44" fontId="39" fillId="0" borderId="18" xfId="0" applyNumberFormat="1" applyFont="1" applyBorder="1" applyAlignment="1" applyProtection="1">
      <alignment horizontal="center" vertical="center"/>
      <protection hidden="1"/>
    </xf>
    <xf numFmtId="44" fontId="62" fillId="0" borderId="0" xfId="0" applyNumberFormat="1" applyFont="1" applyBorder="1" applyAlignment="1" applyProtection="1">
      <alignment horizontal="right" vertical="center"/>
      <protection hidden="1"/>
    </xf>
    <xf numFmtId="0" fontId="27" fillId="0" borderId="0" xfId="0" applyFont="1" applyAlignment="1" applyProtection="1">
      <alignment vertical="center" wrapText="1"/>
      <protection hidden="1"/>
    </xf>
    <xf numFmtId="0" fontId="39" fillId="4" borderId="0" xfId="0" applyFont="1" applyFill="1" applyAlignment="1" applyProtection="1">
      <alignment horizontal="center" vertical="center" wrapText="1"/>
      <protection hidden="1"/>
    </xf>
    <xf numFmtId="165" fontId="27" fillId="4" borderId="0" xfId="0" applyNumberFormat="1" applyFont="1" applyFill="1" applyBorder="1" applyAlignment="1" applyProtection="1">
      <alignment horizontal="right" vertical="center" shrinkToFit="1"/>
      <protection hidden="1"/>
    </xf>
    <xf numFmtId="2" fontId="27" fillId="4" borderId="0" xfId="0" applyNumberFormat="1" applyFont="1" applyFill="1" applyBorder="1" applyAlignment="1" applyProtection="1">
      <alignment horizontal="center" vertical="center" shrinkToFit="1"/>
      <protection hidden="1"/>
    </xf>
    <xf numFmtId="0" fontId="39" fillId="4" borderId="0" xfId="0" applyFont="1" applyFill="1" applyAlignment="1" applyProtection="1">
      <alignment vertical="center" wrapText="1"/>
      <protection hidden="1"/>
    </xf>
    <xf numFmtId="0" fontId="39" fillId="4" borderId="0" xfId="0" applyFont="1" applyFill="1" applyAlignment="1" applyProtection="1">
      <alignment horizontal="left" vertical="center" wrapText="1"/>
      <protection hidden="1"/>
    </xf>
    <xf numFmtId="165" fontId="39" fillId="4" borderId="0" xfId="0" applyNumberFormat="1" applyFont="1" applyFill="1" applyBorder="1" applyAlignment="1" applyProtection="1">
      <alignment horizontal="right" vertical="center" shrinkToFit="1"/>
      <protection hidden="1"/>
    </xf>
    <xf numFmtId="2" fontId="39" fillId="4" borderId="0" xfId="0" applyNumberFormat="1" applyFont="1" applyFill="1" applyBorder="1" applyAlignment="1" applyProtection="1">
      <alignment horizontal="center" vertical="center" shrinkToFit="1"/>
      <protection hidden="1"/>
    </xf>
    <xf numFmtId="44" fontId="26" fillId="4" borderId="0" xfId="0" applyNumberFormat="1" applyFont="1" applyFill="1" applyBorder="1" applyAlignment="1" applyProtection="1">
      <alignment vertical="center" shrinkToFit="1"/>
      <protection hidden="1"/>
    </xf>
    <xf numFmtId="0" fontId="39" fillId="0" borderId="0" xfId="0" applyFont="1" applyFill="1" applyBorder="1" applyAlignment="1" applyProtection="1">
      <alignment horizontal="right" vertical="center"/>
      <protection hidden="1"/>
    </xf>
    <xf numFmtId="0" fontId="39" fillId="0" borderId="0" xfId="0" applyFont="1" applyFill="1" applyBorder="1" applyAlignment="1" applyProtection="1">
      <alignment vertical="center"/>
      <protection hidden="1"/>
    </xf>
    <xf numFmtId="0" fontId="39" fillId="0" borderId="0" xfId="0" applyFont="1" applyAlignment="1" applyProtection="1">
      <alignment vertical="center"/>
      <protection hidden="1"/>
    </xf>
    <xf numFmtId="0" fontId="39" fillId="0" borderId="1" xfId="0" applyFont="1" applyFill="1" applyBorder="1" applyAlignment="1" applyProtection="1">
      <alignment horizontal="center" vertical="center"/>
      <protection hidden="1"/>
    </xf>
    <xf numFmtId="0" fontId="66" fillId="0" borderId="0" xfId="0" applyFont="1" applyBorder="1" applyAlignment="1">
      <alignment vertical="center" wrapText="1"/>
    </xf>
    <xf numFmtId="0" fontId="66" fillId="0" borderId="0" xfId="0" applyFont="1" applyBorder="1" applyAlignment="1">
      <alignment horizontal="center" vertical="center"/>
    </xf>
    <xf numFmtId="49" fontId="39" fillId="0" borderId="1" xfId="0" applyNumberFormat="1" applyFont="1" applyBorder="1" applyAlignment="1" applyProtection="1">
      <alignment vertical="center" wrapText="1"/>
      <protection hidden="1"/>
    </xf>
    <xf numFmtId="44" fontId="27" fillId="0" borderId="1" xfId="0" applyNumberFormat="1" applyFont="1" applyBorder="1" applyAlignment="1" applyProtection="1">
      <alignment vertical="center"/>
      <protection hidden="1"/>
    </xf>
    <xf numFmtId="44" fontId="27" fillId="0" borderId="1" xfId="2212" applyNumberFormat="1" applyFont="1" applyFill="1" applyBorder="1" applyAlignment="1" applyProtection="1">
      <alignment vertical="center" shrinkToFit="1"/>
      <protection hidden="1"/>
    </xf>
    <xf numFmtId="44" fontId="26" fillId="0" borderId="1" xfId="28" applyNumberFormat="1" applyFont="1" applyFill="1" applyBorder="1" applyAlignment="1" applyProtection="1">
      <alignment vertical="center" shrinkToFit="1"/>
      <protection hidden="1"/>
    </xf>
    <xf numFmtId="49" fontId="27" fillId="0" borderId="1" xfId="0" applyNumberFormat="1" applyFont="1" applyFill="1" applyBorder="1" applyAlignment="1" applyProtection="1">
      <alignment vertical="center" wrapText="1"/>
      <protection hidden="1"/>
    </xf>
    <xf numFmtId="44" fontId="27" fillId="0" borderId="1" xfId="2212" applyNumberFormat="1" applyFont="1" applyFill="1" applyBorder="1" applyAlignment="1" applyProtection="1">
      <alignment horizontal="right" vertical="center" shrinkToFit="1"/>
      <protection hidden="1"/>
    </xf>
    <xf numFmtId="0" fontId="67" fillId="0" borderId="1" xfId="0" applyFont="1" applyBorder="1" applyAlignment="1" applyProtection="1">
      <alignment vertical="center" wrapText="1"/>
      <protection hidden="1"/>
    </xf>
    <xf numFmtId="44" fontId="67" fillId="0" borderId="1" xfId="2212" applyNumberFormat="1" applyFont="1" applyBorder="1" applyAlignment="1" applyProtection="1">
      <alignment vertical="center" shrinkToFit="1"/>
      <protection hidden="1"/>
    </xf>
    <xf numFmtId="0" fontId="68" fillId="10" borderId="1" xfId="29" applyFont="1" applyBorder="1" applyAlignment="1" applyProtection="1">
      <alignment vertical="center" wrapText="1"/>
      <protection hidden="1"/>
    </xf>
    <xf numFmtId="44" fontId="68" fillId="10" borderId="1" xfId="29" applyNumberFormat="1" applyFont="1" applyBorder="1" applyAlignment="1" applyProtection="1">
      <alignment vertical="center" shrinkToFit="1"/>
      <protection hidden="1"/>
    </xf>
    <xf numFmtId="0" fontId="27" fillId="0" borderId="1" xfId="0" applyFont="1" applyBorder="1" applyAlignment="1" applyProtection="1">
      <alignment vertical="center"/>
      <protection hidden="1"/>
    </xf>
    <xf numFmtId="49" fontId="67" fillId="0" borderId="10" xfId="0" applyNumberFormat="1" applyFont="1" applyBorder="1" applyAlignment="1" applyProtection="1">
      <alignment vertical="center" wrapText="1"/>
      <protection hidden="1"/>
    </xf>
    <xf numFmtId="44" fontId="67" fillId="0" borderId="10" xfId="2212" applyNumberFormat="1" applyFont="1" applyBorder="1" applyAlignment="1" applyProtection="1">
      <alignment vertical="center" shrinkToFit="1"/>
      <protection hidden="1"/>
    </xf>
    <xf numFmtId="0" fontId="67" fillId="0" borderId="6" xfId="0" applyFont="1" applyBorder="1" applyAlignment="1" applyProtection="1">
      <alignment vertical="center" wrapText="1"/>
      <protection hidden="1"/>
    </xf>
    <xf numFmtId="44" fontId="67" fillId="0" borderId="6" xfId="2212" applyNumberFormat="1" applyFont="1" applyBorder="1" applyAlignment="1" applyProtection="1">
      <alignment vertical="center" shrinkToFit="1"/>
      <protection hidden="1"/>
    </xf>
    <xf numFmtId="0" fontId="69" fillId="0" borderId="0" xfId="0" applyFont="1" applyAlignment="1" applyProtection="1">
      <alignment vertical="center"/>
      <protection hidden="1"/>
    </xf>
    <xf numFmtId="0" fontId="67" fillId="0" borderId="1" xfId="0" applyFont="1" applyBorder="1" applyAlignment="1" applyProtection="1">
      <alignment vertical="center"/>
      <protection hidden="1"/>
    </xf>
    <xf numFmtId="0" fontId="68" fillId="10" borderId="1" xfId="29" applyFont="1" applyBorder="1" applyAlignment="1" applyProtection="1">
      <alignment vertical="center"/>
      <protection hidden="1"/>
    </xf>
    <xf numFmtId="0" fontId="70" fillId="10" borderId="1" xfId="29" applyFont="1" applyBorder="1" applyAlignment="1" applyProtection="1">
      <alignment vertical="center"/>
      <protection hidden="1"/>
    </xf>
    <xf numFmtId="44" fontId="70" fillId="10" borderId="1" xfId="29" applyNumberFormat="1" applyFont="1" applyBorder="1" applyAlignment="1" applyProtection="1">
      <alignment vertical="center" shrinkToFit="1"/>
      <protection hidden="1"/>
    </xf>
    <xf numFmtId="0" fontId="39" fillId="0" borderId="0" xfId="0" applyFont="1" applyAlignment="1" applyProtection="1">
      <alignment horizontal="right" vertical="center"/>
      <protection hidden="1"/>
    </xf>
    <xf numFmtId="0" fontId="71" fillId="0" borderId="0" xfId="27" applyFont="1" applyFill="1" applyBorder="1" applyAlignment="1" applyProtection="1">
      <alignment vertical="center"/>
      <protection hidden="1"/>
    </xf>
    <xf numFmtId="0" fontId="39" fillId="0" borderId="22" xfId="0" applyFont="1" applyBorder="1" applyAlignment="1" applyProtection="1">
      <alignment horizontal="right" vertical="center"/>
      <protection hidden="1"/>
    </xf>
    <xf numFmtId="44" fontId="27" fillId="4" borderId="23" xfId="0" applyNumberFormat="1" applyFont="1" applyFill="1" applyBorder="1" applyAlignment="1" applyProtection="1">
      <alignment vertical="center"/>
      <protection hidden="1"/>
    </xf>
    <xf numFmtId="0" fontId="39" fillId="0" borderId="23" xfId="0" applyFont="1" applyBorder="1" applyAlignment="1" applyProtection="1">
      <alignment horizontal="right" vertical="center"/>
      <protection hidden="1"/>
    </xf>
    <xf numFmtId="4" fontId="27" fillId="4" borderId="23" xfId="0" applyNumberFormat="1" applyFont="1" applyFill="1" applyBorder="1" applyAlignment="1" applyProtection="1">
      <alignment horizontal="center" vertical="center"/>
      <protection hidden="1"/>
    </xf>
    <xf numFmtId="2" fontId="27" fillId="4" borderId="10" xfId="0" applyNumberFormat="1" applyFont="1" applyFill="1" applyBorder="1" applyAlignment="1" applyProtection="1">
      <alignment horizontal="center" vertical="center"/>
      <protection hidden="1"/>
    </xf>
    <xf numFmtId="1" fontId="72" fillId="4" borderId="24" xfId="30" applyNumberFormat="1" applyFont="1" applyFill="1" applyBorder="1" applyAlignment="1" applyProtection="1">
      <alignment vertical="center"/>
      <protection hidden="1"/>
    </xf>
    <xf numFmtId="0" fontId="73" fillId="0" borderId="0" xfId="26" applyFont="1" applyFill="1" applyBorder="1" applyAlignment="1" applyProtection="1">
      <alignment vertical="center"/>
      <protection hidden="1"/>
    </xf>
    <xf numFmtId="0" fontId="39" fillId="0" borderId="25" xfId="0" applyFont="1" applyBorder="1" applyAlignment="1" applyProtection="1">
      <alignment horizontal="right" vertical="center"/>
      <protection hidden="1"/>
    </xf>
    <xf numFmtId="4" fontId="27" fillId="4" borderId="1" xfId="0" applyNumberFormat="1" applyFont="1" applyFill="1" applyBorder="1" applyAlignment="1" applyProtection="1">
      <alignment horizontal="center" vertical="center"/>
      <protection hidden="1"/>
    </xf>
    <xf numFmtId="0" fontId="39" fillId="0" borderId="1" xfId="0" applyFont="1" applyBorder="1" applyAlignment="1" applyProtection="1">
      <alignment horizontal="right" vertical="center"/>
      <protection hidden="1"/>
    </xf>
    <xf numFmtId="2" fontId="27" fillId="4" borderId="1" xfId="0" applyNumberFormat="1" applyFont="1" applyFill="1" applyBorder="1" applyAlignment="1" applyProtection="1">
      <alignment horizontal="center" vertical="center"/>
      <protection hidden="1"/>
    </xf>
    <xf numFmtId="2" fontId="72" fillId="4" borderId="26" xfId="30" applyNumberFormat="1" applyFont="1" applyFill="1" applyBorder="1" applyAlignment="1" applyProtection="1">
      <alignment horizontal="center" vertical="center"/>
      <protection hidden="1"/>
    </xf>
    <xf numFmtId="0" fontId="74" fillId="0" borderId="0" xfId="25" applyFont="1" applyFill="1" applyBorder="1" applyAlignment="1" applyProtection="1">
      <alignment vertical="center"/>
      <protection hidden="1"/>
    </xf>
    <xf numFmtId="0" fontId="39" fillId="0" borderId="27" xfId="0" applyFont="1" applyBorder="1" applyAlignment="1" applyProtection="1">
      <alignment horizontal="right" vertical="center"/>
      <protection hidden="1"/>
    </xf>
    <xf numFmtId="0" fontId="27" fillId="4" borderId="28" xfId="0" applyFont="1" applyFill="1" applyBorder="1" applyAlignment="1" applyProtection="1">
      <alignment vertical="center"/>
      <protection hidden="1"/>
    </xf>
    <xf numFmtId="0" fontId="39" fillId="0" borderId="28" xfId="0" applyFont="1" applyBorder="1" applyAlignment="1" applyProtection="1">
      <alignment horizontal="right" vertical="center"/>
      <protection hidden="1"/>
    </xf>
    <xf numFmtId="4" fontId="27" fillId="4" borderId="28" xfId="0" applyNumberFormat="1" applyFont="1" applyFill="1" applyBorder="1" applyAlignment="1" applyProtection="1">
      <alignment horizontal="center" vertical="center"/>
      <protection hidden="1"/>
    </xf>
    <xf numFmtId="2" fontId="27" fillId="4" borderId="29" xfId="0" applyNumberFormat="1" applyFont="1" applyFill="1" applyBorder="1" applyAlignment="1" applyProtection="1">
      <alignment horizontal="center" vertical="center"/>
      <protection hidden="1"/>
    </xf>
    <xf numFmtId="1" fontId="39" fillId="0" borderId="30" xfId="0" applyNumberFormat="1" applyFont="1" applyBorder="1" applyAlignment="1" applyProtection="1">
      <alignment vertical="center"/>
      <protection hidden="1"/>
    </xf>
    <xf numFmtId="0" fontId="27" fillId="0" borderId="0" xfId="0" applyFont="1" applyAlignment="1" applyProtection="1">
      <alignment horizontal="right" vertical="center"/>
      <protection hidden="1"/>
    </xf>
    <xf numFmtId="0" fontId="39" fillId="0" borderId="2" xfId="0" applyFont="1" applyBorder="1" applyAlignment="1" applyProtection="1">
      <alignment horizontal="right" vertical="center"/>
      <protection hidden="1"/>
    </xf>
    <xf numFmtId="0" fontId="39" fillId="0" borderId="7" xfId="0" applyFont="1" applyBorder="1" applyAlignment="1" applyProtection="1">
      <alignment vertical="center"/>
      <protection hidden="1"/>
    </xf>
    <xf numFmtId="0" fontId="39" fillId="0" borderId="7" xfId="0" applyFont="1" applyBorder="1" applyAlignment="1" applyProtection="1">
      <alignment horizontal="right" vertical="center"/>
      <protection hidden="1"/>
    </xf>
    <xf numFmtId="4" fontId="39" fillId="0" borderId="7" xfId="0" applyNumberFormat="1" applyFont="1" applyBorder="1" applyAlignment="1" applyProtection="1">
      <alignment horizontal="center" vertical="center"/>
      <protection hidden="1"/>
    </xf>
    <xf numFmtId="0" fontId="39" fillId="0" borderId="7" xfId="0" applyFont="1" applyBorder="1" applyAlignment="1" applyProtection="1">
      <alignment horizontal="center" vertical="center"/>
      <protection hidden="1"/>
    </xf>
    <xf numFmtId="0" fontId="39" fillId="0" borderId="9" xfId="0" applyFont="1" applyBorder="1" applyAlignment="1" applyProtection="1">
      <alignment vertical="center"/>
      <protection hidden="1"/>
    </xf>
    <xf numFmtId="0" fontId="39" fillId="0" borderId="10" xfId="0" applyFont="1" applyBorder="1" applyAlignment="1" applyProtection="1">
      <alignment horizontal="center" vertical="center"/>
      <protection hidden="1"/>
    </xf>
    <xf numFmtId="0" fontId="39" fillId="0" borderId="13" xfId="0" applyFont="1" applyBorder="1" applyAlignment="1" applyProtection="1">
      <alignment horizontal="center" vertical="center"/>
      <protection hidden="1"/>
    </xf>
    <xf numFmtId="0" fontId="39" fillId="0" borderId="6" xfId="0" applyFont="1" applyBorder="1" applyAlignment="1" applyProtection="1">
      <alignment horizontal="center" vertical="center"/>
      <protection hidden="1"/>
    </xf>
    <xf numFmtId="0" fontId="39" fillId="0" borderId="8" xfId="0" applyFont="1" applyBorder="1" applyAlignment="1" applyProtection="1">
      <alignment horizontal="center" vertical="center"/>
      <protection hidden="1"/>
    </xf>
    <xf numFmtId="0" fontId="66" fillId="0" borderId="0" xfId="0" applyFont="1" applyBorder="1" applyAlignment="1">
      <alignment horizontal="right" vertical="center"/>
    </xf>
    <xf numFmtId="49" fontId="39" fillId="0" borderId="1" xfId="0" applyNumberFormat="1" applyFont="1" applyBorder="1" applyAlignment="1" applyProtection="1">
      <alignment horizontal="right" vertical="center"/>
      <protection hidden="1"/>
    </xf>
    <xf numFmtId="44" fontId="75" fillId="0" borderId="31" xfId="30" applyNumberFormat="1" applyFont="1" applyFill="1" applyBorder="1" applyAlignment="1" applyProtection="1">
      <alignment vertical="center"/>
      <protection hidden="1"/>
    </xf>
    <xf numFmtId="44" fontId="27" fillId="0" borderId="1" xfId="2212" applyNumberFormat="1" applyFont="1" applyBorder="1" applyAlignment="1" applyProtection="1">
      <alignment vertical="center"/>
      <protection hidden="1"/>
    </xf>
    <xf numFmtId="49" fontId="27" fillId="0" borderId="1" xfId="0" applyNumberFormat="1" applyFont="1" applyBorder="1" applyAlignment="1" applyProtection="1">
      <alignment horizontal="right" vertical="center"/>
      <protection hidden="1"/>
    </xf>
    <xf numFmtId="0" fontId="68" fillId="0" borderId="1" xfId="28" applyFont="1" applyFill="1" applyBorder="1" applyAlignment="1" applyProtection="1">
      <alignment vertical="center" shrinkToFit="1"/>
      <protection hidden="1"/>
    </xf>
    <xf numFmtId="44" fontId="27" fillId="4" borderId="1" xfId="2212" applyNumberFormat="1" applyFont="1" applyFill="1" applyBorder="1" applyAlignment="1" applyProtection="1">
      <alignment vertical="center" shrinkToFit="1"/>
      <protection hidden="1"/>
    </xf>
    <xf numFmtId="0" fontId="72" fillId="0" borderId="16" xfId="30" applyFont="1" applyFill="1" applyBorder="1" applyAlignment="1" applyProtection="1">
      <alignment vertical="center" shrinkToFit="1"/>
      <protection hidden="1"/>
    </xf>
    <xf numFmtId="44" fontId="75" fillId="0" borderId="31" xfId="30" applyNumberFormat="1" applyFont="1" applyFill="1" applyBorder="1" applyAlignment="1" applyProtection="1">
      <alignment vertical="center" shrinkToFit="1"/>
      <protection hidden="1"/>
    </xf>
    <xf numFmtId="0" fontId="26" fillId="0" borderId="16" xfId="30" applyFont="1" applyFill="1" applyAlignment="1" applyProtection="1">
      <alignment vertical="center" shrinkToFit="1"/>
      <protection hidden="1"/>
    </xf>
    <xf numFmtId="0" fontId="26" fillId="0" borderId="1" xfId="0" applyFont="1" applyFill="1" applyBorder="1" applyAlignment="1" applyProtection="1">
      <alignment vertical="center" shrinkToFit="1"/>
      <protection hidden="1"/>
    </xf>
    <xf numFmtId="0" fontId="72" fillId="0" borderId="32" xfId="30" applyFont="1" applyFill="1" applyBorder="1" applyAlignment="1" applyProtection="1">
      <alignment vertical="center" shrinkToFit="1"/>
      <protection hidden="1"/>
    </xf>
    <xf numFmtId="0" fontId="72" fillId="0" borderId="1" xfId="30" applyFont="1" applyFill="1" applyBorder="1" applyAlignment="1" applyProtection="1">
      <alignment vertical="center" shrinkToFit="1"/>
      <protection hidden="1"/>
    </xf>
    <xf numFmtId="0" fontId="27" fillId="0" borderId="1" xfId="0" applyNumberFormat="1" applyFont="1" applyBorder="1" applyAlignment="1" applyProtection="1">
      <alignment vertical="center" wrapText="1"/>
      <protection hidden="1"/>
    </xf>
    <xf numFmtId="44" fontId="27" fillId="4" borderId="1" xfId="2212" applyNumberFormat="1" applyFont="1" applyFill="1" applyBorder="1" applyAlignment="1" applyProtection="1">
      <alignment horizontal="right" vertical="center" shrinkToFit="1"/>
      <protection hidden="1"/>
    </xf>
    <xf numFmtId="0" fontId="72" fillId="0" borderId="0" xfId="30" applyFont="1" applyFill="1" applyBorder="1" applyAlignment="1" applyProtection="1">
      <alignment vertical="center" shrinkToFit="1"/>
      <protection hidden="1"/>
    </xf>
    <xf numFmtId="0" fontId="67" fillId="0" borderId="1" xfId="0" applyFont="1" applyBorder="1" applyAlignment="1" applyProtection="1">
      <alignment vertical="center" shrinkToFit="1"/>
      <protection hidden="1"/>
    </xf>
    <xf numFmtId="44" fontId="72" fillId="0" borderId="31" xfId="30" applyNumberFormat="1" applyFont="1" applyFill="1" applyBorder="1" applyAlignment="1" applyProtection="1">
      <alignment vertical="center" shrinkToFit="1"/>
      <protection hidden="1"/>
    </xf>
    <xf numFmtId="0" fontId="72" fillId="0" borderId="31" xfId="30" applyFont="1" applyFill="1" applyBorder="1" applyAlignment="1" applyProtection="1">
      <alignment vertical="center" shrinkToFit="1"/>
      <protection hidden="1"/>
    </xf>
    <xf numFmtId="44" fontId="76" fillId="0" borderId="1" xfId="0" applyNumberFormat="1" applyFont="1" applyFill="1" applyBorder="1" applyAlignment="1" applyProtection="1">
      <alignment vertical="center" shrinkToFit="1"/>
      <protection hidden="1"/>
    </xf>
    <xf numFmtId="0" fontId="68" fillId="10" borderId="1" xfId="29" applyFont="1" applyBorder="1" applyAlignment="1" applyProtection="1">
      <alignment vertical="center" shrinkToFit="1"/>
      <protection hidden="1"/>
    </xf>
    <xf numFmtId="0" fontId="68" fillId="10" borderId="1" xfId="29" applyNumberFormat="1" applyFont="1" applyBorder="1" applyAlignment="1" applyProtection="1">
      <alignment vertical="center" shrinkToFit="1"/>
      <protection hidden="1"/>
    </xf>
    <xf numFmtId="44" fontId="27" fillId="0" borderId="1" xfId="2212" applyFont="1" applyBorder="1" applyAlignment="1" applyProtection="1">
      <alignment vertical="center"/>
      <protection hidden="1"/>
    </xf>
    <xf numFmtId="44" fontId="27" fillId="0" borderId="1" xfId="2212" applyFont="1" applyBorder="1" applyAlignment="1" applyProtection="1">
      <alignment vertical="center" shrinkToFit="1"/>
      <protection hidden="1"/>
    </xf>
    <xf numFmtId="0" fontId="72" fillId="0" borderId="16" xfId="30" applyFont="1" applyFill="1" applyAlignment="1" applyProtection="1">
      <alignment vertical="center" shrinkToFit="1"/>
      <protection hidden="1"/>
    </xf>
    <xf numFmtId="44" fontId="27" fillId="4" borderId="1" xfId="2212" applyFont="1" applyFill="1" applyBorder="1" applyAlignment="1" applyProtection="1">
      <alignment vertical="center" shrinkToFit="1"/>
      <protection hidden="1"/>
    </xf>
    <xf numFmtId="44" fontId="26" fillId="0" borderId="16" xfId="30" applyNumberFormat="1" applyFont="1" applyFill="1" applyAlignment="1" applyProtection="1">
      <alignment vertical="center" shrinkToFit="1"/>
      <protection hidden="1"/>
    </xf>
    <xf numFmtId="44" fontId="26" fillId="0" borderId="1" xfId="25" applyNumberFormat="1" applyFont="1" applyFill="1" applyBorder="1" applyAlignment="1" applyProtection="1">
      <alignment vertical="center" shrinkToFit="1"/>
      <protection hidden="1"/>
    </xf>
    <xf numFmtId="44" fontId="27" fillId="2" borderId="1" xfId="2212" applyFont="1" applyFill="1" applyBorder="1" applyAlignment="1" applyProtection="1">
      <alignment vertical="center" shrinkToFit="1"/>
      <protection hidden="1"/>
    </xf>
    <xf numFmtId="44" fontId="67" fillId="0" borderId="1" xfId="0" applyNumberFormat="1" applyFont="1" applyBorder="1" applyAlignment="1" applyProtection="1">
      <alignment vertical="center" shrinkToFit="1"/>
      <protection hidden="1"/>
    </xf>
    <xf numFmtId="44" fontId="67" fillId="0" borderId="1" xfId="0" applyNumberFormat="1" applyFont="1" applyFill="1" applyBorder="1" applyAlignment="1" applyProtection="1">
      <alignment vertical="center" shrinkToFit="1"/>
      <protection hidden="1"/>
    </xf>
    <xf numFmtId="44" fontId="27" fillId="0" borderId="0" xfId="2212" applyFont="1" applyAlignment="1" applyProtection="1">
      <alignment vertical="center"/>
      <protection hidden="1"/>
    </xf>
    <xf numFmtId="0" fontId="27" fillId="0" borderId="1" xfId="0" applyFont="1" applyBorder="1" applyAlignment="1" applyProtection="1">
      <alignment vertical="center" shrinkToFit="1"/>
      <protection hidden="1"/>
    </xf>
    <xf numFmtId="44" fontId="27" fillId="0" borderId="1" xfId="2212" applyFont="1" applyFill="1" applyBorder="1" applyAlignment="1" applyProtection="1">
      <alignment vertical="center" shrinkToFit="1"/>
      <protection hidden="1"/>
    </xf>
    <xf numFmtId="44" fontId="72" fillId="0" borderId="16" xfId="30" applyNumberFormat="1" applyFont="1" applyFill="1" applyAlignment="1" applyProtection="1">
      <alignment vertical="center"/>
      <protection hidden="1"/>
    </xf>
    <xf numFmtId="0" fontId="27" fillId="0" borderId="1" xfId="0" applyFont="1" applyFill="1" applyBorder="1" applyAlignment="1" applyProtection="1">
      <alignment vertical="center"/>
      <protection hidden="1"/>
    </xf>
    <xf numFmtId="44" fontId="72" fillId="0" borderId="16" xfId="30" applyNumberFormat="1" applyFont="1" applyFill="1" applyAlignment="1" applyProtection="1">
      <alignment vertical="center" shrinkToFit="1"/>
      <protection hidden="1"/>
    </xf>
    <xf numFmtId="0" fontId="75" fillId="0" borderId="31" xfId="30" applyFont="1" applyFill="1" applyBorder="1" applyAlignment="1" applyProtection="1">
      <alignment vertical="center" shrinkToFit="1"/>
      <protection hidden="1"/>
    </xf>
    <xf numFmtId="44" fontId="27" fillId="0" borderId="1" xfId="2212" applyFont="1" applyFill="1" applyBorder="1" applyAlignment="1" applyProtection="1">
      <alignment vertical="center"/>
      <protection hidden="1"/>
    </xf>
    <xf numFmtId="44" fontId="27" fillId="0" borderId="0" xfId="0" applyNumberFormat="1" applyFont="1" applyAlignment="1" applyProtection="1">
      <alignment vertical="center"/>
      <protection hidden="1"/>
    </xf>
    <xf numFmtId="0" fontId="72" fillId="0" borderId="16" xfId="30" applyFont="1" applyFill="1" applyAlignment="1" applyProtection="1">
      <alignment vertical="center"/>
      <protection hidden="1"/>
    </xf>
    <xf numFmtId="44" fontId="75" fillId="0" borderId="16" xfId="30" applyNumberFormat="1" applyFont="1" applyFill="1" applyAlignment="1" applyProtection="1">
      <alignment vertical="center" shrinkToFit="1"/>
      <protection hidden="1"/>
    </xf>
    <xf numFmtId="0" fontId="75" fillId="0" borderId="16" xfId="30" applyFont="1" applyFill="1" applyAlignment="1" applyProtection="1">
      <alignment vertical="center" shrinkToFit="1"/>
      <protection hidden="1"/>
    </xf>
    <xf numFmtId="0" fontId="77" fillId="0" borderId="1" xfId="0" applyFont="1" applyBorder="1" applyAlignment="1" applyProtection="1">
      <alignment vertical="center"/>
      <protection hidden="1"/>
    </xf>
    <xf numFmtId="44" fontId="77" fillId="0" borderId="1" xfId="2212" applyFont="1" applyBorder="1" applyAlignment="1" applyProtection="1">
      <alignment vertical="center"/>
      <protection hidden="1"/>
    </xf>
    <xf numFmtId="0" fontId="77" fillId="0" borderId="0" xfId="0" applyFont="1" applyAlignment="1" applyProtection="1">
      <alignment horizontal="right" vertical="center"/>
      <protection hidden="1"/>
    </xf>
    <xf numFmtId="0" fontId="77" fillId="0" borderId="0" xfId="0" applyFont="1" applyAlignment="1" applyProtection="1">
      <alignment vertical="center" wrapText="1"/>
      <protection hidden="1"/>
    </xf>
    <xf numFmtId="44" fontId="77" fillId="0" borderId="0" xfId="2212" applyFont="1" applyAlignment="1" applyProtection="1">
      <alignment vertical="center"/>
      <protection hidden="1"/>
    </xf>
    <xf numFmtId="0" fontId="77" fillId="0" borderId="0" xfId="0" applyFont="1" applyAlignment="1" applyProtection="1">
      <alignment vertical="center"/>
      <protection hidden="1"/>
    </xf>
    <xf numFmtId="44" fontId="68" fillId="10" borderId="1" xfId="29" applyNumberFormat="1" applyFont="1" applyBorder="1" applyAlignment="1" applyProtection="1">
      <alignment vertical="center"/>
      <protection hidden="1"/>
    </xf>
    <xf numFmtId="0" fontId="68" fillId="10" borderId="1" xfId="29" applyNumberFormat="1" applyFont="1" applyBorder="1" applyAlignment="1" applyProtection="1">
      <alignment vertical="center"/>
      <protection hidden="1"/>
    </xf>
    <xf numFmtId="0" fontId="27" fillId="0" borderId="1" xfId="0" applyFont="1" applyFill="1" applyBorder="1" applyAlignment="1" applyProtection="1">
      <alignment vertical="center" shrinkToFit="1"/>
      <protection hidden="1"/>
    </xf>
    <xf numFmtId="44" fontId="27" fillId="0" borderId="1" xfId="0" applyNumberFormat="1" applyFont="1" applyFill="1" applyBorder="1" applyAlignment="1" applyProtection="1">
      <alignment vertical="center" shrinkToFit="1"/>
      <protection hidden="1"/>
    </xf>
    <xf numFmtId="44" fontId="27" fillId="0" borderId="1" xfId="0" applyNumberFormat="1" applyFont="1" applyBorder="1" applyAlignment="1" applyProtection="1">
      <alignment vertical="center" shrinkToFit="1"/>
      <protection hidden="1"/>
    </xf>
    <xf numFmtId="0" fontId="39" fillId="0" borderId="1" xfId="0" applyNumberFormat="1" applyFont="1" applyBorder="1" applyAlignment="1" applyProtection="1">
      <alignment vertical="center" wrapText="1"/>
      <protection hidden="1"/>
    </xf>
    <xf numFmtId="0" fontId="39" fillId="0" borderId="0" xfId="0" applyFont="1" applyAlignment="1" applyProtection="1">
      <alignment horizontal="left" vertical="center"/>
      <protection hidden="1"/>
    </xf>
    <xf numFmtId="0" fontId="39" fillId="0" borderId="0" xfId="0" applyFont="1" applyAlignment="1" applyProtection="1">
      <alignment horizontal="right" vertical="center" wrapText="1"/>
      <protection hidden="1"/>
    </xf>
    <xf numFmtId="0" fontId="39" fillId="4" borderId="0" xfId="0" applyNumberFormat="1" applyFont="1" applyFill="1" applyBorder="1" applyAlignment="1" applyProtection="1">
      <alignment horizontal="center" vertical="center"/>
      <protection hidden="1"/>
    </xf>
    <xf numFmtId="0" fontId="39" fillId="2" borderId="0" xfId="0" applyNumberFormat="1" applyFont="1" applyFill="1" applyBorder="1" applyAlignment="1" applyProtection="1">
      <alignment vertical="center"/>
      <protection hidden="1"/>
    </xf>
    <xf numFmtId="49" fontId="39" fillId="0" borderId="0" xfId="0" applyNumberFormat="1" applyFont="1" applyAlignment="1" applyProtection="1">
      <alignment horizontal="left" vertical="center"/>
      <protection hidden="1"/>
    </xf>
    <xf numFmtId="49" fontId="27" fillId="0" borderId="0" xfId="0" applyNumberFormat="1" applyFont="1" applyAlignment="1" applyProtection="1">
      <alignment horizontal="right" vertical="center"/>
      <protection hidden="1"/>
    </xf>
    <xf numFmtId="44" fontId="26" fillId="0" borderId="0" xfId="0" applyNumberFormat="1" applyFont="1" applyAlignment="1" applyProtection="1">
      <alignment vertical="center"/>
      <protection hidden="1"/>
    </xf>
    <xf numFmtId="0" fontId="31" fillId="0" borderId="0" xfId="0" applyFont="1" applyAlignment="1" applyProtection="1">
      <alignment vertical="center" wrapText="1"/>
      <protection hidden="1"/>
    </xf>
    <xf numFmtId="44" fontId="82" fillId="0" borderId="0" xfId="0" applyNumberFormat="1" applyFont="1" applyAlignment="1" applyProtection="1">
      <alignment vertical="center" wrapText="1"/>
      <protection hidden="1"/>
    </xf>
    <xf numFmtId="44" fontId="31" fillId="0" borderId="0" xfId="0" applyNumberFormat="1" applyFont="1" applyAlignment="1" applyProtection="1">
      <alignment vertical="center" wrapText="1"/>
      <protection hidden="1"/>
    </xf>
    <xf numFmtId="44" fontId="30" fillId="0" borderId="0" xfId="0" applyNumberFormat="1" applyFont="1" applyBorder="1" applyAlignment="1" applyProtection="1">
      <alignment horizontal="right" vertical="center" wrapText="1"/>
      <protection hidden="1"/>
    </xf>
    <xf numFmtId="44" fontId="26" fillId="0" borderId="0" xfId="0" applyNumberFormat="1" applyFont="1" applyFill="1" applyBorder="1" applyAlignment="1" applyProtection="1">
      <alignment vertical="center" shrinkToFit="1"/>
      <protection hidden="1"/>
    </xf>
    <xf numFmtId="44" fontId="30" fillId="0" borderId="10" xfId="0" applyNumberFormat="1" applyFont="1" applyBorder="1" applyAlignment="1" applyProtection="1">
      <alignment horizontal="center" vertical="center" wrapText="1"/>
      <protection hidden="1"/>
    </xf>
    <xf numFmtId="44" fontId="39" fillId="0" borderId="10" xfId="0" applyNumberFormat="1" applyFont="1" applyBorder="1" applyAlignment="1" applyProtection="1">
      <alignment horizontal="center" vertical="center" wrapText="1"/>
      <protection hidden="1"/>
    </xf>
    <xf numFmtId="44" fontId="37" fillId="0" borderId="7" xfId="0" applyNumberFormat="1" applyFont="1" applyBorder="1" applyAlignment="1" applyProtection="1">
      <alignment horizontal="center" vertical="center" wrapText="1"/>
      <protection hidden="1"/>
    </xf>
    <xf numFmtId="44" fontId="64" fillId="0" borderId="7" xfId="0" applyNumberFormat="1" applyFont="1" applyBorder="1" applyAlignment="1" applyProtection="1">
      <alignment horizontal="center" vertical="center" wrapText="1"/>
      <protection hidden="1"/>
    </xf>
    <xf numFmtId="44" fontId="39" fillId="0" borderId="6" xfId="0" applyNumberFormat="1" applyFont="1" applyBorder="1" applyAlignment="1" applyProtection="1">
      <alignment horizontal="center" vertical="center" wrapText="1"/>
      <protection hidden="1"/>
    </xf>
    <xf numFmtId="44" fontId="39" fillId="0" borderId="8" xfId="0" applyNumberFormat="1" applyFont="1" applyBorder="1" applyAlignment="1" applyProtection="1">
      <alignment horizontal="center" vertical="center" wrapText="1"/>
      <protection hidden="1"/>
    </xf>
    <xf numFmtId="49" fontId="39" fillId="0" borderId="0" xfId="0" applyNumberFormat="1" applyFont="1" applyBorder="1" applyAlignment="1" applyProtection="1">
      <alignment horizontal="center" vertical="center"/>
      <protection hidden="1"/>
    </xf>
    <xf numFmtId="44" fontId="37" fillId="0" borderId="0" xfId="0" applyNumberFormat="1" applyFont="1" applyBorder="1" applyAlignment="1" applyProtection="1">
      <alignment horizontal="center" vertical="center"/>
      <protection hidden="1"/>
    </xf>
    <xf numFmtId="44" fontId="64" fillId="0" borderId="0" xfId="0" applyNumberFormat="1" applyFont="1" applyBorder="1" applyAlignment="1" applyProtection="1">
      <alignment horizontal="center" vertical="center"/>
      <protection hidden="1"/>
    </xf>
    <xf numFmtId="44" fontId="64" fillId="0" borderId="0" xfId="0" applyNumberFormat="1" applyFont="1" applyBorder="1" applyAlignment="1" applyProtection="1">
      <alignment horizontal="center" vertical="center" wrapText="1"/>
      <protection hidden="1"/>
    </xf>
    <xf numFmtId="0" fontId="64" fillId="0" borderId="0" xfId="0" applyFont="1" applyBorder="1" applyAlignment="1" applyProtection="1">
      <alignment horizontal="center" vertical="center" wrapText="1"/>
      <protection hidden="1"/>
    </xf>
    <xf numFmtId="0" fontId="27" fillId="0" borderId="0" xfId="0" applyNumberFormat="1" applyFont="1" applyBorder="1" applyAlignment="1" applyProtection="1">
      <alignment horizontal="left" vertical="center" wrapText="1"/>
      <protection hidden="1"/>
    </xf>
    <xf numFmtId="0" fontId="25" fillId="0" borderId="1" xfId="0" applyFont="1" applyBorder="1" applyAlignment="1" applyProtection="1">
      <alignment vertical="center" wrapText="1"/>
      <protection hidden="1"/>
    </xf>
    <xf numFmtId="44" fontId="26" fillId="0" borderId="10" xfId="2213" applyNumberFormat="1" applyFont="1" applyBorder="1" applyAlignment="1" applyProtection="1">
      <alignment vertical="center"/>
      <protection hidden="1"/>
    </xf>
    <xf numFmtId="44" fontId="27" fillId="0" borderId="1" xfId="2213" applyNumberFormat="1" applyFont="1" applyBorder="1" applyAlignment="1" applyProtection="1">
      <alignment vertical="center"/>
      <protection hidden="1"/>
    </xf>
    <xf numFmtId="0" fontId="39" fillId="0" borderId="5" xfId="0" applyFont="1" applyBorder="1" applyAlignment="1" applyProtection="1">
      <alignment vertical="center" wrapText="1"/>
      <protection hidden="1"/>
    </xf>
    <xf numFmtId="44" fontId="26" fillId="0" borderId="1" xfId="2213" applyNumberFormat="1" applyFont="1" applyBorder="1" applyAlignment="1" applyProtection="1">
      <alignment vertical="center"/>
      <protection hidden="1"/>
    </xf>
    <xf numFmtId="44" fontId="27" fillId="0" borderId="3" xfId="2213" applyNumberFormat="1" applyFont="1" applyBorder="1" applyAlignment="1" applyProtection="1">
      <alignment vertical="center"/>
      <protection hidden="1"/>
    </xf>
    <xf numFmtId="0" fontId="27" fillId="0" borderId="5" xfId="0" applyFont="1" applyBorder="1" applyAlignment="1" applyProtection="1">
      <alignment vertical="center" wrapText="1"/>
      <protection hidden="1"/>
    </xf>
    <xf numFmtId="44" fontId="26" fillId="0" borderId="1" xfId="2212" applyNumberFormat="1" applyFont="1" applyBorder="1" applyAlignment="1" applyProtection="1">
      <alignment vertical="center" shrinkToFit="1"/>
      <protection locked="0"/>
    </xf>
    <xf numFmtId="44" fontId="26" fillId="4" borderId="1" xfId="2212" applyNumberFormat="1" applyFont="1" applyFill="1" applyBorder="1" applyAlignment="1" applyProtection="1">
      <alignment vertical="center" shrinkToFit="1"/>
      <protection hidden="1"/>
    </xf>
    <xf numFmtId="44" fontId="27" fillId="4" borderId="1" xfId="2213" applyNumberFormat="1" applyFont="1" applyFill="1" applyBorder="1" applyAlignment="1" applyProtection="1">
      <alignment vertical="center" shrinkToFit="1"/>
      <protection hidden="1"/>
    </xf>
    <xf numFmtId="0" fontId="27" fillId="0" borderId="5" xfId="0" applyFont="1" applyBorder="1" applyAlignment="1" applyProtection="1">
      <alignment vertical="center" shrinkToFit="1"/>
      <protection hidden="1"/>
    </xf>
    <xf numFmtId="44" fontId="26" fillId="4" borderId="1" xfId="2212" applyNumberFormat="1" applyFont="1" applyFill="1" applyBorder="1" applyAlignment="1" applyProtection="1">
      <alignment horizontal="right" vertical="center" shrinkToFit="1"/>
      <protection hidden="1"/>
    </xf>
    <xf numFmtId="49" fontId="73" fillId="14" borderId="1" xfId="26" applyNumberFormat="1" applyFont="1" applyFill="1" applyBorder="1" applyAlignment="1" applyProtection="1">
      <alignment horizontal="right" vertical="center"/>
      <protection hidden="1"/>
    </xf>
    <xf numFmtId="0" fontId="30" fillId="14" borderId="1" xfId="26" applyFont="1" applyFill="1" applyBorder="1" applyAlignment="1" applyProtection="1">
      <alignment vertical="center" wrapText="1"/>
      <protection hidden="1"/>
    </xf>
    <xf numFmtId="44" fontId="30" fillId="14" borderId="1" xfId="26" applyNumberFormat="1" applyFont="1" applyFill="1" applyBorder="1" applyAlignment="1" applyProtection="1">
      <alignment vertical="center" shrinkToFit="1"/>
      <protection hidden="1"/>
    </xf>
    <xf numFmtId="44" fontId="27" fillId="14" borderId="1" xfId="2213" applyNumberFormat="1" applyFont="1" applyFill="1" applyBorder="1" applyAlignment="1" applyProtection="1">
      <alignment vertical="center" shrinkToFit="1"/>
      <protection hidden="1"/>
    </xf>
    <xf numFmtId="49" fontId="27" fillId="0" borderId="0" xfId="0" applyNumberFormat="1" applyFont="1" applyBorder="1" applyAlignment="1" applyProtection="1">
      <alignment horizontal="right" vertical="center"/>
      <protection hidden="1"/>
    </xf>
    <xf numFmtId="0" fontId="27" fillId="0" borderId="0" xfId="0" applyFont="1" applyBorder="1" applyAlignment="1" applyProtection="1">
      <alignment vertical="center" wrapText="1"/>
      <protection hidden="1"/>
    </xf>
    <xf numFmtId="44" fontId="26" fillId="0" borderId="0" xfId="2213" applyNumberFormat="1" applyFont="1" applyBorder="1" applyAlignment="1" applyProtection="1">
      <alignment vertical="center"/>
      <protection hidden="1"/>
    </xf>
    <xf numFmtId="44" fontId="27" fillId="0" borderId="0" xfId="2213" applyNumberFormat="1" applyFont="1" applyBorder="1" applyAlignment="1" applyProtection="1">
      <alignment vertical="center"/>
      <protection hidden="1"/>
    </xf>
    <xf numFmtId="44" fontId="84" fillId="0" borderId="0" xfId="0" applyNumberFormat="1" applyFont="1" applyBorder="1" applyAlignment="1" applyProtection="1">
      <alignment vertical="center" wrapText="1"/>
      <protection hidden="1"/>
    </xf>
    <xf numFmtId="0" fontId="84" fillId="0" borderId="0" xfId="0" applyFont="1" applyBorder="1" applyAlignment="1" applyProtection="1">
      <alignment vertical="center" wrapText="1"/>
      <protection hidden="1"/>
    </xf>
    <xf numFmtId="44" fontId="27" fillId="0" borderId="1" xfId="2213" applyNumberFormat="1" applyFont="1" applyFill="1" applyBorder="1" applyAlignment="1" applyProtection="1">
      <alignment vertical="center"/>
      <protection hidden="1"/>
    </xf>
    <xf numFmtId="165" fontId="40" fillId="4" borderId="10" xfId="2213" applyFont="1" applyFill="1" applyBorder="1" applyAlignment="1" applyProtection="1">
      <alignment horizontal="center" vertical="center"/>
      <protection hidden="1"/>
    </xf>
    <xf numFmtId="44" fontId="40" fillId="4" borderId="7" xfId="2213" applyNumberFormat="1" applyFont="1" applyFill="1" applyBorder="1" applyAlignment="1" applyProtection="1">
      <alignment vertical="center" shrinkToFit="1"/>
      <protection hidden="1"/>
    </xf>
    <xf numFmtId="0" fontId="40" fillId="0" borderId="0" xfId="0" applyFont="1" applyAlignment="1" applyProtection="1">
      <alignment vertical="center"/>
      <protection hidden="1"/>
    </xf>
    <xf numFmtId="44" fontId="40" fillId="4" borderId="13" xfId="0" applyNumberFormat="1" applyFont="1" applyFill="1" applyBorder="1" applyAlignment="1" applyProtection="1">
      <alignment horizontal="center" vertical="center" wrapText="1"/>
      <protection hidden="1"/>
    </xf>
    <xf numFmtId="44" fontId="40" fillId="4" borderId="10" xfId="0" applyNumberFormat="1" applyFont="1" applyFill="1" applyBorder="1" applyAlignment="1" applyProtection="1">
      <alignment horizontal="center" vertical="center" wrapText="1"/>
      <protection hidden="1"/>
    </xf>
    <xf numFmtId="44" fontId="40" fillId="4" borderId="8" xfId="0" applyNumberFormat="1" applyFont="1" applyFill="1" applyBorder="1" applyAlignment="1" applyProtection="1">
      <alignment horizontal="center" vertical="center" wrapText="1"/>
      <protection hidden="1"/>
    </xf>
    <xf numFmtId="44" fontId="40" fillId="4" borderId="6" xfId="0" applyNumberFormat="1" applyFont="1" applyFill="1" applyBorder="1" applyAlignment="1" applyProtection="1">
      <alignment horizontal="center" vertical="center" wrapText="1"/>
      <protection hidden="1"/>
    </xf>
    <xf numFmtId="0" fontId="27" fillId="0" borderId="1" xfId="0" applyFont="1" applyBorder="1" applyAlignment="1" applyProtection="1">
      <alignment vertical="center" wrapText="1"/>
      <protection hidden="1"/>
    </xf>
    <xf numFmtId="44" fontId="26" fillId="0" borderId="1" xfId="2213" applyNumberFormat="1" applyFont="1" applyBorder="1" applyAlignment="1" applyProtection="1">
      <alignment vertical="center" shrinkToFit="1"/>
      <protection locked="0"/>
    </xf>
    <xf numFmtId="44" fontId="27" fillId="0" borderId="1" xfId="2213" applyNumberFormat="1" applyFont="1" applyFill="1" applyBorder="1" applyAlignment="1" applyProtection="1">
      <alignment vertical="center" shrinkToFit="1"/>
      <protection locked="0"/>
    </xf>
    <xf numFmtId="44" fontId="27" fillId="0" borderId="1" xfId="2213" applyNumberFormat="1" applyFont="1" applyBorder="1" applyAlignment="1" applyProtection="1">
      <alignment vertical="center" shrinkToFit="1"/>
      <protection locked="0"/>
    </xf>
    <xf numFmtId="49" fontId="27" fillId="2" borderId="0" xfId="0" applyNumberFormat="1" applyFont="1" applyFill="1" applyBorder="1" applyAlignment="1" applyProtection="1">
      <alignment horizontal="right" vertical="center"/>
      <protection hidden="1"/>
    </xf>
    <xf numFmtId="0" fontId="39" fillId="2" borderId="0" xfId="0" applyFont="1" applyFill="1" applyBorder="1" applyAlignment="1" applyProtection="1">
      <alignment vertical="center" wrapText="1"/>
      <protection hidden="1"/>
    </xf>
    <xf numFmtId="44" fontId="26" fillId="2" borderId="0" xfId="2213" applyNumberFormat="1" applyFont="1" applyFill="1" applyBorder="1" applyAlignment="1" applyProtection="1">
      <alignment vertical="center"/>
      <protection hidden="1"/>
    </xf>
    <xf numFmtId="44" fontId="27" fillId="2" borderId="0" xfId="2213" applyNumberFormat="1" applyFont="1" applyFill="1" applyBorder="1" applyAlignment="1" applyProtection="1">
      <alignment vertical="center"/>
      <protection hidden="1"/>
    </xf>
    <xf numFmtId="165" fontId="27" fillId="2" borderId="0" xfId="2213" applyFont="1" applyFill="1" applyBorder="1" applyAlignment="1" applyProtection="1">
      <alignment vertical="center"/>
      <protection hidden="1"/>
    </xf>
    <xf numFmtId="0" fontId="27" fillId="2" borderId="0" xfId="2213" applyNumberFormat="1" applyFont="1" applyFill="1" applyBorder="1" applyAlignment="1" applyProtection="1">
      <alignment horizontal="left" vertical="center"/>
      <protection hidden="1"/>
    </xf>
    <xf numFmtId="44" fontId="26" fillId="0" borderId="1" xfId="2213" applyNumberFormat="1" applyFont="1" applyBorder="1" applyAlignment="1" applyProtection="1">
      <alignment vertical="center" shrinkToFit="1"/>
      <protection hidden="1"/>
    </xf>
    <xf numFmtId="44" fontId="27" fillId="0" borderId="3" xfId="2213" applyNumberFormat="1" applyFont="1" applyBorder="1" applyAlignment="1" applyProtection="1">
      <alignment vertical="center" shrinkToFit="1"/>
      <protection hidden="1"/>
    </xf>
    <xf numFmtId="44" fontId="27" fillId="0" borderId="1" xfId="2213" applyNumberFormat="1" applyFont="1" applyBorder="1" applyAlignment="1" applyProtection="1">
      <alignment vertical="center" shrinkToFit="1"/>
      <protection hidden="1"/>
    </xf>
    <xf numFmtId="49" fontId="27" fillId="0" borderId="6" xfId="0" applyNumberFormat="1" applyFont="1" applyBorder="1" applyAlignment="1" applyProtection="1">
      <alignment horizontal="right" vertical="center"/>
      <protection hidden="1"/>
    </xf>
    <xf numFmtId="0" fontId="27" fillId="0" borderId="1" xfId="0" applyFont="1" applyFill="1" applyBorder="1" applyAlignment="1" applyProtection="1">
      <alignment vertical="center" wrapText="1"/>
      <protection hidden="1"/>
    </xf>
    <xf numFmtId="49" fontId="27" fillId="0" borderId="1" xfId="0" applyNumberFormat="1" applyFont="1" applyBorder="1" applyAlignment="1" applyProtection="1">
      <alignment horizontal="right" vertical="center" shrinkToFit="1"/>
      <protection hidden="1"/>
    </xf>
    <xf numFmtId="165" fontId="40" fillId="0" borderId="10" xfId="2213" applyFont="1" applyBorder="1" applyAlignment="1" applyProtection="1">
      <alignment horizontal="center" vertical="center"/>
      <protection hidden="1"/>
    </xf>
    <xf numFmtId="44" fontId="40" fillId="4" borderId="6" xfId="2213" applyNumberFormat="1" applyFont="1" applyFill="1" applyBorder="1" applyAlignment="1" applyProtection="1">
      <alignment vertical="center"/>
      <protection hidden="1"/>
    </xf>
    <xf numFmtId="44" fontId="40" fillId="0" borderId="6" xfId="2213" applyNumberFormat="1" applyFont="1" applyBorder="1" applyAlignment="1" applyProtection="1">
      <alignment vertical="center"/>
      <protection hidden="1"/>
    </xf>
    <xf numFmtId="44" fontId="26" fillId="0" borderId="1" xfId="0" applyNumberFormat="1" applyFont="1" applyBorder="1" applyAlignment="1" applyProtection="1">
      <alignment vertical="center" shrinkToFit="1"/>
      <protection locked="0"/>
    </xf>
    <xf numFmtId="44" fontId="27" fillId="0" borderId="1" xfId="0" applyNumberFormat="1" applyFont="1" applyFill="1" applyBorder="1" applyAlignment="1" applyProtection="1">
      <alignment vertical="center" shrinkToFit="1"/>
      <protection locked="0"/>
    </xf>
    <xf numFmtId="44" fontId="27" fillId="0" borderId="3" xfId="2213" applyNumberFormat="1" applyFont="1" applyBorder="1" applyAlignment="1" applyProtection="1">
      <alignment vertical="center" shrinkToFit="1"/>
      <protection locked="0"/>
    </xf>
    <xf numFmtId="44" fontId="27" fillId="2" borderId="3" xfId="2213" applyNumberFormat="1" applyFont="1" applyFill="1" applyBorder="1" applyAlignment="1" applyProtection="1">
      <alignment vertical="center" shrinkToFit="1"/>
      <protection locked="0"/>
    </xf>
    <xf numFmtId="44" fontId="27" fillId="4" borderId="3" xfId="2213" applyNumberFormat="1" applyFont="1" applyFill="1" applyBorder="1" applyAlignment="1" applyProtection="1">
      <alignment vertical="center" shrinkToFit="1"/>
      <protection hidden="1"/>
    </xf>
    <xf numFmtId="0" fontId="27" fillId="0" borderId="5" xfId="0" applyFont="1" applyFill="1" applyBorder="1" applyAlignment="1" applyProtection="1">
      <alignment vertical="center" wrapText="1"/>
      <protection hidden="1"/>
    </xf>
    <xf numFmtId="0" fontId="27" fillId="0" borderId="0" xfId="0" applyNumberFormat="1" applyFont="1" applyAlignment="1" applyProtection="1">
      <alignment horizontal="left" vertical="center"/>
      <protection hidden="1"/>
    </xf>
    <xf numFmtId="0" fontId="27" fillId="0" borderId="14" xfId="0" applyFont="1" applyBorder="1" applyAlignment="1" applyProtection="1">
      <alignment vertical="center" wrapText="1"/>
      <protection hidden="1"/>
    </xf>
    <xf numFmtId="44" fontId="27" fillId="0" borderId="14" xfId="0" applyNumberFormat="1" applyFont="1" applyBorder="1" applyAlignment="1" applyProtection="1">
      <alignment vertical="center"/>
      <protection hidden="1"/>
    </xf>
    <xf numFmtId="0" fontId="40" fillId="0" borderId="0" xfId="0" applyFont="1" applyAlignment="1" applyProtection="1">
      <alignment vertical="top" wrapText="1"/>
      <protection hidden="1"/>
    </xf>
    <xf numFmtId="44" fontId="40" fillId="0" borderId="0" xfId="0" applyNumberFormat="1" applyFont="1" applyAlignment="1" applyProtection="1">
      <alignment vertical="top"/>
      <protection hidden="1"/>
    </xf>
    <xf numFmtId="0" fontId="27" fillId="15" borderId="0" xfId="0" applyFont="1" applyFill="1" applyAlignment="1" applyProtection="1">
      <alignment horizontal="center" vertical="center"/>
      <protection hidden="1"/>
    </xf>
    <xf numFmtId="2" fontId="27" fillId="0" borderId="0" xfId="0" applyNumberFormat="1" applyFont="1" applyAlignment="1" applyProtection="1">
      <alignment horizontal="center"/>
      <protection hidden="1"/>
    </xf>
    <xf numFmtId="0" fontId="27" fillId="0" borderId="0" xfId="0" applyFont="1" applyAlignment="1" applyProtection="1">
      <alignment horizontal="left" wrapText="1"/>
      <protection hidden="1"/>
    </xf>
    <xf numFmtId="0" fontId="27" fillId="0" borderId="0" xfId="0" applyFont="1" applyAlignment="1" applyProtection="1">
      <alignment horizontal="center"/>
      <protection hidden="1"/>
    </xf>
    <xf numFmtId="44" fontId="27" fillId="0" borderId="0" xfId="0" applyNumberFormat="1" applyFont="1" applyAlignment="1" applyProtection="1">
      <alignment horizontal="left"/>
      <protection hidden="1"/>
    </xf>
    <xf numFmtId="0" fontId="27" fillId="0" borderId="0" xfId="0" applyFont="1" applyAlignment="1" applyProtection="1">
      <alignment shrinkToFit="1"/>
      <protection hidden="1"/>
    </xf>
    <xf numFmtId="0" fontId="27" fillId="0" borderId="0" xfId="0" applyFont="1" applyProtection="1">
      <protection hidden="1"/>
    </xf>
    <xf numFmtId="44" fontId="59" fillId="0" borderId="0" xfId="2214" applyNumberFormat="1" applyFont="1" applyFill="1" applyBorder="1" applyAlignment="1" applyProtection="1">
      <alignment horizontal="center"/>
      <protection hidden="1"/>
    </xf>
    <xf numFmtId="49" fontId="39" fillId="0" borderId="0" xfId="0" applyNumberFormat="1" applyFont="1" applyFill="1" applyBorder="1" applyAlignment="1" applyProtection="1">
      <alignment horizontal="right"/>
      <protection hidden="1"/>
    </xf>
    <xf numFmtId="0" fontId="0" fillId="0" borderId="0" xfId="0" applyFill="1" applyAlignment="1" applyProtection="1">
      <alignment horizontal="right"/>
      <protection hidden="1"/>
    </xf>
    <xf numFmtId="0" fontId="27" fillId="0" borderId="0" xfId="0" applyFont="1" applyFill="1" applyBorder="1" applyAlignment="1" applyProtection="1">
      <alignment horizontal="left" wrapText="1"/>
      <protection hidden="1"/>
    </xf>
    <xf numFmtId="0" fontId="0" fillId="0" borderId="0" xfId="0" applyFill="1" applyAlignment="1" applyProtection="1">
      <alignment horizontal="left" wrapText="1"/>
      <protection hidden="1"/>
    </xf>
    <xf numFmtId="0" fontId="0" fillId="0" borderId="0" xfId="0" applyFill="1" applyAlignment="1" applyProtection="1">
      <alignment horizontal="center" wrapText="1"/>
      <protection hidden="1"/>
    </xf>
    <xf numFmtId="0" fontId="0" fillId="0" borderId="0" xfId="0" applyFill="1" applyAlignment="1" applyProtection="1">
      <alignment wrapText="1"/>
      <protection hidden="1"/>
    </xf>
    <xf numFmtId="44" fontId="27" fillId="0" borderId="0" xfId="0" applyNumberFormat="1" applyFont="1" applyFill="1" applyAlignment="1" applyProtection="1">
      <alignment horizontal="left"/>
      <protection hidden="1"/>
    </xf>
    <xf numFmtId="0" fontId="27" fillId="0" borderId="0" xfId="0" applyFont="1" applyFill="1" applyProtection="1">
      <protection hidden="1"/>
    </xf>
    <xf numFmtId="0" fontId="27" fillId="0" borderId="0" xfId="0" applyFont="1" applyFill="1" applyAlignment="1" applyProtection="1">
      <alignment shrinkToFit="1"/>
      <protection hidden="1"/>
    </xf>
    <xf numFmtId="0" fontId="27" fillId="0" borderId="0" xfId="0" applyFont="1" applyBorder="1" applyAlignment="1" applyProtection="1">
      <alignment horizontal="left" wrapText="1"/>
      <protection hidden="1"/>
    </xf>
    <xf numFmtId="0" fontId="27" fillId="15" borderId="0" xfId="0" applyFont="1" applyFill="1" applyBorder="1" applyAlignment="1" applyProtection="1">
      <alignment horizontal="center" vertical="center" wrapText="1"/>
      <protection hidden="1"/>
    </xf>
    <xf numFmtId="0" fontId="27" fillId="0" borderId="0" xfId="0" applyFont="1" applyBorder="1" applyAlignment="1" applyProtection="1">
      <alignment horizontal="center"/>
      <protection hidden="1"/>
    </xf>
    <xf numFmtId="2" fontId="27" fillId="0" borderId="0" xfId="0" applyNumberFormat="1" applyFont="1" applyBorder="1" applyAlignment="1" applyProtection="1">
      <alignment horizontal="center"/>
      <protection hidden="1"/>
    </xf>
    <xf numFmtId="0" fontId="27" fillId="0" borderId="0" xfId="0" applyNumberFormat="1" applyFont="1" applyAlignment="1" applyProtection="1">
      <alignment horizontal="center"/>
      <protection hidden="1"/>
    </xf>
    <xf numFmtId="0" fontId="39" fillId="15" borderId="10" xfId="0" applyFont="1" applyFill="1" applyBorder="1" applyAlignment="1" applyProtection="1">
      <alignment horizontal="center" vertical="center" wrapText="1"/>
      <protection hidden="1"/>
    </xf>
    <xf numFmtId="0" fontId="39" fillId="0" borderId="0" xfId="0" applyFont="1" applyAlignment="1" applyProtection="1">
      <alignment horizontal="center"/>
      <protection hidden="1"/>
    </xf>
    <xf numFmtId="2" fontId="63" fillId="15" borderId="7" xfId="0" applyNumberFormat="1" applyFont="1" applyFill="1" applyBorder="1" applyAlignment="1" applyProtection="1">
      <alignment horizontal="center" vertical="center" wrapText="1"/>
      <protection hidden="1"/>
    </xf>
    <xf numFmtId="0" fontId="27" fillId="15" borderId="6" xfId="0" applyFont="1" applyFill="1" applyBorder="1" applyAlignment="1" applyProtection="1">
      <alignment horizontal="center" vertical="center" wrapText="1"/>
      <protection hidden="1"/>
    </xf>
    <xf numFmtId="49" fontId="39" fillId="0" borderId="12" xfId="0" applyNumberFormat="1" applyFont="1" applyBorder="1" applyAlignment="1" applyProtection="1">
      <alignment horizontal="center" vertical="center" wrapText="1"/>
      <protection hidden="1"/>
    </xf>
    <xf numFmtId="2" fontId="33" fillId="0" borderId="12" xfId="0" applyNumberFormat="1" applyFont="1" applyBorder="1" applyAlignment="1" applyProtection="1">
      <alignment horizontal="center" wrapText="1"/>
      <protection hidden="1"/>
    </xf>
    <xf numFmtId="0" fontId="27" fillId="15" borderId="12" xfId="0" applyFont="1" applyFill="1" applyBorder="1" applyAlignment="1" applyProtection="1">
      <alignment horizontal="center" vertical="center" wrapText="1"/>
      <protection hidden="1"/>
    </xf>
    <xf numFmtId="0" fontId="39" fillId="0" borderId="12" xfId="0" applyFont="1" applyBorder="1" applyAlignment="1" applyProtection="1">
      <alignment horizontal="center" vertical="center" wrapText="1"/>
      <protection hidden="1"/>
    </xf>
    <xf numFmtId="0" fontId="39" fillId="0" borderId="12" xfId="0" applyNumberFormat="1" applyFont="1" applyBorder="1" applyAlignment="1" applyProtection="1">
      <alignment horizontal="center" vertical="center" wrapText="1"/>
      <protection hidden="1"/>
    </xf>
    <xf numFmtId="0" fontId="39" fillId="0" borderId="0" xfId="0" applyFont="1" applyBorder="1" applyAlignment="1" applyProtection="1">
      <alignment horizontal="center" vertical="center" shrinkToFit="1"/>
      <protection hidden="1"/>
    </xf>
    <xf numFmtId="44" fontId="39" fillId="0" borderId="0" xfId="0" applyNumberFormat="1" applyFont="1" applyBorder="1" applyAlignment="1" applyProtection="1">
      <alignment horizontal="center"/>
      <protection hidden="1"/>
    </xf>
    <xf numFmtId="0" fontId="39" fillId="0" borderId="0" xfId="0" applyFont="1" applyAlignment="1" applyProtection="1">
      <alignment horizontal="center" shrinkToFit="1"/>
      <protection hidden="1"/>
    </xf>
    <xf numFmtId="0" fontId="18" fillId="0" borderId="1" xfId="0" applyFont="1" applyBorder="1" applyAlignment="1">
      <alignment horizontal="center" vertical="center"/>
    </xf>
    <xf numFmtId="0" fontId="27" fillId="4" borderId="1" xfId="0" applyFont="1" applyFill="1" applyBorder="1" applyAlignment="1" applyProtection="1">
      <alignment horizontal="left" vertical="center" wrapText="1"/>
      <protection hidden="1"/>
    </xf>
    <xf numFmtId="0" fontId="27" fillId="15" borderId="1" xfId="0" applyFont="1" applyFill="1" applyBorder="1" applyAlignment="1" applyProtection="1">
      <alignment horizontal="left" vertical="center" wrapText="1"/>
      <protection hidden="1"/>
    </xf>
    <xf numFmtId="174" fontId="27" fillId="4" borderId="1" xfId="0" applyNumberFormat="1" applyFont="1" applyFill="1" applyBorder="1" applyAlignment="1" applyProtection="1">
      <alignment horizontal="center" vertical="center" wrapText="1"/>
      <protection hidden="1"/>
    </xf>
    <xf numFmtId="165" fontId="27" fillId="4" borderId="1" xfId="0" applyNumberFormat="1" applyFont="1" applyFill="1" applyBorder="1" applyAlignment="1" applyProtection="1">
      <alignment horizontal="center" vertical="center" wrapText="1"/>
      <protection hidden="1"/>
    </xf>
    <xf numFmtId="0" fontId="27" fillId="4" borderId="1" xfId="0" applyFont="1" applyFill="1" applyBorder="1" applyAlignment="1" applyProtection="1">
      <alignment horizontal="center" vertical="center" wrapText="1"/>
      <protection hidden="1"/>
    </xf>
    <xf numFmtId="44" fontId="27" fillId="4" borderId="1" xfId="0" applyNumberFormat="1" applyFont="1" applyFill="1" applyBorder="1" applyAlignment="1" applyProtection="1">
      <alignment horizontal="left" vertical="center" shrinkToFit="1"/>
      <protection hidden="1"/>
    </xf>
    <xf numFmtId="44" fontId="27" fillId="4" borderId="33" xfId="0" applyNumberFormat="1" applyFont="1" applyFill="1" applyBorder="1" applyAlignment="1" applyProtection="1">
      <alignment horizontal="left" vertical="center" shrinkToFit="1"/>
      <protection hidden="1"/>
    </xf>
    <xf numFmtId="44" fontId="27" fillId="4" borderId="3" xfId="0" applyNumberFormat="1" applyFont="1" applyFill="1" applyBorder="1" applyAlignment="1" applyProtection="1">
      <alignment vertical="center" shrinkToFit="1"/>
      <protection hidden="1"/>
    </xf>
    <xf numFmtId="0" fontId="18" fillId="0" borderId="28" xfId="0" applyFont="1" applyBorder="1" applyAlignment="1">
      <alignment horizontal="center" vertical="center"/>
    </xf>
    <xf numFmtId="0" fontId="27" fillId="4" borderId="28" xfId="0" applyFont="1" applyFill="1" applyBorder="1" applyAlignment="1" applyProtection="1">
      <alignment horizontal="left" vertical="center" wrapText="1"/>
      <protection hidden="1"/>
    </xf>
    <xf numFmtId="0" fontId="27" fillId="15" borderId="28" xfId="0" applyFont="1" applyFill="1" applyBorder="1" applyAlignment="1" applyProtection="1">
      <alignment horizontal="left" vertical="center" wrapText="1"/>
      <protection hidden="1"/>
    </xf>
    <xf numFmtId="174" fontId="27" fillId="4" borderId="28" xfId="0" applyNumberFormat="1" applyFont="1" applyFill="1" applyBorder="1" applyAlignment="1" applyProtection="1">
      <alignment horizontal="center" vertical="center" wrapText="1"/>
      <protection hidden="1"/>
    </xf>
    <xf numFmtId="165" fontId="27" fillId="4" borderId="28" xfId="0" applyNumberFormat="1" applyFont="1" applyFill="1" applyBorder="1" applyAlignment="1" applyProtection="1">
      <alignment horizontal="center" vertical="center" wrapText="1"/>
      <protection hidden="1"/>
    </xf>
    <xf numFmtId="0" fontId="27" fillId="4" borderId="28" xfId="0" applyFont="1" applyFill="1" applyBorder="1" applyAlignment="1" applyProtection="1">
      <alignment horizontal="center" vertical="center" wrapText="1"/>
      <protection hidden="1"/>
    </xf>
    <xf numFmtId="44" fontId="27" fillId="4" borderId="28" xfId="0" applyNumberFormat="1" applyFont="1" applyFill="1" applyBorder="1" applyAlignment="1" applyProtection="1">
      <alignment horizontal="left" vertical="center" shrinkToFit="1"/>
      <protection hidden="1"/>
    </xf>
    <xf numFmtId="44" fontId="27" fillId="4" borderId="30" xfId="0" applyNumberFormat="1" applyFont="1" applyFill="1" applyBorder="1" applyAlignment="1" applyProtection="1">
      <alignment horizontal="left" vertical="center" shrinkToFit="1"/>
      <protection hidden="1"/>
    </xf>
    <xf numFmtId="44" fontId="27" fillId="4" borderId="25" xfId="0" applyNumberFormat="1" applyFont="1" applyFill="1" applyBorder="1" applyAlignment="1" applyProtection="1">
      <alignment vertical="center" shrinkToFit="1"/>
      <protection hidden="1"/>
    </xf>
    <xf numFmtId="0" fontId="18" fillId="0" borderId="6" xfId="0" applyFont="1" applyBorder="1" applyAlignment="1">
      <alignment horizontal="center" vertical="center"/>
    </xf>
    <xf numFmtId="0" fontId="27" fillId="4" borderId="6" xfId="0" applyFont="1" applyFill="1" applyBorder="1" applyAlignment="1" applyProtection="1">
      <alignment horizontal="left" vertical="center" wrapText="1"/>
      <protection hidden="1"/>
    </xf>
    <xf numFmtId="0" fontId="27" fillId="15" borderId="6" xfId="0" applyFont="1" applyFill="1" applyBorder="1" applyAlignment="1" applyProtection="1">
      <alignment horizontal="left" vertical="center" wrapText="1"/>
      <protection hidden="1"/>
    </xf>
    <xf numFmtId="174" fontId="27" fillId="4" borderId="6" xfId="0" applyNumberFormat="1" applyFont="1" applyFill="1" applyBorder="1" applyAlignment="1" applyProtection="1">
      <alignment horizontal="center" vertical="center" wrapText="1"/>
      <protection hidden="1"/>
    </xf>
    <xf numFmtId="165" fontId="27" fillId="4" borderId="6" xfId="0" applyNumberFormat="1" applyFont="1" applyFill="1" applyBorder="1" applyAlignment="1" applyProtection="1">
      <alignment horizontal="center" vertical="center" wrapText="1"/>
      <protection hidden="1"/>
    </xf>
    <xf numFmtId="0" fontId="27" fillId="4" borderId="6" xfId="0" applyFont="1" applyFill="1" applyBorder="1" applyAlignment="1" applyProtection="1">
      <alignment horizontal="center" vertical="center" wrapText="1"/>
      <protection hidden="1"/>
    </xf>
    <xf numFmtId="44" fontId="27" fillId="4" borderId="6" xfId="0" applyNumberFormat="1" applyFont="1" applyFill="1" applyBorder="1" applyAlignment="1" applyProtection="1">
      <alignment horizontal="left" vertical="center" shrinkToFit="1"/>
      <protection hidden="1"/>
    </xf>
    <xf numFmtId="44" fontId="27" fillId="4" borderId="36" xfId="0" applyNumberFormat="1" applyFont="1" applyFill="1" applyBorder="1" applyAlignment="1" applyProtection="1">
      <alignment horizontal="left" vertical="center" shrinkToFit="1"/>
      <protection hidden="1"/>
    </xf>
    <xf numFmtId="44" fontId="27" fillId="4" borderId="37" xfId="0" applyNumberFormat="1" applyFont="1" applyFill="1" applyBorder="1" applyAlignment="1" applyProtection="1">
      <alignment vertical="center" shrinkToFit="1"/>
      <protection hidden="1"/>
    </xf>
    <xf numFmtId="0" fontId="64" fillId="0" borderId="0" xfId="0" applyFont="1" applyBorder="1" applyAlignment="1" applyProtection="1">
      <alignment horizontal="center"/>
      <protection hidden="1"/>
    </xf>
    <xf numFmtId="0" fontId="39" fillId="15" borderId="0" xfId="0" applyFont="1" applyFill="1" applyAlignment="1" applyProtection="1">
      <alignment horizontal="right" vertical="center" wrapText="1"/>
      <protection hidden="1"/>
    </xf>
    <xf numFmtId="164" fontId="39" fillId="4" borderId="6" xfId="0" applyNumberFormat="1" applyFont="1" applyFill="1" applyBorder="1" applyAlignment="1" applyProtection="1">
      <alignment horizontal="center" vertical="center"/>
      <protection hidden="1"/>
    </xf>
    <xf numFmtId="165" fontId="39" fillId="4" borderId="6" xfId="0" applyNumberFormat="1" applyFont="1" applyFill="1" applyBorder="1" applyAlignment="1" applyProtection="1">
      <alignment horizontal="center" vertical="center"/>
      <protection hidden="1"/>
    </xf>
    <xf numFmtId="0" fontId="27" fillId="0" borderId="0" xfId="0" applyFont="1" applyAlignment="1" applyProtection="1">
      <alignment horizontal="right" vertical="center" wrapText="1" shrinkToFit="1"/>
      <protection hidden="1"/>
    </xf>
    <xf numFmtId="0" fontId="27" fillId="0" borderId="0" xfId="0" applyNumberFormat="1" applyFont="1" applyAlignment="1" applyProtection="1">
      <alignment horizontal="left" vertical="center" shrinkToFit="1"/>
      <protection hidden="1"/>
    </xf>
    <xf numFmtId="44" fontId="39" fillId="4" borderId="10" xfId="0" applyNumberFormat="1" applyFont="1" applyFill="1" applyBorder="1" applyAlignment="1" applyProtection="1">
      <alignment horizontal="left" vertical="center" shrinkToFit="1"/>
      <protection hidden="1"/>
    </xf>
    <xf numFmtId="44" fontId="39" fillId="4" borderId="1" xfId="0" applyNumberFormat="1" applyFont="1" applyFill="1" applyBorder="1" applyAlignment="1" applyProtection="1">
      <alignment horizontal="left" vertical="center" shrinkToFit="1"/>
      <protection hidden="1"/>
    </xf>
    <xf numFmtId="44" fontId="39" fillId="4" borderId="33" xfId="0" applyNumberFormat="1" applyFont="1" applyFill="1" applyBorder="1" applyAlignment="1" applyProtection="1">
      <alignment horizontal="left" vertical="center" shrinkToFit="1"/>
      <protection hidden="1"/>
    </xf>
    <xf numFmtId="44" fontId="39" fillId="4" borderId="3" xfId="0" applyNumberFormat="1" applyFont="1" applyFill="1" applyBorder="1" applyAlignment="1" applyProtection="1">
      <alignment vertical="center" shrinkToFit="1"/>
      <protection hidden="1"/>
    </xf>
    <xf numFmtId="0" fontId="39" fillId="0" borderId="0" xfId="0" applyFont="1" applyBorder="1" applyAlignment="1" applyProtection="1">
      <alignment horizontal="center" wrapText="1"/>
      <protection hidden="1"/>
    </xf>
    <xf numFmtId="0" fontId="39" fillId="15" borderId="0" xfId="0" applyFont="1" applyFill="1" applyBorder="1" applyAlignment="1" applyProtection="1">
      <alignment horizontal="center" wrapText="1"/>
      <protection hidden="1"/>
    </xf>
    <xf numFmtId="0" fontId="39" fillId="0" borderId="0" xfId="0" applyFont="1" applyBorder="1" applyAlignment="1" applyProtection="1">
      <alignment horizontal="center"/>
      <protection hidden="1"/>
    </xf>
    <xf numFmtId="0" fontId="39" fillId="0" borderId="0" xfId="0" applyFont="1" applyBorder="1" applyAlignment="1" applyProtection="1">
      <alignment horizontal="right" vertical="center" wrapText="1"/>
      <protection hidden="1"/>
    </xf>
    <xf numFmtId="165" fontId="39" fillId="0" borderId="0" xfId="0" applyNumberFormat="1" applyFont="1" applyBorder="1" applyAlignment="1" applyProtection="1">
      <alignment horizontal="center" vertical="center"/>
      <protection hidden="1"/>
    </xf>
    <xf numFmtId="44" fontId="39" fillId="0" borderId="0" xfId="0" applyNumberFormat="1" applyFont="1" applyBorder="1" applyAlignment="1" applyProtection="1">
      <alignment horizontal="center" shrinkToFit="1"/>
      <protection hidden="1"/>
    </xf>
    <xf numFmtId="0" fontId="27" fillId="0" borderId="0" xfId="0" applyFont="1" applyAlignment="1" applyProtection="1">
      <alignment vertical="center" shrinkToFit="1"/>
      <protection hidden="1"/>
    </xf>
    <xf numFmtId="44" fontId="39" fillId="0" borderId="0" xfId="0" applyNumberFormat="1" applyFont="1" applyFill="1" applyBorder="1" applyAlignment="1" applyProtection="1">
      <alignment horizontal="center" vertical="center" shrinkToFit="1"/>
      <protection hidden="1"/>
    </xf>
    <xf numFmtId="0" fontId="39" fillId="0" borderId="0" xfId="0" applyFont="1" applyBorder="1" applyAlignment="1" applyProtection="1">
      <alignment horizontal="left"/>
      <protection hidden="1"/>
    </xf>
    <xf numFmtId="2" fontId="39" fillId="0" borderId="0" xfId="0" applyNumberFormat="1" applyFont="1" applyBorder="1" applyAlignment="1" applyProtection="1">
      <alignment horizontal="center"/>
      <protection hidden="1"/>
    </xf>
    <xf numFmtId="0" fontId="64" fillId="0" borderId="0" xfId="0" applyFont="1" applyFill="1" applyBorder="1" applyAlignment="1" applyProtection="1">
      <alignment horizontal="center"/>
      <protection hidden="1"/>
    </xf>
    <xf numFmtId="0" fontId="39" fillId="0" borderId="0" xfId="0" applyFont="1" applyFill="1" applyAlignment="1" applyProtection="1">
      <alignment horizontal="right" vertical="center" wrapText="1"/>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vertical="center" shrinkToFit="1"/>
      <protection hidden="1"/>
    </xf>
    <xf numFmtId="2" fontId="27" fillId="4" borderId="1" xfId="0" applyNumberFormat="1" applyFont="1" applyFill="1" applyBorder="1" applyAlignment="1" applyProtection="1">
      <alignment horizontal="center" vertical="center" wrapText="1"/>
      <protection hidden="1"/>
    </xf>
    <xf numFmtId="2" fontId="27" fillId="4" borderId="28" xfId="0" applyNumberFormat="1" applyFont="1" applyFill="1" applyBorder="1" applyAlignment="1" applyProtection="1">
      <alignment horizontal="center" vertical="center" wrapText="1"/>
      <protection hidden="1"/>
    </xf>
    <xf numFmtId="2" fontId="27" fillId="4" borderId="6"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right" vertical="center" wrapText="1"/>
      <protection hidden="1"/>
    </xf>
    <xf numFmtId="2" fontId="63" fillId="0" borderId="0" xfId="0" applyNumberFormat="1" applyFont="1" applyFill="1" applyAlignment="1" applyProtection="1">
      <alignment horizontal="center" vertical="center" wrapText="1"/>
      <protection hidden="1"/>
    </xf>
    <xf numFmtId="44" fontId="39" fillId="0" borderId="0" xfId="0" applyNumberFormat="1" applyFont="1" applyFill="1" applyBorder="1" applyAlignment="1" applyProtection="1">
      <alignment horizontal="left" vertical="center" shrinkToFit="1"/>
      <protection hidden="1"/>
    </xf>
    <xf numFmtId="0" fontId="39" fillId="15" borderId="0" xfId="0" applyFont="1" applyFill="1" applyBorder="1" applyAlignment="1" applyProtection="1">
      <alignment horizontal="center" vertical="center" wrapText="1"/>
      <protection hidden="1"/>
    </xf>
    <xf numFmtId="0" fontId="39" fillId="0" borderId="0" xfId="0" applyNumberFormat="1" applyFont="1" applyBorder="1" applyAlignment="1" applyProtection="1">
      <alignment horizontal="center"/>
      <protection hidden="1"/>
    </xf>
    <xf numFmtId="44" fontId="39" fillId="0" borderId="14" xfId="0" applyNumberFormat="1" applyFont="1" applyBorder="1" applyAlignment="1" applyProtection="1">
      <alignment horizontal="center" vertical="center" wrapText="1"/>
      <protection hidden="1"/>
    </xf>
    <xf numFmtId="44" fontId="39" fillId="4" borderId="7" xfId="0" applyNumberFormat="1" applyFont="1" applyFill="1" applyBorder="1" applyAlignment="1" applyProtection="1">
      <alignment horizontal="left" vertical="center" shrinkToFit="1"/>
      <protection hidden="1"/>
    </xf>
    <xf numFmtId="44" fontId="39" fillId="4" borderId="35" xfId="0" applyNumberFormat="1" applyFont="1" applyFill="1" applyBorder="1" applyAlignment="1" applyProtection="1">
      <alignment horizontal="left" vertical="center" shrinkToFit="1"/>
      <protection hidden="1"/>
    </xf>
    <xf numFmtId="174" fontId="27" fillId="4" borderId="1" xfId="0" applyNumberFormat="1" applyFont="1" applyFill="1" applyBorder="1" applyAlignment="1" applyProtection="1">
      <alignment horizontal="left" vertical="center" wrapText="1"/>
      <protection hidden="1"/>
    </xf>
    <xf numFmtId="174" fontId="27" fillId="4" borderId="28" xfId="0" applyNumberFormat="1" applyFont="1" applyFill="1" applyBorder="1" applyAlignment="1" applyProtection="1">
      <alignment horizontal="left" vertical="center" wrapText="1"/>
      <protection hidden="1"/>
    </xf>
    <xf numFmtId="174" fontId="27" fillId="4" borderId="6" xfId="0" applyNumberFormat="1" applyFont="1" applyFill="1" applyBorder="1" applyAlignment="1" applyProtection="1">
      <alignment horizontal="left" vertical="center" wrapText="1"/>
      <protection hidden="1"/>
    </xf>
    <xf numFmtId="44" fontId="39" fillId="4" borderId="6" xfId="0" applyNumberFormat="1" applyFont="1" applyFill="1" applyBorder="1" applyAlignment="1" applyProtection="1">
      <alignment horizontal="left" vertical="center" shrinkToFit="1"/>
      <protection hidden="1"/>
    </xf>
    <xf numFmtId="44" fontId="39" fillId="4" borderId="36" xfId="0" applyNumberFormat="1" applyFont="1" applyFill="1" applyBorder="1" applyAlignment="1" applyProtection="1">
      <alignment horizontal="left" vertical="center" shrinkToFit="1"/>
      <protection hidden="1"/>
    </xf>
    <xf numFmtId="44" fontId="27" fillId="0" borderId="0" xfId="0" applyNumberFormat="1" applyFont="1" applyBorder="1" applyAlignment="1" applyProtection="1">
      <alignment vertical="center" shrinkToFit="1"/>
      <protection hidden="1"/>
    </xf>
    <xf numFmtId="44" fontId="39" fillId="0" borderId="12" xfId="0" applyNumberFormat="1" applyFont="1" applyBorder="1" applyAlignment="1" applyProtection="1">
      <alignment vertical="center" wrapText="1"/>
      <protection hidden="1"/>
    </xf>
    <xf numFmtId="44" fontId="39" fillId="0" borderId="0" xfId="0" applyNumberFormat="1" applyFont="1" applyBorder="1" applyAlignment="1" applyProtection="1">
      <alignment vertical="center" wrapText="1"/>
      <protection hidden="1"/>
    </xf>
    <xf numFmtId="0" fontId="39" fillId="15" borderId="0" xfId="0" applyFont="1" applyFill="1" applyBorder="1" applyAlignment="1" applyProtection="1">
      <alignment horizontal="right" vertical="center" wrapText="1"/>
      <protection hidden="1"/>
    </xf>
    <xf numFmtId="44" fontId="39" fillId="4" borderId="11" xfId="0" applyNumberFormat="1" applyFont="1" applyFill="1" applyBorder="1" applyAlignment="1" applyProtection="1">
      <alignment vertical="center" shrinkToFit="1"/>
      <protection hidden="1"/>
    </xf>
    <xf numFmtId="0" fontId="27" fillId="0" borderId="0" xfId="0" applyFont="1" applyFill="1" applyBorder="1" applyAlignment="1" applyProtection="1">
      <alignment horizontal="left" vertical="center" wrapText="1"/>
      <protection hidden="1"/>
    </xf>
    <xf numFmtId="44" fontId="27" fillId="0" borderId="12" xfId="0" applyNumberFormat="1" applyFont="1" applyFill="1" applyBorder="1" applyAlignment="1" applyProtection="1">
      <alignment vertical="center" shrinkToFit="1"/>
      <protection hidden="1"/>
    </xf>
    <xf numFmtId="44" fontId="39" fillId="0" borderId="14" xfId="0" applyNumberFormat="1" applyFont="1" applyBorder="1" applyAlignment="1" applyProtection="1">
      <alignment vertical="center" wrapText="1"/>
      <protection hidden="1"/>
    </xf>
    <xf numFmtId="0" fontId="27" fillId="4" borderId="39" xfId="0" applyFont="1" applyFill="1" applyBorder="1" applyAlignment="1" applyProtection="1">
      <alignment horizontal="left" vertical="center" wrapText="1"/>
      <protection hidden="1"/>
    </xf>
    <xf numFmtId="49" fontId="40" fillId="0" borderId="0" xfId="0" applyNumberFormat="1" applyFont="1" applyAlignment="1" applyProtection="1">
      <alignment horizontal="center"/>
      <protection hidden="1"/>
    </xf>
    <xf numFmtId="0" fontId="27" fillId="15" borderId="0" xfId="0" applyFont="1" applyFill="1" applyAlignment="1" applyProtection="1">
      <alignment horizontal="left" wrapText="1"/>
      <protection hidden="1"/>
    </xf>
    <xf numFmtId="44" fontId="27" fillId="0" borderId="0" xfId="0" applyNumberFormat="1" applyFont="1" applyFill="1" applyBorder="1" applyAlignment="1" applyProtection="1">
      <alignment horizontal="left"/>
      <protection hidden="1"/>
    </xf>
    <xf numFmtId="0" fontId="27" fillId="0" borderId="0" xfId="0" applyFont="1" applyFill="1" applyAlignment="1" applyProtection="1">
      <alignment horizontal="center" vertical="center"/>
      <protection hidden="1"/>
    </xf>
    <xf numFmtId="0" fontId="27" fillId="0" borderId="0" xfId="0" applyFont="1" applyFill="1" applyBorder="1" applyAlignment="1" applyProtection="1">
      <alignment horizontal="center" wrapText="1"/>
      <protection hidden="1"/>
    </xf>
    <xf numFmtId="0" fontId="27" fillId="0" borderId="0" xfId="0" applyFont="1" applyFill="1" applyBorder="1" applyAlignment="1" applyProtection="1">
      <alignment wrapText="1"/>
      <protection hidden="1"/>
    </xf>
    <xf numFmtId="0" fontId="0" fillId="0" borderId="0" xfId="0" applyFill="1" applyAlignment="1" applyProtection="1">
      <alignment horizontal="right" wrapText="1"/>
      <protection hidden="1"/>
    </xf>
    <xf numFmtId="0" fontId="27" fillId="0" borderId="0" xfId="0" applyFont="1" applyFill="1" applyBorder="1" applyAlignment="1" applyProtection="1">
      <alignment horizontal="center" vertical="center" wrapText="1"/>
      <protection hidden="1"/>
    </xf>
    <xf numFmtId="0" fontId="39" fillId="0" borderId="10" xfId="0" applyFont="1" applyFill="1" applyBorder="1" applyAlignment="1" applyProtection="1">
      <alignment horizontal="center" vertical="center" wrapText="1"/>
      <protection hidden="1"/>
    </xf>
    <xf numFmtId="2" fontId="63" fillId="0" borderId="7" xfId="0" applyNumberFormat="1" applyFont="1" applyFill="1" applyBorder="1" applyAlignment="1" applyProtection="1">
      <alignment horizontal="center" vertical="center" wrapText="1"/>
      <protection hidden="1"/>
    </xf>
    <xf numFmtId="0" fontId="27" fillId="0" borderId="6" xfId="0" applyFont="1" applyFill="1" applyBorder="1" applyAlignment="1" applyProtection="1">
      <alignment horizontal="center" vertical="center" wrapText="1"/>
      <protection hidden="1"/>
    </xf>
    <xf numFmtId="0" fontId="39" fillId="0" borderId="0" xfId="0" applyFont="1" applyFill="1" applyBorder="1" applyAlignment="1" applyProtection="1">
      <alignment horizontal="center" vertical="center" wrapText="1"/>
      <protection hidden="1"/>
    </xf>
    <xf numFmtId="0" fontId="27" fillId="4" borderId="1" xfId="0" applyFont="1" applyFill="1" applyBorder="1" applyAlignment="1" applyProtection="1">
      <alignment horizontal="left" vertical="center" wrapText="1" shrinkToFit="1"/>
      <protection hidden="1"/>
    </xf>
    <xf numFmtId="0" fontId="27" fillId="15" borderId="1" xfId="0" applyFont="1" applyFill="1" applyBorder="1" applyAlignment="1" applyProtection="1">
      <alignment horizontal="center" vertical="center" shrinkToFit="1"/>
      <protection hidden="1"/>
    </xf>
    <xf numFmtId="164" fontId="27" fillId="15" borderId="1" xfId="0" applyNumberFormat="1" applyFont="1" applyFill="1" applyBorder="1" applyAlignment="1" applyProtection="1">
      <alignment horizontal="center" vertical="center" shrinkToFit="1"/>
      <protection hidden="1"/>
    </xf>
    <xf numFmtId="174" fontId="27" fillId="4" borderId="1" xfId="0" applyNumberFormat="1" applyFont="1" applyFill="1" applyBorder="1" applyAlignment="1" applyProtection="1">
      <alignment horizontal="center" vertical="center" shrinkToFit="1"/>
      <protection hidden="1"/>
    </xf>
    <xf numFmtId="165" fontId="27" fillId="4" borderId="1" xfId="0" applyNumberFormat="1" applyFont="1" applyFill="1" applyBorder="1" applyAlignment="1" applyProtection="1">
      <alignment horizontal="center" vertical="center" shrinkToFit="1"/>
      <protection hidden="1"/>
    </xf>
    <xf numFmtId="0" fontId="27" fillId="4" borderId="1" xfId="0" applyNumberFormat="1" applyFont="1" applyFill="1" applyBorder="1" applyAlignment="1" applyProtection="1">
      <alignment horizontal="center" vertical="center" shrinkToFit="1"/>
      <protection hidden="1"/>
    </xf>
    <xf numFmtId="0" fontId="39" fillId="0" borderId="0" xfId="0" applyFont="1" applyAlignment="1" applyProtection="1">
      <alignment horizontal="right" vertical="center" wrapText="1" shrinkToFit="1"/>
      <protection hidden="1"/>
    </xf>
    <xf numFmtId="0" fontId="39" fillId="15" borderId="1" xfId="0" applyFont="1" applyFill="1" applyBorder="1" applyAlignment="1" applyProtection="1">
      <alignment horizontal="center" vertical="center" shrinkToFit="1"/>
      <protection hidden="1"/>
    </xf>
    <xf numFmtId="0" fontId="39" fillId="0" borderId="0" xfId="0" applyFont="1" applyFill="1" applyAlignment="1" applyProtection="1">
      <alignment horizontal="center" vertical="center" shrinkToFit="1"/>
      <protection hidden="1"/>
    </xf>
    <xf numFmtId="164" fontId="39" fillId="4" borderId="6" xfId="0" applyNumberFormat="1" applyFont="1" applyFill="1" applyBorder="1" applyAlignment="1" applyProtection="1">
      <alignment horizontal="center" vertical="center" shrinkToFit="1"/>
      <protection hidden="1"/>
    </xf>
    <xf numFmtId="165" fontId="39" fillId="4" borderId="6" xfId="0" applyNumberFormat="1" applyFont="1" applyFill="1" applyBorder="1" applyAlignment="1" applyProtection="1">
      <alignment horizontal="center" vertical="center" shrinkToFit="1"/>
      <protection hidden="1"/>
    </xf>
    <xf numFmtId="165" fontId="27" fillId="0" borderId="0" xfId="0" applyNumberFormat="1" applyFont="1" applyAlignment="1" applyProtection="1">
      <alignment horizontal="right" vertical="center" wrapText="1" shrinkToFit="1"/>
      <protection hidden="1"/>
    </xf>
    <xf numFmtId="0" fontId="39" fillId="0" borderId="0" xfId="0" applyFont="1" applyFill="1" applyAlignment="1" applyProtection="1">
      <alignment horizontal="right" vertical="center" wrapText="1" shrinkToFit="1"/>
      <protection hidden="1"/>
    </xf>
    <xf numFmtId="164" fontId="39" fillId="0" borderId="0" xfId="0" applyNumberFormat="1" applyFont="1" applyFill="1" applyBorder="1" applyAlignment="1" applyProtection="1">
      <alignment horizontal="center" vertical="center" shrinkToFit="1"/>
      <protection hidden="1"/>
    </xf>
    <xf numFmtId="165" fontId="39" fillId="0" borderId="0" xfId="0" applyNumberFormat="1" applyFont="1" applyFill="1" applyBorder="1" applyAlignment="1" applyProtection="1">
      <alignment horizontal="center" vertical="center" shrinkToFit="1"/>
      <protection hidden="1"/>
    </xf>
    <xf numFmtId="0" fontId="27" fillId="0" borderId="0" xfId="0" applyFont="1" applyFill="1" applyAlignment="1" applyProtection="1">
      <alignment horizontal="right" vertical="center" wrapText="1" shrinkToFit="1"/>
      <protection hidden="1"/>
    </xf>
    <xf numFmtId="0" fontId="27" fillId="0" borderId="0" xfId="0" applyNumberFormat="1" applyFont="1" applyFill="1" applyAlignment="1" applyProtection="1">
      <alignment horizontal="left" vertical="center" shrinkToFit="1"/>
      <protection hidden="1"/>
    </xf>
    <xf numFmtId="0" fontId="27" fillId="0" borderId="0" xfId="0" applyNumberFormat="1" applyFont="1" applyAlignment="1" applyProtection="1">
      <alignment vertical="center" shrinkToFit="1"/>
      <protection hidden="1"/>
    </xf>
    <xf numFmtId="165" fontId="27" fillId="0" borderId="0" xfId="0" applyNumberFormat="1" applyFont="1" applyFill="1" applyAlignment="1" applyProtection="1">
      <alignment horizontal="right" vertical="center" wrapText="1" shrinkToFit="1"/>
      <protection hidden="1"/>
    </xf>
    <xf numFmtId="0" fontId="27" fillId="0" borderId="0" xfId="0" applyNumberFormat="1" applyFont="1" applyFill="1" applyAlignment="1" applyProtection="1">
      <alignment vertical="center" shrinkToFit="1"/>
      <protection hidden="1"/>
    </xf>
    <xf numFmtId="0" fontId="27" fillId="4" borderId="1" xfId="0" applyFont="1" applyFill="1" applyBorder="1" applyAlignment="1" applyProtection="1">
      <alignment horizontal="center" vertical="center" shrinkToFit="1"/>
      <protection hidden="1"/>
    </xf>
    <xf numFmtId="0" fontId="27" fillId="0" borderId="0" xfId="0" applyFont="1" applyAlignment="1" applyProtection="1">
      <alignment horizontal="left" vertical="center" wrapText="1" shrinkToFit="1"/>
      <protection hidden="1"/>
    </xf>
    <xf numFmtId="0" fontId="27" fillId="0" borderId="0" xfId="0" applyFont="1" applyFill="1" applyAlignment="1" applyProtection="1">
      <alignment horizontal="left" vertical="center" wrapText="1" shrinkToFit="1"/>
      <protection hidden="1"/>
    </xf>
    <xf numFmtId="44" fontId="39" fillId="0" borderId="12" xfId="0" applyNumberFormat="1" applyFont="1" applyFill="1" applyBorder="1" applyAlignment="1" applyProtection="1">
      <alignment horizontal="left" vertical="center" shrinkToFit="1"/>
      <protection hidden="1"/>
    </xf>
    <xf numFmtId="44" fontId="27" fillId="0" borderId="0" xfId="0" applyNumberFormat="1" applyFont="1" applyBorder="1" applyAlignment="1" applyProtection="1">
      <alignment horizontal="left"/>
      <protection hidden="1"/>
    </xf>
    <xf numFmtId="44" fontId="27" fillId="0" borderId="14" xfId="0" applyNumberFormat="1" applyFont="1" applyBorder="1" applyAlignment="1" applyProtection="1">
      <alignment horizontal="left"/>
      <protection hidden="1"/>
    </xf>
    <xf numFmtId="0" fontId="27" fillId="4" borderId="40" xfId="0" applyFont="1" applyFill="1" applyBorder="1" applyAlignment="1" applyProtection="1">
      <alignment horizontal="center" vertical="center" shrinkToFit="1"/>
      <protection hidden="1"/>
    </xf>
    <xf numFmtId="0" fontId="27" fillId="4" borderId="41" xfId="0" applyFont="1" applyFill="1" applyBorder="1" applyAlignment="1" applyProtection="1">
      <alignment horizontal="center" vertical="center" shrinkToFit="1"/>
      <protection hidden="1"/>
    </xf>
    <xf numFmtId="0" fontId="27" fillId="4" borderId="28" xfId="0" applyFont="1" applyFill="1" applyBorder="1" applyAlignment="1" applyProtection="1">
      <alignment horizontal="left" vertical="center" wrapText="1" shrinkToFit="1"/>
      <protection hidden="1"/>
    </xf>
    <xf numFmtId="0" fontId="27" fillId="15" borderId="28" xfId="0" applyFont="1" applyFill="1" applyBorder="1" applyAlignment="1" applyProtection="1">
      <alignment horizontal="center" vertical="center" shrinkToFit="1"/>
      <protection hidden="1"/>
    </xf>
    <xf numFmtId="174" fontId="27" fillId="4" borderId="28" xfId="0" applyNumberFormat="1" applyFont="1" applyFill="1" applyBorder="1" applyAlignment="1" applyProtection="1">
      <alignment horizontal="center" vertical="center" shrinkToFit="1"/>
      <protection hidden="1"/>
    </xf>
    <xf numFmtId="165" fontId="27" fillId="4" borderId="28" xfId="0" applyNumberFormat="1" applyFont="1" applyFill="1" applyBorder="1" applyAlignment="1" applyProtection="1">
      <alignment horizontal="center" vertical="center" shrinkToFit="1"/>
      <protection hidden="1"/>
    </xf>
    <xf numFmtId="44" fontId="27" fillId="4" borderId="42" xfId="0" applyNumberFormat="1" applyFont="1" applyFill="1" applyBorder="1" applyAlignment="1" applyProtection="1">
      <alignment vertical="center" shrinkToFit="1"/>
      <protection hidden="1"/>
    </xf>
    <xf numFmtId="0" fontId="27" fillId="4" borderId="6" xfId="0" applyFont="1" applyFill="1" applyBorder="1" applyAlignment="1" applyProtection="1">
      <alignment horizontal="left" vertical="center" wrapText="1" shrinkToFit="1"/>
      <protection hidden="1"/>
    </xf>
    <xf numFmtId="0" fontId="27" fillId="15" borderId="6" xfId="0" applyFont="1" applyFill="1" applyBorder="1" applyAlignment="1" applyProtection="1">
      <alignment horizontal="center" vertical="center" shrinkToFit="1"/>
      <protection hidden="1"/>
    </xf>
    <xf numFmtId="174" fontId="27" fillId="4" borderId="6" xfId="0" applyNumberFormat="1" applyFont="1" applyFill="1" applyBorder="1" applyAlignment="1" applyProtection="1">
      <alignment horizontal="center" vertical="center" shrinkToFit="1"/>
      <protection hidden="1"/>
    </xf>
    <xf numFmtId="165" fontId="27" fillId="4" borderId="6" xfId="0" applyNumberFormat="1" applyFont="1" applyFill="1" applyBorder="1" applyAlignment="1" applyProtection="1">
      <alignment horizontal="center" vertical="center" shrinkToFit="1"/>
      <protection hidden="1"/>
    </xf>
    <xf numFmtId="44" fontId="27" fillId="4" borderId="41" xfId="0" applyNumberFormat="1" applyFont="1" applyFill="1" applyBorder="1" applyAlignment="1" applyProtection="1">
      <alignment horizontal="left" vertical="center" shrinkToFit="1"/>
      <protection hidden="1"/>
    </xf>
    <xf numFmtId="44" fontId="27" fillId="4" borderId="15" xfId="0" applyNumberFormat="1" applyFont="1" applyFill="1" applyBorder="1" applyAlignment="1" applyProtection="1">
      <alignment vertical="center" shrinkToFit="1"/>
      <protection hidden="1"/>
    </xf>
    <xf numFmtId="44" fontId="27" fillId="4" borderId="39" xfId="0" applyNumberFormat="1" applyFont="1" applyFill="1" applyBorder="1" applyAlignment="1" applyProtection="1">
      <alignment horizontal="left" vertical="center" shrinkToFit="1"/>
      <protection hidden="1"/>
    </xf>
    <xf numFmtId="44" fontId="27" fillId="4" borderId="43" xfId="0" applyNumberFormat="1" applyFont="1" applyFill="1" applyBorder="1" applyAlignment="1" applyProtection="1">
      <alignment horizontal="left" vertical="center" shrinkToFit="1"/>
      <protection hidden="1"/>
    </xf>
    <xf numFmtId="44" fontId="27" fillId="4" borderId="27" xfId="0" applyNumberFormat="1" applyFont="1" applyFill="1" applyBorder="1" applyAlignment="1" applyProtection="1">
      <alignment vertical="center" shrinkToFit="1"/>
      <protection hidden="1"/>
    </xf>
    <xf numFmtId="44" fontId="27" fillId="4" borderId="23" xfId="0" applyNumberFormat="1" applyFont="1" applyFill="1" applyBorder="1" applyAlignment="1" applyProtection="1">
      <alignment horizontal="left" vertical="center" shrinkToFit="1"/>
      <protection hidden="1"/>
    </xf>
    <xf numFmtId="44" fontId="27" fillId="4" borderId="24" xfId="0" applyNumberFormat="1" applyFont="1" applyFill="1" applyBorder="1" applyAlignment="1" applyProtection="1">
      <alignment horizontal="left" vertical="center" shrinkToFit="1"/>
      <protection hidden="1"/>
    </xf>
    <xf numFmtId="44" fontId="39" fillId="0" borderId="0" xfId="0" applyNumberFormat="1" applyFont="1" applyFill="1" applyBorder="1" applyAlignment="1" applyProtection="1">
      <alignment vertical="center" shrinkToFit="1"/>
      <protection hidden="1"/>
    </xf>
    <xf numFmtId="0" fontId="39" fillId="0" borderId="0" xfId="0" applyFont="1" applyAlignment="1" applyProtection="1">
      <alignment horizontal="center" wrapText="1"/>
      <protection hidden="1"/>
    </xf>
    <xf numFmtId="0" fontId="27" fillId="15" borderId="1" xfId="0" applyFont="1" applyFill="1" applyBorder="1" applyAlignment="1" applyProtection="1">
      <alignment horizontal="center" vertical="center" wrapText="1" shrinkToFit="1"/>
      <protection hidden="1"/>
    </xf>
    <xf numFmtId="174" fontId="27" fillId="4" borderId="1" xfId="0" applyNumberFormat="1" applyFont="1" applyFill="1" applyBorder="1" applyAlignment="1" applyProtection="1">
      <alignment horizontal="center" vertical="center" wrapText="1" shrinkToFit="1"/>
      <protection hidden="1"/>
    </xf>
    <xf numFmtId="2" fontId="27" fillId="4" borderId="1" xfId="0" applyNumberFormat="1" applyFont="1" applyFill="1" applyBorder="1" applyAlignment="1" applyProtection="1">
      <alignment horizontal="center" vertical="center" wrapText="1" shrinkToFit="1"/>
      <protection hidden="1"/>
    </xf>
    <xf numFmtId="0" fontId="27" fillId="4" borderId="1" xfId="0" applyFont="1" applyFill="1" applyBorder="1" applyAlignment="1" applyProtection="1">
      <alignment horizontal="center" vertical="center" wrapText="1" shrinkToFit="1"/>
      <protection hidden="1"/>
    </xf>
    <xf numFmtId="0" fontId="27" fillId="0" borderId="9" xfId="0" applyFont="1" applyFill="1" applyBorder="1" applyAlignment="1" applyProtection="1">
      <alignment horizontal="center" vertical="center" shrinkToFit="1"/>
      <protection hidden="1"/>
    </xf>
    <xf numFmtId="44" fontId="27" fillId="0" borderId="0" xfId="0" applyNumberFormat="1" applyFont="1" applyFill="1" applyBorder="1" applyAlignment="1" applyProtection="1">
      <alignment horizontal="left" vertical="center" shrinkToFit="1"/>
      <protection hidden="1"/>
    </xf>
    <xf numFmtId="49" fontId="40" fillId="0" borderId="0" xfId="0" applyNumberFormat="1" applyFont="1" applyBorder="1" applyAlignment="1" applyProtection="1">
      <alignment horizontal="center" vertical="center"/>
      <protection hidden="1"/>
    </xf>
    <xf numFmtId="0" fontId="27" fillId="0" borderId="0" xfId="0" applyFont="1" applyFill="1" applyAlignment="1" applyProtection="1">
      <alignment horizontal="center" vertical="center" wrapText="1"/>
      <protection hidden="1"/>
    </xf>
    <xf numFmtId="44" fontId="39" fillId="0" borderId="14" xfId="0" applyNumberFormat="1" applyFont="1" applyBorder="1" applyAlignment="1" applyProtection="1">
      <alignment horizontal="center"/>
      <protection hidden="1"/>
    </xf>
    <xf numFmtId="44" fontId="27" fillId="4" borderId="6" xfId="0" applyNumberFormat="1" applyFont="1" applyFill="1" applyBorder="1" applyAlignment="1" applyProtection="1">
      <alignment horizontal="right" vertical="center" shrinkToFit="1"/>
      <protection hidden="1"/>
    </xf>
    <xf numFmtId="44" fontId="27" fillId="4" borderId="1" xfId="0" applyNumberFormat="1" applyFont="1" applyFill="1" applyBorder="1" applyAlignment="1" applyProtection="1">
      <alignment horizontal="right" vertical="center" shrinkToFit="1"/>
      <protection hidden="1"/>
    </xf>
    <xf numFmtId="0" fontId="27" fillId="0" borderId="0" xfId="0" applyNumberFormat="1" applyFont="1" applyAlignment="1" applyProtection="1">
      <alignment horizontal="center" vertical="center" shrinkToFit="1"/>
      <protection hidden="1"/>
    </xf>
    <xf numFmtId="44" fontId="39" fillId="4" borderId="1" xfId="0" applyNumberFormat="1" applyFont="1" applyFill="1" applyBorder="1" applyAlignment="1" applyProtection="1">
      <alignment horizontal="right" vertical="center" shrinkToFit="1"/>
      <protection hidden="1"/>
    </xf>
    <xf numFmtId="44" fontId="39" fillId="4" borderId="33" xfId="0" applyNumberFormat="1" applyFont="1" applyFill="1" applyBorder="1" applyAlignment="1" applyProtection="1">
      <alignment horizontal="right" vertical="center" shrinkToFit="1"/>
      <protection hidden="1"/>
    </xf>
    <xf numFmtId="49" fontId="40" fillId="0" borderId="0" xfId="0" applyNumberFormat="1" applyFont="1" applyFill="1" applyBorder="1" applyAlignment="1" applyProtection="1">
      <alignment horizontal="center" vertical="center"/>
      <protection hidden="1"/>
    </xf>
    <xf numFmtId="0" fontId="27" fillId="0" borderId="0" xfId="0" applyNumberFormat="1" applyFont="1" applyFill="1" applyAlignment="1" applyProtection="1">
      <alignment horizontal="center" vertical="center" shrinkToFit="1"/>
      <protection hidden="1"/>
    </xf>
    <xf numFmtId="44" fontId="39" fillId="0" borderId="0" xfId="0" applyNumberFormat="1" applyFont="1" applyFill="1" applyBorder="1" applyAlignment="1" applyProtection="1">
      <alignment horizontal="right" vertical="center" shrinkToFit="1"/>
      <protection hidden="1"/>
    </xf>
    <xf numFmtId="44" fontId="27" fillId="0" borderId="0" xfId="0" applyNumberFormat="1" applyFont="1" applyAlignment="1" applyProtection="1">
      <alignment horizontal="right"/>
      <protection hidden="1"/>
    </xf>
    <xf numFmtId="44" fontId="39" fillId="4" borderId="10" xfId="0" applyNumberFormat="1" applyFont="1" applyFill="1" applyBorder="1" applyAlignment="1" applyProtection="1">
      <alignment horizontal="right" vertical="center" shrinkToFit="1"/>
      <protection hidden="1"/>
    </xf>
    <xf numFmtId="49" fontId="39" fillId="0" borderId="0" xfId="0" applyNumberFormat="1" applyFont="1" applyAlignment="1" applyProtection="1">
      <alignment horizontal="left"/>
      <protection hidden="1"/>
    </xf>
    <xf numFmtId="0" fontId="27" fillId="4" borderId="39" xfId="0" applyFont="1" applyFill="1" applyBorder="1" applyAlignment="1" applyProtection="1">
      <alignment horizontal="center" vertical="center" shrinkToFit="1"/>
      <protection hidden="1"/>
    </xf>
    <xf numFmtId="0" fontId="26" fillId="0" borderId="0" xfId="2215" applyFill="1" applyBorder="1" applyAlignment="1" applyProtection="1">
      <alignment vertical="center"/>
      <protection hidden="1"/>
    </xf>
    <xf numFmtId="0" fontId="0" fillId="2" borderId="2" xfId="0" applyFill="1" applyBorder="1" applyAlignment="1" applyProtection="1">
      <alignment vertical="center"/>
      <protection hidden="1"/>
    </xf>
    <xf numFmtId="0" fontId="26" fillId="2" borderId="10" xfId="2215" applyFill="1" applyBorder="1" applyAlignment="1" applyProtection="1">
      <alignment horizontal="center" vertical="center"/>
      <protection hidden="1"/>
    </xf>
    <xf numFmtId="0" fontId="26" fillId="2" borderId="2" xfId="2215" applyFill="1" applyBorder="1" applyAlignment="1" applyProtection="1">
      <alignment vertical="center"/>
      <protection hidden="1"/>
    </xf>
    <xf numFmtId="175" fontId="30" fillId="2" borderId="6" xfId="2215" applyNumberFormat="1" applyFont="1" applyFill="1" applyBorder="1" applyAlignment="1" applyProtection="1">
      <alignment horizontal="center" vertical="center"/>
      <protection hidden="1"/>
    </xf>
    <xf numFmtId="0" fontId="0" fillId="0" borderId="9" xfId="0" applyBorder="1" applyAlignment="1" applyProtection="1">
      <alignment vertical="center"/>
      <protection hidden="1"/>
    </xf>
    <xf numFmtId="0" fontId="30" fillId="0" borderId="0" xfId="2215" applyFont="1" applyFill="1" applyBorder="1" applyAlignment="1" applyProtection="1">
      <alignment horizontal="center" vertical="center"/>
      <protection hidden="1"/>
    </xf>
    <xf numFmtId="0" fontId="26" fillId="2" borderId="4" xfId="2215" applyFill="1" applyBorder="1" applyAlignment="1" applyProtection="1">
      <alignment vertical="center"/>
      <protection hidden="1"/>
    </xf>
    <xf numFmtId="0" fontId="0" fillId="0" borderId="0" xfId="0" applyBorder="1" applyAlignment="1" applyProtection="1">
      <alignment vertical="center"/>
      <protection hidden="1"/>
    </xf>
    <xf numFmtId="0" fontId="26" fillId="16" borderId="13" xfId="2215" applyFill="1" applyBorder="1" applyAlignment="1" applyProtection="1">
      <alignment vertical="center"/>
      <protection hidden="1"/>
    </xf>
    <xf numFmtId="0" fontId="26" fillId="0" borderId="9" xfId="2215" applyFill="1" applyBorder="1" applyAlignment="1" applyProtection="1">
      <alignment vertical="center" shrinkToFit="1"/>
      <protection hidden="1"/>
    </xf>
    <xf numFmtId="0" fontId="26" fillId="16" borderId="7" xfId="2215" applyFill="1" applyBorder="1" applyAlignment="1" applyProtection="1">
      <alignment vertical="center"/>
      <protection hidden="1"/>
    </xf>
    <xf numFmtId="0" fontId="26" fillId="16" borderId="7" xfId="2215" applyFill="1" applyBorder="1" applyAlignment="1" applyProtection="1">
      <alignment vertical="center" shrinkToFit="1"/>
      <protection locked="0"/>
    </xf>
    <xf numFmtId="0" fontId="26" fillId="16" borderId="9" xfId="2215" applyFill="1" applyBorder="1" applyAlignment="1" applyProtection="1">
      <alignment vertical="center"/>
      <protection hidden="1"/>
    </xf>
    <xf numFmtId="0" fontId="26" fillId="16" borderId="6" xfId="2215" applyFill="1" applyBorder="1" applyAlignment="1" applyProtection="1">
      <alignment vertical="center"/>
      <protection hidden="1"/>
    </xf>
    <xf numFmtId="0" fontId="26" fillId="2" borderId="44" xfId="2215" applyFill="1" applyBorder="1" applyAlignment="1" applyProtection="1">
      <alignment vertical="center" shrinkToFit="1"/>
      <protection hidden="1"/>
    </xf>
    <xf numFmtId="0" fontId="30" fillId="0" borderId="12" xfId="2215" applyFont="1" applyBorder="1" applyAlignment="1" applyProtection="1">
      <alignment vertical="center"/>
      <protection hidden="1"/>
    </xf>
    <xf numFmtId="164" fontId="30" fillId="16" borderId="45" xfId="2215" applyNumberFormat="1" applyFont="1" applyFill="1" applyBorder="1" applyAlignment="1" applyProtection="1">
      <alignment vertical="center" shrinkToFit="1"/>
      <protection hidden="1"/>
    </xf>
    <xf numFmtId="164" fontId="30" fillId="16" borderId="46" xfId="2215" applyNumberFormat="1" applyFont="1" applyFill="1" applyBorder="1" applyAlignment="1" applyProtection="1">
      <alignment vertical="center" shrinkToFit="1"/>
      <protection hidden="1"/>
    </xf>
    <xf numFmtId="164" fontId="30" fillId="16" borderId="47" xfId="2215" applyNumberFormat="1" applyFont="1" applyFill="1" applyBorder="1" applyAlignment="1" applyProtection="1">
      <alignment vertical="center" shrinkToFit="1"/>
      <protection hidden="1"/>
    </xf>
    <xf numFmtId="165" fontId="30" fillId="16" borderId="18" xfId="2215" applyNumberFormat="1" applyFont="1" applyFill="1" applyBorder="1" applyAlignment="1" applyProtection="1">
      <alignment vertical="center" shrinkToFit="1"/>
      <protection hidden="1"/>
    </xf>
    <xf numFmtId="0" fontId="26" fillId="2" borderId="14" xfId="2215" applyFill="1" applyBorder="1" applyAlignment="1" applyProtection="1">
      <alignment vertical="center"/>
      <protection hidden="1"/>
    </xf>
    <xf numFmtId="0" fontId="26" fillId="17" borderId="10" xfId="2215" applyFill="1" applyBorder="1" applyAlignment="1" applyProtection="1">
      <alignment vertical="center"/>
      <protection hidden="1"/>
    </xf>
    <xf numFmtId="0" fontId="26" fillId="17" borderId="7" xfId="2215" applyFill="1" applyBorder="1" applyAlignment="1" applyProtection="1">
      <alignment vertical="center" shrinkToFit="1"/>
      <protection locked="0"/>
    </xf>
    <xf numFmtId="0" fontId="26" fillId="17" borderId="7" xfId="2215" applyFill="1" applyBorder="1" applyAlignment="1" applyProtection="1">
      <alignment vertical="center"/>
      <protection hidden="1"/>
    </xf>
    <xf numFmtId="0" fontId="26" fillId="17" borderId="8" xfId="2215" applyFill="1" applyBorder="1" applyAlignment="1" applyProtection="1">
      <alignment vertical="center"/>
      <protection hidden="1"/>
    </xf>
    <xf numFmtId="164" fontId="30" fillId="17" borderId="45" xfId="2215" applyNumberFormat="1" applyFont="1" applyFill="1" applyBorder="1" applyAlignment="1" applyProtection="1">
      <alignment vertical="center" shrinkToFit="1"/>
      <protection hidden="1"/>
    </xf>
    <xf numFmtId="164" fontId="30" fillId="17" borderId="46" xfId="2215" applyNumberFormat="1" applyFont="1" applyFill="1" applyBorder="1" applyAlignment="1" applyProtection="1">
      <alignment vertical="center" shrinkToFit="1"/>
      <protection hidden="1"/>
    </xf>
    <xf numFmtId="164" fontId="30" fillId="17" borderId="47" xfId="2215" applyNumberFormat="1" applyFont="1" applyFill="1" applyBorder="1" applyAlignment="1" applyProtection="1">
      <alignment vertical="center" shrinkToFit="1"/>
      <protection hidden="1"/>
    </xf>
    <xf numFmtId="165" fontId="30" fillId="17" borderId="18" xfId="2215" applyNumberFormat="1" applyFont="1" applyFill="1" applyBorder="1" applyAlignment="1" applyProtection="1">
      <alignment vertical="center" shrinkToFit="1"/>
      <protection hidden="1"/>
    </xf>
    <xf numFmtId="0" fontId="30" fillId="0" borderId="0" xfId="2215" applyFont="1" applyBorder="1" applyAlignment="1" applyProtection="1">
      <alignment vertical="center"/>
      <protection hidden="1"/>
    </xf>
    <xf numFmtId="164" fontId="30" fillId="0" borderId="48" xfId="2215" applyNumberFormat="1" applyFont="1" applyFill="1" applyBorder="1" applyAlignment="1" applyProtection="1">
      <alignment vertical="center" shrinkToFit="1"/>
      <protection hidden="1"/>
    </xf>
    <xf numFmtId="165" fontId="30" fillId="0" borderId="48" xfId="2215" applyNumberFormat="1" applyFont="1" applyFill="1" applyBorder="1" applyAlignment="1" applyProtection="1">
      <alignment vertical="center" shrinkToFit="1"/>
      <protection hidden="1"/>
    </xf>
    <xf numFmtId="0" fontId="30" fillId="0" borderId="0" xfId="2215" applyFont="1" applyBorder="1" applyAlignment="1" applyProtection="1">
      <alignment horizontal="center" vertical="center"/>
      <protection hidden="1"/>
    </xf>
    <xf numFmtId="164" fontId="30" fillId="0" borderId="0" xfId="2215" applyNumberFormat="1" applyFont="1" applyFill="1" applyBorder="1" applyAlignment="1" applyProtection="1">
      <alignment vertical="center" shrinkToFit="1"/>
      <protection hidden="1"/>
    </xf>
    <xf numFmtId="165" fontId="30" fillId="0" borderId="0" xfId="2215" applyNumberFormat="1" applyFont="1" applyFill="1" applyBorder="1" applyAlignment="1" applyProtection="1">
      <alignment vertical="center" shrinkToFit="1"/>
      <protection hidden="1"/>
    </xf>
    <xf numFmtId="0" fontId="30" fillId="0" borderId="0" xfId="2215" applyFont="1" applyFill="1" applyBorder="1" applyAlignment="1" applyProtection="1">
      <alignment horizontal="center"/>
      <protection hidden="1"/>
    </xf>
    <xf numFmtId="164" fontId="26" fillId="16" borderId="10" xfId="2215" applyNumberFormat="1" applyFill="1" applyBorder="1" applyAlignment="1" applyProtection="1">
      <alignment vertical="center" shrinkToFit="1"/>
      <protection locked="0"/>
    </xf>
    <xf numFmtId="164" fontId="26" fillId="16" borderId="7" xfId="2215" applyNumberFormat="1" applyFill="1" applyBorder="1" applyAlignment="1" applyProtection="1">
      <alignment vertical="center" shrinkToFit="1"/>
      <protection locked="0"/>
    </xf>
    <xf numFmtId="0" fontId="26" fillId="0" borderId="0" xfId="2215" applyFill="1" applyBorder="1" applyAlignment="1" applyProtection="1">
      <alignment vertical="center" shrinkToFit="1"/>
      <protection hidden="1"/>
    </xf>
    <xf numFmtId="0" fontId="26" fillId="16" borderId="8" xfId="2215" applyFill="1" applyBorder="1" applyAlignment="1" applyProtection="1">
      <alignment vertical="center"/>
      <protection hidden="1"/>
    </xf>
    <xf numFmtId="164" fontId="26" fillId="16" borderId="6" xfId="2215" applyNumberFormat="1" applyFill="1" applyBorder="1" applyAlignment="1" applyProtection="1">
      <alignment vertical="center" shrinkToFit="1"/>
      <protection locked="0"/>
    </xf>
    <xf numFmtId="165" fontId="30" fillId="0" borderId="50" xfId="2215" applyNumberFormat="1" applyFont="1" applyFill="1" applyBorder="1" applyAlignment="1" applyProtection="1">
      <alignment vertical="center" shrinkToFit="1"/>
      <protection hidden="1"/>
    </xf>
    <xf numFmtId="0" fontId="0" fillId="0" borderId="0" xfId="0" applyAlignment="1" applyProtection="1">
      <alignment horizontal="center" vertical="center"/>
      <protection hidden="1"/>
    </xf>
    <xf numFmtId="2" fontId="26" fillId="0" borderId="0" xfId="2215" applyNumberFormat="1" applyFill="1" applyBorder="1" applyAlignment="1" applyProtection="1">
      <alignment horizontal="center" vertical="center"/>
      <protection hidden="1"/>
    </xf>
    <xf numFmtId="0" fontId="30" fillId="0" borderId="0" xfId="2215" applyFont="1" applyFill="1" applyBorder="1" applyAlignment="1" applyProtection="1">
      <alignment horizontal="right" vertical="center"/>
      <protection hidden="1"/>
    </xf>
    <xf numFmtId="10" fontId="26" fillId="2" borderId="1" xfId="2215" applyNumberFormat="1" applyFill="1" applyBorder="1" applyAlignment="1" applyProtection="1">
      <alignment horizontal="center" vertical="center"/>
      <protection hidden="1"/>
    </xf>
    <xf numFmtId="2" fontId="26" fillId="2" borderId="9" xfId="2215" applyNumberFormat="1" applyFill="1" applyBorder="1" applyAlignment="1" applyProtection="1">
      <alignment horizontal="center" vertical="center"/>
      <protection hidden="1"/>
    </xf>
    <xf numFmtId="0" fontId="26" fillId="2" borderId="4" xfId="2215" applyFill="1" applyBorder="1" applyAlignment="1" applyProtection="1">
      <alignment horizontal="center" vertical="center"/>
      <protection hidden="1"/>
    </xf>
    <xf numFmtId="0" fontId="26" fillId="2" borderId="0" xfId="2215" applyFill="1" applyBorder="1" applyAlignment="1" applyProtection="1">
      <alignment horizontal="center" vertical="center"/>
      <protection hidden="1"/>
    </xf>
    <xf numFmtId="165" fontId="26" fillId="16" borderId="7" xfId="2215" applyNumberFormat="1" applyFill="1" applyBorder="1" applyAlignment="1" applyProtection="1">
      <alignment vertical="center" shrinkToFit="1"/>
      <protection hidden="1"/>
    </xf>
    <xf numFmtId="165" fontId="30" fillId="16" borderId="45" xfId="2215" applyNumberFormat="1" applyFont="1" applyFill="1" applyBorder="1" applyAlignment="1" applyProtection="1">
      <alignment vertical="center" shrinkToFit="1"/>
      <protection hidden="1"/>
    </xf>
    <xf numFmtId="165" fontId="30" fillId="16" borderId="46" xfId="2215" applyNumberFormat="1" applyFont="1" applyFill="1" applyBorder="1" applyAlignment="1" applyProtection="1">
      <alignment vertical="center" shrinkToFit="1"/>
      <protection hidden="1"/>
    </xf>
    <xf numFmtId="165" fontId="30" fillId="16" borderId="47" xfId="2215" applyNumberFormat="1" applyFont="1" applyFill="1" applyBorder="1" applyAlignment="1" applyProtection="1">
      <alignment vertical="center" shrinkToFit="1"/>
      <protection hidden="1"/>
    </xf>
    <xf numFmtId="0" fontId="30" fillId="0" borderId="0" xfId="2215" applyFont="1" applyBorder="1" applyAlignment="1" applyProtection="1">
      <alignment vertical="center" shrinkToFit="1"/>
      <protection hidden="1"/>
    </xf>
    <xf numFmtId="0" fontId="26" fillId="19" borderId="0" xfId="2215" applyFill="1" applyBorder="1" applyAlignment="1" applyProtection="1">
      <alignment vertical="center" shrinkToFit="1"/>
      <protection hidden="1"/>
    </xf>
    <xf numFmtId="0" fontId="30" fillId="16" borderId="20" xfId="2215" applyFont="1" applyFill="1" applyBorder="1" applyAlignment="1" applyProtection="1">
      <alignment horizontal="center" vertical="center" shrinkToFit="1"/>
      <protection hidden="1"/>
    </xf>
    <xf numFmtId="2" fontId="26" fillId="0" borderId="9" xfId="2215" applyNumberFormat="1" applyFill="1" applyBorder="1" applyAlignment="1" applyProtection="1">
      <alignment vertical="center" shrinkToFit="1"/>
      <protection hidden="1"/>
    </xf>
    <xf numFmtId="2" fontId="26" fillId="0" borderId="44" xfId="2215" applyNumberFormat="1" applyFill="1" applyBorder="1" applyAlignment="1" applyProtection="1">
      <alignment vertical="center" shrinkToFit="1"/>
      <protection hidden="1"/>
    </xf>
    <xf numFmtId="0" fontId="26" fillId="2" borderId="12" xfId="2215" applyFill="1" applyBorder="1" applyAlignment="1" applyProtection="1">
      <alignment vertical="center"/>
      <protection hidden="1"/>
    </xf>
    <xf numFmtId="0" fontId="26" fillId="2" borderId="0" xfId="2215" applyFill="1" applyBorder="1" applyAlignment="1" applyProtection="1">
      <alignment vertical="center"/>
      <protection hidden="1"/>
    </xf>
    <xf numFmtId="2" fontId="30" fillId="0" borderId="0" xfId="2215" applyNumberFormat="1" applyFont="1" applyFill="1" applyBorder="1" applyAlignment="1" applyProtection="1">
      <alignment vertical="center" shrinkToFit="1"/>
      <protection hidden="1"/>
    </xf>
    <xf numFmtId="2" fontId="30" fillId="0" borderId="0" xfId="2215" applyNumberFormat="1" applyFont="1" applyFill="1" applyBorder="1" applyAlignment="1" applyProtection="1">
      <alignment horizontal="right" vertical="center"/>
      <protection hidden="1"/>
    </xf>
    <xf numFmtId="0" fontId="30" fillId="17" borderId="20" xfId="2215" applyFont="1" applyFill="1" applyBorder="1" applyAlignment="1" applyProtection="1">
      <alignment horizontal="center" vertical="center" shrinkToFit="1"/>
      <protection hidden="1"/>
    </xf>
    <xf numFmtId="0" fontId="26" fillId="17" borderId="13" xfId="2215" applyFill="1" applyBorder="1" applyAlignment="1" applyProtection="1">
      <alignment vertical="center"/>
      <protection hidden="1"/>
    </xf>
    <xf numFmtId="165" fontId="26" fillId="17" borderId="7" xfId="2215" applyNumberFormat="1" applyFill="1" applyBorder="1" applyAlignment="1" applyProtection="1">
      <alignment vertical="center" shrinkToFit="1"/>
      <protection hidden="1"/>
    </xf>
    <xf numFmtId="0" fontId="26" fillId="17" borderId="9" xfId="2215" applyFill="1" applyBorder="1" applyAlignment="1" applyProtection="1">
      <alignment vertical="center"/>
      <protection hidden="1"/>
    </xf>
    <xf numFmtId="165" fontId="30" fillId="17" borderId="45" xfId="2215" applyNumberFormat="1" applyFont="1" applyFill="1" applyBorder="1" applyAlignment="1" applyProtection="1">
      <alignment vertical="center" shrinkToFit="1"/>
      <protection hidden="1"/>
    </xf>
    <xf numFmtId="165" fontId="30" fillId="17" borderId="46" xfId="2215" applyNumberFormat="1" applyFont="1" applyFill="1" applyBorder="1" applyAlignment="1" applyProtection="1">
      <alignment vertical="center" shrinkToFit="1"/>
      <protection hidden="1"/>
    </xf>
    <xf numFmtId="165" fontId="30" fillId="17" borderId="47" xfId="2215" applyNumberFormat="1" applyFont="1" applyFill="1" applyBorder="1" applyAlignment="1" applyProtection="1">
      <alignment vertical="center" shrinkToFit="1"/>
      <protection hidden="1"/>
    </xf>
    <xf numFmtId="0" fontId="0" fillId="0" borderId="9" xfId="0" applyFill="1" applyBorder="1" applyAlignment="1" applyProtection="1">
      <alignment vertical="center" shrinkToFit="1"/>
      <protection hidden="1"/>
    </xf>
    <xf numFmtId="0" fontId="0" fillId="0" borderId="0" xfId="0" applyAlignment="1" applyProtection="1">
      <alignment vertical="center" shrinkToFit="1"/>
      <protection hidden="1"/>
    </xf>
    <xf numFmtId="165" fontId="39" fillId="4" borderId="18" xfId="0" applyNumberFormat="1" applyFont="1" applyFill="1" applyBorder="1" applyAlignment="1" applyProtection="1">
      <alignment vertical="center"/>
      <protection hidden="1"/>
    </xf>
    <xf numFmtId="0" fontId="31" fillId="2" borderId="0" xfId="2217" applyFont="1" applyFill="1" applyBorder="1" applyAlignment="1" applyProtection="1">
      <protection hidden="1"/>
    </xf>
    <xf numFmtId="0" fontId="25" fillId="0" borderId="0" xfId="2216" applyFont="1" applyAlignment="1" applyProtection="1">
      <alignment horizontal="right" vertical="center"/>
      <protection hidden="1"/>
    </xf>
    <xf numFmtId="0" fontId="25" fillId="4" borderId="0" xfId="2216" applyFont="1" applyFill="1" applyAlignment="1" applyProtection="1">
      <alignment horizontal="center" vertical="center"/>
      <protection hidden="1"/>
    </xf>
    <xf numFmtId="0" fontId="18" fillId="0" borderId="0" xfId="2216" applyFont="1" applyAlignment="1" applyProtection="1">
      <alignment horizontal="center" vertical="center"/>
      <protection hidden="1"/>
    </xf>
    <xf numFmtId="0" fontId="18" fillId="0" borderId="0" xfId="2216" applyFont="1" applyAlignment="1" applyProtection="1">
      <alignment vertical="center"/>
      <protection hidden="1"/>
    </xf>
    <xf numFmtId="0" fontId="40" fillId="0" borderId="0" xfId="2216" applyFont="1" applyAlignment="1" applyProtection="1">
      <alignment vertical="center"/>
      <protection hidden="1"/>
    </xf>
    <xf numFmtId="0" fontId="40" fillId="0" borderId="0" xfId="2216" applyFont="1" applyAlignment="1" applyProtection="1">
      <alignment horizontal="center" vertical="center"/>
      <protection hidden="1"/>
    </xf>
    <xf numFmtId="0" fontId="55" fillId="0" borderId="0" xfId="2216" applyFont="1" applyAlignment="1" applyProtection="1">
      <alignment vertical="center"/>
      <protection hidden="1"/>
    </xf>
    <xf numFmtId="0" fontId="25" fillId="0" borderId="0" xfId="2216" applyFont="1" applyAlignment="1" applyProtection="1">
      <alignment horizontal="center" vertical="center"/>
      <protection hidden="1"/>
    </xf>
    <xf numFmtId="165" fontId="18" fillId="4" borderId="0" xfId="2216" applyNumberFormat="1" applyFont="1" applyFill="1" applyAlignment="1" applyProtection="1">
      <alignment horizontal="center" vertical="center"/>
      <protection hidden="1"/>
    </xf>
    <xf numFmtId="164" fontId="18" fillId="4" borderId="0" xfId="2216" applyNumberFormat="1" applyFont="1" applyFill="1" applyAlignment="1" applyProtection="1">
      <alignment horizontal="center" vertical="center"/>
      <protection hidden="1"/>
    </xf>
    <xf numFmtId="165" fontId="18" fillId="3" borderId="0" xfId="2216" applyNumberFormat="1" applyFont="1" applyFill="1" applyAlignment="1" applyProtection="1">
      <alignment horizontal="center" vertical="center"/>
      <protection hidden="1"/>
    </xf>
    <xf numFmtId="164" fontId="18" fillId="3" borderId="0" xfId="2216" applyNumberFormat="1" applyFont="1" applyFill="1" applyAlignment="1" applyProtection="1">
      <alignment horizontal="center" vertical="center"/>
      <protection hidden="1"/>
    </xf>
    <xf numFmtId="0" fontId="18" fillId="0" borderId="0" xfId="2216" applyFont="1" applyFill="1" applyAlignment="1" applyProtection="1">
      <alignment horizontal="center" vertical="center"/>
      <protection hidden="1"/>
    </xf>
    <xf numFmtId="165" fontId="25" fillId="4" borderId="0" xfId="2216" applyNumberFormat="1" applyFont="1" applyFill="1" applyAlignment="1" applyProtection="1">
      <alignment horizontal="center" vertical="center"/>
      <protection hidden="1"/>
    </xf>
    <xf numFmtId="164" fontId="25" fillId="4" borderId="0" xfId="2216" applyNumberFormat="1" applyFont="1" applyFill="1" applyAlignment="1" applyProtection="1">
      <alignment horizontal="center" vertical="center"/>
      <protection hidden="1"/>
    </xf>
    <xf numFmtId="0" fontId="40" fillId="0" borderId="0" xfId="2216" applyFont="1" applyAlignment="1" applyProtection="1">
      <alignment horizontal="center"/>
      <protection hidden="1"/>
    </xf>
    <xf numFmtId="0" fontId="40" fillId="4" borderId="0" xfId="2216" applyFont="1" applyFill="1" applyAlignment="1" applyProtection="1">
      <alignment vertical="center"/>
      <protection hidden="1"/>
    </xf>
    <xf numFmtId="0" fontId="18" fillId="4" borderId="0" xfId="2216" applyFont="1" applyFill="1" applyAlignment="1" applyProtection="1">
      <alignment vertical="center"/>
      <protection hidden="1"/>
    </xf>
    <xf numFmtId="0" fontId="40" fillId="3" borderId="0" xfId="2216" applyFont="1" applyFill="1" applyAlignment="1" applyProtection="1">
      <alignment horizontal="center" vertical="center"/>
      <protection hidden="1"/>
    </xf>
    <xf numFmtId="0" fontId="40" fillId="0" borderId="0" xfId="2216" applyFont="1" applyFill="1" applyAlignment="1" applyProtection="1">
      <alignment horizontal="center" vertical="center"/>
      <protection hidden="1"/>
    </xf>
    <xf numFmtId="0" fontId="25" fillId="0" borderId="0" xfId="2216" applyFont="1" applyAlignment="1" applyProtection="1">
      <alignment vertical="center"/>
      <protection hidden="1"/>
    </xf>
    <xf numFmtId="0" fontId="79" fillId="0" borderId="0" xfId="2216" applyFont="1" applyAlignment="1" applyProtection="1">
      <alignment vertical="center"/>
      <protection hidden="1"/>
    </xf>
    <xf numFmtId="0" fontId="55" fillId="0" borderId="0" xfId="2216" applyFont="1" applyBorder="1" applyAlignment="1" applyProtection="1">
      <alignment vertical="center"/>
      <protection hidden="1"/>
    </xf>
    <xf numFmtId="0" fontId="18" fillId="0" borderId="0" xfId="2216" applyFont="1" applyAlignment="1" applyProtection="1">
      <alignment horizontal="right" vertical="center"/>
      <protection hidden="1"/>
    </xf>
    <xf numFmtId="165" fontId="18" fillId="3" borderId="0" xfId="2216" applyNumberFormat="1" applyFont="1" applyFill="1" applyAlignment="1" applyProtection="1">
      <alignment horizontal="center" vertical="center"/>
      <protection locked="0" hidden="1"/>
    </xf>
    <xf numFmtId="0" fontId="40" fillId="0" borderId="0" xfId="2216" applyFont="1" applyFill="1" applyAlignment="1" applyProtection="1">
      <alignment vertical="center"/>
      <protection hidden="1"/>
    </xf>
    <xf numFmtId="0" fontId="64" fillId="0" borderId="0" xfId="2216" applyFont="1" applyFill="1" applyAlignment="1" applyProtection="1">
      <alignment horizontal="right" vertical="center"/>
      <protection hidden="1"/>
    </xf>
    <xf numFmtId="165" fontId="64" fillId="0" borderId="0" xfId="2216" applyNumberFormat="1" applyFont="1" applyFill="1" applyAlignment="1" applyProtection="1">
      <alignment horizontal="center" vertical="center"/>
      <protection hidden="1"/>
    </xf>
    <xf numFmtId="0" fontId="64" fillId="0" borderId="0" xfId="2216" applyFont="1" applyFill="1" applyAlignment="1" applyProtection="1">
      <alignment vertical="center"/>
      <protection hidden="1"/>
    </xf>
    <xf numFmtId="0" fontId="64" fillId="0" borderId="0" xfId="2216" applyFont="1" applyFill="1" applyAlignment="1" applyProtection="1">
      <alignment horizontal="left" vertical="center"/>
      <protection hidden="1"/>
    </xf>
    <xf numFmtId="165" fontId="18" fillId="3" borderId="0" xfId="2216" applyNumberFormat="1" applyFont="1" applyFill="1" applyBorder="1" applyAlignment="1" applyProtection="1">
      <alignment horizontal="center" vertical="center"/>
      <protection locked="0" hidden="1"/>
    </xf>
    <xf numFmtId="165" fontId="40" fillId="0" borderId="0" xfId="2216" applyNumberFormat="1" applyFont="1" applyFill="1" applyBorder="1" applyAlignment="1" applyProtection="1">
      <alignment horizontal="center" vertical="center"/>
      <protection hidden="1"/>
    </xf>
    <xf numFmtId="0" fontId="18" fillId="0" borderId="13" xfId="2216" applyFont="1" applyBorder="1" applyAlignment="1" applyProtection="1">
      <alignment vertical="center"/>
      <protection hidden="1"/>
    </xf>
    <xf numFmtId="0" fontId="25" fillId="0" borderId="12" xfId="2216" applyFont="1" applyBorder="1" applyAlignment="1" applyProtection="1">
      <alignment horizontal="right" vertical="center"/>
      <protection hidden="1"/>
    </xf>
    <xf numFmtId="165" fontId="25" fillId="0" borderId="12" xfId="2216" applyNumberFormat="1" applyFont="1" applyFill="1" applyBorder="1" applyAlignment="1" applyProtection="1">
      <alignment horizontal="center" vertical="center"/>
      <protection hidden="1"/>
    </xf>
    <xf numFmtId="0" fontId="25" fillId="0" borderId="12" xfId="2216" applyFont="1" applyBorder="1" applyAlignment="1" applyProtection="1">
      <alignment vertical="center"/>
      <protection hidden="1"/>
    </xf>
    <xf numFmtId="0" fontId="80" fillId="0" borderId="12" xfId="2216" applyFont="1" applyBorder="1" applyAlignment="1" applyProtection="1">
      <alignment horizontal="left" vertical="center"/>
      <protection hidden="1"/>
    </xf>
    <xf numFmtId="0" fontId="80" fillId="0" borderId="11" xfId="2216" applyFont="1" applyBorder="1" applyAlignment="1" applyProtection="1">
      <alignment horizontal="left" vertical="center"/>
      <protection hidden="1"/>
    </xf>
    <xf numFmtId="0" fontId="18" fillId="0" borderId="0" xfId="2216" applyFont="1" applyBorder="1" applyAlignment="1" applyProtection="1">
      <alignment horizontal="center" vertical="center"/>
      <protection hidden="1"/>
    </xf>
    <xf numFmtId="0" fontId="18" fillId="0" borderId="0" xfId="2216" applyFont="1" applyBorder="1" applyAlignment="1" applyProtection="1">
      <alignment vertical="center"/>
      <protection hidden="1"/>
    </xf>
    <xf numFmtId="0" fontId="18" fillId="0" borderId="2" xfId="2216" applyFont="1" applyBorder="1" applyAlignment="1" applyProtection="1">
      <alignment horizontal="center" vertical="center"/>
      <protection hidden="1"/>
    </xf>
    <xf numFmtId="0" fontId="18" fillId="0" borderId="9" xfId="2216" applyFont="1" applyBorder="1" applyAlignment="1" applyProtection="1">
      <alignment vertical="center"/>
      <protection hidden="1"/>
    </xf>
    <xf numFmtId="0" fontId="18" fillId="0" borderId="0" xfId="2216" applyFont="1" applyBorder="1" applyAlignment="1" applyProtection="1">
      <alignment horizontal="right" vertical="center"/>
      <protection hidden="1"/>
    </xf>
    <xf numFmtId="44" fontId="18" fillId="4" borderId="0" xfId="2216" applyNumberFormat="1" applyFont="1" applyFill="1" applyBorder="1" applyAlignment="1" applyProtection="1">
      <alignment vertical="center" shrinkToFit="1"/>
      <protection hidden="1"/>
    </xf>
    <xf numFmtId="44" fontId="18" fillId="4" borderId="2" xfId="2216" applyNumberFormat="1" applyFont="1" applyFill="1" applyBorder="1" applyAlignment="1" applyProtection="1">
      <alignment vertical="center" shrinkToFit="1"/>
      <protection hidden="1"/>
    </xf>
    <xf numFmtId="44" fontId="18" fillId="3" borderId="0" xfId="2216" applyNumberFormat="1" applyFont="1" applyFill="1" applyBorder="1" applyAlignment="1" applyProtection="1">
      <alignment vertical="center" shrinkToFit="1"/>
      <protection hidden="1"/>
    </xf>
    <xf numFmtId="173" fontId="18" fillId="4" borderId="0" xfId="2216" applyNumberFormat="1" applyFont="1" applyFill="1" applyBorder="1" applyAlignment="1" applyProtection="1">
      <alignment horizontal="center" vertical="center" shrinkToFit="1"/>
      <protection hidden="1"/>
    </xf>
    <xf numFmtId="0" fontId="40" fillId="0" borderId="9" xfId="2216" applyFont="1" applyBorder="1" applyAlignment="1" applyProtection="1">
      <alignment vertical="center"/>
      <protection hidden="1"/>
    </xf>
    <xf numFmtId="0" fontId="40" fillId="0" borderId="0" xfId="2216" applyFont="1" applyBorder="1" applyAlignment="1" applyProtection="1">
      <alignment vertical="center"/>
      <protection hidden="1"/>
    </xf>
    <xf numFmtId="0" fontId="40" fillId="0" borderId="0" xfId="2216" applyFont="1" applyBorder="1" applyAlignment="1" applyProtection="1">
      <alignment horizontal="center" vertical="center"/>
      <protection hidden="1"/>
    </xf>
    <xf numFmtId="44" fontId="40" fillId="0" borderId="0" xfId="2216" applyNumberFormat="1" applyFont="1" applyBorder="1" applyAlignment="1" applyProtection="1">
      <alignment vertical="center"/>
      <protection hidden="1"/>
    </xf>
    <xf numFmtId="44" fontId="40" fillId="0" borderId="2" xfId="2216" applyNumberFormat="1" applyFont="1" applyBorder="1" applyAlignment="1" applyProtection="1">
      <alignment vertical="center"/>
      <protection hidden="1"/>
    </xf>
    <xf numFmtId="0" fontId="55" fillId="0" borderId="0" xfId="2216" applyFont="1" applyBorder="1" applyAlignment="1" applyProtection="1">
      <alignment horizontal="right" vertical="center"/>
      <protection hidden="1"/>
    </xf>
    <xf numFmtId="44" fontId="81" fillId="4" borderId="0" xfId="2216" applyNumberFormat="1" applyFont="1" applyFill="1" applyBorder="1" applyAlignment="1" applyProtection="1">
      <alignment horizontal="right" vertical="center" shrinkToFit="1"/>
      <protection hidden="1"/>
    </xf>
    <xf numFmtId="44" fontId="18" fillId="0" borderId="2" xfId="2216" applyNumberFormat="1" applyFont="1" applyBorder="1" applyAlignment="1" applyProtection="1">
      <alignment vertical="center"/>
      <protection hidden="1"/>
    </xf>
    <xf numFmtId="0" fontId="18" fillId="0" borderId="8" xfId="2216" applyFont="1" applyBorder="1" applyAlignment="1" applyProtection="1">
      <alignment vertical="center"/>
      <protection hidden="1"/>
    </xf>
    <xf numFmtId="44" fontId="81" fillId="0" borderId="14" xfId="2216" applyNumberFormat="1" applyFont="1" applyBorder="1" applyAlignment="1" applyProtection="1">
      <alignment vertical="center" shrinkToFit="1"/>
      <protection hidden="1"/>
    </xf>
    <xf numFmtId="0" fontId="18" fillId="0" borderId="15" xfId="2216" applyFont="1" applyBorder="1" applyAlignment="1" applyProtection="1">
      <alignment vertical="center"/>
      <protection hidden="1"/>
    </xf>
    <xf numFmtId="0" fontId="39" fillId="4" borderId="0" xfId="0" applyNumberFormat="1" applyFont="1" applyFill="1" applyAlignment="1" applyProtection="1">
      <alignment horizontal="center" vertical="center" wrapText="1"/>
      <protection hidden="1"/>
    </xf>
    <xf numFmtId="0" fontId="27" fillId="0" borderId="1" xfId="0" applyNumberFormat="1" applyFont="1" applyFill="1" applyBorder="1" applyAlignment="1" applyProtection="1">
      <alignment vertical="center" wrapText="1"/>
      <protection hidden="1"/>
    </xf>
    <xf numFmtId="0" fontId="53" fillId="2" borderId="0" xfId="1" applyNumberFormat="1" applyFont="1" applyFill="1" applyBorder="1" applyAlignment="1" applyProtection="1">
      <alignment horizontal="center" vertical="center"/>
      <protection hidden="1"/>
    </xf>
    <xf numFmtId="0" fontId="27" fillId="3" borderId="0" xfId="0" applyFont="1" applyFill="1" applyBorder="1" applyAlignment="1" applyProtection="1">
      <alignment horizontal="center" vertical="center"/>
      <protection locked="0"/>
    </xf>
    <xf numFmtId="0" fontId="39" fillId="0" borderId="0" xfId="0" applyFont="1" applyAlignment="1" applyProtection="1">
      <alignment horizontal="right" vertical="center"/>
      <protection hidden="1"/>
    </xf>
    <xf numFmtId="165" fontId="18" fillId="12" borderId="0" xfId="0" applyNumberFormat="1" applyFont="1" applyFill="1" applyBorder="1" applyAlignment="1" applyProtection="1">
      <alignment horizontal="center"/>
      <protection hidden="1"/>
    </xf>
    <xf numFmtId="0" fontId="16" fillId="0" borderId="0" xfId="0" applyFont="1" applyProtection="1">
      <protection hidden="1"/>
    </xf>
    <xf numFmtId="0" fontId="30" fillId="18" borderId="0" xfId="2215" applyFont="1" applyFill="1" applyBorder="1" applyAlignment="1" applyProtection="1">
      <alignment horizontal="center" vertical="center"/>
      <protection hidden="1"/>
    </xf>
    <xf numFmtId="0" fontId="40" fillId="0" borderId="0" xfId="2216" applyFont="1" applyAlignment="1" applyProtection="1">
      <alignment horizontal="right" vertical="center"/>
      <protection hidden="1"/>
    </xf>
    <xf numFmtId="0" fontId="39" fillId="4" borderId="0" xfId="0" applyFont="1" applyFill="1" applyBorder="1" applyAlignment="1" applyProtection="1">
      <alignment vertical="center" wrapText="1"/>
      <protection hidden="1"/>
    </xf>
    <xf numFmtId="0" fontId="39" fillId="0" borderId="0" xfId="0" applyFont="1" applyFill="1" applyBorder="1" applyAlignment="1" applyProtection="1">
      <alignment vertical="center" wrapText="1"/>
      <protection hidden="1"/>
    </xf>
    <xf numFmtId="165" fontId="15" fillId="4" borderId="0" xfId="2216" applyNumberFormat="1" applyFont="1" applyFill="1" applyAlignment="1" applyProtection="1">
      <alignment horizontal="center" vertical="center"/>
      <protection hidden="1"/>
    </xf>
    <xf numFmtId="0" fontId="14" fillId="0" borderId="0" xfId="2216" applyFont="1" applyAlignment="1" applyProtection="1">
      <alignment vertical="center"/>
      <protection hidden="1"/>
    </xf>
    <xf numFmtId="0" fontId="14" fillId="0" borderId="0" xfId="2216" applyFont="1" applyAlignment="1" applyProtection="1">
      <alignment horizontal="right" vertical="center"/>
      <protection hidden="1"/>
    </xf>
    <xf numFmtId="0" fontId="14" fillId="0" borderId="0" xfId="0" applyFont="1" applyAlignment="1" applyProtection="1">
      <alignment horizontal="right" vertical="center"/>
      <protection hidden="1"/>
    </xf>
    <xf numFmtId="3" fontId="30" fillId="0" borderId="0" xfId="2" applyNumberFormat="1" applyFont="1" applyFill="1" applyBorder="1" applyAlignment="1" applyProtection="1">
      <alignment horizontal="center" vertical="center" shrinkToFit="1"/>
      <protection hidden="1"/>
    </xf>
    <xf numFmtId="0" fontId="39" fillId="0" borderId="0" xfId="0" applyFont="1" applyFill="1" applyAlignment="1" applyProtection="1">
      <alignment horizontal="right" vertical="center" shrinkToFit="1"/>
      <protection hidden="1"/>
    </xf>
    <xf numFmtId="44" fontId="27" fillId="0" borderId="0" xfId="0" applyNumberFormat="1" applyFont="1" applyFill="1" applyBorder="1" applyAlignment="1" applyProtection="1">
      <alignment horizontal="center" vertical="center" shrinkToFit="1"/>
      <protection hidden="1"/>
    </xf>
    <xf numFmtId="3" fontId="30" fillId="0" borderId="0" xfId="2" applyNumberFormat="1" applyFont="1" applyFill="1" applyBorder="1" applyAlignment="1" applyProtection="1">
      <alignment vertical="center" shrinkToFit="1"/>
      <protection hidden="1"/>
    </xf>
    <xf numFmtId="44" fontId="26" fillId="4" borderId="1" xfId="0" applyNumberFormat="1" applyFont="1" applyFill="1" applyBorder="1" applyAlignment="1" applyProtection="1">
      <alignment vertical="center" shrinkToFit="1"/>
    </xf>
    <xf numFmtId="0" fontId="13" fillId="0" borderId="0" xfId="0" applyFont="1" applyAlignment="1" applyProtection="1">
      <alignment horizontal="right" vertical="center"/>
      <protection hidden="1"/>
    </xf>
    <xf numFmtId="0" fontId="18" fillId="0" borderId="0" xfId="2216" applyFont="1" applyFill="1" applyAlignment="1" applyProtection="1">
      <alignment vertical="center"/>
      <protection hidden="1"/>
    </xf>
    <xf numFmtId="0" fontId="64" fillId="0" borderId="0" xfId="2216" applyFont="1" applyFill="1" applyAlignment="1" applyProtection="1">
      <protection hidden="1"/>
    </xf>
    <xf numFmtId="0" fontId="13" fillId="0" borderId="0" xfId="2216" applyFont="1" applyAlignment="1" applyProtection="1">
      <alignment vertical="center"/>
      <protection hidden="1"/>
    </xf>
    <xf numFmtId="0" fontId="40" fillId="4" borderId="0" xfId="2216" applyFont="1" applyFill="1" applyAlignment="1" applyProtection="1">
      <alignment horizontal="center" vertical="center"/>
      <protection hidden="1"/>
    </xf>
    <xf numFmtId="0" fontId="25" fillId="0" borderId="0" xfId="0" applyFont="1" applyAlignment="1" applyProtection="1">
      <alignment horizontal="left"/>
      <protection hidden="1"/>
    </xf>
    <xf numFmtId="0" fontId="27" fillId="3" borderId="0" xfId="0" applyFont="1" applyFill="1" applyBorder="1" applyAlignment="1" applyProtection="1">
      <alignment horizontal="center" vertical="center" shrinkToFit="1"/>
      <protection locked="0"/>
    </xf>
    <xf numFmtId="0" fontId="30" fillId="4" borderId="13" xfId="2215" applyFont="1" applyFill="1" applyBorder="1" applyAlignment="1" applyProtection="1">
      <alignment horizontal="right" vertical="center"/>
      <protection hidden="1"/>
    </xf>
    <xf numFmtId="0" fontId="30" fillId="4" borderId="9" xfId="2215" applyFont="1" applyFill="1" applyBorder="1" applyAlignment="1" applyProtection="1">
      <alignment horizontal="right" vertical="center"/>
      <protection hidden="1"/>
    </xf>
    <xf numFmtId="0" fontId="30" fillId="4" borderId="8" xfId="2215" applyFont="1" applyFill="1" applyBorder="1" applyAlignment="1" applyProtection="1">
      <alignment horizontal="right"/>
      <protection hidden="1"/>
    </xf>
    <xf numFmtId="165" fontId="30" fillId="4" borderId="18" xfId="2215" applyNumberFormat="1" applyFont="1" applyFill="1" applyBorder="1" applyAlignment="1" applyProtection="1">
      <alignment vertical="center" shrinkToFit="1"/>
      <protection hidden="1"/>
    </xf>
    <xf numFmtId="0" fontId="27" fillId="0" borderId="11" xfId="0" applyFont="1" applyBorder="1" applyAlignment="1" applyProtection="1">
      <alignment vertical="center"/>
    </xf>
    <xf numFmtId="0" fontId="13" fillId="0" borderId="0" xfId="2216" applyFont="1" applyAlignment="1" applyProtection="1">
      <alignment horizontal="right" vertical="center"/>
      <protection hidden="1"/>
    </xf>
    <xf numFmtId="0" fontId="40" fillId="0" borderId="0" xfId="2216" applyFont="1" applyFill="1" applyAlignment="1" applyProtection="1">
      <alignment horizontal="right" vertical="center"/>
      <protection hidden="1"/>
    </xf>
    <xf numFmtId="0" fontId="27" fillId="0" borderId="0" xfId="0" applyFont="1" applyFill="1" applyBorder="1" applyAlignment="1" applyProtection="1">
      <alignment vertical="center"/>
    </xf>
    <xf numFmtId="0" fontId="30" fillId="0" borderId="13" xfId="0" applyFont="1" applyBorder="1" applyAlignment="1" applyProtection="1">
      <alignment vertical="center" shrinkToFit="1"/>
    </xf>
    <xf numFmtId="0" fontId="30" fillId="0" borderId="12" xfId="0" applyFont="1" applyBorder="1" applyAlignment="1" applyProtection="1">
      <alignment vertical="center" shrinkToFit="1"/>
    </xf>
    <xf numFmtId="0" fontId="40" fillId="0" borderId="12" xfId="0" applyFont="1" applyBorder="1" applyAlignment="1" applyProtection="1">
      <alignment horizontal="left" shrinkToFit="1"/>
      <protection hidden="1"/>
    </xf>
    <xf numFmtId="0" fontId="27" fillId="0" borderId="12" xfId="0" applyFont="1" applyBorder="1" applyAlignment="1" applyProtection="1">
      <alignment vertical="center" shrinkToFit="1"/>
    </xf>
    <xf numFmtId="0" fontId="39" fillId="0" borderId="11" xfId="0" applyFont="1" applyBorder="1" applyAlignment="1" applyProtection="1">
      <alignment horizontal="right" vertical="center" shrinkToFit="1"/>
      <protection hidden="1"/>
    </xf>
    <xf numFmtId="170" fontId="27" fillId="3" borderId="0" xfId="0" applyNumberFormat="1" applyFont="1" applyFill="1" applyBorder="1" applyAlignment="1" applyProtection="1">
      <alignment horizontal="center" vertical="center" shrinkToFit="1"/>
      <protection locked="0"/>
    </xf>
    <xf numFmtId="0" fontId="27" fillId="0" borderId="2" xfId="0" applyFont="1" applyFill="1" applyBorder="1" applyAlignment="1" applyProtection="1">
      <alignment vertical="center" shrinkToFit="1"/>
    </xf>
    <xf numFmtId="0" fontId="27" fillId="0" borderId="2" xfId="0" applyFont="1" applyBorder="1" applyAlignment="1" applyProtection="1">
      <alignment vertical="center" shrinkToFit="1"/>
    </xf>
    <xf numFmtId="0" fontId="40" fillId="0" borderId="12" xfId="0" applyFont="1" applyFill="1" applyBorder="1" applyAlignment="1" applyProtection="1">
      <alignment horizontal="left"/>
      <protection hidden="1"/>
    </xf>
    <xf numFmtId="0" fontId="27" fillId="0" borderId="12" xfId="0" applyFont="1" applyFill="1" applyBorder="1" applyAlignment="1" applyProtection="1">
      <alignment vertical="center"/>
    </xf>
    <xf numFmtId="0" fontId="27" fillId="0" borderId="12" xfId="0" applyFont="1" applyFill="1" applyBorder="1" applyAlignment="1" applyProtection="1">
      <alignment vertical="center" shrinkToFit="1"/>
    </xf>
    <xf numFmtId="0" fontId="27" fillId="0" borderId="11" xfId="0" applyFont="1" applyFill="1" applyBorder="1" applyAlignment="1" applyProtection="1">
      <alignment vertical="center" shrinkToFit="1"/>
    </xf>
    <xf numFmtId="0" fontId="40" fillId="4" borderId="0" xfId="2216" applyFont="1" applyFill="1" applyAlignment="1" applyProtection="1">
      <alignment horizontal="right" vertical="center"/>
      <protection hidden="1"/>
    </xf>
    <xf numFmtId="0" fontId="40" fillId="4" borderId="0" xfId="2216" applyFont="1" applyFill="1" applyAlignment="1" applyProtection="1">
      <alignment horizontal="left" vertical="center"/>
      <protection hidden="1"/>
    </xf>
    <xf numFmtId="0" fontId="18" fillId="0" borderId="0" xfId="2216" applyFont="1" applyAlignment="1" applyProtection="1">
      <alignment horizontal="left" vertical="center"/>
      <protection hidden="1"/>
    </xf>
    <xf numFmtId="0" fontId="12" fillId="0" borderId="0" xfId="2216" applyFont="1" applyAlignment="1" applyProtection="1">
      <alignment vertical="center"/>
      <protection hidden="1"/>
    </xf>
    <xf numFmtId="2" fontId="27" fillId="0" borderId="1" xfId="0" applyNumberFormat="1" applyFont="1" applyBorder="1" applyAlignment="1" applyProtection="1">
      <alignment horizontal="center" vertical="center" shrinkToFit="1"/>
      <protection hidden="1"/>
    </xf>
    <xf numFmtId="0" fontId="11" fillId="0" borderId="0" xfId="2216" applyFont="1" applyAlignment="1" applyProtection="1">
      <alignment horizontal="right" vertical="center"/>
      <protection hidden="1"/>
    </xf>
    <xf numFmtId="0" fontId="18" fillId="0" borderId="0" xfId="0" applyFont="1" applyBorder="1" applyAlignment="1" applyProtection="1">
      <alignment horizontal="right" vertical="center"/>
      <protection hidden="1"/>
    </xf>
    <xf numFmtId="0" fontId="40" fillId="3" borderId="0" xfId="2216" applyFont="1" applyFill="1" applyAlignment="1" applyProtection="1">
      <alignment horizontal="right" vertical="center"/>
      <protection hidden="1"/>
    </xf>
    <xf numFmtId="0" fontId="27" fillId="0" borderId="5" xfId="0" applyFont="1" applyFill="1" applyBorder="1" applyAlignment="1" applyProtection="1">
      <alignment vertical="center" shrinkToFit="1"/>
      <protection hidden="1"/>
    </xf>
    <xf numFmtId="0" fontId="10" fillId="0" borderId="0" xfId="0" applyFont="1" applyAlignment="1" applyProtection="1">
      <alignment horizontal="right" vertical="center"/>
      <protection hidden="1"/>
    </xf>
    <xf numFmtId="0" fontId="87" fillId="0" borderId="9" xfId="0" applyFont="1" applyFill="1" applyBorder="1" applyAlignment="1" applyProtection="1">
      <alignment vertical="center"/>
    </xf>
    <xf numFmtId="0" fontId="87" fillId="0" borderId="0" xfId="0" applyFont="1" applyFill="1" applyBorder="1" applyAlignment="1" applyProtection="1">
      <alignment vertical="center"/>
    </xf>
    <xf numFmtId="0" fontId="27" fillId="0" borderId="0" xfId="0" applyFont="1" applyBorder="1" applyAlignment="1" applyProtection="1">
      <alignment vertical="center" shrinkToFit="1"/>
    </xf>
    <xf numFmtId="0" fontId="27" fillId="0" borderId="0" xfId="0" applyFont="1" applyBorder="1" applyAlignment="1" applyProtection="1">
      <alignment horizontal="center" vertical="center" shrinkToFit="1"/>
    </xf>
    <xf numFmtId="0" fontId="27" fillId="0" borderId="0" xfId="0" applyFont="1" applyBorder="1" applyAlignment="1" applyProtection="1">
      <alignment vertical="center" shrinkToFit="1"/>
      <protection hidden="1"/>
    </xf>
    <xf numFmtId="0" fontId="39" fillId="0" borderId="0" xfId="0" applyFont="1" applyBorder="1" applyAlignment="1" applyProtection="1">
      <alignment vertical="center" shrinkToFit="1"/>
      <protection hidden="1"/>
    </xf>
    <xf numFmtId="0" fontId="18" fillId="0" borderId="12" xfId="0" applyFont="1" applyBorder="1" applyAlignment="1" applyProtection="1">
      <alignment shrinkToFit="1"/>
      <protection hidden="1"/>
    </xf>
    <xf numFmtId="0" fontId="27" fillId="0" borderId="9" xfId="0" applyFont="1" applyFill="1" applyBorder="1" applyAlignment="1" applyProtection="1">
      <alignment vertical="center"/>
    </xf>
    <xf numFmtId="0" fontId="27" fillId="0" borderId="2" xfId="0" applyFont="1" applyFill="1" applyBorder="1" applyAlignment="1" applyProtection="1">
      <alignment vertical="center"/>
    </xf>
    <xf numFmtId="0" fontId="27" fillId="0" borderId="12" xfId="0" applyFont="1" applyBorder="1" applyAlignment="1" applyProtection="1">
      <alignment horizontal="center" vertical="center"/>
    </xf>
    <xf numFmtId="2" fontId="27" fillId="3" borderId="0" xfId="0" applyNumberFormat="1" applyFont="1" applyFill="1" applyBorder="1" applyAlignment="1" applyProtection="1">
      <alignment horizontal="center" vertical="center" shrinkToFit="1"/>
      <protection locked="0"/>
    </xf>
    <xf numFmtId="2" fontId="27" fillId="3" borderId="0"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protection hidden="1"/>
    </xf>
    <xf numFmtId="170" fontId="27" fillId="0" borderId="0" xfId="0" applyNumberFormat="1" applyFont="1" applyFill="1" applyBorder="1" applyAlignment="1" applyProtection="1">
      <alignment horizontal="center" vertical="center" shrinkToFit="1"/>
      <protection hidden="1"/>
    </xf>
    <xf numFmtId="0" fontId="40" fillId="4" borderId="6" xfId="10" applyFont="1" applyFill="1" applyBorder="1" applyAlignment="1" applyProtection="1">
      <alignment horizontal="center" vertical="center" wrapText="1"/>
      <protection hidden="1"/>
    </xf>
    <xf numFmtId="44" fontId="40" fillId="3" borderId="7" xfId="2213" applyNumberFormat="1" applyFont="1" applyFill="1" applyBorder="1" applyAlignment="1" applyProtection="1">
      <alignment vertical="center" shrinkToFit="1"/>
      <protection hidden="1"/>
    </xf>
    <xf numFmtId="44" fontId="40" fillId="3" borderId="8" xfId="0" applyNumberFormat="1" applyFont="1" applyFill="1" applyBorder="1" applyAlignment="1" applyProtection="1">
      <alignment horizontal="center" vertical="center" wrapText="1"/>
      <protection hidden="1"/>
    </xf>
    <xf numFmtId="44" fontId="40" fillId="3" borderId="6" xfId="0" applyNumberFormat="1" applyFont="1" applyFill="1" applyBorder="1" applyAlignment="1" applyProtection="1">
      <alignment horizontal="center" vertical="center" wrapText="1"/>
      <protection hidden="1"/>
    </xf>
    <xf numFmtId="44" fontId="40" fillId="3" borderId="6" xfId="2213" applyNumberFormat="1" applyFont="1" applyFill="1" applyBorder="1" applyAlignment="1" applyProtection="1">
      <alignment vertical="center"/>
      <protection hidden="1"/>
    </xf>
    <xf numFmtId="0" fontId="40" fillId="0" borderId="0" xfId="0" applyFont="1" applyAlignment="1" applyProtection="1">
      <alignment horizontal="right" vertical="top"/>
      <protection hidden="1"/>
    </xf>
    <xf numFmtId="0" fontId="40" fillId="0" borderId="0" xfId="0" applyFont="1" applyAlignment="1" applyProtection="1">
      <alignment horizontal="left" vertical="top"/>
      <protection hidden="1"/>
    </xf>
    <xf numFmtId="0" fontId="9" fillId="0" borderId="0" xfId="0" applyFont="1" applyAlignment="1" applyProtection="1">
      <alignment horizontal="right" vertical="center"/>
      <protection hidden="1"/>
    </xf>
    <xf numFmtId="49" fontId="27" fillId="0" borderId="6" xfId="0" applyNumberFormat="1" applyFont="1" applyBorder="1" applyAlignment="1" applyProtection="1">
      <alignment horizontal="right" vertical="center"/>
      <protection hidden="1"/>
    </xf>
    <xf numFmtId="49" fontId="27" fillId="0" borderId="1" xfId="0" applyNumberFormat="1" applyFont="1" applyBorder="1" applyAlignment="1" applyProtection="1">
      <alignment horizontal="right" vertical="center"/>
      <protection hidden="1"/>
    </xf>
    <xf numFmtId="0" fontId="72" fillId="0" borderId="51" xfId="30" applyFont="1" applyFill="1" applyBorder="1" applyAlignment="1" applyProtection="1">
      <alignment vertical="center" shrinkToFit="1"/>
      <protection hidden="1"/>
    </xf>
    <xf numFmtId="165" fontId="27" fillId="4" borderId="0" xfId="2216" applyNumberFormat="1" applyFont="1" applyFill="1" applyAlignment="1" applyProtection="1">
      <alignment horizontal="right" vertical="center"/>
      <protection hidden="1"/>
    </xf>
    <xf numFmtId="165" fontId="27" fillId="3" borderId="0" xfId="2216" applyNumberFormat="1" applyFont="1" applyFill="1" applyAlignment="1" applyProtection="1">
      <alignment horizontal="center" vertical="center"/>
      <protection hidden="1"/>
    </xf>
    <xf numFmtId="0" fontId="26" fillId="2" borderId="0" xfId="2" applyFont="1" applyFill="1" applyBorder="1" applyAlignment="1" applyProtection="1">
      <alignment horizontal="right" vertical="center" wrapText="1"/>
      <protection hidden="1"/>
    </xf>
    <xf numFmtId="0" fontId="30" fillId="2" borderId="0" xfId="2" applyFont="1" applyFill="1" applyAlignment="1" applyProtection="1">
      <alignment horizontal="right" vertical="center" shrinkToFit="1"/>
      <protection hidden="1"/>
    </xf>
    <xf numFmtId="0" fontId="26" fillId="0" borderId="7" xfId="2" applyFont="1" applyFill="1" applyBorder="1" applyAlignment="1" applyProtection="1">
      <alignment horizontal="center" vertical="center" wrapText="1"/>
      <protection hidden="1"/>
    </xf>
    <xf numFmtId="44" fontId="29" fillId="4" borderId="0" xfId="0" applyNumberFormat="1" applyFont="1" applyFill="1" applyBorder="1" applyAlignment="1" applyProtection="1">
      <alignment horizontal="center" vertical="center" shrinkToFit="1"/>
      <protection hidden="1"/>
    </xf>
    <xf numFmtId="0" fontId="26" fillId="2" borderId="0" xfId="2" applyFont="1" applyFill="1" applyBorder="1" applyAlignment="1" applyProtection="1">
      <alignment horizontal="right" vertical="center"/>
      <protection hidden="1"/>
    </xf>
    <xf numFmtId="166" fontId="28" fillId="3" borderId="0" xfId="2" applyNumberFormat="1" applyFont="1" applyFill="1" applyBorder="1" applyAlignment="1" applyProtection="1">
      <alignment horizontal="center" vertical="center" shrinkToFit="1"/>
      <protection locked="0"/>
    </xf>
    <xf numFmtId="10" fontId="26" fillId="0" borderId="0" xfId="2" applyNumberFormat="1" applyFont="1" applyFill="1" applyBorder="1" applyAlignment="1" applyProtection="1">
      <alignment horizontal="right" vertical="center" shrinkToFit="1"/>
      <protection hidden="1"/>
    </xf>
    <xf numFmtId="166" fontId="28" fillId="3" borderId="2" xfId="2" applyNumberFormat="1" applyFont="1" applyFill="1" applyBorder="1" applyAlignment="1" applyProtection="1">
      <alignment horizontal="center" vertical="center" shrinkToFit="1"/>
      <protection locked="0"/>
    </xf>
    <xf numFmtId="44" fontId="27" fillId="3" borderId="0" xfId="1" applyNumberFormat="1" applyFont="1" applyFill="1" applyBorder="1" applyAlignment="1" applyProtection="1">
      <alignment vertical="center"/>
      <protection locked="0"/>
    </xf>
    <xf numFmtId="0" fontId="23" fillId="0" borderId="0" xfId="1" applyFill="1" applyBorder="1" applyProtection="1">
      <protection hidden="1"/>
    </xf>
    <xf numFmtId="0" fontId="26" fillId="0" borderId="0" xfId="2" applyFont="1" applyFill="1" applyBorder="1" applyAlignment="1" applyProtection="1">
      <alignment vertical="center" wrapText="1"/>
      <protection hidden="1"/>
    </xf>
    <xf numFmtId="0" fontId="27" fillId="0" borderId="0" xfId="1" applyFont="1" applyFill="1" applyBorder="1" applyAlignment="1" applyProtection="1">
      <alignment vertical="center"/>
      <protection hidden="1"/>
    </xf>
    <xf numFmtId="0" fontId="39" fillId="2" borderId="0" xfId="1" applyFont="1" applyFill="1" applyBorder="1" applyAlignment="1" applyProtection="1">
      <alignment horizontal="right" vertical="center"/>
      <protection hidden="1"/>
    </xf>
    <xf numFmtId="44" fontId="27" fillId="3" borderId="0" xfId="1" applyNumberFormat="1" applyFont="1" applyFill="1" applyBorder="1" applyAlignment="1" applyProtection="1">
      <alignment horizontal="right" vertical="center"/>
      <protection locked="0"/>
    </xf>
    <xf numFmtId="1" fontId="26" fillId="3" borderId="0" xfId="2" applyNumberFormat="1" applyFont="1" applyFill="1" applyBorder="1" applyAlignment="1" applyProtection="1">
      <alignment horizontal="center" vertical="center" shrinkToFit="1"/>
      <protection locked="0"/>
    </xf>
    <xf numFmtId="169" fontId="26" fillId="3" borderId="0" xfId="2" applyNumberFormat="1" applyFont="1" applyFill="1" applyBorder="1" applyAlignment="1" applyProtection="1">
      <alignment vertical="center" shrinkToFit="1"/>
      <protection locked="0"/>
    </xf>
    <xf numFmtId="0" fontId="30" fillId="2" borderId="0" xfId="2" applyFont="1" applyFill="1" applyBorder="1" applyAlignment="1" applyProtection="1">
      <alignment horizontal="right" vertical="center" wrapText="1"/>
      <protection hidden="1"/>
    </xf>
    <xf numFmtId="0" fontId="26" fillId="0" borderId="0" xfId="2" applyFont="1" applyFill="1" applyBorder="1" applyAlignment="1" applyProtection="1">
      <alignment horizontal="right" vertical="center" shrinkToFit="1"/>
      <protection hidden="1"/>
    </xf>
    <xf numFmtId="0" fontId="30" fillId="2" borderId="0" xfId="2" applyFont="1" applyFill="1" applyBorder="1" applyAlignment="1" applyProtection="1">
      <alignment vertical="center"/>
      <protection hidden="1"/>
    </xf>
    <xf numFmtId="0" fontId="30" fillId="2" borderId="0" xfId="2" applyFont="1" applyFill="1" applyAlignment="1" applyProtection="1">
      <alignment horizontal="right" vertical="center"/>
      <protection hidden="1"/>
    </xf>
    <xf numFmtId="1" fontId="26" fillId="0" borderId="0" xfId="2" applyNumberFormat="1" applyFont="1" applyFill="1" applyBorder="1" applyAlignment="1" applyProtection="1">
      <alignment horizontal="center" vertical="center" shrinkToFit="1"/>
      <protection hidden="1"/>
    </xf>
    <xf numFmtId="0" fontId="39" fillId="0" borderId="0" xfId="1" applyFont="1" applyFill="1" applyBorder="1" applyAlignment="1" applyProtection="1">
      <alignment horizontal="right" vertical="center"/>
      <protection hidden="1"/>
    </xf>
    <xf numFmtId="49" fontId="37" fillId="4" borderId="0" xfId="0" applyNumberFormat="1" applyFont="1" applyFill="1" applyBorder="1" applyAlignment="1" applyProtection="1">
      <alignment horizontal="center" vertical="center" shrinkToFit="1"/>
      <protection hidden="1"/>
    </xf>
    <xf numFmtId="0" fontId="26" fillId="2" borderId="0" xfId="2" applyFont="1" applyFill="1" applyBorder="1" applyAlignment="1" applyProtection="1">
      <alignment horizontal="right" vertical="center" wrapText="1"/>
      <protection hidden="1"/>
    </xf>
    <xf numFmtId="0" fontId="30" fillId="2" borderId="0" xfId="2" applyFont="1" applyFill="1" applyAlignment="1" applyProtection="1">
      <alignment horizontal="right" vertical="center" shrinkToFit="1"/>
      <protection hidden="1"/>
    </xf>
    <xf numFmtId="0" fontId="26" fillId="0" borderId="7" xfId="2" applyFont="1" applyFill="1" applyBorder="1" applyAlignment="1" applyProtection="1">
      <alignment horizontal="center" vertical="center" wrapText="1"/>
      <protection hidden="1"/>
    </xf>
    <xf numFmtId="0" fontId="89" fillId="2" borderId="0" xfId="2" applyFont="1" applyFill="1" applyBorder="1" applyAlignment="1" applyProtection="1">
      <protection hidden="1"/>
    </xf>
    <xf numFmtId="0" fontId="91" fillId="2" borderId="0" xfId="1" applyFont="1" applyFill="1" applyProtection="1">
      <protection hidden="1"/>
    </xf>
    <xf numFmtId="0" fontId="39" fillId="0" borderId="0" xfId="1" applyFont="1" applyFill="1" applyAlignment="1" applyProtection="1">
      <alignment horizontal="left"/>
      <protection hidden="1"/>
    </xf>
    <xf numFmtId="0" fontId="92" fillId="2" borderId="0" xfId="1" applyFont="1" applyFill="1" applyAlignment="1" applyProtection="1">
      <alignment horizontal="left" vertical="top"/>
      <protection hidden="1"/>
    </xf>
    <xf numFmtId="10" fontId="26" fillId="11" borderId="1" xfId="1" applyNumberFormat="1" applyFont="1" applyFill="1" applyBorder="1" applyAlignment="1" applyProtection="1">
      <alignment horizontal="right" vertical="center"/>
      <protection locked="0"/>
    </xf>
    <xf numFmtId="0" fontId="7" fillId="0" borderId="0" xfId="0" applyFont="1" applyProtection="1">
      <protection hidden="1"/>
    </xf>
    <xf numFmtId="17" fontId="40" fillId="4" borderId="1" xfId="1" applyNumberFormat="1" applyFont="1" applyFill="1" applyBorder="1" applyAlignment="1" applyProtection="1">
      <alignment horizontal="right" vertical="center"/>
      <protection hidden="1"/>
    </xf>
    <xf numFmtId="44" fontId="26" fillId="11" borderId="1" xfId="1" applyNumberFormat="1" applyFont="1" applyFill="1" applyBorder="1" applyAlignment="1" applyProtection="1">
      <alignment horizontal="right" vertical="center"/>
      <protection locked="0"/>
    </xf>
    <xf numFmtId="0" fontId="27" fillId="0" borderId="11" xfId="0" applyFont="1" applyFill="1" applyBorder="1" applyAlignment="1" applyProtection="1">
      <alignment horizontal="right" vertical="center"/>
      <protection hidden="1"/>
    </xf>
    <xf numFmtId="3" fontId="37" fillId="0" borderId="0" xfId="2" applyNumberFormat="1" applyFont="1" applyFill="1" applyBorder="1" applyAlignment="1" applyProtection="1">
      <alignment horizontal="center" vertical="center" shrinkToFit="1"/>
      <protection hidden="1"/>
    </xf>
    <xf numFmtId="14" fontId="37" fillId="0" borderId="0" xfId="2" applyNumberFormat="1" applyFont="1" applyFill="1" applyBorder="1" applyAlignment="1" applyProtection="1">
      <alignment horizontal="right" vertical="center" shrinkToFit="1"/>
      <protection hidden="1"/>
    </xf>
    <xf numFmtId="44" fontId="40" fillId="4" borderId="0" xfId="0" applyNumberFormat="1" applyFont="1" applyFill="1" applyBorder="1" applyAlignment="1" applyProtection="1">
      <alignment vertical="center" shrinkToFit="1"/>
      <protection hidden="1"/>
    </xf>
    <xf numFmtId="0" fontId="64" fillId="4" borderId="0" xfId="0" applyFont="1" applyFill="1" applyBorder="1" applyAlignment="1" applyProtection="1">
      <alignment horizontal="center" vertical="center"/>
      <protection hidden="1"/>
    </xf>
    <xf numFmtId="14" fontId="37" fillId="4" borderId="0" xfId="2" applyNumberFormat="1" applyFont="1" applyFill="1" applyBorder="1" applyAlignment="1" applyProtection="1">
      <alignment horizontal="center" vertical="center" shrinkToFit="1"/>
      <protection hidden="1"/>
    </xf>
    <xf numFmtId="0" fontId="64" fillId="2" borderId="0" xfId="1" applyFont="1" applyFill="1" applyAlignment="1" applyProtection="1">
      <protection hidden="1"/>
    </xf>
    <xf numFmtId="0" fontId="40" fillId="0" borderId="0" xfId="0" applyFont="1" applyAlignment="1" applyProtection="1">
      <alignment horizontal="center" vertical="center"/>
    </xf>
    <xf numFmtId="0" fontId="64" fillId="4" borderId="0" xfId="0" applyNumberFormat="1" applyFont="1" applyFill="1" applyBorder="1" applyAlignment="1" applyProtection="1">
      <alignment horizontal="center" vertical="center"/>
    </xf>
    <xf numFmtId="0" fontId="40" fillId="0" borderId="0" xfId="0" applyFont="1" applyAlignment="1" applyProtection="1">
      <alignment horizontal="center"/>
    </xf>
    <xf numFmtId="177" fontId="40" fillId="4" borderId="0" xfId="0" applyNumberFormat="1" applyFont="1" applyFill="1" applyAlignment="1" applyProtection="1">
      <alignment horizontal="center" vertical="center"/>
    </xf>
    <xf numFmtId="0" fontId="30" fillId="0" borderId="0" xfId="1" applyFont="1" applyFill="1" applyAlignment="1" applyProtection="1">
      <alignment horizontal="right" vertical="center"/>
      <protection hidden="1"/>
    </xf>
    <xf numFmtId="14" fontId="37" fillId="4" borderId="0" xfId="2" applyNumberFormat="1" applyFont="1" applyFill="1" applyBorder="1" applyAlignment="1" applyProtection="1">
      <alignment horizontal="right" vertical="center" shrinkToFit="1"/>
    </xf>
    <xf numFmtId="0" fontId="26" fillId="11" borderId="1" xfId="1" applyFont="1" applyFill="1" applyBorder="1" applyAlignment="1" applyProtection="1">
      <alignment horizontal="center" vertical="center"/>
      <protection locked="0"/>
    </xf>
    <xf numFmtId="0" fontId="64" fillId="4" borderId="0" xfId="0" applyFont="1" applyFill="1" applyBorder="1" applyAlignment="1" applyProtection="1">
      <alignment horizontal="center" vertical="center"/>
      <protection hidden="1"/>
    </xf>
    <xf numFmtId="0" fontId="26" fillId="2" borderId="0" xfId="2" applyFont="1" applyFill="1" applyBorder="1" applyAlignment="1" applyProtection="1">
      <alignment horizontal="right" vertical="center" wrapText="1"/>
      <protection hidden="1"/>
    </xf>
    <xf numFmtId="0" fontId="26" fillId="2" borderId="0" xfId="1" applyFont="1" applyFill="1" applyBorder="1" applyAlignment="1" applyProtection="1">
      <alignment horizontal="right" vertical="center"/>
      <protection hidden="1"/>
    </xf>
    <xf numFmtId="0" fontId="30" fillId="2" borderId="0" xfId="2" applyFont="1" applyFill="1" applyAlignment="1" applyProtection="1">
      <alignment horizontal="right" vertical="center" shrinkToFit="1"/>
      <protection hidden="1"/>
    </xf>
    <xf numFmtId="0" fontId="26" fillId="0" borderId="7" xfId="2" applyFont="1" applyFill="1" applyBorder="1" applyAlignment="1" applyProtection="1">
      <alignment horizontal="center" vertical="center" wrapText="1"/>
      <protection hidden="1"/>
    </xf>
    <xf numFmtId="177" fontId="40" fillId="0" borderId="12" xfId="1" applyNumberFormat="1" applyFont="1" applyFill="1" applyBorder="1" applyAlignment="1" applyProtection="1">
      <alignment horizontal="center" vertical="center"/>
      <protection hidden="1"/>
    </xf>
    <xf numFmtId="44" fontId="40" fillId="4" borderId="0" xfId="1" applyNumberFormat="1" applyFont="1" applyFill="1" applyProtection="1">
      <protection hidden="1"/>
    </xf>
    <xf numFmtId="176" fontId="40" fillId="3" borderId="0" xfId="0" applyNumberFormat="1" applyFont="1" applyFill="1" applyAlignment="1" applyProtection="1">
      <alignment horizontal="center" vertical="center"/>
      <protection locked="0"/>
    </xf>
    <xf numFmtId="44" fontId="40" fillId="3" borderId="0" xfId="0" applyNumberFormat="1" applyFont="1" applyFill="1" applyBorder="1" applyAlignment="1" applyProtection="1">
      <alignment horizontal="center" vertical="center" shrinkToFit="1"/>
      <protection locked="0"/>
    </xf>
    <xf numFmtId="10" fontId="40" fillId="3" borderId="0" xfId="0" applyNumberFormat="1" applyFont="1" applyFill="1" applyAlignment="1" applyProtection="1">
      <alignment horizontal="center" vertical="center"/>
      <protection locked="0"/>
    </xf>
    <xf numFmtId="9" fontId="40" fillId="3" borderId="0" xfId="0" applyNumberFormat="1" applyFont="1" applyFill="1" applyAlignment="1" applyProtection="1">
      <alignment horizontal="center" vertical="center"/>
      <protection locked="0"/>
    </xf>
    <xf numFmtId="176" fontId="40" fillId="4" borderId="0" xfId="0" applyNumberFormat="1" applyFont="1" applyFill="1" applyAlignment="1" applyProtection="1">
      <alignment horizontal="center" vertical="center"/>
      <protection hidden="1"/>
    </xf>
    <xf numFmtId="10" fontId="40" fillId="4" borderId="0" xfId="0" applyNumberFormat="1" applyFont="1" applyFill="1" applyAlignment="1" applyProtection="1">
      <alignment horizontal="center" vertical="center"/>
      <protection hidden="1"/>
    </xf>
    <xf numFmtId="9" fontId="40" fillId="4" borderId="0" xfId="0" applyNumberFormat="1" applyFont="1" applyFill="1" applyAlignment="1" applyProtection="1">
      <alignment horizontal="center" vertical="center"/>
      <protection hidden="1"/>
    </xf>
    <xf numFmtId="0" fontId="64" fillId="4" borderId="0" xfId="0" applyFont="1" applyFill="1" applyBorder="1" applyAlignment="1" applyProtection="1">
      <alignment horizontal="center" vertical="center"/>
      <protection hidden="1"/>
    </xf>
    <xf numFmtId="0" fontId="26" fillId="2" borderId="0" xfId="1" applyFont="1" applyFill="1" applyBorder="1" applyAlignment="1" applyProtection="1">
      <alignment horizontal="right" vertical="center"/>
      <protection hidden="1"/>
    </xf>
    <xf numFmtId="0" fontId="26" fillId="2" borderId="0" xfId="2" applyFont="1" applyFill="1" applyBorder="1" applyAlignment="1" applyProtection="1">
      <alignment horizontal="right" vertical="center" wrapText="1"/>
      <protection hidden="1"/>
    </xf>
    <xf numFmtId="0" fontId="30" fillId="2" borderId="0" xfId="2" applyFont="1" applyFill="1" applyAlignment="1" applyProtection="1">
      <alignment horizontal="right" vertical="center" shrinkToFit="1"/>
      <protection hidden="1"/>
    </xf>
    <xf numFmtId="0" fontId="26" fillId="0" borderId="7" xfId="2" applyFont="1" applyFill="1" applyBorder="1" applyAlignment="1" applyProtection="1">
      <alignment horizontal="center" vertical="center" wrapText="1"/>
      <protection hidden="1"/>
    </xf>
    <xf numFmtId="166" fontId="28" fillId="4" borderId="2" xfId="2" applyNumberFormat="1" applyFont="1" applyFill="1" applyBorder="1" applyAlignment="1" applyProtection="1">
      <alignment horizontal="center" vertical="center" shrinkToFit="1"/>
      <protection hidden="1"/>
    </xf>
    <xf numFmtId="44" fontId="27" fillId="4" borderId="0" xfId="1" applyNumberFormat="1" applyFont="1" applyFill="1" applyBorder="1" applyAlignment="1" applyProtection="1">
      <alignment horizontal="right" vertical="center"/>
      <protection hidden="1"/>
    </xf>
    <xf numFmtId="1" fontId="26" fillId="4" borderId="2" xfId="2" applyNumberFormat="1" applyFont="1" applyFill="1" applyBorder="1" applyAlignment="1" applyProtection="1">
      <alignment horizontal="center" vertical="center" shrinkToFit="1"/>
      <protection hidden="1"/>
    </xf>
    <xf numFmtId="165" fontId="30" fillId="4" borderId="0" xfId="1" applyNumberFormat="1" applyFont="1" applyFill="1" applyBorder="1" applyAlignment="1" applyProtection="1">
      <alignment vertical="center"/>
      <protection locked="0"/>
    </xf>
    <xf numFmtId="0" fontId="26" fillId="0" borderId="0" xfId="1" applyFont="1" applyFill="1" applyAlignment="1" applyProtection="1">
      <alignment horizontal="center"/>
      <protection hidden="1"/>
    </xf>
    <xf numFmtId="17" fontId="27" fillId="0" borderId="0" xfId="0" applyNumberFormat="1" applyFont="1" applyFill="1" applyBorder="1" applyAlignment="1" applyProtection="1">
      <alignment horizontal="center" vertical="center" shrinkToFit="1"/>
      <protection hidden="1"/>
    </xf>
    <xf numFmtId="0" fontId="32" fillId="0" borderId="9" xfId="1" applyFont="1" applyFill="1" applyBorder="1" applyAlignment="1" applyProtection="1">
      <alignment vertical="top"/>
      <protection hidden="1"/>
    </xf>
    <xf numFmtId="0" fontId="27" fillId="0" borderId="14" xfId="0" applyFont="1" applyFill="1" applyBorder="1" applyAlignment="1" applyProtection="1">
      <alignment vertical="center" shrinkToFit="1"/>
      <protection hidden="1"/>
    </xf>
    <xf numFmtId="44" fontId="27" fillId="0" borderId="9" xfId="0" applyNumberFormat="1" applyFont="1" applyFill="1" applyBorder="1" applyAlignment="1" applyProtection="1">
      <alignment vertical="center" shrinkToFit="1"/>
      <protection hidden="1"/>
    </xf>
    <xf numFmtId="0" fontId="26" fillId="0" borderId="12" xfId="1" applyFont="1" applyFill="1" applyBorder="1" applyAlignment="1" applyProtection="1">
      <alignment vertical="center"/>
      <protection hidden="1"/>
    </xf>
    <xf numFmtId="10" fontId="26" fillId="4" borderId="1" xfId="1" applyNumberFormat="1" applyFont="1" applyFill="1" applyBorder="1" applyAlignment="1" applyProtection="1">
      <alignment horizontal="right" vertical="center"/>
      <protection hidden="1"/>
    </xf>
    <xf numFmtId="166" fontId="28" fillId="4" borderId="0" xfId="2" applyNumberFormat="1" applyFont="1" applyFill="1" applyBorder="1" applyAlignment="1" applyProtection="1">
      <alignment horizontal="center" vertical="center" shrinkToFit="1"/>
      <protection hidden="1"/>
    </xf>
    <xf numFmtId="169" fontId="26" fillId="4" borderId="0" xfId="2" applyNumberFormat="1" applyFont="1" applyFill="1" applyBorder="1" applyAlignment="1" applyProtection="1">
      <alignment vertical="center" shrinkToFit="1"/>
      <protection hidden="1"/>
    </xf>
    <xf numFmtId="44" fontId="26" fillId="3" borderId="1" xfId="0" applyNumberFormat="1" applyFont="1" applyFill="1" applyBorder="1" applyAlignment="1" applyProtection="1">
      <alignment horizontal="center" vertical="center"/>
      <protection locked="0"/>
    </xf>
    <xf numFmtId="0" fontId="64" fillId="0" borderId="12" xfId="0" applyFont="1" applyBorder="1" applyAlignment="1" applyProtection="1">
      <alignment horizontal="center"/>
      <protection hidden="1"/>
    </xf>
    <xf numFmtId="0" fontId="64" fillId="4" borderId="0" xfId="0" applyFont="1" applyFill="1" applyBorder="1" applyAlignment="1" applyProtection="1">
      <alignment horizontal="center" vertical="center"/>
      <protection hidden="1"/>
    </xf>
    <xf numFmtId="0" fontId="26" fillId="2" borderId="0" xfId="1" applyFont="1" applyFill="1" applyBorder="1" applyAlignment="1" applyProtection="1">
      <alignment horizontal="right" vertical="center"/>
      <protection hidden="1"/>
    </xf>
    <xf numFmtId="0" fontId="26" fillId="2" borderId="0" xfId="2" applyFont="1" applyFill="1" applyBorder="1" applyAlignment="1" applyProtection="1">
      <alignment horizontal="right" vertical="center" wrapText="1"/>
      <protection hidden="1"/>
    </xf>
    <xf numFmtId="0" fontId="26" fillId="0" borderId="7" xfId="2" applyFont="1" applyFill="1" applyBorder="1" applyAlignment="1" applyProtection="1">
      <alignment horizontal="center" vertical="center" wrapText="1"/>
      <protection hidden="1"/>
    </xf>
    <xf numFmtId="44" fontId="26" fillId="3" borderId="1" xfId="0" applyNumberFormat="1" applyFont="1" applyFill="1" applyBorder="1" applyAlignment="1" applyProtection="1">
      <alignment vertical="center"/>
      <protection locked="0"/>
    </xf>
    <xf numFmtId="0" fontId="32" fillId="0" borderId="0" xfId="1" applyFont="1" applyFill="1" applyBorder="1" applyAlignment="1" applyProtection="1">
      <alignment vertical="top"/>
      <protection hidden="1"/>
    </xf>
    <xf numFmtId="0" fontId="27" fillId="0" borderId="0" xfId="1" applyFont="1" applyFill="1" applyBorder="1" applyAlignment="1" applyProtection="1">
      <alignment horizontal="right" vertical="center"/>
      <protection hidden="1"/>
    </xf>
    <xf numFmtId="14" fontId="29" fillId="0" borderId="0" xfId="2" applyNumberFormat="1" applyFont="1" applyFill="1" applyBorder="1" applyAlignment="1" applyProtection="1">
      <alignment horizontal="center" vertical="center" shrinkToFit="1"/>
      <protection hidden="1"/>
    </xf>
    <xf numFmtId="0" fontId="30" fillId="0" borderId="0" xfId="1" applyFont="1" applyFill="1" applyBorder="1" applyAlignment="1" applyProtection="1">
      <alignment horizontal="right" vertical="center"/>
      <protection hidden="1"/>
    </xf>
    <xf numFmtId="177" fontId="40" fillId="0" borderId="0" xfId="1" applyNumberFormat="1" applyFont="1" applyFill="1" applyBorder="1" applyAlignment="1" applyProtection="1">
      <alignment horizontal="center" vertical="center"/>
      <protection hidden="1"/>
    </xf>
    <xf numFmtId="0" fontId="92" fillId="0" borderId="0" xfId="1" applyFont="1" applyFill="1" applyBorder="1" applyAlignment="1" applyProtection="1">
      <alignment vertical="center" wrapText="1"/>
      <protection hidden="1"/>
    </xf>
    <xf numFmtId="0" fontId="93" fillId="0" borderId="0" xfId="1" applyFont="1" applyFill="1" applyAlignment="1" applyProtection="1">
      <alignment vertical="top"/>
      <protection hidden="1"/>
    </xf>
    <xf numFmtId="49" fontId="29" fillId="0" borderId="0" xfId="0" applyNumberFormat="1" applyFont="1" applyFill="1" applyBorder="1" applyAlignment="1" applyProtection="1">
      <alignment horizontal="center" vertical="center" shrinkToFit="1"/>
      <protection hidden="1"/>
    </xf>
    <xf numFmtId="0" fontId="6" fillId="0" borderId="0" xfId="1" applyFont="1" applyFill="1" applyProtection="1">
      <protection hidden="1"/>
    </xf>
    <xf numFmtId="44" fontId="29" fillId="0" borderId="0" xfId="0" applyNumberFormat="1" applyFont="1" applyFill="1" applyBorder="1" applyAlignment="1" applyProtection="1">
      <alignment horizontal="center" vertical="center" shrinkToFit="1"/>
      <protection hidden="1"/>
    </xf>
    <xf numFmtId="0" fontId="40" fillId="0" borderId="11" xfId="0" applyFont="1" applyFill="1" applyBorder="1" applyAlignment="1" applyProtection="1">
      <alignment horizontal="right" vertical="center"/>
      <protection hidden="1"/>
    </xf>
    <xf numFmtId="44" fontId="27" fillId="0" borderId="9" xfId="0" applyNumberFormat="1" applyFont="1" applyFill="1" applyBorder="1" applyAlignment="1" applyProtection="1">
      <alignment vertical="center"/>
      <protection hidden="1"/>
    </xf>
    <xf numFmtId="0" fontId="26" fillId="0" borderId="0" xfId="1" applyFont="1" applyFill="1" applyBorder="1" applyAlignment="1" applyProtection="1">
      <alignment horizontal="center" vertical="center"/>
      <protection hidden="1"/>
    </xf>
    <xf numFmtId="0" fontId="30" fillId="2" borderId="0" xfId="2" applyFont="1" applyFill="1" applyBorder="1" applyAlignment="1" applyProtection="1">
      <alignment horizontal="right" vertical="center"/>
      <protection hidden="1"/>
    </xf>
    <xf numFmtId="0" fontId="64" fillId="4" borderId="0" xfId="0" applyFont="1" applyFill="1" applyBorder="1" applyAlignment="1" applyProtection="1">
      <alignment horizontal="center" vertical="center"/>
      <protection hidden="1"/>
    </xf>
    <xf numFmtId="0" fontId="26" fillId="2" borderId="0" xfId="1" applyFont="1" applyFill="1" applyBorder="1" applyAlignment="1" applyProtection="1">
      <alignment horizontal="right" vertical="center"/>
      <protection hidden="1"/>
    </xf>
    <xf numFmtId="0" fontId="29" fillId="2" borderId="7" xfId="2" applyFont="1" applyFill="1" applyBorder="1" applyAlignment="1" applyProtection="1">
      <alignment horizontal="center" vertical="center" wrapText="1"/>
      <protection hidden="1"/>
    </xf>
    <xf numFmtId="0" fontId="30" fillId="2" borderId="12" xfId="2" applyFont="1" applyFill="1" applyBorder="1" applyAlignment="1" applyProtection="1">
      <alignment horizontal="center" vertical="top" wrapText="1"/>
      <protection hidden="1"/>
    </xf>
    <xf numFmtId="0" fontId="26" fillId="2" borderId="0" xfId="2" applyFont="1" applyFill="1" applyBorder="1" applyAlignment="1" applyProtection="1">
      <alignment horizontal="right" vertical="center" wrapText="1"/>
      <protection hidden="1"/>
    </xf>
    <xf numFmtId="0" fontId="26" fillId="0" borderId="7" xfId="2" applyFont="1" applyFill="1" applyBorder="1" applyAlignment="1" applyProtection="1">
      <alignment horizontal="center" vertical="center" wrapText="1"/>
      <protection hidden="1"/>
    </xf>
    <xf numFmtId="166" fontId="28" fillId="3" borderId="0" xfId="2" applyNumberFormat="1" applyFont="1" applyFill="1" applyBorder="1" applyAlignment="1" applyProtection="1">
      <alignment horizontal="center" vertical="center" shrinkToFit="1"/>
      <protection hidden="1"/>
    </xf>
    <xf numFmtId="166" fontId="28" fillId="3" borderId="2" xfId="2" applyNumberFormat="1" applyFont="1" applyFill="1" applyBorder="1" applyAlignment="1" applyProtection="1">
      <alignment horizontal="center" vertical="center" shrinkToFit="1"/>
      <protection hidden="1"/>
    </xf>
    <xf numFmtId="169" fontId="26" fillId="3" borderId="0" xfId="2" applyNumberFormat="1" applyFont="1" applyFill="1" applyBorder="1" applyAlignment="1" applyProtection="1">
      <alignment vertical="center" shrinkToFit="1"/>
      <protection hidden="1"/>
    </xf>
    <xf numFmtId="44" fontId="27" fillId="3" borderId="0" xfId="1" applyNumberFormat="1" applyFont="1" applyFill="1" applyBorder="1" applyAlignment="1" applyProtection="1">
      <alignment horizontal="right" vertical="center"/>
      <protection hidden="1"/>
    </xf>
    <xf numFmtId="171" fontId="28" fillId="3" borderId="0" xfId="2" applyNumberFormat="1" applyFont="1" applyFill="1" applyBorder="1" applyAlignment="1" applyProtection="1">
      <alignment horizontal="center" vertical="center" shrinkToFit="1"/>
      <protection hidden="1"/>
    </xf>
    <xf numFmtId="1" fontId="26" fillId="3" borderId="2" xfId="2" applyNumberFormat="1" applyFont="1" applyFill="1" applyBorder="1" applyAlignment="1" applyProtection="1">
      <alignment horizontal="center" vertical="center" shrinkToFit="1"/>
      <protection hidden="1"/>
    </xf>
    <xf numFmtId="0" fontId="64" fillId="4" borderId="0" xfId="0" applyFont="1" applyFill="1" applyBorder="1" applyAlignment="1" applyProtection="1">
      <alignment horizontal="center" vertical="center"/>
      <protection hidden="1"/>
    </xf>
    <xf numFmtId="0" fontId="30" fillId="2" borderId="12" xfId="2" applyFont="1" applyFill="1" applyBorder="1" applyAlignment="1" applyProtection="1">
      <alignment horizontal="center" vertical="top" wrapText="1"/>
      <protection hidden="1"/>
    </xf>
    <xf numFmtId="0" fontId="29" fillId="2" borderId="7" xfId="2" applyFont="1" applyFill="1" applyBorder="1" applyAlignment="1" applyProtection="1">
      <alignment horizontal="center" vertical="center" wrapText="1"/>
      <protection hidden="1"/>
    </xf>
    <xf numFmtId="0" fontId="26" fillId="2" borderId="0" xfId="1" applyFont="1" applyFill="1" applyBorder="1" applyAlignment="1" applyProtection="1">
      <alignment horizontal="right" vertical="center"/>
      <protection hidden="1"/>
    </xf>
    <xf numFmtId="0" fontId="26" fillId="2" borderId="0" xfId="2" applyFont="1" applyFill="1" applyBorder="1" applyAlignment="1" applyProtection="1">
      <alignment horizontal="right" vertical="center" wrapText="1"/>
      <protection hidden="1"/>
    </xf>
    <xf numFmtId="0" fontId="26" fillId="0" borderId="7" xfId="2" applyFont="1" applyFill="1" applyBorder="1" applyAlignment="1" applyProtection="1">
      <alignment horizontal="center" vertical="center" wrapText="1"/>
      <protection hidden="1"/>
    </xf>
    <xf numFmtId="0" fontId="40" fillId="0" borderId="0" xfId="0" applyFont="1" applyFill="1" applyAlignment="1" applyProtection="1">
      <alignment horizontal="center" vertical="center"/>
    </xf>
    <xf numFmtId="0" fontId="40" fillId="0" borderId="0" xfId="0" applyFont="1" applyFill="1" applyAlignment="1" applyProtection="1">
      <alignment horizontal="center"/>
    </xf>
    <xf numFmtId="176" fontId="40" fillId="0" borderId="0" xfId="0" applyNumberFormat="1" applyFont="1" applyFill="1" applyAlignment="1" applyProtection="1">
      <alignment horizontal="center" vertical="center"/>
      <protection hidden="1"/>
    </xf>
    <xf numFmtId="10" fontId="40" fillId="0" borderId="0" xfId="0" applyNumberFormat="1" applyFont="1" applyFill="1" applyAlignment="1" applyProtection="1">
      <alignment horizontal="center" vertical="center"/>
      <protection hidden="1"/>
    </xf>
    <xf numFmtId="177" fontId="40" fillId="0" borderId="0" xfId="0" applyNumberFormat="1" applyFont="1" applyFill="1" applyAlignment="1" applyProtection="1">
      <alignment horizontal="center" vertical="center"/>
    </xf>
    <xf numFmtId="9" fontId="40" fillId="0" borderId="0" xfId="0" applyNumberFormat="1" applyFont="1" applyFill="1" applyAlignment="1" applyProtection="1">
      <alignment horizontal="center" vertical="center"/>
      <protection hidden="1"/>
    </xf>
    <xf numFmtId="0" fontId="5" fillId="0" borderId="0" xfId="10" applyFont="1" applyFill="1" applyProtection="1">
      <protection hidden="1"/>
    </xf>
    <xf numFmtId="0" fontId="40" fillId="0" borderId="0" xfId="0" applyNumberFormat="1" applyFont="1" applyFill="1" applyBorder="1" applyAlignment="1" applyProtection="1">
      <alignment horizontal="center" vertical="center"/>
    </xf>
    <xf numFmtId="14" fontId="29" fillId="0" borderId="0" xfId="2" applyNumberFormat="1" applyFont="1" applyFill="1" applyBorder="1" applyAlignment="1" applyProtection="1">
      <alignment horizontal="right" vertical="center" shrinkToFit="1"/>
    </xf>
    <xf numFmtId="0" fontId="5" fillId="0" borderId="0" xfId="1" applyFont="1" applyFill="1" applyProtection="1">
      <protection hidden="1"/>
    </xf>
    <xf numFmtId="3" fontId="26" fillId="0" borderId="0" xfId="2" applyNumberFormat="1" applyFont="1" applyFill="1" applyBorder="1" applyAlignment="1" applyProtection="1">
      <alignment horizontal="center" vertical="center" shrinkToFit="1"/>
      <protection hidden="1"/>
    </xf>
    <xf numFmtId="14" fontId="26" fillId="0" borderId="0" xfId="2" applyNumberFormat="1" applyFont="1" applyFill="1" applyBorder="1" applyAlignment="1" applyProtection="1">
      <alignment horizontal="right" vertical="center" shrinkToFit="1"/>
      <protection hidden="1"/>
    </xf>
    <xf numFmtId="0" fontId="27" fillId="0" borderId="0" xfId="0" applyFont="1" applyFill="1" applyBorder="1" applyAlignment="1" applyProtection="1">
      <alignment horizontal="center" vertical="center"/>
      <protection hidden="1"/>
    </xf>
    <xf numFmtId="44" fontId="27" fillId="0" borderId="0" xfId="0" applyNumberFormat="1" applyFont="1" applyFill="1" applyBorder="1" applyAlignment="1" applyProtection="1">
      <alignment vertical="center" shrinkToFit="1"/>
      <protection hidden="1"/>
    </xf>
    <xf numFmtId="0" fontId="26" fillId="2" borderId="0" xfId="1" applyFont="1" applyFill="1" applyBorder="1" applyAlignment="1" applyProtection="1">
      <alignment horizontal="right" vertical="center"/>
      <protection hidden="1"/>
    </xf>
    <xf numFmtId="0" fontId="26" fillId="0" borderId="7" xfId="2" applyFont="1" applyFill="1" applyBorder="1" applyAlignment="1" applyProtection="1">
      <alignment horizontal="center" vertical="center" wrapText="1"/>
      <protection hidden="1"/>
    </xf>
    <xf numFmtId="171" fontId="28" fillId="0" borderId="0" xfId="2" applyNumberFormat="1" applyFont="1" applyFill="1" applyBorder="1" applyAlignment="1" applyProtection="1">
      <alignment horizontal="center" vertical="center" shrinkToFit="1"/>
      <protection hidden="1"/>
    </xf>
    <xf numFmtId="166" fontId="28" fillId="3" borderId="0" xfId="2" applyNumberFormat="1" applyFont="1" applyFill="1" applyBorder="1" applyAlignment="1" applyProtection="1">
      <alignment horizontal="center" vertical="center" shrinkToFit="1"/>
      <protection locked="0" hidden="1"/>
    </xf>
    <xf numFmtId="166" fontId="28" fillId="3" borderId="2" xfId="2" applyNumberFormat="1" applyFont="1" applyFill="1" applyBorder="1" applyAlignment="1" applyProtection="1">
      <alignment horizontal="center" vertical="center" shrinkToFit="1"/>
      <protection locked="0" hidden="1"/>
    </xf>
    <xf numFmtId="171" fontId="28" fillId="3" borderId="0" xfId="2" applyNumberFormat="1" applyFont="1" applyFill="1" applyBorder="1" applyAlignment="1" applyProtection="1">
      <alignment horizontal="center" vertical="center" shrinkToFit="1"/>
      <protection locked="0" hidden="1"/>
    </xf>
    <xf numFmtId="1" fontId="26" fillId="3" borderId="2" xfId="2" applyNumberFormat="1" applyFont="1" applyFill="1" applyBorder="1" applyAlignment="1" applyProtection="1">
      <alignment horizontal="center" vertical="center" shrinkToFit="1"/>
      <protection locked="0" hidden="1"/>
    </xf>
    <xf numFmtId="44" fontId="27" fillId="3" borderId="0" xfId="1" applyNumberFormat="1" applyFont="1" applyFill="1" applyBorder="1" applyAlignment="1" applyProtection="1">
      <alignment horizontal="right" vertical="center"/>
      <protection locked="0" hidden="1"/>
    </xf>
    <xf numFmtId="169" fontId="26" fillId="3" borderId="0" xfId="2" applyNumberFormat="1" applyFont="1" applyFill="1" applyBorder="1" applyAlignment="1" applyProtection="1">
      <alignment vertical="center" shrinkToFit="1"/>
      <protection locked="0" hidden="1"/>
    </xf>
    <xf numFmtId="0" fontId="30" fillId="2" borderId="12" xfId="2" applyFont="1" applyFill="1" applyBorder="1" applyAlignment="1" applyProtection="1">
      <alignment horizontal="center" vertical="top" wrapText="1"/>
      <protection hidden="1"/>
    </xf>
    <xf numFmtId="0" fontId="29" fillId="2" borderId="7" xfId="2" applyFont="1" applyFill="1" applyBorder="1" applyAlignment="1" applyProtection="1">
      <alignment horizontal="center" vertical="center" wrapText="1"/>
      <protection hidden="1"/>
    </xf>
    <xf numFmtId="0" fontId="26" fillId="2" borderId="0" xfId="1" applyFont="1" applyFill="1" applyBorder="1" applyAlignment="1" applyProtection="1">
      <alignment horizontal="right" vertical="center"/>
      <protection hidden="1"/>
    </xf>
    <xf numFmtId="0" fontId="26" fillId="0" borderId="7" xfId="2" applyFont="1" applyFill="1" applyBorder="1" applyAlignment="1" applyProtection="1">
      <alignment horizontal="center" vertical="center" wrapText="1"/>
      <protection hidden="1"/>
    </xf>
    <xf numFmtId="167" fontId="26" fillId="12" borderId="7" xfId="2" applyNumberFormat="1" applyFont="1" applyFill="1" applyBorder="1" applyAlignment="1" applyProtection="1">
      <alignment horizontal="center" vertical="top" wrapText="1"/>
      <protection hidden="1"/>
    </xf>
    <xf numFmtId="10" fontId="26" fillId="12" borderId="7" xfId="2" applyNumberFormat="1" applyFont="1" applyFill="1" applyBorder="1" applyAlignment="1" applyProtection="1">
      <alignment horizontal="center" vertical="top" wrapText="1"/>
      <protection hidden="1"/>
    </xf>
    <xf numFmtId="10" fontId="26" fillId="12" borderId="7" xfId="2" applyNumberFormat="1" applyFont="1" applyFill="1" applyBorder="1" applyAlignment="1" applyProtection="1">
      <alignment horizontal="center" vertical="center" wrapText="1"/>
      <protection hidden="1"/>
    </xf>
    <xf numFmtId="44" fontId="26" fillId="12" borderId="6" xfId="2" applyNumberFormat="1" applyFont="1" applyFill="1" applyBorder="1" applyAlignment="1" applyProtection="1">
      <alignment horizontal="center" vertical="center" wrapText="1"/>
      <protection hidden="1"/>
    </xf>
    <xf numFmtId="44" fontId="27" fillId="12" borderId="0" xfId="1" applyNumberFormat="1" applyFont="1" applyFill="1" applyBorder="1" applyAlignment="1" applyProtection="1">
      <alignment vertical="center"/>
      <protection hidden="1"/>
    </xf>
    <xf numFmtId="170" fontId="4" fillId="3" borderId="0" xfId="0" applyNumberFormat="1" applyFont="1" applyFill="1" applyBorder="1" applyAlignment="1" applyProtection="1">
      <alignment horizontal="center" vertical="center" wrapText="1"/>
      <protection locked="0"/>
    </xf>
    <xf numFmtId="10" fontId="26" fillId="11" borderId="7" xfId="2" applyNumberFormat="1" applyFont="1" applyFill="1" applyBorder="1" applyAlignment="1" applyProtection="1">
      <alignment horizontal="center" vertical="top" wrapText="1"/>
      <protection locked="0"/>
    </xf>
    <xf numFmtId="167" fontId="26" fillId="11" borderId="7" xfId="2" applyNumberFormat="1" applyFont="1" applyFill="1" applyBorder="1" applyAlignment="1" applyProtection="1">
      <alignment horizontal="center" vertical="top" wrapText="1"/>
      <protection locked="0"/>
    </xf>
    <xf numFmtId="49" fontId="26" fillId="3" borderId="1" xfId="0" applyNumberFormat="1" applyFont="1" applyFill="1" applyBorder="1" applyAlignment="1" applyProtection="1">
      <alignment horizontal="left" vertical="center" shrinkToFit="1"/>
      <protection locked="0"/>
    </xf>
    <xf numFmtId="44" fontId="26" fillId="4" borderId="1" xfId="0" applyNumberFormat="1" applyFont="1" applyFill="1" applyBorder="1" applyAlignment="1" applyProtection="1">
      <alignment horizontal="left" vertical="center" shrinkToFit="1"/>
      <protection hidden="1"/>
    </xf>
    <xf numFmtId="44" fontId="26" fillId="3" borderId="1" xfId="0" applyNumberFormat="1" applyFont="1" applyFill="1" applyBorder="1" applyAlignment="1" applyProtection="1">
      <alignment horizontal="left" vertical="center" shrinkToFit="1"/>
      <protection locked="0"/>
    </xf>
    <xf numFmtId="0" fontId="92" fillId="2" borderId="0" xfId="1" applyFont="1" applyFill="1" applyAlignment="1" applyProtection="1">
      <alignment vertical="center" wrapText="1"/>
      <protection hidden="1"/>
    </xf>
    <xf numFmtId="0" fontId="92" fillId="2" borderId="0" xfId="1" applyFont="1" applyFill="1" applyBorder="1" applyAlignment="1" applyProtection="1">
      <alignment vertical="center" wrapText="1"/>
      <protection hidden="1"/>
    </xf>
    <xf numFmtId="44" fontId="27" fillId="0" borderId="0" xfId="0" applyNumberFormat="1" applyFont="1" applyFill="1" applyAlignment="1" applyProtection="1">
      <alignment vertical="center"/>
      <protection hidden="1"/>
    </xf>
    <xf numFmtId="0" fontId="94" fillId="2" borderId="12" xfId="1" applyFont="1" applyFill="1" applyBorder="1" applyAlignment="1" applyProtection="1">
      <alignment vertical="top"/>
      <protection hidden="1"/>
    </xf>
    <xf numFmtId="44" fontId="30" fillId="4" borderId="1" xfId="1" applyNumberFormat="1" applyFont="1" applyFill="1" applyBorder="1" applyAlignment="1" applyProtection="1">
      <alignment horizontal="right" vertical="center"/>
      <protection hidden="1"/>
    </xf>
    <xf numFmtId="0" fontId="3" fillId="3" borderId="0" xfId="0" applyNumberFormat="1" applyFont="1" applyFill="1" applyBorder="1" applyAlignment="1" applyProtection="1">
      <alignment horizontal="center" vertical="center"/>
      <protection locked="0"/>
    </xf>
    <xf numFmtId="2" fontId="3" fillId="3" borderId="0" xfId="0" applyNumberFormat="1" applyFont="1" applyFill="1" applyBorder="1" applyAlignment="1" applyProtection="1">
      <alignment horizontal="center" vertical="center"/>
      <protection locked="0"/>
    </xf>
    <xf numFmtId="44" fontId="26" fillId="3" borderId="1" xfId="0" applyNumberFormat="1" applyFont="1" applyFill="1" applyBorder="1" applyAlignment="1" applyProtection="1">
      <alignment horizontal="center" vertical="center" shrinkToFit="1"/>
      <protection locked="0"/>
    </xf>
    <xf numFmtId="164" fontId="26" fillId="17" borderId="7" xfId="2215" applyNumberFormat="1" applyFill="1" applyBorder="1" applyAlignment="1" applyProtection="1">
      <alignment vertical="center" shrinkToFit="1"/>
      <protection locked="0"/>
    </xf>
    <xf numFmtId="165" fontId="30" fillId="4" borderId="10" xfId="2215" applyNumberFormat="1" applyFont="1" applyFill="1" applyBorder="1" applyAlignment="1" applyProtection="1">
      <alignment vertical="center" shrinkToFit="1"/>
      <protection hidden="1"/>
    </xf>
    <xf numFmtId="165" fontId="30" fillId="4" borderId="7" xfId="2215" applyNumberFormat="1" applyFont="1" applyFill="1" applyBorder="1" applyAlignment="1" applyProtection="1">
      <alignment vertical="center" shrinkToFit="1"/>
      <protection hidden="1"/>
    </xf>
    <xf numFmtId="165" fontId="30" fillId="4" borderId="45" xfId="2215" applyNumberFormat="1" applyFont="1" applyFill="1" applyBorder="1" applyAlignment="1" applyProtection="1">
      <alignment vertical="center" shrinkToFit="1"/>
      <protection hidden="1"/>
    </xf>
    <xf numFmtId="165" fontId="30" fillId="4" borderId="46" xfId="2215" applyNumberFormat="1" applyFont="1" applyFill="1" applyBorder="1" applyAlignment="1" applyProtection="1">
      <alignment vertical="center" shrinkToFit="1"/>
      <protection hidden="1"/>
    </xf>
    <xf numFmtId="165" fontId="30" fillId="4" borderId="47" xfId="2215" applyNumberFormat="1" applyFont="1" applyFill="1" applyBorder="1" applyAlignment="1" applyProtection="1">
      <alignment vertical="center" shrinkToFit="1"/>
      <protection hidden="1"/>
    </xf>
    <xf numFmtId="0" fontId="96" fillId="2" borderId="0" xfId="1" applyFont="1" applyFill="1" applyAlignment="1" applyProtection="1">
      <alignment vertical="top"/>
      <protection hidden="1"/>
    </xf>
    <xf numFmtId="0" fontId="68" fillId="2" borderId="0" xfId="1" applyFont="1" applyFill="1" applyBorder="1" applyAlignment="1" applyProtection="1">
      <alignment horizontal="right" vertical="center"/>
      <protection hidden="1"/>
    </xf>
    <xf numFmtId="49" fontId="97" fillId="2" borderId="0" xfId="0" applyNumberFormat="1" applyFont="1" applyFill="1" applyBorder="1" applyAlignment="1" applyProtection="1">
      <alignment horizontal="center" vertical="center" shrinkToFit="1"/>
      <protection hidden="1"/>
    </xf>
    <xf numFmtId="0" fontId="95" fillId="2" borderId="0" xfId="1" applyFont="1" applyFill="1" applyProtection="1">
      <protection hidden="1"/>
    </xf>
    <xf numFmtId="14" fontId="85" fillId="2" borderId="0" xfId="2" applyNumberFormat="1" applyFont="1" applyFill="1" applyBorder="1" applyAlignment="1" applyProtection="1">
      <alignment horizontal="center" vertical="center" shrinkToFit="1"/>
      <protection hidden="1"/>
    </xf>
    <xf numFmtId="44" fontId="85" fillId="2" borderId="0" xfId="2" applyNumberFormat="1" applyFont="1" applyFill="1" applyBorder="1" applyAlignment="1" applyProtection="1">
      <alignment horizontal="center" vertical="center" shrinkToFit="1"/>
      <protection hidden="1"/>
    </xf>
    <xf numFmtId="44" fontId="85" fillId="2" borderId="0" xfId="0" applyNumberFormat="1" applyFont="1" applyFill="1" applyBorder="1" applyAlignment="1" applyProtection="1">
      <alignment horizontal="center" vertical="center" shrinkToFit="1"/>
      <protection hidden="1"/>
    </xf>
    <xf numFmtId="1" fontId="26" fillId="3" borderId="2" xfId="2" applyNumberFormat="1" applyFont="1" applyFill="1" applyBorder="1" applyAlignment="1" applyProtection="1">
      <alignment horizontal="center" vertical="center" shrinkToFit="1"/>
      <protection locked="0"/>
    </xf>
    <xf numFmtId="0" fontId="39" fillId="0" borderId="10" xfId="0" applyFont="1" applyBorder="1" applyAlignment="1" applyProtection="1">
      <alignment horizontal="center" vertical="center" wrapText="1"/>
      <protection hidden="1"/>
    </xf>
    <xf numFmtId="0" fontId="27" fillId="0" borderId="9" xfId="0" applyFont="1" applyFill="1" applyBorder="1" applyAlignment="1" applyProtection="1">
      <alignment horizontal="right" vertical="center"/>
    </xf>
    <xf numFmtId="0" fontId="27" fillId="0" borderId="0" xfId="0" applyFont="1" applyFill="1" applyBorder="1" applyAlignment="1" applyProtection="1">
      <alignment horizontal="right" vertical="center"/>
    </xf>
    <xf numFmtId="0" fontId="27" fillId="0" borderId="0" xfId="0" applyFont="1" applyBorder="1" applyAlignment="1" applyProtection="1">
      <alignment horizontal="right" vertical="center" shrinkToFit="1"/>
    </xf>
    <xf numFmtId="0" fontId="2" fillId="3" borderId="0" xfId="0" applyFont="1" applyFill="1" applyBorder="1" applyAlignment="1" applyProtection="1">
      <alignment horizontal="left" vertical="center" shrinkToFit="1"/>
      <protection locked="0"/>
    </xf>
    <xf numFmtId="0" fontId="0" fillId="3" borderId="0" xfId="0" applyFill="1" applyBorder="1" applyAlignment="1" applyProtection="1">
      <alignment vertical="center" shrinkToFit="1"/>
      <protection locked="0"/>
    </xf>
    <xf numFmtId="0" fontId="11" fillId="0" borderId="0" xfId="0" applyFont="1" applyBorder="1" applyAlignment="1" applyProtection="1">
      <alignment horizontal="right" vertical="center"/>
      <protection hidden="1"/>
    </xf>
    <xf numFmtId="0" fontId="18" fillId="0" borderId="0" xfId="0" applyFont="1" applyBorder="1" applyAlignment="1" applyProtection="1">
      <alignment horizontal="right" vertical="center"/>
      <protection hidden="1"/>
    </xf>
    <xf numFmtId="0" fontId="4"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left" vertical="top" wrapText="1"/>
      <protection locked="0"/>
    </xf>
    <xf numFmtId="0" fontId="55" fillId="0" borderId="0" xfId="0" applyFont="1" applyAlignment="1" applyProtection="1">
      <alignment horizontal="left"/>
      <protection hidden="1"/>
    </xf>
    <xf numFmtId="0" fontId="8" fillId="3" borderId="0" xfId="0" applyFont="1" applyFill="1" applyBorder="1" applyAlignment="1" applyProtection="1">
      <alignment horizontal="left" vertical="top" wrapText="1"/>
      <protection locked="0"/>
    </xf>
    <xf numFmtId="0" fontId="31" fillId="0" borderId="0" xfId="0" applyFont="1" applyAlignment="1" applyProtection="1">
      <alignment horizontal="left" vertical="center" wrapText="1"/>
      <protection hidden="1"/>
    </xf>
    <xf numFmtId="0" fontId="57" fillId="0" borderId="0" xfId="2214" applyFont="1" applyProtection="1">
      <protection hidden="1"/>
    </xf>
    <xf numFmtId="0" fontId="25" fillId="0" borderId="0" xfId="0" applyFont="1" applyAlignment="1" applyProtection="1">
      <alignment horizontal="left"/>
      <protection hidden="1"/>
    </xf>
    <xf numFmtId="14" fontId="17" fillId="3" borderId="0" xfId="0" applyNumberFormat="1" applyFont="1" applyFill="1" applyBorder="1" applyAlignment="1" applyProtection="1">
      <alignment horizontal="left" vertical="top" wrapText="1"/>
      <protection locked="0"/>
    </xf>
    <xf numFmtId="14" fontId="18" fillId="3" borderId="0" xfId="0" applyNumberFormat="1" applyFont="1" applyFill="1" applyBorder="1" applyAlignment="1" applyProtection="1">
      <alignment horizontal="left" vertical="top" wrapText="1"/>
      <protection locked="0"/>
    </xf>
    <xf numFmtId="0" fontId="40" fillId="0" borderId="0" xfId="0" applyFont="1" applyAlignment="1" applyProtection="1">
      <alignment horizontal="left" vertical="top" wrapText="1"/>
      <protection hidden="1"/>
    </xf>
    <xf numFmtId="0" fontId="40" fillId="0" borderId="0" xfId="0" applyFont="1" applyFill="1" applyBorder="1" applyAlignment="1" applyProtection="1">
      <alignment horizontal="left" vertical="center"/>
      <protection hidden="1"/>
    </xf>
    <xf numFmtId="0" fontId="63" fillId="0" borderId="0" xfId="0" applyFont="1" applyAlignment="1" applyProtection="1">
      <alignment horizontal="center" vertical="center"/>
      <protection hidden="1"/>
    </xf>
    <xf numFmtId="0" fontId="63" fillId="0" borderId="0" xfId="0" applyFont="1" applyAlignment="1" applyProtection="1">
      <alignment horizontal="center" vertical="center" wrapText="1"/>
      <protection hidden="1"/>
    </xf>
    <xf numFmtId="0" fontId="30" fillId="0" borderId="13" xfId="0" applyFont="1" applyBorder="1" applyAlignment="1" applyProtection="1">
      <alignment horizontal="left" vertical="center" shrinkToFit="1"/>
    </xf>
    <xf numFmtId="0" fontId="30" fillId="0" borderId="12" xfId="0" applyFont="1" applyBorder="1" applyAlignment="1" applyProtection="1">
      <alignment horizontal="left" vertical="center" shrinkToFit="1"/>
    </xf>
    <xf numFmtId="0" fontId="27" fillId="0" borderId="9" xfId="0" applyFont="1" applyBorder="1" applyAlignment="1" applyProtection="1">
      <alignment horizontal="right" vertical="center" shrinkToFit="1"/>
    </xf>
    <xf numFmtId="0" fontId="27" fillId="0" borderId="0" xfId="0" applyFont="1" applyFill="1" applyBorder="1" applyAlignment="1" applyProtection="1">
      <alignment horizontal="right" vertical="center" shrinkToFit="1"/>
    </xf>
    <xf numFmtId="0" fontId="25" fillId="0" borderId="0" xfId="0" applyFont="1" applyBorder="1" applyAlignment="1" applyProtection="1">
      <alignment horizontal="center"/>
      <protection hidden="1"/>
    </xf>
    <xf numFmtId="0" fontId="30" fillId="4" borderId="0" xfId="2215" applyFont="1" applyFill="1" applyBorder="1" applyAlignment="1" applyProtection="1">
      <alignment horizontal="left" vertical="center"/>
      <protection hidden="1"/>
    </xf>
    <xf numFmtId="0" fontId="39" fillId="4" borderId="0" xfId="0" applyFont="1" applyFill="1" applyBorder="1" applyAlignment="1" applyProtection="1">
      <alignment horizontal="center" wrapText="1"/>
      <protection hidden="1"/>
    </xf>
    <xf numFmtId="0" fontId="26" fillId="16" borderId="38" xfId="2215" applyFill="1" applyBorder="1" applyAlignment="1" applyProtection="1">
      <alignment horizontal="left" vertical="center" shrinkToFit="1"/>
      <protection hidden="1"/>
    </xf>
    <xf numFmtId="0" fontId="26" fillId="16" borderId="21" xfId="2215" applyFill="1" applyBorder="1" applyAlignment="1" applyProtection="1">
      <alignment horizontal="left" vertical="center" shrinkToFit="1"/>
      <protection hidden="1"/>
    </xf>
    <xf numFmtId="0" fontId="31" fillId="2" borderId="14" xfId="2215" applyFont="1" applyFill="1" applyBorder="1" applyAlignment="1" applyProtection="1">
      <alignment horizontal="left" wrapText="1"/>
      <protection hidden="1"/>
    </xf>
    <xf numFmtId="0" fontId="31" fillId="2" borderId="49" xfId="2215" applyFont="1" applyFill="1" applyBorder="1" applyAlignment="1" applyProtection="1">
      <alignment horizontal="left"/>
      <protection hidden="1"/>
    </xf>
    <xf numFmtId="0" fontId="26" fillId="17" borderId="38" xfId="2215" applyFill="1" applyBorder="1" applyAlignment="1" applyProtection="1">
      <alignment horizontal="left" vertical="center" shrinkToFit="1"/>
      <protection hidden="1"/>
    </xf>
    <xf numFmtId="0" fontId="26" fillId="17" borderId="21" xfId="2215" applyFill="1" applyBorder="1" applyAlignment="1" applyProtection="1">
      <alignment horizontal="left" vertical="center" shrinkToFit="1"/>
      <protection hidden="1"/>
    </xf>
    <xf numFmtId="0" fontId="0" fillId="0" borderId="0" xfId="0" applyFill="1" applyAlignment="1" applyProtection="1">
      <alignment horizontal="center" vertical="center"/>
      <protection hidden="1"/>
    </xf>
    <xf numFmtId="0" fontId="63" fillId="0" borderId="0" xfId="2215" applyFont="1" applyFill="1" applyBorder="1" applyAlignment="1" applyProtection="1">
      <alignment horizontal="left" vertical="center"/>
      <protection hidden="1"/>
    </xf>
    <xf numFmtId="49" fontId="39" fillId="0" borderId="0" xfId="0" applyNumberFormat="1" applyFont="1" applyBorder="1" applyAlignment="1" applyProtection="1">
      <alignment horizontal="right"/>
      <protection hidden="1"/>
    </xf>
    <xf numFmtId="0" fontId="0" fillId="0" borderId="0" xfId="0" applyAlignment="1" applyProtection="1">
      <alignment horizontal="right"/>
      <protection hidden="1"/>
    </xf>
    <xf numFmtId="0" fontId="27" fillId="4" borderId="0" xfId="0" applyFont="1" applyFill="1" applyBorder="1" applyAlignment="1" applyProtection="1">
      <alignment horizontal="left" wrapText="1"/>
      <protection hidden="1"/>
    </xf>
    <xf numFmtId="49" fontId="39" fillId="0" borderId="10" xfId="0" applyNumberFormat="1" applyFont="1" applyBorder="1" applyAlignment="1" applyProtection="1">
      <alignment horizontal="center" vertical="center" wrapText="1"/>
      <protection hidden="1"/>
    </xf>
    <xf numFmtId="49" fontId="39" fillId="0" borderId="7" xfId="0" applyNumberFormat="1" applyFont="1" applyBorder="1" applyAlignment="1" applyProtection="1">
      <alignment horizontal="center" vertical="center" wrapText="1"/>
      <protection hidden="1"/>
    </xf>
    <xf numFmtId="49" fontId="39" fillId="0" borderId="6" xfId="0" applyNumberFormat="1" applyFont="1" applyBorder="1" applyAlignment="1" applyProtection="1">
      <alignment horizontal="center" vertical="center" wrapText="1"/>
      <protection hidden="1"/>
    </xf>
    <xf numFmtId="0" fontId="39" fillId="0" borderId="10" xfId="0" applyFont="1" applyBorder="1" applyAlignment="1" applyProtection="1">
      <alignment horizontal="center" vertical="center" wrapText="1"/>
      <protection hidden="1"/>
    </xf>
    <xf numFmtId="0" fontId="39" fillId="0" borderId="7" xfId="0" applyFont="1" applyBorder="1" applyAlignment="1" applyProtection="1">
      <alignment horizontal="center" vertical="center" wrapText="1"/>
      <protection hidden="1"/>
    </xf>
    <xf numFmtId="0" fontId="39" fillId="0" borderId="6" xfId="0" applyFont="1" applyBorder="1" applyAlignment="1" applyProtection="1">
      <alignment horizontal="center" vertical="center" wrapText="1"/>
      <protection hidden="1"/>
    </xf>
    <xf numFmtId="0" fontId="39" fillId="0" borderId="10" xfId="0" applyNumberFormat="1" applyFont="1" applyBorder="1" applyAlignment="1" applyProtection="1">
      <alignment horizontal="center" vertical="center" wrapText="1"/>
      <protection hidden="1"/>
    </xf>
    <xf numFmtId="0" fontId="39" fillId="0" borderId="7" xfId="0" applyNumberFormat="1" applyFont="1" applyBorder="1" applyAlignment="1" applyProtection="1">
      <alignment horizontal="center" vertical="center" wrapText="1"/>
      <protection hidden="1"/>
    </xf>
    <xf numFmtId="0" fontId="39" fillId="0" borderId="6" xfId="0" applyNumberFormat="1" applyFont="1" applyBorder="1" applyAlignment="1" applyProtection="1">
      <alignment horizontal="center" vertical="center" wrapText="1"/>
      <protection hidden="1"/>
    </xf>
    <xf numFmtId="44" fontId="39" fillId="0" borderId="1" xfId="0" applyNumberFormat="1" applyFont="1" applyBorder="1" applyAlignment="1" applyProtection="1">
      <alignment horizontal="center"/>
      <protection hidden="1"/>
    </xf>
    <xf numFmtId="2" fontId="33" fillId="0" borderId="7" xfId="0" applyNumberFormat="1" applyFont="1" applyBorder="1" applyAlignment="1" applyProtection="1">
      <alignment horizontal="center" wrapText="1"/>
      <protection hidden="1"/>
    </xf>
    <xf numFmtId="2" fontId="33" fillId="0" borderId="6" xfId="0" applyNumberFormat="1" applyFont="1" applyBorder="1" applyAlignment="1" applyProtection="1">
      <alignment horizontal="center" wrapText="1"/>
      <protection hidden="1"/>
    </xf>
    <xf numFmtId="44" fontId="39" fillId="0" borderId="0" xfId="0" applyNumberFormat="1" applyFont="1" applyAlignment="1" applyProtection="1">
      <alignment horizontal="center"/>
      <protection hidden="1"/>
    </xf>
    <xf numFmtId="44" fontId="39" fillId="0" borderId="14" xfId="0" applyNumberFormat="1" applyFont="1" applyBorder="1" applyAlignment="1" applyProtection="1">
      <alignment horizontal="center"/>
      <protection hidden="1"/>
    </xf>
    <xf numFmtId="0" fontId="39" fillId="0" borderId="3" xfId="0" applyFont="1" applyBorder="1" applyAlignment="1" applyProtection="1">
      <alignment horizontal="center" vertical="center"/>
      <protection hidden="1"/>
    </xf>
    <xf numFmtId="44" fontId="39" fillId="4" borderId="20" xfId="0" applyNumberFormat="1" applyFont="1" applyFill="1" applyBorder="1" applyAlignment="1" applyProtection="1">
      <alignment horizontal="center" vertical="center" shrinkToFit="1"/>
      <protection hidden="1"/>
    </xf>
    <xf numFmtId="44" fontId="39" fillId="4" borderId="38" xfId="0" applyNumberFormat="1" applyFont="1" applyFill="1" applyBorder="1" applyAlignment="1" applyProtection="1">
      <alignment horizontal="center" vertical="center" shrinkToFit="1"/>
      <protection hidden="1"/>
    </xf>
    <xf numFmtId="44" fontId="39" fillId="4" borderId="21" xfId="0" applyNumberFormat="1" applyFont="1" applyFill="1" applyBorder="1" applyAlignment="1" applyProtection="1">
      <alignment horizontal="center" vertical="center" shrinkToFit="1"/>
      <protection hidden="1"/>
    </xf>
    <xf numFmtId="44" fontId="39" fillId="0" borderId="12" xfId="0" applyNumberFormat="1" applyFont="1" applyFill="1" applyBorder="1" applyAlignment="1" applyProtection="1">
      <alignment horizontal="center" vertical="center" shrinkToFit="1"/>
      <protection hidden="1"/>
    </xf>
    <xf numFmtId="44" fontId="39" fillId="0" borderId="0" xfId="0" applyNumberFormat="1" applyFont="1" applyAlignment="1" applyProtection="1">
      <alignment horizontal="center" wrapText="1"/>
      <protection hidden="1"/>
    </xf>
    <xf numFmtId="44" fontId="39" fillId="0" borderId="14" xfId="0" applyNumberFormat="1" applyFont="1" applyBorder="1" applyAlignment="1" applyProtection="1">
      <alignment horizontal="center" wrapText="1"/>
      <protection hidden="1"/>
    </xf>
    <xf numFmtId="44" fontId="39" fillId="0" borderId="0" xfId="0" applyNumberFormat="1" applyFont="1" applyBorder="1" applyAlignment="1" applyProtection="1">
      <alignment horizontal="center" vertical="center" wrapText="1"/>
      <protection hidden="1"/>
    </xf>
    <xf numFmtId="44" fontId="39" fillId="0" borderId="14" xfId="0" applyNumberFormat="1" applyFont="1" applyBorder="1" applyAlignment="1" applyProtection="1">
      <alignment horizontal="center" vertical="center" wrapText="1"/>
      <protection hidden="1"/>
    </xf>
    <xf numFmtId="0" fontId="0" fillId="4" borderId="0" xfId="0" applyFill="1" applyAlignment="1" applyProtection="1">
      <alignment horizontal="left" wrapText="1"/>
      <protection hidden="1"/>
    </xf>
    <xf numFmtId="0" fontId="0" fillId="4" borderId="0" xfId="0" applyFill="1" applyAlignment="1" applyProtection="1">
      <alignment wrapText="1"/>
      <protection hidden="1"/>
    </xf>
    <xf numFmtId="0" fontId="39" fillId="0" borderId="13" xfId="0" applyNumberFormat="1" applyFont="1" applyBorder="1" applyAlignment="1" applyProtection="1">
      <alignment horizontal="center" vertical="center" wrapText="1"/>
      <protection hidden="1"/>
    </xf>
    <xf numFmtId="44" fontId="39" fillId="0" borderId="33" xfId="0" applyNumberFormat="1" applyFont="1" applyBorder="1" applyAlignment="1" applyProtection="1">
      <alignment horizontal="center"/>
      <protection hidden="1"/>
    </xf>
    <xf numFmtId="44" fontId="39" fillId="0" borderId="34" xfId="0" applyNumberFormat="1" applyFont="1" applyBorder="1" applyAlignment="1" applyProtection="1">
      <alignment horizontal="center"/>
      <protection hidden="1"/>
    </xf>
    <xf numFmtId="44" fontId="39" fillId="0" borderId="25" xfId="0" applyNumberFormat="1" applyFont="1" applyBorder="1" applyAlignment="1" applyProtection="1">
      <alignment horizontal="center"/>
      <protection hidden="1"/>
    </xf>
    <xf numFmtId="0" fontId="39" fillId="0" borderId="15" xfId="0" applyFont="1" applyBorder="1" applyAlignment="1" applyProtection="1">
      <alignment horizontal="center" vertical="center" shrinkToFit="1"/>
      <protection hidden="1"/>
    </xf>
    <xf numFmtId="0" fontId="39" fillId="0" borderId="3" xfId="0" applyFont="1" applyBorder="1" applyAlignment="1" applyProtection="1">
      <alignment horizontal="center" vertical="center" shrinkToFit="1"/>
      <protection hidden="1"/>
    </xf>
    <xf numFmtId="0" fontId="39" fillId="0" borderId="0" xfId="0" applyFont="1" applyBorder="1" applyAlignment="1" applyProtection="1">
      <alignment horizontal="left" wrapText="1"/>
      <protection hidden="1"/>
    </xf>
    <xf numFmtId="0" fontId="39" fillId="0" borderId="14" xfId="0" applyFont="1" applyBorder="1" applyAlignment="1" applyProtection="1">
      <alignment horizontal="left" wrapText="1"/>
      <protection hidden="1"/>
    </xf>
    <xf numFmtId="44" fontId="39" fillId="0" borderId="0" xfId="0" applyNumberFormat="1" applyFont="1" applyFill="1" applyBorder="1" applyAlignment="1" applyProtection="1">
      <alignment horizontal="center" vertical="center" shrinkToFit="1"/>
      <protection hidden="1"/>
    </xf>
    <xf numFmtId="0" fontId="39" fillId="0" borderId="0" xfId="0" applyFont="1" applyBorder="1" applyAlignment="1" applyProtection="1">
      <alignment horizontal="left" wrapText="1" shrinkToFit="1"/>
      <protection hidden="1"/>
    </xf>
    <xf numFmtId="0" fontId="39" fillId="0" borderId="14" xfId="0" applyFont="1" applyBorder="1" applyAlignment="1" applyProtection="1">
      <alignment horizontal="left" wrapText="1" shrinkToFit="1"/>
      <protection hidden="1"/>
    </xf>
    <xf numFmtId="0" fontId="27" fillId="0" borderId="0" xfId="0" applyFont="1" applyAlignment="1" applyProtection="1">
      <alignment horizontal="right" vertical="center" shrinkToFit="1"/>
      <protection hidden="1"/>
    </xf>
    <xf numFmtId="165" fontId="27" fillId="4" borderId="0" xfId="0" applyNumberFormat="1" applyFont="1" applyFill="1" applyBorder="1" applyAlignment="1" applyProtection="1">
      <alignment horizontal="center" vertical="center" shrinkToFit="1"/>
      <protection hidden="1"/>
    </xf>
    <xf numFmtId="0" fontId="31" fillId="0" borderId="0" xfId="0" applyFont="1" applyAlignment="1" applyProtection="1">
      <alignment horizontal="left" vertical="center" shrinkToFit="1"/>
      <protection hidden="1"/>
    </xf>
    <xf numFmtId="44" fontId="31" fillId="0" borderId="0" xfId="0" applyNumberFormat="1" applyFont="1" applyAlignment="1" applyProtection="1">
      <alignment horizontal="left" vertical="center" shrinkToFit="1"/>
      <protection hidden="1"/>
    </xf>
    <xf numFmtId="0" fontId="39" fillId="0" borderId="0" xfId="0" applyFont="1" applyAlignment="1" applyProtection="1">
      <alignment horizontal="right" vertical="center"/>
      <protection hidden="1"/>
    </xf>
    <xf numFmtId="165" fontId="39" fillId="4" borderId="0" xfId="0" applyNumberFormat="1" applyFont="1" applyFill="1" applyBorder="1" applyAlignment="1" applyProtection="1">
      <alignment horizontal="center" vertical="center" shrinkToFit="1"/>
      <protection hidden="1"/>
    </xf>
    <xf numFmtId="0" fontId="39" fillId="0" borderId="0" xfId="0" applyFont="1" applyAlignment="1" applyProtection="1">
      <alignment horizontal="center" vertical="center"/>
      <protection hidden="1"/>
    </xf>
    <xf numFmtId="0" fontId="27" fillId="4" borderId="0" xfId="0" applyNumberFormat="1" applyFont="1" applyFill="1" applyBorder="1" applyAlignment="1" applyProtection="1">
      <alignment horizontal="left" vertical="center"/>
      <protection hidden="1"/>
    </xf>
    <xf numFmtId="44" fontId="30" fillId="4" borderId="0" xfId="0" applyNumberFormat="1" applyFont="1" applyFill="1" applyBorder="1" applyAlignment="1" applyProtection="1">
      <alignment vertical="center" shrinkToFit="1"/>
      <protection hidden="1"/>
    </xf>
    <xf numFmtId="0" fontId="39" fillId="0" borderId="5" xfId="0" applyFont="1" applyBorder="1" applyAlignment="1" applyProtection="1">
      <alignment horizontal="center" vertical="center" wrapText="1"/>
      <protection hidden="1"/>
    </xf>
    <xf numFmtId="44" fontId="39" fillId="0" borderId="13" xfId="0" applyNumberFormat="1" applyFont="1" applyBorder="1" applyAlignment="1" applyProtection="1">
      <alignment horizontal="center" vertical="center" wrapText="1"/>
      <protection hidden="1"/>
    </xf>
    <xf numFmtId="44" fontId="0" fillId="0" borderId="12" xfId="0" applyNumberFormat="1" applyBorder="1" applyAlignment="1" applyProtection="1">
      <alignment horizontal="center" vertical="center" wrapText="1"/>
      <protection hidden="1"/>
    </xf>
    <xf numFmtId="0" fontId="0" fillId="0" borderId="12" xfId="0" applyBorder="1" applyAlignment="1" applyProtection="1">
      <alignment vertical="center"/>
      <protection hidden="1"/>
    </xf>
    <xf numFmtId="0" fontId="0" fillId="0" borderId="11" xfId="0" applyBorder="1" applyAlignment="1" applyProtection="1">
      <alignment vertical="center"/>
      <protection hidden="1"/>
    </xf>
    <xf numFmtId="44" fontId="64" fillId="0" borderId="8" xfId="0" applyNumberFormat="1" applyFont="1" applyBorder="1" applyAlignment="1" applyProtection="1">
      <alignment horizontal="center" vertical="center" wrapText="1"/>
      <protection hidden="1"/>
    </xf>
    <xf numFmtId="44" fontId="83" fillId="0" borderId="14" xfId="0" applyNumberFormat="1" applyFont="1" applyBorder="1" applyAlignment="1" applyProtection="1">
      <alignment horizontal="center" vertical="center" wrapText="1"/>
      <protection hidden="1"/>
    </xf>
    <xf numFmtId="0" fontId="39" fillId="0" borderId="9" xfId="0" applyNumberFormat="1" applyFont="1" applyBorder="1" applyAlignment="1" applyProtection="1">
      <alignment horizontal="center" vertical="center" wrapText="1"/>
      <protection hidden="1"/>
    </xf>
    <xf numFmtId="0" fontId="0" fillId="0" borderId="0" xfId="0" applyBorder="1" applyAlignment="1" applyProtection="1">
      <alignment vertical="center"/>
      <protection hidden="1"/>
    </xf>
    <xf numFmtId="0" fontId="0" fillId="0" borderId="2" xfId="0" applyBorder="1" applyAlignment="1" applyProtection="1">
      <alignment vertical="center"/>
      <protection hidden="1"/>
    </xf>
    <xf numFmtId="44" fontId="37" fillId="0" borderId="7" xfId="0" applyNumberFormat="1" applyFont="1" applyBorder="1" applyAlignment="1" applyProtection="1">
      <alignment horizontal="center" vertical="center" wrapText="1"/>
      <protection hidden="1"/>
    </xf>
    <xf numFmtId="44" fontId="37" fillId="0" borderId="6" xfId="0" applyNumberFormat="1" applyFont="1" applyBorder="1" applyAlignment="1" applyProtection="1">
      <alignment horizontal="center" vertical="center" wrapText="1"/>
      <protection hidden="1"/>
    </xf>
    <xf numFmtId="44" fontId="37" fillId="0" borderId="7" xfId="0" applyNumberFormat="1" applyFont="1" applyBorder="1" applyAlignment="1" applyProtection="1">
      <alignment horizontal="center" vertical="center"/>
      <protection hidden="1"/>
    </xf>
    <xf numFmtId="44" fontId="37" fillId="0" borderId="6" xfId="0" applyNumberFormat="1" applyFont="1" applyBorder="1" applyAlignment="1" applyProtection="1">
      <alignment horizontal="center" vertical="center"/>
      <protection hidden="1"/>
    </xf>
    <xf numFmtId="165" fontId="27" fillId="0" borderId="5" xfId="2213" applyFont="1" applyBorder="1" applyAlignment="1" applyProtection="1">
      <alignment vertical="top" shrinkToFit="1"/>
      <protection locked="0"/>
    </xf>
    <xf numFmtId="0" fontId="0" fillId="0" borderId="4" xfId="0" applyBorder="1" applyAlignment="1" applyProtection="1">
      <alignment vertical="top" shrinkToFit="1"/>
      <protection locked="0"/>
    </xf>
    <xf numFmtId="0" fontId="0" fillId="0" borderId="3" xfId="0" applyBorder="1" applyAlignment="1" applyProtection="1">
      <alignment vertical="top" shrinkToFit="1"/>
      <protection locked="0"/>
    </xf>
    <xf numFmtId="165" fontId="27" fillId="0" borderId="4" xfId="2213" applyFont="1" applyBorder="1" applyAlignment="1" applyProtection="1">
      <alignment vertical="top" shrinkToFit="1"/>
      <protection locked="0"/>
    </xf>
    <xf numFmtId="165" fontId="27" fillId="0" borderId="3" xfId="2213" applyFont="1" applyBorder="1" applyAlignment="1" applyProtection="1">
      <alignment vertical="top" shrinkToFit="1"/>
      <protection locked="0"/>
    </xf>
    <xf numFmtId="165" fontId="26" fillId="0" borderId="5" xfId="2213" applyFont="1" applyBorder="1" applyAlignment="1" applyProtection="1">
      <alignment vertical="top" shrinkToFit="1"/>
      <protection locked="0"/>
    </xf>
    <xf numFmtId="0" fontId="86" fillId="0" borderId="4" xfId="0" applyFont="1" applyBorder="1" applyAlignment="1" applyProtection="1">
      <alignment vertical="top" shrinkToFit="1"/>
      <protection locked="0"/>
    </xf>
    <xf numFmtId="0" fontId="86" fillId="0" borderId="3" xfId="0" applyFont="1" applyBorder="1" applyAlignment="1" applyProtection="1">
      <alignment vertical="top" shrinkToFit="1"/>
      <protection locked="0"/>
    </xf>
    <xf numFmtId="44" fontId="64" fillId="0" borderId="1" xfId="0" applyNumberFormat="1" applyFont="1" applyBorder="1" applyAlignment="1" applyProtection="1">
      <alignment horizontal="center" vertical="center" wrapText="1"/>
      <protection hidden="1"/>
    </xf>
    <xf numFmtId="44" fontId="64" fillId="0" borderId="5" xfId="0" applyNumberFormat="1" applyFont="1" applyBorder="1" applyAlignment="1" applyProtection="1">
      <alignment horizontal="center" vertical="center" wrapText="1"/>
      <protection hidden="1"/>
    </xf>
    <xf numFmtId="0" fontId="64" fillId="0" borderId="8" xfId="0" applyNumberFormat="1" applyFont="1" applyBorder="1" applyAlignment="1" applyProtection="1">
      <alignment horizontal="center" vertical="center" wrapText="1"/>
      <protection hidden="1"/>
    </xf>
    <xf numFmtId="0" fontId="0" fillId="0" borderId="14" xfId="0" applyBorder="1" applyAlignment="1" applyProtection="1">
      <alignment vertical="center"/>
      <protection hidden="1"/>
    </xf>
    <xf numFmtId="0" fontId="0" fillId="0" borderId="15" xfId="0" applyBorder="1" applyAlignment="1" applyProtection="1">
      <alignment vertical="center"/>
      <protection hidden="1"/>
    </xf>
    <xf numFmtId="165" fontId="27" fillId="0" borderId="5" xfId="2213" applyFont="1" applyBorder="1" applyAlignment="1" applyProtection="1">
      <alignment horizontal="left" vertical="center"/>
      <protection hidden="1"/>
    </xf>
    <xf numFmtId="0" fontId="0" fillId="0" borderId="4" xfId="0" applyBorder="1" applyAlignment="1" applyProtection="1">
      <alignment horizontal="left" vertical="center"/>
      <protection hidden="1"/>
    </xf>
    <xf numFmtId="0" fontId="0" fillId="0" borderId="3" xfId="0" applyBorder="1" applyAlignment="1" applyProtection="1">
      <alignment horizontal="left" vertical="center"/>
      <protection hidden="1"/>
    </xf>
    <xf numFmtId="165" fontId="87" fillId="0" borderId="5" xfId="2213" applyFont="1" applyBorder="1" applyAlignment="1" applyProtection="1">
      <alignment vertical="top" wrapText="1"/>
      <protection locked="0"/>
    </xf>
    <xf numFmtId="0" fontId="88" fillId="0" borderId="4" xfId="0" applyFont="1" applyBorder="1" applyAlignment="1" applyProtection="1">
      <alignment vertical="top" wrapText="1"/>
      <protection locked="0"/>
    </xf>
    <xf numFmtId="0" fontId="88" fillId="0" borderId="3" xfId="0" applyFont="1" applyBorder="1" applyAlignment="1" applyProtection="1">
      <alignment vertical="top" wrapText="1"/>
      <protection locked="0"/>
    </xf>
    <xf numFmtId="165" fontId="87" fillId="0" borderId="5" xfId="2213" applyFont="1" applyBorder="1" applyAlignment="1" applyProtection="1">
      <alignment vertical="top" shrinkToFit="1"/>
      <protection locked="0"/>
    </xf>
    <xf numFmtId="0" fontId="88" fillId="0" borderId="4" xfId="0" applyFont="1" applyBorder="1" applyAlignment="1" applyProtection="1">
      <alignment vertical="top" shrinkToFit="1"/>
      <protection locked="0"/>
    </xf>
    <xf numFmtId="0" fontId="88" fillId="0" borderId="3" xfId="0" applyFont="1" applyBorder="1" applyAlignment="1" applyProtection="1">
      <alignment vertical="top" shrinkToFit="1"/>
      <protection locked="0"/>
    </xf>
    <xf numFmtId="165" fontId="27" fillId="14" borderId="5" xfId="2213" applyFont="1" applyFill="1" applyBorder="1" applyAlignment="1" applyProtection="1">
      <alignment horizontal="left" vertical="center"/>
      <protection hidden="1"/>
    </xf>
    <xf numFmtId="49" fontId="27" fillId="0" borderId="10" xfId="0" applyNumberFormat="1" applyFont="1" applyBorder="1" applyAlignment="1" applyProtection="1">
      <alignment horizontal="right" vertical="center"/>
      <protection hidden="1"/>
    </xf>
    <xf numFmtId="49" fontId="27" fillId="0" borderId="6" xfId="0" applyNumberFormat="1" applyFont="1" applyBorder="1" applyAlignment="1" applyProtection="1">
      <alignment horizontal="right" vertical="center"/>
      <protection hidden="1"/>
    </xf>
    <xf numFmtId="0" fontId="27" fillId="0" borderId="10" xfId="0" applyFont="1" applyBorder="1" applyAlignment="1" applyProtection="1">
      <alignment vertical="center" wrapText="1"/>
      <protection hidden="1"/>
    </xf>
    <xf numFmtId="0" fontId="27" fillId="0" borderId="6" xfId="0" applyFont="1" applyBorder="1" applyAlignment="1" applyProtection="1">
      <alignment vertical="center" wrapText="1"/>
      <protection hidden="1"/>
    </xf>
    <xf numFmtId="44" fontId="26" fillId="0" borderId="10" xfId="2213" applyNumberFormat="1" applyFont="1" applyBorder="1" applyAlignment="1" applyProtection="1">
      <alignment vertical="center" shrinkToFit="1"/>
      <protection locked="0"/>
    </xf>
    <xf numFmtId="44" fontId="26" fillId="0" borderId="6" xfId="2213" applyNumberFormat="1" applyFont="1" applyBorder="1" applyAlignment="1" applyProtection="1">
      <alignment vertical="center" shrinkToFit="1"/>
      <protection locked="0"/>
    </xf>
    <xf numFmtId="44" fontId="27" fillId="4" borderId="1" xfId="2213" applyNumberFormat="1" applyFont="1" applyFill="1" applyBorder="1" applyAlignment="1" applyProtection="1">
      <alignment vertical="center" shrinkToFit="1"/>
      <protection hidden="1"/>
    </xf>
    <xf numFmtId="44" fontId="0" fillId="0" borderId="1" xfId="0" applyNumberFormat="1" applyBorder="1" applyAlignment="1" applyProtection="1">
      <alignment vertical="center" shrinkToFit="1"/>
      <protection hidden="1"/>
    </xf>
    <xf numFmtId="44" fontId="27" fillId="4" borderId="10" xfId="2213" applyNumberFormat="1" applyFont="1" applyFill="1" applyBorder="1" applyAlignment="1" applyProtection="1">
      <alignment vertical="center" shrinkToFit="1"/>
      <protection hidden="1"/>
    </xf>
    <xf numFmtId="44" fontId="27" fillId="4" borderId="6" xfId="2213" applyNumberFormat="1" applyFont="1" applyFill="1" applyBorder="1" applyAlignment="1" applyProtection="1">
      <alignment vertical="center" shrinkToFit="1"/>
      <protection hidden="1"/>
    </xf>
    <xf numFmtId="165" fontId="27" fillId="14" borderId="5" xfId="2213" applyFont="1" applyFill="1" applyBorder="1" applyAlignment="1" applyProtection="1">
      <alignment vertical="center"/>
      <protection hidden="1"/>
    </xf>
    <xf numFmtId="0" fontId="0" fillId="0" borderId="4" xfId="0" applyBorder="1" applyAlignment="1" applyProtection="1">
      <alignment vertical="center"/>
      <protection hidden="1"/>
    </xf>
    <xf numFmtId="0" fontId="0" fillId="0" borderId="3" xfId="0" applyBorder="1" applyAlignment="1" applyProtection="1">
      <alignment vertical="center"/>
      <protection hidden="1"/>
    </xf>
    <xf numFmtId="165" fontId="27" fillId="0" borderId="5" xfId="2213" applyFont="1" applyBorder="1" applyAlignment="1" applyProtection="1">
      <alignment vertical="center"/>
      <protection hidden="1"/>
    </xf>
    <xf numFmtId="165" fontId="27" fillId="14" borderId="4" xfId="2213" applyFont="1" applyFill="1" applyBorder="1" applyAlignment="1" applyProtection="1">
      <alignment vertical="center"/>
      <protection hidden="1"/>
    </xf>
    <xf numFmtId="165" fontId="27" fillId="14" borderId="3" xfId="2213" applyFont="1" applyFill="1" applyBorder="1" applyAlignment="1" applyProtection="1">
      <alignment vertical="center"/>
      <protection hidden="1"/>
    </xf>
    <xf numFmtId="44" fontId="85" fillId="0" borderId="10" xfId="2213" applyNumberFormat="1" applyFont="1" applyBorder="1" applyAlignment="1" applyProtection="1">
      <alignment wrapText="1"/>
      <protection hidden="1"/>
    </xf>
    <xf numFmtId="0" fontId="45" fillId="0" borderId="6" xfId="0" applyFont="1" applyBorder="1" applyAlignment="1" applyProtection="1">
      <alignment wrapText="1"/>
      <protection hidden="1"/>
    </xf>
    <xf numFmtId="49" fontId="27" fillId="0" borderId="7" xfId="0" applyNumberFormat="1" applyFont="1" applyBorder="1" applyAlignment="1" applyProtection="1">
      <alignment horizontal="right" vertical="center"/>
      <protection hidden="1"/>
    </xf>
    <xf numFmtId="0" fontId="27" fillId="0" borderId="10" xfId="0" applyFont="1" applyBorder="1" applyAlignment="1" applyProtection="1">
      <alignment horizontal="left" vertical="center" wrapText="1"/>
      <protection hidden="1"/>
    </xf>
    <xf numFmtId="0" fontId="27" fillId="0" borderId="7" xfId="0" applyFont="1" applyBorder="1" applyAlignment="1" applyProtection="1">
      <alignment horizontal="left" vertical="center" wrapText="1"/>
      <protection hidden="1"/>
    </xf>
    <xf numFmtId="0" fontId="27" fillId="0" borderId="6" xfId="0" applyFont="1" applyBorder="1" applyAlignment="1" applyProtection="1">
      <alignment horizontal="left" vertical="center" wrapText="1"/>
      <protection hidden="1"/>
    </xf>
    <xf numFmtId="44" fontId="26" fillId="0" borderId="7" xfId="2213" applyNumberFormat="1" applyFont="1" applyBorder="1" applyAlignment="1" applyProtection="1">
      <alignment vertical="center" shrinkToFit="1"/>
      <protection locked="0"/>
    </xf>
    <xf numFmtId="44" fontId="26" fillId="4" borderId="10" xfId="2213" applyNumberFormat="1" applyFont="1" applyFill="1" applyBorder="1" applyAlignment="1" applyProtection="1">
      <alignment vertical="center" shrinkToFit="1"/>
      <protection hidden="1"/>
    </xf>
    <xf numFmtId="44" fontId="26" fillId="4" borderId="7" xfId="2213" applyNumberFormat="1" applyFont="1" applyFill="1" applyBorder="1" applyAlignment="1" applyProtection="1">
      <alignment vertical="center" shrinkToFit="1"/>
      <protection hidden="1"/>
    </xf>
    <xf numFmtId="44" fontId="26" fillId="4" borderId="6" xfId="2213" applyNumberFormat="1" applyFont="1" applyFill="1" applyBorder="1" applyAlignment="1" applyProtection="1">
      <alignment vertical="center" shrinkToFit="1"/>
      <protection hidden="1"/>
    </xf>
    <xf numFmtId="44" fontId="27" fillId="4" borderId="10" xfId="2213" applyNumberFormat="1" applyFont="1" applyFill="1" applyBorder="1" applyAlignment="1" applyProtection="1">
      <alignment horizontal="right" vertical="center" shrinkToFit="1"/>
      <protection hidden="1"/>
    </xf>
    <xf numFmtId="44" fontId="27" fillId="4" borderId="7" xfId="2213" applyNumberFormat="1" applyFont="1" applyFill="1" applyBorder="1" applyAlignment="1" applyProtection="1">
      <alignment horizontal="right" vertical="center" shrinkToFit="1"/>
      <protection hidden="1"/>
    </xf>
    <xf numFmtId="44" fontId="27" fillId="4" borderId="6" xfId="2213" applyNumberFormat="1" applyFont="1" applyFill="1" applyBorder="1" applyAlignment="1" applyProtection="1">
      <alignment horizontal="right" vertical="center" shrinkToFit="1"/>
      <protection hidden="1"/>
    </xf>
    <xf numFmtId="44" fontId="40" fillId="4" borderId="5" xfId="0" applyNumberFormat="1" applyFont="1" applyFill="1" applyBorder="1" applyAlignment="1" applyProtection="1">
      <alignment horizontal="center" vertical="center" wrapText="1"/>
      <protection hidden="1"/>
    </xf>
    <xf numFmtId="44" fontId="40" fillId="4" borderId="3" xfId="0" applyNumberFormat="1" applyFont="1" applyFill="1" applyBorder="1" applyAlignment="1" applyProtection="1">
      <alignment horizontal="center" vertical="center" wrapText="1"/>
      <protection hidden="1"/>
    </xf>
    <xf numFmtId="44" fontId="40" fillId="4" borderId="4" xfId="0" applyNumberFormat="1" applyFont="1" applyFill="1" applyBorder="1" applyAlignment="1" applyProtection="1">
      <alignment horizontal="center" vertical="center" wrapText="1"/>
      <protection hidden="1"/>
    </xf>
    <xf numFmtId="165" fontId="27" fillId="14" borderId="4" xfId="2213" applyFont="1" applyFill="1" applyBorder="1" applyAlignment="1" applyProtection="1">
      <alignment horizontal="left" vertical="center"/>
      <protection hidden="1"/>
    </xf>
    <xf numFmtId="165" fontId="27" fillId="14" borderId="3" xfId="2213" applyFont="1" applyFill="1" applyBorder="1" applyAlignment="1" applyProtection="1">
      <alignment horizontal="left" vertical="center"/>
      <protection hidden="1"/>
    </xf>
    <xf numFmtId="165" fontId="27" fillId="0" borderId="5" xfId="2213" applyFont="1" applyBorder="1" applyAlignment="1" applyProtection="1">
      <alignment horizontal="left" vertical="center" wrapText="1"/>
      <protection hidden="1"/>
    </xf>
    <xf numFmtId="0" fontId="0" fillId="0" borderId="4" xfId="0" applyBorder="1" applyAlignment="1" applyProtection="1">
      <alignment horizontal="left" vertical="center" wrapText="1"/>
      <protection hidden="1"/>
    </xf>
    <xf numFmtId="0" fontId="0" fillId="0" borderId="3" xfId="0" applyBorder="1" applyAlignment="1" applyProtection="1">
      <alignment horizontal="left" vertical="center" wrapText="1"/>
      <protection hidden="1"/>
    </xf>
    <xf numFmtId="49" fontId="27" fillId="0" borderId="1" xfId="0" applyNumberFormat="1" applyFont="1" applyBorder="1" applyAlignment="1" applyProtection="1">
      <alignment horizontal="right" vertical="center"/>
      <protection hidden="1"/>
    </xf>
    <xf numFmtId="0" fontId="0" fillId="0" borderId="1" xfId="0" applyBorder="1" applyAlignment="1" applyProtection="1">
      <alignment vertical="center"/>
      <protection hidden="1"/>
    </xf>
    <xf numFmtId="0" fontId="27" fillId="0" borderId="1" xfId="0" applyFont="1" applyBorder="1" applyAlignment="1" applyProtection="1">
      <alignment vertical="center" wrapText="1"/>
      <protection hidden="1"/>
    </xf>
    <xf numFmtId="44" fontId="26" fillId="0" borderId="1" xfId="2213" applyNumberFormat="1" applyFont="1" applyBorder="1" applyAlignment="1" applyProtection="1">
      <alignment vertical="center" shrinkToFit="1"/>
      <protection locked="0"/>
    </xf>
    <xf numFmtId="44" fontId="86" fillId="0" borderId="1" xfId="0" applyNumberFormat="1" applyFont="1" applyBorder="1" applyAlignment="1" applyProtection="1">
      <alignment vertical="center" shrinkToFit="1"/>
      <protection locked="0"/>
    </xf>
    <xf numFmtId="44" fontId="0" fillId="4" borderId="1" xfId="0" applyNumberFormat="1" applyFill="1" applyBorder="1" applyAlignment="1" applyProtection="1">
      <alignment vertical="center" shrinkToFit="1"/>
      <protection hidden="1"/>
    </xf>
    <xf numFmtId="44" fontId="85" fillId="0" borderId="9" xfId="2213" applyNumberFormat="1" applyFont="1" applyBorder="1" applyAlignment="1" applyProtection="1">
      <alignment wrapText="1"/>
      <protection hidden="1"/>
    </xf>
    <xf numFmtId="0" fontId="45" fillId="0" borderId="8" xfId="0" applyFont="1" applyBorder="1" applyAlignment="1" applyProtection="1">
      <alignment wrapText="1"/>
      <protection hidden="1"/>
    </xf>
    <xf numFmtId="44" fontId="63" fillId="0" borderId="5" xfId="2213" applyNumberFormat="1" applyFont="1" applyBorder="1" applyAlignment="1" applyProtection="1">
      <alignment horizontal="center" vertical="center"/>
      <protection hidden="1"/>
    </xf>
    <xf numFmtId="44" fontId="63" fillId="0" borderId="3" xfId="2213" applyNumberFormat="1" applyFont="1" applyBorder="1" applyAlignment="1" applyProtection="1">
      <alignment horizontal="center" vertical="center"/>
      <protection hidden="1"/>
    </xf>
    <xf numFmtId="0" fontId="57" fillId="0" borderId="0" xfId="2214" applyFont="1" applyFill="1" applyBorder="1" applyAlignment="1" applyProtection="1">
      <alignment horizontal="center" vertical="center"/>
      <protection hidden="1"/>
    </xf>
    <xf numFmtId="0" fontId="57" fillId="0" borderId="0" xfId="2216" applyFont="1" applyBorder="1" applyAlignment="1" applyProtection="1">
      <alignment horizontal="center" vertical="center"/>
      <protection hidden="1"/>
    </xf>
    <xf numFmtId="0" fontId="18" fillId="4" borderId="0" xfId="2216" applyFont="1" applyFill="1" applyAlignment="1" applyProtection="1">
      <alignment vertical="center"/>
      <protection hidden="1"/>
    </xf>
    <xf numFmtId="0" fontId="0" fillId="4" borderId="0" xfId="0" applyFill="1" applyAlignment="1" applyProtection="1">
      <alignment vertical="center"/>
      <protection hidden="1"/>
    </xf>
    <xf numFmtId="0" fontId="78" fillId="3" borderId="0" xfId="2216" applyFont="1" applyFill="1" applyAlignment="1" applyProtection="1">
      <alignment horizontal="center" vertical="center" wrapText="1"/>
      <protection hidden="1"/>
    </xf>
    <xf numFmtId="0" fontId="18" fillId="4" borderId="0" xfId="2216" applyFont="1" applyFill="1" applyAlignment="1" applyProtection="1">
      <alignment horizontal="left" vertical="center"/>
      <protection hidden="1"/>
    </xf>
    <xf numFmtId="0" fontId="0" fillId="4" borderId="0" xfId="0" applyFill="1" applyAlignment="1" applyProtection="1">
      <alignment horizontal="left" vertical="center"/>
      <protection hidden="1"/>
    </xf>
    <xf numFmtId="0" fontId="18" fillId="0" borderId="0" xfId="2216" applyFont="1" applyAlignment="1" applyProtection="1">
      <alignment horizontal="left" vertical="center"/>
      <protection hidden="1"/>
    </xf>
    <xf numFmtId="0" fontId="40" fillId="0" borderId="0" xfId="2216" applyFont="1" applyAlignment="1" applyProtection="1">
      <alignment horizontal="left" vertical="center"/>
      <protection hidden="1"/>
    </xf>
    <xf numFmtId="0" fontId="55" fillId="0" borderId="14" xfId="2216" applyFont="1" applyBorder="1" applyAlignment="1" applyProtection="1">
      <alignment horizontal="right" vertical="center"/>
      <protection hidden="1"/>
    </xf>
    <xf numFmtId="0" fontId="80" fillId="0" borderId="0" xfId="2216" applyFont="1" applyAlignment="1" applyProtection="1">
      <alignment horizontal="left" vertical="center"/>
      <protection hidden="1"/>
    </xf>
    <xf numFmtId="0" fontId="59" fillId="0" borderId="9" xfId="2216" applyFont="1" applyBorder="1" applyAlignment="1" applyProtection="1">
      <alignment horizontal="left" vertical="center"/>
      <protection hidden="1"/>
    </xf>
    <xf numFmtId="0" fontId="59" fillId="0" borderId="0" xfId="2216" applyFont="1" applyBorder="1" applyAlignment="1" applyProtection="1">
      <alignment horizontal="left" vertical="center"/>
      <protection hidden="1"/>
    </xf>
    <xf numFmtId="0" fontId="64" fillId="3" borderId="0" xfId="2216" applyFont="1" applyFill="1" applyAlignment="1" applyProtection="1">
      <alignment horizontal="left" vertical="center"/>
      <protection hidden="1"/>
    </xf>
    <xf numFmtId="0" fontId="39" fillId="0" borderId="10" xfId="0" applyFont="1" applyBorder="1" applyAlignment="1" applyProtection="1">
      <alignment horizontal="center" vertical="center"/>
      <protection hidden="1"/>
    </xf>
    <xf numFmtId="0" fontId="66" fillId="0" borderId="6" xfId="0" applyFont="1" applyBorder="1" applyAlignment="1">
      <alignment horizontal="center" vertical="center"/>
    </xf>
    <xf numFmtId="0" fontId="39" fillId="0" borderId="13" xfId="0" applyFont="1" applyFill="1" applyBorder="1" applyAlignment="1" applyProtection="1">
      <alignment horizontal="center" vertical="center"/>
      <protection hidden="1"/>
    </xf>
    <xf numFmtId="0" fontId="66" fillId="0" borderId="12" xfId="0" applyFont="1" applyBorder="1" applyAlignment="1">
      <alignment horizontal="center" vertical="center"/>
    </xf>
    <xf numFmtId="0" fontId="66" fillId="0" borderId="11" xfId="0" applyFont="1" applyBorder="1" applyAlignment="1">
      <alignment horizontal="center" vertical="center"/>
    </xf>
    <xf numFmtId="0" fontId="63" fillId="0" borderId="14" xfId="0" applyFont="1" applyBorder="1" applyAlignment="1" applyProtection="1">
      <alignment horizontal="center" vertical="center"/>
      <protection hidden="1"/>
    </xf>
    <xf numFmtId="0" fontId="39" fillId="0" borderId="10" xfId="0" applyFont="1" applyBorder="1" applyAlignment="1" applyProtection="1">
      <alignment horizontal="right" vertical="center"/>
      <protection hidden="1"/>
    </xf>
    <xf numFmtId="0" fontId="66" fillId="0" borderId="6" xfId="0" applyFont="1" applyBorder="1" applyAlignment="1">
      <alignment horizontal="right" vertical="center"/>
    </xf>
    <xf numFmtId="0" fontId="39" fillId="0" borderId="13" xfId="0" applyFont="1" applyBorder="1" applyAlignment="1" applyProtection="1">
      <alignment vertical="center" wrapText="1"/>
      <protection hidden="1"/>
    </xf>
    <xf numFmtId="0" fontId="66" fillId="0" borderId="8" xfId="0" applyFont="1" applyBorder="1" applyAlignment="1">
      <alignment vertical="center" wrapText="1"/>
    </xf>
    <xf numFmtId="0" fontId="39" fillId="0" borderId="5" xfId="0" applyFont="1" applyFill="1" applyBorder="1" applyAlignment="1" applyProtection="1">
      <alignment horizontal="center" vertical="center"/>
      <protection hidden="1"/>
    </xf>
    <xf numFmtId="0" fontId="39" fillId="0" borderId="4" xfId="0" applyFont="1" applyFill="1" applyBorder="1" applyAlignment="1" applyProtection="1">
      <alignment horizontal="center" vertical="center"/>
      <protection hidden="1"/>
    </xf>
    <xf numFmtId="0" fontId="39" fillId="0" borderId="3" xfId="0" applyFont="1" applyFill="1" applyBorder="1" applyAlignment="1" applyProtection="1">
      <alignment horizontal="center" vertical="center"/>
      <protection hidden="1"/>
    </xf>
    <xf numFmtId="49" fontId="39" fillId="0" borderId="0" xfId="0" applyNumberFormat="1" applyFont="1" applyBorder="1" applyAlignment="1" applyProtection="1">
      <alignment horizontal="right" vertical="center"/>
      <protection hidden="1"/>
    </xf>
    <xf numFmtId="0" fontId="0" fillId="0" borderId="0" xfId="0" applyAlignment="1" applyProtection="1">
      <alignment horizontal="right" vertical="center"/>
      <protection hidden="1"/>
    </xf>
    <xf numFmtId="0" fontId="27" fillId="4" borderId="0" xfId="0" applyFont="1" applyFill="1" applyBorder="1" applyAlignment="1" applyProtection="1">
      <alignment horizontal="left" vertical="center" wrapText="1"/>
      <protection hidden="1"/>
    </xf>
    <xf numFmtId="0" fontId="39" fillId="4" borderId="0" xfId="0" applyFont="1" applyFill="1" applyBorder="1" applyAlignment="1" applyProtection="1">
      <alignment horizontal="center" vertical="center" wrapText="1"/>
      <protection hidden="1"/>
    </xf>
    <xf numFmtId="44" fontId="27" fillId="0" borderId="5" xfId="0" applyNumberFormat="1" applyFont="1" applyBorder="1" applyAlignment="1" applyProtection="1">
      <alignment horizontal="center" vertical="center" wrapText="1"/>
      <protection hidden="1"/>
    </xf>
    <xf numFmtId="44" fontId="27" fillId="0" borderId="4" xfId="0" applyNumberFormat="1" applyFont="1" applyBorder="1" applyAlignment="1" applyProtection="1">
      <alignment horizontal="center" vertical="center" wrapText="1"/>
      <protection hidden="1"/>
    </xf>
    <xf numFmtId="44" fontId="27" fillId="0" borderId="3" xfId="0" applyNumberFormat="1" applyFont="1" applyBorder="1" applyAlignment="1" applyProtection="1">
      <alignment horizontal="center" vertical="center" wrapText="1"/>
      <protection hidden="1"/>
    </xf>
    <xf numFmtId="0" fontId="39" fillId="0" borderId="1" xfId="0" applyFont="1" applyBorder="1" applyAlignment="1" applyProtection="1">
      <alignment horizontal="center" vertical="center" wrapText="1"/>
      <protection hidden="1"/>
    </xf>
    <xf numFmtId="0" fontId="63" fillId="13" borderId="5" xfId="0" applyFont="1" applyFill="1" applyBorder="1" applyAlignment="1" applyProtection="1">
      <alignment horizontal="center" vertical="center"/>
      <protection hidden="1"/>
    </xf>
    <xf numFmtId="0" fontId="63" fillId="13" borderId="4" xfId="0" applyFont="1" applyFill="1" applyBorder="1" applyAlignment="1" applyProtection="1">
      <alignment horizontal="center" vertical="center"/>
      <protection hidden="1"/>
    </xf>
    <xf numFmtId="0" fontId="63" fillId="13" borderId="3" xfId="0" applyFont="1" applyFill="1" applyBorder="1" applyAlignment="1" applyProtection="1">
      <alignment horizontal="center" vertical="center"/>
      <protection hidden="1"/>
    </xf>
    <xf numFmtId="0" fontId="39" fillId="0" borderId="13" xfId="0" applyFont="1" applyBorder="1" applyAlignment="1" applyProtection="1">
      <alignment horizontal="center" vertical="center" wrapText="1"/>
      <protection hidden="1"/>
    </xf>
    <xf numFmtId="0" fontId="39" fillId="0" borderId="9" xfId="0" applyFont="1" applyBorder="1" applyAlignment="1" applyProtection="1">
      <alignment horizontal="center" vertical="center" wrapText="1"/>
      <protection hidden="1"/>
    </xf>
    <xf numFmtId="0" fontId="39" fillId="0" borderId="8" xfId="0" applyFont="1" applyBorder="1" applyAlignment="1" applyProtection="1">
      <alignment horizontal="center" vertical="center" wrapText="1"/>
      <protection hidden="1"/>
    </xf>
    <xf numFmtId="2" fontId="27" fillId="0" borderId="5" xfId="0" applyNumberFormat="1" applyFont="1" applyBorder="1" applyAlignment="1" applyProtection="1">
      <alignment horizontal="center" vertical="center" wrapText="1"/>
      <protection hidden="1"/>
    </xf>
    <xf numFmtId="2" fontId="27" fillId="0" borderId="4" xfId="0" applyNumberFormat="1" applyFont="1" applyBorder="1" applyAlignment="1" applyProtection="1">
      <alignment horizontal="center" vertical="center" wrapText="1"/>
      <protection hidden="1"/>
    </xf>
    <xf numFmtId="2" fontId="27" fillId="0" borderId="3" xfId="0" applyNumberFormat="1" applyFont="1" applyBorder="1" applyAlignment="1" applyProtection="1">
      <alignment horizontal="center" vertical="center" wrapText="1"/>
      <protection hidden="1"/>
    </xf>
    <xf numFmtId="1" fontId="27" fillId="0" borderId="5" xfId="0" applyNumberFormat="1" applyFont="1" applyBorder="1" applyAlignment="1" applyProtection="1">
      <alignment horizontal="center" vertical="center" wrapText="1"/>
      <protection hidden="1"/>
    </xf>
    <xf numFmtId="1" fontId="27" fillId="0" borderId="4" xfId="0" applyNumberFormat="1" applyFont="1" applyBorder="1" applyAlignment="1" applyProtection="1">
      <alignment horizontal="center" vertical="center" wrapText="1"/>
      <protection hidden="1"/>
    </xf>
    <xf numFmtId="1" fontId="27" fillId="0" borderId="3" xfId="0" applyNumberFormat="1" applyFont="1" applyBorder="1" applyAlignment="1" applyProtection="1">
      <alignment horizontal="center" vertical="center" wrapText="1"/>
      <protection hidden="1"/>
    </xf>
    <xf numFmtId="0" fontId="39" fillId="0" borderId="11" xfId="0" applyFont="1" applyBorder="1" applyAlignment="1" applyProtection="1">
      <alignment horizontal="center" vertical="center" wrapText="1"/>
      <protection hidden="1"/>
    </xf>
    <xf numFmtId="0" fontId="39" fillId="0" borderId="2" xfId="0" applyFont="1" applyBorder="1" applyAlignment="1" applyProtection="1">
      <alignment horizontal="center" vertical="center" wrapText="1"/>
      <protection hidden="1"/>
    </xf>
    <xf numFmtId="0" fontId="39" fillId="0" borderId="15" xfId="0" applyFont="1" applyBorder="1" applyAlignment="1" applyProtection="1">
      <alignment horizontal="center" vertical="center" wrapText="1"/>
      <protection hidden="1"/>
    </xf>
    <xf numFmtId="0" fontId="27" fillId="0" borderId="5" xfId="0" applyFont="1" applyBorder="1" applyAlignment="1" applyProtection="1">
      <alignment horizontal="center" vertical="center"/>
      <protection hidden="1"/>
    </xf>
    <xf numFmtId="0" fontId="27" fillId="0" borderId="3" xfId="0" applyFont="1" applyBorder="1" applyAlignment="1" applyProtection="1">
      <alignment horizontal="center" vertical="center"/>
      <protection hidden="1"/>
    </xf>
    <xf numFmtId="172" fontId="27" fillId="0" borderId="5" xfId="0" applyNumberFormat="1" applyFont="1" applyBorder="1" applyAlignment="1" applyProtection="1">
      <alignment horizontal="center" vertical="center"/>
      <protection hidden="1"/>
    </xf>
    <xf numFmtId="172" fontId="27" fillId="0" borderId="3" xfId="0" applyNumberFormat="1" applyFont="1" applyBorder="1" applyAlignment="1" applyProtection="1">
      <alignment horizontal="center" vertical="center"/>
      <protection hidden="1"/>
    </xf>
    <xf numFmtId="44" fontId="27" fillId="0" borderId="5" xfId="0" applyNumberFormat="1" applyFont="1" applyBorder="1" applyAlignment="1" applyProtection="1">
      <alignment horizontal="center" vertical="center"/>
      <protection hidden="1"/>
    </xf>
    <xf numFmtId="44" fontId="27" fillId="0" borderId="3" xfId="0" applyNumberFormat="1" applyFont="1" applyBorder="1" applyAlignment="1" applyProtection="1">
      <alignment horizontal="center" vertical="center"/>
      <protection hidden="1"/>
    </xf>
    <xf numFmtId="169" fontId="27" fillId="0" borderId="5" xfId="0" applyNumberFormat="1" applyFont="1" applyBorder="1" applyAlignment="1" applyProtection="1">
      <alignment horizontal="center" vertical="center"/>
      <protection hidden="1"/>
    </xf>
    <xf numFmtId="169" fontId="27" fillId="0" borderId="3" xfId="0" applyNumberFormat="1" applyFont="1" applyBorder="1" applyAlignment="1" applyProtection="1">
      <alignment horizontal="center" vertical="center"/>
      <protection hidden="1"/>
    </xf>
    <xf numFmtId="44" fontId="39" fillId="0" borderId="20" xfId="0" applyNumberFormat="1" applyFont="1" applyBorder="1" applyAlignment="1" applyProtection="1">
      <alignment horizontal="center" vertical="center"/>
      <protection hidden="1"/>
    </xf>
    <xf numFmtId="44" fontId="39" fillId="0" borderId="21" xfId="0" applyNumberFormat="1" applyFont="1" applyBorder="1" applyAlignment="1" applyProtection="1">
      <alignment horizontal="center" vertical="center"/>
      <protection hidden="1"/>
    </xf>
    <xf numFmtId="44" fontId="27" fillId="0" borderId="13" xfId="0" applyNumberFormat="1" applyFont="1" applyBorder="1" applyAlignment="1" applyProtection="1">
      <alignment horizontal="center" vertical="center"/>
      <protection hidden="1"/>
    </xf>
    <xf numFmtId="44" fontId="27" fillId="0" borderId="11" xfId="0" applyNumberFormat="1" applyFont="1" applyBorder="1" applyAlignment="1" applyProtection="1">
      <alignment horizontal="center" vertical="center"/>
      <protection hidden="1"/>
    </xf>
    <xf numFmtId="0" fontId="64" fillId="4" borderId="0" xfId="0" applyFont="1" applyFill="1" applyBorder="1" applyAlignment="1" applyProtection="1">
      <alignment horizontal="center" vertical="center"/>
      <protection hidden="1"/>
    </xf>
    <xf numFmtId="3" fontId="37" fillId="4" borderId="0" xfId="2" applyNumberFormat="1" applyFont="1" applyFill="1" applyBorder="1" applyAlignment="1" applyProtection="1">
      <alignment horizontal="center" vertical="center" shrinkToFit="1"/>
      <protection hidden="1"/>
    </xf>
    <xf numFmtId="0" fontId="64" fillId="4" borderId="0" xfId="1" applyFont="1" applyFill="1" applyAlignment="1" applyProtection="1">
      <alignment horizontal="center" wrapText="1"/>
      <protection hidden="1"/>
    </xf>
    <xf numFmtId="44" fontId="26" fillId="4" borderId="5" xfId="2" applyNumberFormat="1" applyFont="1" applyFill="1" applyBorder="1" applyAlignment="1" applyProtection="1">
      <alignment horizontal="center" shrinkToFit="1"/>
      <protection hidden="1"/>
    </xf>
    <xf numFmtId="44" fontId="26" fillId="4" borderId="4" xfId="2" applyNumberFormat="1" applyFont="1" applyFill="1" applyBorder="1" applyAlignment="1" applyProtection="1">
      <alignment horizontal="center" shrinkToFit="1"/>
      <protection hidden="1"/>
    </xf>
    <xf numFmtId="44" fontId="26" fillId="4" borderId="3" xfId="2" applyNumberFormat="1" applyFont="1" applyFill="1" applyBorder="1" applyAlignment="1" applyProtection="1">
      <alignment horizontal="center" shrinkToFit="1"/>
      <protection hidden="1"/>
    </xf>
    <xf numFmtId="0" fontId="26" fillId="3" borderId="0" xfId="2" applyFont="1" applyFill="1" applyBorder="1" applyAlignment="1" applyProtection="1">
      <alignment horizontal="left" vertical="center" shrinkToFit="1"/>
      <protection locked="0"/>
    </xf>
    <xf numFmtId="0" fontId="29" fillId="2" borderId="0" xfId="1" applyFont="1" applyFill="1" applyBorder="1" applyAlignment="1" applyProtection="1">
      <alignment horizontal="right" vertical="center" shrinkToFit="1"/>
      <protection hidden="1"/>
    </xf>
    <xf numFmtId="0" fontId="26" fillId="11" borderId="5" xfId="1" applyFont="1" applyFill="1" applyBorder="1" applyAlignment="1" applyProtection="1">
      <alignment horizontal="left" vertical="center"/>
      <protection locked="0"/>
    </xf>
    <xf numFmtId="0" fontId="26" fillId="11" borderId="3" xfId="1" applyFont="1" applyFill="1" applyBorder="1" applyAlignment="1" applyProtection="1">
      <alignment horizontal="left" vertical="center"/>
      <protection locked="0"/>
    </xf>
    <xf numFmtId="0" fontId="92" fillId="2" borderId="9" xfId="1" applyFont="1" applyFill="1" applyBorder="1" applyAlignment="1" applyProtection="1">
      <alignment horizontal="center" vertical="center" wrapText="1"/>
      <protection hidden="1"/>
    </xf>
    <xf numFmtId="0" fontId="92" fillId="2" borderId="0" xfId="1" applyFont="1" applyFill="1" applyAlignment="1" applyProtection="1">
      <alignment horizontal="center" vertical="center" wrapText="1"/>
      <protection hidden="1"/>
    </xf>
    <xf numFmtId="0" fontId="92" fillId="2" borderId="0" xfId="1" applyFont="1" applyFill="1" applyBorder="1" applyAlignment="1" applyProtection="1">
      <alignment horizontal="left" vertical="center" wrapText="1"/>
      <protection hidden="1"/>
    </xf>
    <xf numFmtId="0" fontId="92" fillId="2" borderId="0" xfId="1" applyFont="1" applyFill="1" applyAlignment="1" applyProtection="1">
      <alignment horizontal="left" vertical="center" wrapText="1"/>
      <protection hidden="1"/>
    </xf>
    <xf numFmtId="0" fontId="22" fillId="4" borderId="0" xfId="0" applyFont="1" applyFill="1" applyAlignment="1" applyProtection="1">
      <alignment horizontal="left" wrapText="1"/>
      <protection hidden="1"/>
    </xf>
    <xf numFmtId="49" fontId="39" fillId="2" borderId="0" xfId="0" applyNumberFormat="1" applyFont="1" applyFill="1" applyBorder="1" applyAlignment="1" applyProtection="1">
      <alignment horizontal="right"/>
      <protection hidden="1"/>
    </xf>
    <xf numFmtId="0" fontId="26" fillId="3" borderId="5" xfId="0" applyFont="1" applyFill="1" applyBorder="1" applyAlignment="1" applyProtection="1">
      <alignment horizontal="center" vertical="center"/>
      <protection locked="0"/>
    </xf>
    <xf numFmtId="0" fontId="26" fillId="3" borderId="3" xfId="0" applyFont="1" applyFill="1" applyBorder="1" applyAlignment="1" applyProtection="1">
      <alignment horizontal="center" vertical="center"/>
      <protection locked="0"/>
    </xf>
    <xf numFmtId="49" fontId="26" fillId="3" borderId="0" xfId="1" applyNumberFormat="1" applyFont="1" applyFill="1" applyBorder="1" applyAlignment="1" applyProtection="1">
      <alignment horizontal="center" vertical="center"/>
      <protection locked="0"/>
    </xf>
    <xf numFmtId="0" fontId="37" fillId="2" borderId="0" xfId="1" applyFont="1" applyFill="1" applyBorder="1" applyAlignment="1" applyProtection="1">
      <alignment horizontal="left"/>
      <protection hidden="1"/>
    </xf>
    <xf numFmtId="0" fontId="29" fillId="2" borderId="0" xfId="2" applyFont="1" applyFill="1" applyBorder="1" applyAlignment="1" applyProtection="1">
      <alignment horizontal="center"/>
      <protection hidden="1"/>
    </xf>
    <xf numFmtId="0" fontId="26" fillId="2" borderId="0" xfId="1" applyFont="1" applyFill="1" applyBorder="1" applyAlignment="1" applyProtection="1">
      <alignment horizontal="right" vertical="center" shrinkToFit="1"/>
      <protection hidden="1"/>
    </xf>
    <xf numFmtId="0" fontId="26" fillId="2" borderId="0" xfId="1" applyFont="1" applyFill="1" applyBorder="1" applyAlignment="1" applyProtection="1">
      <alignment horizontal="right" vertical="center"/>
      <protection hidden="1"/>
    </xf>
    <xf numFmtId="49" fontId="30" fillId="3" borderId="0" xfId="1" applyNumberFormat="1" applyFont="1" applyFill="1" applyBorder="1" applyAlignment="1" applyProtection="1">
      <alignment horizontal="left" vertical="center"/>
      <protection locked="0"/>
    </xf>
    <xf numFmtId="0" fontId="30" fillId="2" borderId="10" xfId="2" applyFont="1" applyFill="1" applyBorder="1" applyAlignment="1" applyProtection="1">
      <alignment horizontal="center" vertical="center" wrapText="1"/>
      <protection hidden="1"/>
    </xf>
    <xf numFmtId="0" fontId="30" fillId="2" borderId="7" xfId="2" applyFont="1" applyFill="1" applyBorder="1" applyAlignment="1" applyProtection="1">
      <alignment horizontal="center" vertical="center" wrapText="1"/>
      <protection hidden="1"/>
    </xf>
    <xf numFmtId="0" fontId="30" fillId="2" borderId="6" xfId="2" applyFont="1" applyFill="1" applyBorder="1" applyAlignment="1" applyProtection="1">
      <alignment horizontal="center" vertical="center" wrapText="1"/>
      <protection hidden="1"/>
    </xf>
    <xf numFmtId="0" fontId="26" fillId="2" borderId="9" xfId="2" applyFont="1" applyFill="1" applyBorder="1" applyAlignment="1" applyProtection="1">
      <alignment horizontal="center" vertical="center" wrapText="1"/>
      <protection hidden="1"/>
    </xf>
    <xf numFmtId="0" fontId="26" fillId="2" borderId="8" xfId="2" applyFont="1" applyFill="1" applyBorder="1" applyAlignment="1" applyProtection="1">
      <alignment horizontal="center" vertical="center" wrapText="1"/>
      <protection hidden="1"/>
    </xf>
    <xf numFmtId="2" fontId="26" fillId="0" borderId="7" xfId="2" applyNumberFormat="1" applyFont="1" applyFill="1" applyBorder="1" applyAlignment="1" applyProtection="1">
      <alignment horizontal="center" vertical="center" wrapText="1"/>
      <protection hidden="1"/>
    </xf>
    <xf numFmtId="2" fontId="26" fillId="0" borderId="6" xfId="2" applyNumberFormat="1" applyFont="1" applyFill="1" applyBorder="1" applyAlignment="1" applyProtection="1">
      <alignment horizontal="center" vertical="center" wrapText="1"/>
      <protection hidden="1"/>
    </xf>
    <xf numFmtId="2" fontId="29" fillId="2" borderId="7" xfId="2" applyNumberFormat="1" applyFont="1" applyFill="1" applyBorder="1" applyAlignment="1" applyProtection="1">
      <alignment horizontal="center" vertical="center" wrapText="1"/>
      <protection hidden="1"/>
    </xf>
    <xf numFmtId="2" fontId="26" fillId="2" borderId="7" xfId="2" applyNumberFormat="1" applyFont="1" applyFill="1" applyBorder="1" applyAlignment="1" applyProtection="1">
      <alignment horizontal="center" vertical="center" wrapText="1"/>
      <protection hidden="1"/>
    </xf>
    <xf numFmtId="0" fontId="26" fillId="2" borderId="7" xfId="2" applyFont="1" applyFill="1" applyBorder="1" applyAlignment="1" applyProtection="1">
      <alignment horizontal="center" vertical="center" wrapText="1"/>
      <protection hidden="1"/>
    </xf>
    <xf numFmtId="0" fontId="30" fillId="0" borderId="7" xfId="2" applyFont="1" applyFill="1" applyBorder="1" applyAlignment="1" applyProtection="1">
      <alignment horizontal="center" vertical="center" wrapText="1"/>
      <protection hidden="1"/>
    </xf>
    <xf numFmtId="0" fontId="30" fillId="0" borderId="6" xfId="2" applyFont="1" applyFill="1" applyBorder="1" applyAlignment="1" applyProtection="1">
      <alignment horizontal="center" vertical="center" wrapText="1"/>
      <protection hidden="1"/>
    </xf>
    <xf numFmtId="0" fontId="29" fillId="2" borderId="7" xfId="2" applyFont="1" applyFill="1" applyBorder="1" applyAlignment="1" applyProtection="1">
      <alignment horizontal="center" vertical="center" wrapText="1"/>
      <protection hidden="1"/>
    </xf>
    <xf numFmtId="0" fontId="29" fillId="3" borderId="7" xfId="2" applyFont="1" applyFill="1" applyBorder="1" applyAlignment="1" applyProtection="1">
      <alignment horizontal="center" vertical="center" wrapText="1"/>
      <protection locked="0"/>
    </xf>
    <xf numFmtId="0" fontId="29" fillId="3" borderId="6" xfId="2" applyFont="1" applyFill="1" applyBorder="1" applyAlignment="1" applyProtection="1">
      <alignment horizontal="center" vertical="center" wrapText="1"/>
      <protection locked="0"/>
    </xf>
    <xf numFmtId="0" fontId="30" fillId="3" borderId="0" xfId="1" applyFont="1" applyFill="1" applyBorder="1" applyAlignment="1" applyProtection="1">
      <alignment horizontal="left" vertical="center"/>
      <protection locked="0"/>
    </xf>
    <xf numFmtId="0" fontId="26" fillId="2" borderId="10" xfId="2" applyFont="1" applyFill="1" applyBorder="1" applyAlignment="1" applyProtection="1">
      <alignment horizontal="center" vertical="top" wrapText="1"/>
      <protection hidden="1"/>
    </xf>
    <xf numFmtId="0" fontId="26" fillId="2" borderId="7" xfId="2" applyFont="1" applyFill="1" applyBorder="1" applyAlignment="1" applyProtection="1">
      <alignment horizontal="center" vertical="top" wrapText="1"/>
      <protection hidden="1"/>
    </xf>
    <xf numFmtId="0" fontId="30" fillId="2" borderId="13" xfId="2" applyFont="1" applyFill="1" applyBorder="1" applyAlignment="1" applyProtection="1">
      <alignment horizontal="center" vertical="center" wrapText="1"/>
      <protection hidden="1"/>
    </xf>
    <xf numFmtId="0" fontId="30" fillId="2" borderId="12" xfId="2" applyFont="1" applyFill="1" applyBorder="1" applyAlignment="1" applyProtection="1">
      <alignment horizontal="center" vertical="center" wrapText="1"/>
      <protection hidden="1"/>
    </xf>
    <xf numFmtId="0" fontId="30" fillId="2" borderId="11" xfId="2" applyFont="1" applyFill="1" applyBorder="1" applyAlignment="1" applyProtection="1">
      <alignment horizontal="center" vertical="center" wrapText="1"/>
      <protection hidden="1"/>
    </xf>
    <xf numFmtId="0" fontId="30" fillId="2" borderId="13" xfId="2" applyFont="1" applyFill="1" applyBorder="1" applyAlignment="1" applyProtection="1">
      <alignment horizontal="center" vertical="top" wrapText="1"/>
      <protection hidden="1"/>
    </xf>
    <xf numFmtId="0" fontId="30" fillId="2" borderId="12" xfId="2" applyFont="1" applyFill="1" applyBorder="1" applyAlignment="1" applyProtection="1">
      <alignment horizontal="center" vertical="top" wrapText="1"/>
      <protection hidden="1"/>
    </xf>
    <xf numFmtId="0" fontId="89" fillId="2" borderId="0" xfId="1" applyFont="1" applyFill="1" applyBorder="1" applyAlignment="1" applyProtection="1">
      <alignment horizontal="left"/>
      <protection hidden="1"/>
    </xf>
    <xf numFmtId="0" fontId="90" fillId="2" borderId="0" xfId="2" applyFont="1" applyFill="1" applyBorder="1" applyAlignment="1" applyProtection="1">
      <alignment horizontal="center"/>
      <protection hidden="1"/>
    </xf>
    <xf numFmtId="0" fontId="31" fillId="2" borderId="0" xfId="1" applyFont="1" applyFill="1" applyBorder="1" applyAlignment="1" applyProtection="1">
      <alignment horizontal="left" vertical="center"/>
      <protection hidden="1"/>
    </xf>
    <xf numFmtId="0" fontId="26" fillId="0" borderId="0" xfId="0" applyFont="1" applyFill="1" applyAlignment="1" applyProtection="1">
      <alignment horizontal="center" vertical="center" shrinkToFit="1"/>
      <protection hidden="1"/>
    </xf>
    <xf numFmtId="0" fontId="26" fillId="4" borderId="5" xfId="0" applyFont="1" applyFill="1" applyBorder="1" applyAlignment="1" applyProtection="1">
      <alignment horizontal="center" vertical="center"/>
      <protection hidden="1"/>
    </xf>
    <xf numFmtId="0" fontId="26" fillId="4" borderId="3" xfId="0" applyFont="1" applyFill="1" applyBorder="1" applyAlignment="1" applyProtection="1">
      <alignment horizontal="center" vertical="center"/>
      <protection hidden="1"/>
    </xf>
    <xf numFmtId="0" fontId="27" fillId="2" borderId="0" xfId="1" applyFont="1" applyFill="1" applyAlignment="1" applyProtection="1">
      <alignment horizontal="right" vertical="center" wrapText="1"/>
      <protection hidden="1"/>
    </xf>
    <xf numFmtId="0" fontId="98" fillId="0" borderId="14" xfId="1" applyFont="1" applyFill="1" applyBorder="1" applyAlignment="1" applyProtection="1">
      <alignment horizontal="center" vertical="top"/>
      <protection hidden="1"/>
    </xf>
    <xf numFmtId="49" fontId="27" fillId="3" borderId="0" xfId="1" applyNumberFormat="1" applyFont="1" applyFill="1" applyAlignment="1" applyProtection="1">
      <alignment horizontal="center" vertical="center" shrinkToFit="1"/>
      <protection locked="0"/>
    </xf>
    <xf numFmtId="0" fontId="26" fillId="4" borderId="5" xfId="1" applyFont="1" applyFill="1" applyBorder="1" applyAlignment="1" applyProtection="1">
      <alignment horizontal="left" vertical="center"/>
      <protection hidden="1"/>
    </xf>
    <xf numFmtId="0" fontId="26" fillId="4" borderId="3" xfId="1" applyFont="1" applyFill="1" applyBorder="1" applyAlignment="1" applyProtection="1">
      <alignment horizontal="left" vertical="center"/>
      <protection hidden="1"/>
    </xf>
    <xf numFmtId="49" fontId="26" fillId="4" borderId="0" xfId="1" applyNumberFormat="1" applyFont="1" applyFill="1" applyBorder="1" applyAlignment="1" applyProtection="1">
      <alignment horizontal="center" vertical="center"/>
      <protection hidden="1"/>
    </xf>
    <xf numFmtId="49" fontId="27" fillId="4" borderId="0" xfId="1" applyNumberFormat="1" applyFont="1" applyFill="1" applyAlignment="1" applyProtection="1">
      <alignment horizontal="center" vertical="center" shrinkToFit="1"/>
      <protection hidden="1"/>
    </xf>
    <xf numFmtId="0" fontId="30" fillId="4" borderId="0" xfId="1" applyFont="1" applyFill="1" applyBorder="1" applyAlignment="1" applyProtection="1">
      <alignment horizontal="left" vertical="center"/>
      <protection hidden="1"/>
    </xf>
    <xf numFmtId="0" fontId="26" fillId="12" borderId="0" xfId="2" applyFont="1" applyFill="1" applyBorder="1" applyAlignment="1" applyProtection="1">
      <alignment horizontal="left" vertical="center" shrinkToFit="1"/>
      <protection hidden="1"/>
    </xf>
    <xf numFmtId="2" fontId="48" fillId="2" borderId="10" xfId="2" applyNumberFormat="1" applyFont="1" applyFill="1" applyBorder="1" applyAlignment="1" applyProtection="1">
      <alignment horizontal="center" wrapText="1"/>
      <protection hidden="1"/>
    </xf>
    <xf numFmtId="2" fontId="48" fillId="2" borderId="7" xfId="2" applyNumberFormat="1" applyFont="1" applyFill="1" applyBorder="1" applyAlignment="1" applyProtection="1">
      <alignment horizontal="center" wrapText="1"/>
      <protection hidden="1"/>
    </xf>
    <xf numFmtId="0" fontId="26" fillId="0" borderId="0" xfId="1" applyFont="1" applyFill="1" applyBorder="1" applyAlignment="1" applyProtection="1">
      <alignment horizontal="right" vertical="center" shrinkToFit="1"/>
      <protection hidden="1"/>
    </xf>
    <xf numFmtId="0" fontId="26" fillId="11" borderId="5" xfId="0" applyFont="1" applyFill="1" applyBorder="1" applyAlignment="1" applyProtection="1">
      <alignment horizontal="center" vertical="center"/>
      <protection locked="0"/>
    </xf>
    <xf numFmtId="0" fontId="26" fillId="11" borderId="3" xfId="0" applyFont="1" applyFill="1" applyBorder="1" applyAlignment="1" applyProtection="1">
      <alignment horizontal="center" vertical="center"/>
      <protection locked="0"/>
    </xf>
    <xf numFmtId="0" fontId="20" fillId="2" borderId="0" xfId="10" applyFont="1" applyFill="1" applyAlignment="1" applyProtection="1">
      <alignment horizontal="center" vertical="center"/>
      <protection hidden="1"/>
    </xf>
    <xf numFmtId="0" fontId="21" fillId="2" borderId="0" xfId="10" applyFill="1" applyAlignment="1" applyProtection="1">
      <alignment horizontal="center" vertical="center"/>
      <protection hidden="1"/>
    </xf>
    <xf numFmtId="0" fontId="22" fillId="4" borderId="0" xfId="0" applyFont="1" applyFill="1" applyAlignment="1" applyProtection="1">
      <alignment horizontal="left" vertical="center" wrapText="1"/>
      <protection hidden="1"/>
    </xf>
    <xf numFmtId="0" fontId="27" fillId="4" borderId="10" xfId="10" applyFont="1" applyFill="1" applyBorder="1" applyAlignment="1" applyProtection="1">
      <alignment horizontal="center" vertical="center" wrapText="1"/>
      <protection hidden="1"/>
    </xf>
    <xf numFmtId="0" fontId="27" fillId="4" borderId="6" xfId="10" applyFont="1" applyFill="1" applyBorder="1" applyAlignment="1" applyProtection="1">
      <alignment horizontal="center" vertical="center" wrapText="1"/>
      <protection hidden="1"/>
    </xf>
    <xf numFmtId="0" fontId="26" fillId="0" borderId="10" xfId="2" applyFont="1" applyFill="1" applyBorder="1" applyAlignment="1" applyProtection="1">
      <alignment horizontal="center" vertical="center" wrapText="1"/>
      <protection hidden="1"/>
    </xf>
    <xf numFmtId="0" fontId="26" fillId="0" borderId="7" xfId="2" applyFont="1" applyFill="1" applyBorder="1" applyAlignment="1" applyProtection="1">
      <alignment horizontal="center" vertical="center" wrapText="1"/>
      <protection hidden="1"/>
    </xf>
    <xf numFmtId="0" fontId="26" fillId="2" borderId="6" xfId="2" applyFont="1" applyFill="1" applyBorder="1" applyAlignment="1" applyProtection="1">
      <alignment horizontal="center" vertical="center" wrapText="1"/>
      <protection hidden="1"/>
    </xf>
    <xf numFmtId="2" fontId="26" fillId="2" borderId="6" xfId="2" applyNumberFormat="1" applyFont="1" applyFill="1" applyBorder="1" applyAlignment="1" applyProtection="1">
      <alignment horizontal="center" vertical="center" wrapText="1"/>
      <protection hidden="1"/>
    </xf>
    <xf numFmtId="0" fontId="26" fillId="3" borderId="7" xfId="2" applyFont="1" applyFill="1" applyBorder="1" applyAlignment="1" applyProtection="1">
      <alignment horizontal="center" vertical="center" wrapText="1"/>
      <protection locked="0"/>
    </xf>
    <xf numFmtId="0" fontId="27" fillId="4" borderId="5" xfId="0" applyFont="1" applyFill="1" applyBorder="1" applyAlignment="1" applyProtection="1">
      <alignment horizontal="right" vertical="center"/>
      <protection hidden="1"/>
    </xf>
    <xf numFmtId="0" fontId="27" fillId="4" borderId="4" xfId="0" applyFont="1" applyFill="1" applyBorder="1" applyAlignment="1" applyProtection="1">
      <alignment horizontal="right" vertical="center"/>
      <protection hidden="1"/>
    </xf>
    <xf numFmtId="0" fontId="27" fillId="4" borderId="3" xfId="0" applyFont="1" applyFill="1" applyBorder="1" applyAlignment="1" applyProtection="1">
      <alignment horizontal="right" vertical="center"/>
      <protection hidden="1"/>
    </xf>
    <xf numFmtId="44" fontId="30" fillId="3" borderId="5" xfId="2212" applyFont="1" applyFill="1" applyBorder="1" applyAlignment="1" applyProtection="1">
      <alignment horizontal="center" vertical="center"/>
      <protection locked="0"/>
    </xf>
    <xf numFmtId="44" fontId="30" fillId="3" borderId="3" xfId="2212" applyFont="1" applyFill="1" applyBorder="1" applyAlignment="1" applyProtection="1">
      <alignment horizontal="center" vertical="center"/>
      <protection locked="0"/>
    </xf>
    <xf numFmtId="0" fontId="26" fillId="2" borderId="6" xfId="2" applyFont="1" applyFill="1" applyBorder="1" applyAlignment="1" applyProtection="1">
      <alignment horizontal="center" vertical="top" wrapText="1"/>
      <protection hidden="1"/>
    </xf>
    <xf numFmtId="0" fontId="30" fillId="2" borderId="11" xfId="2" applyFont="1" applyFill="1" applyBorder="1" applyAlignment="1" applyProtection="1">
      <alignment horizontal="center" vertical="top" wrapText="1"/>
      <protection hidden="1"/>
    </xf>
    <xf numFmtId="0" fontId="39" fillId="2" borderId="10" xfId="1" applyFont="1" applyFill="1" applyBorder="1" applyAlignment="1" applyProtection="1">
      <alignment horizontal="center" vertical="center" wrapText="1"/>
      <protection hidden="1"/>
    </xf>
    <xf numFmtId="0" fontId="39" fillId="2" borderId="7" xfId="1" applyFont="1" applyFill="1" applyBorder="1" applyAlignment="1" applyProtection="1">
      <alignment horizontal="center" vertical="center" wrapText="1"/>
      <protection hidden="1"/>
    </xf>
    <xf numFmtId="0" fontId="39" fillId="2" borderId="6" xfId="1" applyFont="1" applyFill="1" applyBorder="1" applyAlignment="1" applyProtection="1">
      <alignment horizontal="center" vertical="center" wrapText="1"/>
      <protection hidden="1"/>
    </xf>
    <xf numFmtId="0" fontId="26" fillId="2" borderId="10" xfId="2" applyFont="1" applyFill="1" applyBorder="1" applyAlignment="1" applyProtection="1">
      <alignment horizontal="center" vertical="center" wrapText="1"/>
      <protection hidden="1"/>
    </xf>
    <xf numFmtId="0" fontId="26" fillId="2" borderId="14" xfId="0" applyFont="1" applyFill="1" applyBorder="1" applyAlignment="1" applyProtection="1">
      <alignment horizontal="center" vertical="center" shrinkToFit="1"/>
      <protection hidden="1"/>
    </xf>
    <xf numFmtId="0" fontId="27" fillId="4" borderId="13" xfId="10" applyFont="1" applyFill="1" applyBorder="1" applyAlignment="1" applyProtection="1">
      <alignment horizontal="center" vertical="center" wrapText="1"/>
      <protection hidden="1"/>
    </xf>
    <xf numFmtId="0" fontId="27" fillId="4" borderId="12" xfId="10" applyFont="1" applyFill="1" applyBorder="1" applyAlignment="1" applyProtection="1">
      <alignment horizontal="center" vertical="center" wrapText="1"/>
      <protection hidden="1"/>
    </xf>
    <xf numFmtId="0" fontId="27" fillId="4" borderId="11" xfId="10" applyFont="1" applyFill="1" applyBorder="1" applyAlignment="1" applyProtection="1">
      <alignment horizontal="center" vertical="center" wrapText="1"/>
      <protection hidden="1"/>
    </xf>
    <xf numFmtId="0" fontId="27" fillId="3" borderId="5" xfId="0" applyFont="1" applyFill="1" applyBorder="1" applyAlignment="1" applyProtection="1">
      <alignment horizontal="left" vertical="center"/>
      <protection locked="0"/>
    </xf>
    <xf numFmtId="0" fontId="27" fillId="3" borderId="4" xfId="0" applyFont="1" applyFill="1" applyBorder="1" applyAlignment="1" applyProtection="1">
      <alignment horizontal="left" vertical="center"/>
      <protection locked="0"/>
    </xf>
    <xf numFmtId="0" fontId="27" fillId="3" borderId="3" xfId="0" applyFont="1" applyFill="1" applyBorder="1" applyAlignment="1" applyProtection="1">
      <alignment horizontal="left" vertical="center"/>
      <protection locked="0"/>
    </xf>
    <xf numFmtId="0" fontId="29" fillId="3" borderId="7" xfId="2" applyFont="1" applyFill="1" applyBorder="1" applyAlignment="1" applyProtection="1">
      <alignment vertical="center" wrapText="1"/>
      <protection locked="0"/>
    </xf>
    <xf numFmtId="2" fontId="40" fillId="3" borderId="1" xfId="0" quotePrefix="1" applyNumberFormat="1" applyFont="1" applyFill="1" applyBorder="1" applyAlignment="1" applyProtection="1">
      <alignment horizontal="center" vertical="center"/>
      <protection locked="0" hidden="1"/>
    </xf>
    <xf numFmtId="2" fontId="40" fillId="3" borderId="1" xfId="1" applyNumberFormat="1" applyFont="1" applyFill="1" applyBorder="1" applyAlignment="1" applyProtection="1">
      <alignment horizontal="center" vertical="center"/>
      <protection locked="0" hidden="1"/>
    </xf>
    <xf numFmtId="44" fontId="26" fillId="11" borderId="1" xfId="1" applyNumberFormat="1" applyFont="1" applyFill="1" applyBorder="1" applyAlignment="1" applyProtection="1">
      <alignment horizontal="right" vertical="center"/>
      <protection locked="0" hidden="1"/>
    </xf>
    <xf numFmtId="44" fontId="29" fillId="3" borderId="0" xfId="2" applyNumberFormat="1" applyFont="1" applyFill="1" applyBorder="1" applyAlignment="1" applyProtection="1">
      <alignment horizontal="center" vertical="center" shrinkToFit="1"/>
      <protection locked="0" hidden="1"/>
    </xf>
  </cellXfs>
  <cellStyles count="2218">
    <cellStyle name="Akzent2 2" xfId="29"/>
    <cellStyle name="Ausgabe 2" xfId="30"/>
    <cellStyle name="Euro" xfId="3"/>
    <cellStyle name="Gut 2" xfId="25"/>
    <cellStyle name="Hyperlink 2" xfId="455"/>
    <cellStyle name="Komma" xfId="2213" builtinId="3"/>
    <cellStyle name="Link" xfId="2214" builtinId="8"/>
    <cellStyle name="Neutral 2" xfId="27"/>
    <cellStyle name="Schlecht 2" xfId="26"/>
    <cellStyle name="Standard" xfId="0" builtinId="0"/>
    <cellStyle name="Standard 2" xfId="4"/>
    <cellStyle name="Standard 2 10" xfId="193"/>
    <cellStyle name="Standard 2 10 2" xfId="367"/>
    <cellStyle name="Standard 2 10 2 2" xfId="809"/>
    <cellStyle name="Standard 2 10 2 2 2" xfId="2123"/>
    <cellStyle name="Standard 2 10 2 3" xfId="1682"/>
    <cellStyle name="Standard 2 10 2 4" xfId="1246"/>
    <cellStyle name="Standard 2 10 3" xfId="635"/>
    <cellStyle name="Standard 2 10 3 2" xfId="1949"/>
    <cellStyle name="Standard 2 10 4" xfId="1508"/>
    <cellStyle name="Standard 2 10 5" xfId="1072"/>
    <cellStyle name="Standard 2 11" xfId="106"/>
    <cellStyle name="Standard 2 11 2" xfId="548"/>
    <cellStyle name="Standard 2 11 2 2" xfId="1862"/>
    <cellStyle name="Standard 2 11 3" xfId="1421"/>
    <cellStyle name="Standard 2 11 4" xfId="985"/>
    <cellStyle name="Standard 2 12" xfId="280"/>
    <cellStyle name="Standard 2 12 2" xfId="722"/>
    <cellStyle name="Standard 2 12 2 2" xfId="2036"/>
    <cellStyle name="Standard 2 12 3" xfId="1595"/>
    <cellStyle name="Standard 2 12 4" xfId="1159"/>
    <cellStyle name="Standard 2 13" xfId="456"/>
    <cellStyle name="Standard 2 13 2" xfId="1770"/>
    <cellStyle name="Standard 2 14" xfId="461"/>
    <cellStyle name="Standard 2 14 2" xfId="1775"/>
    <cellStyle name="Standard 2 15" xfId="1334"/>
    <cellStyle name="Standard 2 16" xfId="898"/>
    <cellStyle name="Standard 2 17" xfId="2211"/>
    <cellStyle name="Standard 2 18" xfId="13"/>
    <cellStyle name="Standard 2 19" xfId="2216"/>
    <cellStyle name="Standard 2 2" xfId="5"/>
    <cellStyle name="Standard 2 2 10" xfId="281"/>
    <cellStyle name="Standard 2 2 10 2" xfId="723"/>
    <cellStyle name="Standard 2 2 10 2 2" xfId="2037"/>
    <cellStyle name="Standard 2 2 10 3" xfId="1596"/>
    <cellStyle name="Standard 2 2 10 4" xfId="1160"/>
    <cellStyle name="Standard 2 2 11" xfId="457"/>
    <cellStyle name="Standard 2 2 11 2" xfId="1771"/>
    <cellStyle name="Standard 2 2 12" xfId="462"/>
    <cellStyle name="Standard 2 2 12 2" xfId="1776"/>
    <cellStyle name="Standard 2 2 13" xfId="1335"/>
    <cellStyle name="Standard 2 2 14" xfId="899"/>
    <cellStyle name="Standard 2 2 15" xfId="14"/>
    <cellStyle name="Standard 2 2 2" xfId="18"/>
    <cellStyle name="Standard 2 2 2 10" xfId="1339"/>
    <cellStyle name="Standard 2 2 2 11" xfId="903"/>
    <cellStyle name="Standard 2 2 2 2" xfId="36"/>
    <cellStyle name="Standard 2 2 2 2 2" xfId="94"/>
    <cellStyle name="Standard 2 2 2 2 2 2" xfId="268"/>
    <cellStyle name="Standard 2 2 2 2 2 2 2" xfId="442"/>
    <cellStyle name="Standard 2 2 2 2 2 2 2 2" xfId="884"/>
    <cellStyle name="Standard 2 2 2 2 2 2 2 2 2" xfId="2198"/>
    <cellStyle name="Standard 2 2 2 2 2 2 2 3" xfId="1757"/>
    <cellStyle name="Standard 2 2 2 2 2 2 2 4" xfId="1321"/>
    <cellStyle name="Standard 2 2 2 2 2 2 3" xfId="710"/>
    <cellStyle name="Standard 2 2 2 2 2 2 3 2" xfId="2024"/>
    <cellStyle name="Standard 2 2 2 2 2 2 4" xfId="1583"/>
    <cellStyle name="Standard 2 2 2 2 2 2 5" xfId="1147"/>
    <cellStyle name="Standard 2 2 2 2 2 3" xfId="152"/>
    <cellStyle name="Standard 2 2 2 2 2 3 2" xfId="594"/>
    <cellStyle name="Standard 2 2 2 2 2 3 2 2" xfId="1908"/>
    <cellStyle name="Standard 2 2 2 2 2 3 3" xfId="1467"/>
    <cellStyle name="Standard 2 2 2 2 2 3 4" xfId="1031"/>
    <cellStyle name="Standard 2 2 2 2 2 4" xfId="326"/>
    <cellStyle name="Standard 2 2 2 2 2 4 2" xfId="768"/>
    <cellStyle name="Standard 2 2 2 2 2 4 2 2" xfId="2082"/>
    <cellStyle name="Standard 2 2 2 2 2 4 3" xfId="1641"/>
    <cellStyle name="Standard 2 2 2 2 2 4 4" xfId="1205"/>
    <cellStyle name="Standard 2 2 2 2 2 5" xfId="536"/>
    <cellStyle name="Standard 2 2 2 2 2 5 2" xfId="1850"/>
    <cellStyle name="Standard 2 2 2 2 2 6" xfId="1409"/>
    <cellStyle name="Standard 2 2 2 2 2 7" xfId="973"/>
    <cellStyle name="Standard 2 2 2 2 3" xfId="65"/>
    <cellStyle name="Standard 2 2 2 2 3 2" xfId="239"/>
    <cellStyle name="Standard 2 2 2 2 3 2 2" xfId="413"/>
    <cellStyle name="Standard 2 2 2 2 3 2 2 2" xfId="855"/>
    <cellStyle name="Standard 2 2 2 2 3 2 2 2 2" xfId="2169"/>
    <cellStyle name="Standard 2 2 2 2 3 2 2 3" xfId="1728"/>
    <cellStyle name="Standard 2 2 2 2 3 2 2 4" xfId="1292"/>
    <cellStyle name="Standard 2 2 2 2 3 2 3" xfId="681"/>
    <cellStyle name="Standard 2 2 2 2 3 2 3 2" xfId="1995"/>
    <cellStyle name="Standard 2 2 2 2 3 2 4" xfId="1554"/>
    <cellStyle name="Standard 2 2 2 2 3 2 5" xfId="1118"/>
    <cellStyle name="Standard 2 2 2 2 3 3" xfId="181"/>
    <cellStyle name="Standard 2 2 2 2 3 3 2" xfId="623"/>
    <cellStyle name="Standard 2 2 2 2 3 3 2 2" xfId="1937"/>
    <cellStyle name="Standard 2 2 2 2 3 3 3" xfId="1496"/>
    <cellStyle name="Standard 2 2 2 2 3 3 4" xfId="1060"/>
    <cellStyle name="Standard 2 2 2 2 3 4" xfId="355"/>
    <cellStyle name="Standard 2 2 2 2 3 4 2" xfId="797"/>
    <cellStyle name="Standard 2 2 2 2 3 4 2 2" xfId="2111"/>
    <cellStyle name="Standard 2 2 2 2 3 4 3" xfId="1670"/>
    <cellStyle name="Standard 2 2 2 2 3 4 4" xfId="1234"/>
    <cellStyle name="Standard 2 2 2 2 3 5" xfId="507"/>
    <cellStyle name="Standard 2 2 2 2 3 5 2" xfId="1821"/>
    <cellStyle name="Standard 2 2 2 2 3 6" xfId="1380"/>
    <cellStyle name="Standard 2 2 2 2 3 7" xfId="944"/>
    <cellStyle name="Standard 2 2 2 2 4" xfId="210"/>
    <cellStyle name="Standard 2 2 2 2 4 2" xfId="384"/>
    <cellStyle name="Standard 2 2 2 2 4 2 2" xfId="826"/>
    <cellStyle name="Standard 2 2 2 2 4 2 2 2" xfId="2140"/>
    <cellStyle name="Standard 2 2 2 2 4 2 3" xfId="1699"/>
    <cellStyle name="Standard 2 2 2 2 4 2 4" xfId="1263"/>
    <cellStyle name="Standard 2 2 2 2 4 3" xfId="652"/>
    <cellStyle name="Standard 2 2 2 2 4 3 2" xfId="1966"/>
    <cellStyle name="Standard 2 2 2 2 4 4" xfId="1525"/>
    <cellStyle name="Standard 2 2 2 2 4 5" xfId="1089"/>
    <cellStyle name="Standard 2 2 2 2 5" xfId="123"/>
    <cellStyle name="Standard 2 2 2 2 5 2" xfId="565"/>
    <cellStyle name="Standard 2 2 2 2 5 2 2" xfId="1879"/>
    <cellStyle name="Standard 2 2 2 2 5 3" xfId="1438"/>
    <cellStyle name="Standard 2 2 2 2 5 4" xfId="1002"/>
    <cellStyle name="Standard 2 2 2 2 6" xfId="297"/>
    <cellStyle name="Standard 2 2 2 2 6 2" xfId="739"/>
    <cellStyle name="Standard 2 2 2 2 6 2 2" xfId="2053"/>
    <cellStyle name="Standard 2 2 2 2 6 3" xfId="1612"/>
    <cellStyle name="Standard 2 2 2 2 6 4" xfId="1176"/>
    <cellStyle name="Standard 2 2 2 2 7" xfId="478"/>
    <cellStyle name="Standard 2 2 2 2 7 2" xfId="1792"/>
    <cellStyle name="Standard 2 2 2 2 8" xfId="1351"/>
    <cellStyle name="Standard 2 2 2 2 9" xfId="915"/>
    <cellStyle name="Standard 2 2 2 3" xfId="44"/>
    <cellStyle name="Standard 2 2 2 3 2" xfId="102"/>
    <cellStyle name="Standard 2 2 2 3 2 2" xfId="276"/>
    <cellStyle name="Standard 2 2 2 3 2 2 2" xfId="450"/>
    <cellStyle name="Standard 2 2 2 3 2 2 2 2" xfId="892"/>
    <cellStyle name="Standard 2 2 2 3 2 2 2 2 2" xfId="2206"/>
    <cellStyle name="Standard 2 2 2 3 2 2 2 3" xfId="1765"/>
    <cellStyle name="Standard 2 2 2 3 2 2 2 4" xfId="1329"/>
    <cellStyle name="Standard 2 2 2 3 2 2 3" xfId="718"/>
    <cellStyle name="Standard 2 2 2 3 2 2 3 2" xfId="2032"/>
    <cellStyle name="Standard 2 2 2 3 2 2 4" xfId="1591"/>
    <cellStyle name="Standard 2 2 2 3 2 2 5" xfId="1155"/>
    <cellStyle name="Standard 2 2 2 3 2 3" xfId="160"/>
    <cellStyle name="Standard 2 2 2 3 2 3 2" xfId="602"/>
    <cellStyle name="Standard 2 2 2 3 2 3 2 2" xfId="1916"/>
    <cellStyle name="Standard 2 2 2 3 2 3 3" xfId="1475"/>
    <cellStyle name="Standard 2 2 2 3 2 3 4" xfId="1039"/>
    <cellStyle name="Standard 2 2 2 3 2 4" xfId="334"/>
    <cellStyle name="Standard 2 2 2 3 2 4 2" xfId="776"/>
    <cellStyle name="Standard 2 2 2 3 2 4 2 2" xfId="2090"/>
    <cellStyle name="Standard 2 2 2 3 2 4 3" xfId="1649"/>
    <cellStyle name="Standard 2 2 2 3 2 4 4" xfId="1213"/>
    <cellStyle name="Standard 2 2 2 3 2 5" xfId="544"/>
    <cellStyle name="Standard 2 2 2 3 2 5 2" xfId="1858"/>
    <cellStyle name="Standard 2 2 2 3 2 6" xfId="1417"/>
    <cellStyle name="Standard 2 2 2 3 2 7" xfId="981"/>
    <cellStyle name="Standard 2 2 2 3 3" xfId="73"/>
    <cellStyle name="Standard 2 2 2 3 3 2" xfId="247"/>
    <cellStyle name="Standard 2 2 2 3 3 2 2" xfId="421"/>
    <cellStyle name="Standard 2 2 2 3 3 2 2 2" xfId="863"/>
    <cellStyle name="Standard 2 2 2 3 3 2 2 2 2" xfId="2177"/>
    <cellStyle name="Standard 2 2 2 3 3 2 2 3" xfId="1736"/>
    <cellStyle name="Standard 2 2 2 3 3 2 2 4" xfId="1300"/>
    <cellStyle name="Standard 2 2 2 3 3 2 3" xfId="689"/>
    <cellStyle name="Standard 2 2 2 3 3 2 3 2" xfId="2003"/>
    <cellStyle name="Standard 2 2 2 3 3 2 4" xfId="1562"/>
    <cellStyle name="Standard 2 2 2 3 3 2 5" xfId="1126"/>
    <cellStyle name="Standard 2 2 2 3 3 3" xfId="189"/>
    <cellStyle name="Standard 2 2 2 3 3 3 2" xfId="631"/>
    <cellStyle name="Standard 2 2 2 3 3 3 2 2" xfId="1945"/>
    <cellStyle name="Standard 2 2 2 3 3 3 3" xfId="1504"/>
    <cellStyle name="Standard 2 2 2 3 3 3 4" xfId="1068"/>
    <cellStyle name="Standard 2 2 2 3 3 4" xfId="363"/>
    <cellStyle name="Standard 2 2 2 3 3 4 2" xfId="805"/>
    <cellStyle name="Standard 2 2 2 3 3 4 2 2" xfId="2119"/>
    <cellStyle name="Standard 2 2 2 3 3 4 3" xfId="1678"/>
    <cellStyle name="Standard 2 2 2 3 3 4 4" xfId="1242"/>
    <cellStyle name="Standard 2 2 2 3 3 5" xfId="515"/>
    <cellStyle name="Standard 2 2 2 3 3 5 2" xfId="1829"/>
    <cellStyle name="Standard 2 2 2 3 3 6" xfId="1388"/>
    <cellStyle name="Standard 2 2 2 3 3 7" xfId="952"/>
    <cellStyle name="Standard 2 2 2 3 4" xfId="218"/>
    <cellStyle name="Standard 2 2 2 3 4 2" xfId="392"/>
    <cellStyle name="Standard 2 2 2 3 4 2 2" xfId="834"/>
    <cellStyle name="Standard 2 2 2 3 4 2 2 2" xfId="2148"/>
    <cellStyle name="Standard 2 2 2 3 4 2 3" xfId="1707"/>
    <cellStyle name="Standard 2 2 2 3 4 2 4" xfId="1271"/>
    <cellStyle name="Standard 2 2 2 3 4 3" xfId="660"/>
    <cellStyle name="Standard 2 2 2 3 4 3 2" xfId="1974"/>
    <cellStyle name="Standard 2 2 2 3 4 4" xfId="1533"/>
    <cellStyle name="Standard 2 2 2 3 4 5" xfId="1097"/>
    <cellStyle name="Standard 2 2 2 3 5" xfId="131"/>
    <cellStyle name="Standard 2 2 2 3 5 2" xfId="573"/>
    <cellStyle name="Standard 2 2 2 3 5 2 2" xfId="1887"/>
    <cellStyle name="Standard 2 2 2 3 5 3" xfId="1446"/>
    <cellStyle name="Standard 2 2 2 3 5 4" xfId="1010"/>
    <cellStyle name="Standard 2 2 2 3 6" xfId="305"/>
    <cellStyle name="Standard 2 2 2 3 6 2" xfId="747"/>
    <cellStyle name="Standard 2 2 2 3 6 2 2" xfId="2061"/>
    <cellStyle name="Standard 2 2 2 3 6 3" xfId="1620"/>
    <cellStyle name="Standard 2 2 2 3 6 4" xfId="1184"/>
    <cellStyle name="Standard 2 2 2 3 7" xfId="486"/>
    <cellStyle name="Standard 2 2 2 3 7 2" xfId="1800"/>
    <cellStyle name="Standard 2 2 2 3 8" xfId="1359"/>
    <cellStyle name="Standard 2 2 2 3 9" xfId="923"/>
    <cellStyle name="Standard 2 2 2 4" xfId="82"/>
    <cellStyle name="Standard 2 2 2 4 2" xfId="256"/>
    <cellStyle name="Standard 2 2 2 4 2 2" xfId="430"/>
    <cellStyle name="Standard 2 2 2 4 2 2 2" xfId="872"/>
    <cellStyle name="Standard 2 2 2 4 2 2 2 2" xfId="2186"/>
    <cellStyle name="Standard 2 2 2 4 2 2 3" xfId="1745"/>
    <cellStyle name="Standard 2 2 2 4 2 2 4" xfId="1309"/>
    <cellStyle name="Standard 2 2 2 4 2 3" xfId="698"/>
    <cellStyle name="Standard 2 2 2 4 2 3 2" xfId="2012"/>
    <cellStyle name="Standard 2 2 2 4 2 4" xfId="1571"/>
    <cellStyle name="Standard 2 2 2 4 2 5" xfId="1135"/>
    <cellStyle name="Standard 2 2 2 4 3" xfId="140"/>
    <cellStyle name="Standard 2 2 2 4 3 2" xfId="582"/>
    <cellStyle name="Standard 2 2 2 4 3 2 2" xfId="1896"/>
    <cellStyle name="Standard 2 2 2 4 3 3" xfId="1455"/>
    <cellStyle name="Standard 2 2 2 4 3 4" xfId="1019"/>
    <cellStyle name="Standard 2 2 2 4 4" xfId="314"/>
    <cellStyle name="Standard 2 2 2 4 4 2" xfId="756"/>
    <cellStyle name="Standard 2 2 2 4 4 2 2" xfId="2070"/>
    <cellStyle name="Standard 2 2 2 4 4 3" xfId="1629"/>
    <cellStyle name="Standard 2 2 2 4 4 4" xfId="1193"/>
    <cellStyle name="Standard 2 2 2 4 5" xfId="524"/>
    <cellStyle name="Standard 2 2 2 4 5 2" xfId="1838"/>
    <cellStyle name="Standard 2 2 2 4 6" xfId="1397"/>
    <cellStyle name="Standard 2 2 2 4 7" xfId="961"/>
    <cellStyle name="Standard 2 2 2 5" xfId="53"/>
    <cellStyle name="Standard 2 2 2 5 2" xfId="227"/>
    <cellStyle name="Standard 2 2 2 5 2 2" xfId="401"/>
    <cellStyle name="Standard 2 2 2 5 2 2 2" xfId="843"/>
    <cellStyle name="Standard 2 2 2 5 2 2 2 2" xfId="2157"/>
    <cellStyle name="Standard 2 2 2 5 2 2 3" xfId="1716"/>
    <cellStyle name="Standard 2 2 2 5 2 2 4" xfId="1280"/>
    <cellStyle name="Standard 2 2 2 5 2 3" xfId="669"/>
    <cellStyle name="Standard 2 2 2 5 2 3 2" xfId="1983"/>
    <cellStyle name="Standard 2 2 2 5 2 4" xfId="1542"/>
    <cellStyle name="Standard 2 2 2 5 2 5" xfId="1106"/>
    <cellStyle name="Standard 2 2 2 5 3" xfId="169"/>
    <cellStyle name="Standard 2 2 2 5 3 2" xfId="611"/>
    <cellStyle name="Standard 2 2 2 5 3 2 2" xfId="1925"/>
    <cellStyle name="Standard 2 2 2 5 3 3" xfId="1484"/>
    <cellStyle name="Standard 2 2 2 5 3 4" xfId="1048"/>
    <cellStyle name="Standard 2 2 2 5 4" xfId="343"/>
    <cellStyle name="Standard 2 2 2 5 4 2" xfId="785"/>
    <cellStyle name="Standard 2 2 2 5 4 2 2" xfId="2099"/>
    <cellStyle name="Standard 2 2 2 5 4 3" xfId="1658"/>
    <cellStyle name="Standard 2 2 2 5 4 4" xfId="1222"/>
    <cellStyle name="Standard 2 2 2 5 5" xfId="495"/>
    <cellStyle name="Standard 2 2 2 5 5 2" xfId="1809"/>
    <cellStyle name="Standard 2 2 2 5 6" xfId="1368"/>
    <cellStyle name="Standard 2 2 2 5 7" xfId="932"/>
    <cellStyle name="Standard 2 2 2 6" xfId="198"/>
    <cellStyle name="Standard 2 2 2 6 2" xfId="372"/>
    <cellStyle name="Standard 2 2 2 6 2 2" xfId="814"/>
    <cellStyle name="Standard 2 2 2 6 2 2 2" xfId="2128"/>
    <cellStyle name="Standard 2 2 2 6 2 3" xfId="1687"/>
    <cellStyle name="Standard 2 2 2 6 2 4" xfId="1251"/>
    <cellStyle name="Standard 2 2 2 6 3" xfId="640"/>
    <cellStyle name="Standard 2 2 2 6 3 2" xfId="1954"/>
    <cellStyle name="Standard 2 2 2 6 4" xfId="1513"/>
    <cellStyle name="Standard 2 2 2 6 5" xfId="1077"/>
    <cellStyle name="Standard 2 2 2 7" xfId="111"/>
    <cellStyle name="Standard 2 2 2 7 2" xfId="553"/>
    <cellStyle name="Standard 2 2 2 7 2 2" xfId="1867"/>
    <cellStyle name="Standard 2 2 2 7 3" xfId="1426"/>
    <cellStyle name="Standard 2 2 2 7 4" xfId="990"/>
    <cellStyle name="Standard 2 2 2 8" xfId="285"/>
    <cellStyle name="Standard 2 2 2 8 2" xfId="727"/>
    <cellStyle name="Standard 2 2 2 8 2 2" xfId="2041"/>
    <cellStyle name="Standard 2 2 2 8 3" xfId="1600"/>
    <cellStyle name="Standard 2 2 2 8 4" xfId="1164"/>
    <cellStyle name="Standard 2 2 2 9" xfId="466"/>
    <cellStyle name="Standard 2 2 2 9 2" xfId="1780"/>
    <cellStyle name="Standard 2 2 3" xfId="22"/>
    <cellStyle name="Standard 2 2 3 2" xfId="86"/>
    <cellStyle name="Standard 2 2 3 2 2" xfId="260"/>
    <cellStyle name="Standard 2 2 3 2 2 2" xfId="434"/>
    <cellStyle name="Standard 2 2 3 2 2 2 2" xfId="876"/>
    <cellStyle name="Standard 2 2 3 2 2 2 2 2" xfId="2190"/>
    <cellStyle name="Standard 2 2 3 2 2 2 3" xfId="1749"/>
    <cellStyle name="Standard 2 2 3 2 2 2 4" xfId="1313"/>
    <cellStyle name="Standard 2 2 3 2 2 3" xfId="702"/>
    <cellStyle name="Standard 2 2 3 2 2 3 2" xfId="2016"/>
    <cellStyle name="Standard 2 2 3 2 2 4" xfId="1575"/>
    <cellStyle name="Standard 2 2 3 2 2 5" xfId="1139"/>
    <cellStyle name="Standard 2 2 3 2 3" xfId="144"/>
    <cellStyle name="Standard 2 2 3 2 3 2" xfId="586"/>
    <cellStyle name="Standard 2 2 3 2 3 2 2" xfId="1900"/>
    <cellStyle name="Standard 2 2 3 2 3 3" xfId="1459"/>
    <cellStyle name="Standard 2 2 3 2 3 4" xfId="1023"/>
    <cellStyle name="Standard 2 2 3 2 4" xfId="318"/>
    <cellStyle name="Standard 2 2 3 2 4 2" xfId="760"/>
    <cellStyle name="Standard 2 2 3 2 4 2 2" xfId="2074"/>
    <cellStyle name="Standard 2 2 3 2 4 3" xfId="1633"/>
    <cellStyle name="Standard 2 2 3 2 4 4" xfId="1197"/>
    <cellStyle name="Standard 2 2 3 2 5" xfId="528"/>
    <cellStyle name="Standard 2 2 3 2 5 2" xfId="1842"/>
    <cellStyle name="Standard 2 2 3 2 6" xfId="1401"/>
    <cellStyle name="Standard 2 2 3 2 7" xfId="965"/>
    <cellStyle name="Standard 2 2 3 3" xfId="57"/>
    <cellStyle name="Standard 2 2 3 3 2" xfId="231"/>
    <cellStyle name="Standard 2 2 3 3 2 2" xfId="405"/>
    <cellStyle name="Standard 2 2 3 3 2 2 2" xfId="847"/>
    <cellStyle name="Standard 2 2 3 3 2 2 2 2" xfId="2161"/>
    <cellStyle name="Standard 2 2 3 3 2 2 3" xfId="1720"/>
    <cellStyle name="Standard 2 2 3 3 2 2 4" xfId="1284"/>
    <cellStyle name="Standard 2 2 3 3 2 3" xfId="673"/>
    <cellStyle name="Standard 2 2 3 3 2 3 2" xfId="1987"/>
    <cellStyle name="Standard 2 2 3 3 2 4" xfId="1546"/>
    <cellStyle name="Standard 2 2 3 3 2 5" xfId="1110"/>
    <cellStyle name="Standard 2 2 3 3 3" xfId="173"/>
    <cellStyle name="Standard 2 2 3 3 3 2" xfId="615"/>
    <cellStyle name="Standard 2 2 3 3 3 2 2" xfId="1929"/>
    <cellStyle name="Standard 2 2 3 3 3 3" xfId="1488"/>
    <cellStyle name="Standard 2 2 3 3 3 4" xfId="1052"/>
    <cellStyle name="Standard 2 2 3 3 4" xfId="347"/>
    <cellStyle name="Standard 2 2 3 3 4 2" xfId="789"/>
    <cellStyle name="Standard 2 2 3 3 4 2 2" xfId="2103"/>
    <cellStyle name="Standard 2 2 3 3 4 3" xfId="1662"/>
    <cellStyle name="Standard 2 2 3 3 4 4" xfId="1226"/>
    <cellStyle name="Standard 2 2 3 3 5" xfId="499"/>
    <cellStyle name="Standard 2 2 3 3 5 2" xfId="1813"/>
    <cellStyle name="Standard 2 2 3 3 6" xfId="1372"/>
    <cellStyle name="Standard 2 2 3 3 7" xfId="936"/>
    <cellStyle name="Standard 2 2 3 4" xfId="202"/>
    <cellStyle name="Standard 2 2 3 4 2" xfId="376"/>
    <cellStyle name="Standard 2 2 3 4 2 2" xfId="818"/>
    <cellStyle name="Standard 2 2 3 4 2 2 2" xfId="2132"/>
    <cellStyle name="Standard 2 2 3 4 2 3" xfId="1691"/>
    <cellStyle name="Standard 2 2 3 4 2 4" xfId="1255"/>
    <cellStyle name="Standard 2 2 3 4 3" xfId="644"/>
    <cellStyle name="Standard 2 2 3 4 3 2" xfId="1958"/>
    <cellStyle name="Standard 2 2 3 4 4" xfId="1517"/>
    <cellStyle name="Standard 2 2 3 4 5" xfId="1081"/>
    <cellStyle name="Standard 2 2 3 5" xfId="115"/>
    <cellStyle name="Standard 2 2 3 5 2" xfId="557"/>
    <cellStyle name="Standard 2 2 3 5 2 2" xfId="1871"/>
    <cellStyle name="Standard 2 2 3 5 3" xfId="1430"/>
    <cellStyle name="Standard 2 2 3 5 4" xfId="994"/>
    <cellStyle name="Standard 2 2 3 6" xfId="289"/>
    <cellStyle name="Standard 2 2 3 6 2" xfId="731"/>
    <cellStyle name="Standard 2 2 3 6 2 2" xfId="2045"/>
    <cellStyle name="Standard 2 2 3 6 3" xfId="1604"/>
    <cellStyle name="Standard 2 2 3 6 4" xfId="1168"/>
    <cellStyle name="Standard 2 2 3 7" xfId="470"/>
    <cellStyle name="Standard 2 2 3 7 2" xfId="1784"/>
    <cellStyle name="Standard 2 2 3 8" xfId="1343"/>
    <cellStyle name="Standard 2 2 3 9" xfId="907"/>
    <cellStyle name="Standard 2 2 4" xfId="32"/>
    <cellStyle name="Standard 2 2 4 2" xfId="90"/>
    <cellStyle name="Standard 2 2 4 2 2" xfId="264"/>
    <cellStyle name="Standard 2 2 4 2 2 2" xfId="438"/>
    <cellStyle name="Standard 2 2 4 2 2 2 2" xfId="880"/>
    <cellStyle name="Standard 2 2 4 2 2 2 2 2" xfId="2194"/>
    <cellStyle name="Standard 2 2 4 2 2 2 3" xfId="1753"/>
    <cellStyle name="Standard 2 2 4 2 2 2 4" xfId="1317"/>
    <cellStyle name="Standard 2 2 4 2 2 3" xfId="706"/>
    <cellStyle name="Standard 2 2 4 2 2 3 2" xfId="2020"/>
    <cellStyle name="Standard 2 2 4 2 2 4" xfId="1579"/>
    <cellStyle name="Standard 2 2 4 2 2 5" xfId="1143"/>
    <cellStyle name="Standard 2 2 4 2 3" xfId="148"/>
    <cellStyle name="Standard 2 2 4 2 3 2" xfId="590"/>
    <cellStyle name="Standard 2 2 4 2 3 2 2" xfId="1904"/>
    <cellStyle name="Standard 2 2 4 2 3 3" xfId="1463"/>
    <cellStyle name="Standard 2 2 4 2 3 4" xfId="1027"/>
    <cellStyle name="Standard 2 2 4 2 4" xfId="322"/>
    <cellStyle name="Standard 2 2 4 2 4 2" xfId="764"/>
    <cellStyle name="Standard 2 2 4 2 4 2 2" xfId="2078"/>
    <cellStyle name="Standard 2 2 4 2 4 3" xfId="1637"/>
    <cellStyle name="Standard 2 2 4 2 4 4" xfId="1201"/>
    <cellStyle name="Standard 2 2 4 2 5" xfId="532"/>
    <cellStyle name="Standard 2 2 4 2 5 2" xfId="1846"/>
    <cellStyle name="Standard 2 2 4 2 6" xfId="1405"/>
    <cellStyle name="Standard 2 2 4 2 7" xfId="969"/>
    <cellStyle name="Standard 2 2 4 3" xfId="61"/>
    <cellStyle name="Standard 2 2 4 3 2" xfId="235"/>
    <cellStyle name="Standard 2 2 4 3 2 2" xfId="409"/>
    <cellStyle name="Standard 2 2 4 3 2 2 2" xfId="851"/>
    <cellStyle name="Standard 2 2 4 3 2 2 2 2" xfId="2165"/>
    <cellStyle name="Standard 2 2 4 3 2 2 3" xfId="1724"/>
    <cellStyle name="Standard 2 2 4 3 2 2 4" xfId="1288"/>
    <cellStyle name="Standard 2 2 4 3 2 3" xfId="677"/>
    <cellStyle name="Standard 2 2 4 3 2 3 2" xfId="1991"/>
    <cellStyle name="Standard 2 2 4 3 2 4" xfId="1550"/>
    <cellStyle name="Standard 2 2 4 3 2 5" xfId="1114"/>
    <cellStyle name="Standard 2 2 4 3 3" xfId="177"/>
    <cellStyle name="Standard 2 2 4 3 3 2" xfId="619"/>
    <cellStyle name="Standard 2 2 4 3 3 2 2" xfId="1933"/>
    <cellStyle name="Standard 2 2 4 3 3 3" xfId="1492"/>
    <cellStyle name="Standard 2 2 4 3 3 4" xfId="1056"/>
    <cellStyle name="Standard 2 2 4 3 4" xfId="351"/>
    <cellStyle name="Standard 2 2 4 3 4 2" xfId="793"/>
    <cellStyle name="Standard 2 2 4 3 4 2 2" xfId="2107"/>
    <cellStyle name="Standard 2 2 4 3 4 3" xfId="1666"/>
    <cellStyle name="Standard 2 2 4 3 4 4" xfId="1230"/>
    <cellStyle name="Standard 2 2 4 3 5" xfId="503"/>
    <cellStyle name="Standard 2 2 4 3 5 2" xfId="1817"/>
    <cellStyle name="Standard 2 2 4 3 6" xfId="1376"/>
    <cellStyle name="Standard 2 2 4 3 7" xfId="940"/>
    <cellStyle name="Standard 2 2 4 4" xfId="206"/>
    <cellStyle name="Standard 2 2 4 4 2" xfId="380"/>
    <cellStyle name="Standard 2 2 4 4 2 2" xfId="822"/>
    <cellStyle name="Standard 2 2 4 4 2 2 2" xfId="2136"/>
    <cellStyle name="Standard 2 2 4 4 2 3" xfId="1695"/>
    <cellStyle name="Standard 2 2 4 4 2 4" xfId="1259"/>
    <cellStyle name="Standard 2 2 4 4 3" xfId="648"/>
    <cellStyle name="Standard 2 2 4 4 3 2" xfId="1962"/>
    <cellStyle name="Standard 2 2 4 4 4" xfId="1521"/>
    <cellStyle name="Standard 2 2 4 4 5" xfId="1085"/>
    <cellStyle name="Standard 2 2 4 5" xfId="119"/>
    <cellStyle name="Standard 2 2 4 5 2" xfId="561"/>
    <cellStyle name="Standard 2 2 4 5 2 2" xfId="1875"/>
    <cellStyle name="Standard 2 2 4 5 3" xfId="1434"/>
    <cellStyle name="Standard 2 2 4 5 4" xfId="998"/>
    <cellStyle name="Standard 2 2 4 6" xfId="293"/>
    <cellStyle name="Standard 2 2 4 6 2" xfId="735"/>
    <cellStyle name="Standard 2 2 4 6 2 2" xfId="2049"/>
    <cellStyle name="Standard 2 2 4 6 3" xfId="1608"/>
    <cellStyle name="Standard 2 2 4 6 4" xfId="1172"/>
    <cellStyle name="Standard 2 2 4 7" xfId="474"/>
    <cellStyle name="Standard 2 2 4 7 2" xfId="1788"/>
    <cellStyle name="Standard 2 2 4 8" xfId="1347"/>
    <cellStyle name="Standard 2 2 4 9" xfId="911"/>
    <cellStyle name="Standard 2 2 5" xfId="40"/>
    <cellStyle name="Standard 2 2 5 2" xfId="98"/>
    <cellStyle name="Standard 2 2 5 2 2" xfId="272"/>
    <cellStyle name="Standard 2 2 5 2 2 2" xfId="446"/>
    <cellStyle name="Standard 2 2 5 2 2 2 2" xfId="888"/>
    <cellStyle name="Standard 2 2 5 2 2 2 2 2" xfId="2202"/>
    <cellStyle name="Standard 2 2 5 2 2 2 3" xfId="1761"/>
    <cellStyle name="Standard 2 2 5 2 2 2 4" xfId="1325"/>
    <cellStyle name="Standard 2 2 5 2 2 3" xfId="714"/>
    <cellStyle name="Standard 2 2 5 2 2 3 2" xfId="2028"/>
    <cellStyle name="Standard 2 2 5 2 2 4" xfId="1587"/>
    <cellStyle name="Standard 2 2 5 2 2 5" xfId="1151"/>
    <cellStyle name="Standard 2 2 5 2 3" xfId="156"/>
    <cellStyle name="Standard 2 2 5 2 3 2" xfId="598"/>
    <cellStyle name="Standard 2 2 5 2 3 2 2" xfId="1912"/>
    <cellStyle name="Standard 2 2 5 2 3 3" xfId="1471"/>
    <cellStyle name="Standard 2 2 5 2 3 4" xfId="1035"/>
    <cellStyle name="Standard 2 2 5 2 4" xfId="330"/>
    <cellStyle name="Standard 2 2 5 2 4 2" xfId="772"/>
    <cellStyle name="Standard 2 2 5 2 4 2 2" xfId="2086"/>
    <cellStyle name="Standard 2 2 5 2 4 3" xfId="1645"/>
    <cellStyle name="Standard 2 2 5 2 4 4" xfId="1209"/>
    <cellStyle name="Standard 2 2 5 2 5" xfId="540"/>
    <cellStyle name="Standard 2 2 5 2 5 2" xfId="1854"/>
    <cellStyle name="Standard 2 2 5 2 6" xfId="1413"/>
    <cellStyle name="Standard 2 2 5 2 7" xfId="977"/>
    <cellStyle name="Standard 2 2 5 3" xfId="69"/>
    <cellStyle name="Standard 2 2 5 3 2" xfId="243"/>
    <cellStyle name="Standard 2 2 5 3 2 2" xfId="417"/>
    <cellStyle name="Standard 2 2 5 3 2 2 2" xfId="859"/>
    <cellStyle name="Standard 2 2 5 3 2 2 2 2" xfId="2173"/>
    <cellStyle name="Standard 2 2 5 3 2 2 3" xfId="1732"/>
    <cellStyle name="Standard 2 2 5 3 2 2 4" xfId="1296"/>
    <cellStyle name="Standard 2 2 5 3 2 3" xfId="685"/>
    <cellStyle name="Standard 2 2 5 3 2 3 2" xfId="1999"/>
    <cellStyle name="Standard 2 2 5 3 2 4" xfId="1558"/>
    <cellStyle name="Standard 2 2 5 3 2 5" xfId="1122"/>
    <cellStyle name="Standard 2 2 5 3 3" xfId="185"/>
    <cellStyle name="Standard 2 2 5 3 3 2" xfId="627"/>
    <cellStyle name="Standard 2 2 5 3 3 2 2" xfId="1941"/>
    <cellStyle name="Standard 2 2 5 3 3 3" xfId="1500"/>
    <cellStyle name="Standard 2 2 5 3 3 4" xfId="1064"/>
    <cellStyle name="Standard 2 2 5 3 4" xfId="359"/>
    <cellStyle name="Standard 2 2 5 3 4 2" xfId="801"/>
    <cellStyle name="Standard 2 2 5 3 4 2 2" xfId="2115"/>
    <cellStyle name="Standard 2 2 5 3 4 3" xfId="1674"/>
    <cellStyle name="Standard 2 2 5 3 4 4" xfId="1238"/>
    <cellStyle name="Standard 2 2 5 3 5" xfId="511"/>
    <cellStyle name="Standard 2 2 5 3 5 2" xfId="1825"/>
    <cellStyle name="Standard 2 2 5 3 6" xfId="1384"/>
    <cellStyle name="Standard 2 2 5 3 7" xfId="948"/>
    <cellStyle name="Standard 2 2 5 4" xfId="214"/>
    <cellStyle name="Standard 2 2 5 4 2" xfId="388"/>
    <cellStyle name="Standard 2 2 5 4 2 2" xfId="830"/>
    <cellStyle name="Standard 2 2 5 4 2 2 2" xfId="2144"/>
    <cellStyle name="Standard 2 2 5 4 2 3" xfId="1703"/>
    <cellStyle name="Standard 2 2 5 4 2 4" xfId="1267"/>
    <cellStyle name="Standard 2 2 5 4 3" xfId="656"/>
    <cellStyle name="Standard 2 2 5 4 3 2" xfId="1970"/>
    <cellStyle name="Standard 2 2 5 4 4" xfId="1529"/>
    <cellStyle name="Standard 2 2 5 4 5" xfId="1093"/>
    <cellStyle name="Standard 2 2 5 5" xfId="127"/>
    <cellStyle name="Standard 2 2 5 5 2" xfId="569"/>
    <cellStyle name="Standard 2 2 5 5 2 2" xfId="1883"/>
    <cellStyle name="Standard 2 2 5 5 3" xfId="1442"/>
    <cellStyle name="Standard 2 2 5 5 4" xfId="1006"/>
    <cellStyle name="Standard 2 2 5 6" xfId="301"/>
    <cellStyle name="Standard 2 2 5 6 2" xfId="743"/>
    <cellStyle name="Standard 2 2 5 6 2 2" xfId="2057"/>
    <cellStyle name="Standard 2 2 5 6 3" xfId="1616"/>
    <cellStyle name="Standard 2 2 5 6 4" xfId="1180"/>
    <cellStyle name="Standard 2 2 5 7" xfId="482"/>
    <cellStyle name="Standard 2 2 5 7 2" xfId="1796"/>
    <cellStyle name="Standard 2 2 5 8" xfId="1355"/>
    <cellStyle name="Standard 2 2 5 9" xfId="919"/>
    <cellStyle name="Standard 2 2 6" xfId="78"/>
    <cellStyle name="Standard 2 2 6 2" xfId="252"/>
    <cellStyle name="Standard 2 2 6 2 2" xfId="426"/>
    <cellStyle name="Standard 2 2 6 2 2 2" xfId="868"/>
    <cellStyle name="Standard 2 2 6 2 2 2 2" xfId="2182"/>
    <cellStyle name="Standard 2 2 6 2 2 3" xfId="1741"/>
    <cellStyle name="Standard 2 2 6 2 2 4" xfId="1305"/>
    <cellStyle name="Standard 2 2 6 2 3" xfId="694"/>
    <cellStyle name="Standard 2 2 6 2 3 2" xfId="2008"/>
    <cellStyle name="Standard 2 2 6 2 4" xfId="1567"/>
    <cellStyle name="Standard 2 2 6 2 5" xfId="1131"/>
    <cellStyle name="Standard 2 2 6 3" xfId="136"/>
    <cellStyle name="Standard 2 2 6 3 2" xfId="578"/>
    <cellStyle name="Standard 2 2 6 3 2 2" xfId="1892"/>
    <cellStyle name="Standard 2 2 6 3 3" xfId="1451"/>
    <cellStyle name="Standard 2 2 6 3 4" xfId="1015"/>
    <cellStyle name="Standard 2 2 6 4" xfId="310"/>
    <cellStyle name="Standard 2 2 6 4 2" xfId="752"/>
    <cellStyle name="Standard 2 2 6 4 2 2" xfId="2066"/>
    <cellStyle name="Standard 2 2 6 4 3" xfId="1625"/>
    <cellStyle name="Standard 2 2 6 4 4" xfId="1189"/>
    <cellStyle name="Standard 2 2 6 5" xfId="520"/>
    <cellStyle name="Standard 2 2 6 5 2" xfId="1834"/>
    <cellStyle name="Standard 2 2 6 6" xfId="1393"/>
    <cellStyle name="Standard 2 2 6 7" xfId="957"/>
    <cellStyle name="Standard 2 2 7" xfId="49"/>
    <cellStyle name="Standard 2 2 7 2" xfId="223"/>
    <cellStyle name="Standard 2 2 7 2 2" xfId="397"/>
    <cellStyle name="Standard 2 2 7 2 2 2" xfId="839"/>
    <cellStyle name="Standard 2 2 7 2 2 2 2" xfId="2153"/>
    <cellStyle name="Standard 2 2 7 2 2 3" xfId="1712"/>
    <cellStyle name="Standard 2 2 7 2 2 4" xfId="1276"/>
    <cellStyle name="Standard 2 2 7 2 3" xfId="665"/>
    <cellStyle name="Standard 2 2 7 2 3 2" xfId="1979"/>
    <cellStyle name="Standard 2 2 7 2 4" xfId="1538"/>
    <cellStyle name="Standard 2 2 7 2 5" xfId="1102"/>
    <cellStyle name="Standard 2 2 7 3" xfId="165"/>
    <cellStyle name="Standard 2 2 7 3 2" xfId="607"/>
    <cellStyle name="Standard 2 2 7 3 2 2" xfId="1921"/>
    <cellStyle name="Standard 2 2 7 3 3" xfId="1480"/>
    <cellStyle name="Standard 2 2 7 3 4" xfId="1044"/>
    <cellStyle name="Standard 2 2 7 4" xfId="339"/>
    <cellStyle name="Standard 2 2 7 4 2" xfId="781"/>
    <cellStyle name="Standard 2 2 7 4 2 2" xfId="2095"/>
    <cellStyle name="Standard 2 2 7 4 3" xfId="1654"/>
    <cellStyle name="Standard 2 2 7 4 4" xfId="1218"/>
    <cellStyle name="Standard 2 2 7 5" xfId="491"/>
    <cellStyle name="Standard 2 2 7 5 2" xfId="1805"/>
    <cellStyle name="Standard 2 2 7 6" xfId="1364"/>
    <cellStyle name="Standard 2 2 7 7" xfId="928"/>
    <cellStyle name="Standard 2 2 8" xfId="194"/>
    <cellStyle name="Standard 2 2 8 2" xfId="368"/>
    <cellStyle name="Standard 2 2 8 2 2" xfId="810"/>
    <cellStyle name="Standard 2 2 8 2 2 2" xfId="2124"/>
    <cellStyle name="Standard 2 2 8 2 3" xfId="1683"/>
    <cellStyle name="Standard 2 2 8 2 4" xfId="1247"/>
    <cellStyle name="Standard 2 2 8 3" xfId="636"/>
    <cellStyle name="Standard 2 2 8 3 2" xfId="1950"/>
    <cellStyle name="Standard 2 2 8 4" xfId="1509"/>
    <cellStyle name="Standard 2 2 8 5" xfId="1073"/>
    <cellStyle name="Standard 2 2 9" xfId="107"/>
    <cellStyle name="Standard 2 2 9 2" xfId="549"/>
    <cellStyle name="Standard 2 2 9 2 2" xfId="1863"/>
    <cellStyle name="Standard 2 2 9 3" xfId="1422"/>
    <cellStyle name="Standard 2 2 9 4" xfId="986"/>
    <cellStyle name="Standard 2 3" xfId="2"/>
    <cellStyle name="Standard 2 4" xfId="17"/>
    <cellStyle name="Standard 2 4 10" xfId="1338"/>
    <cellStyle name="Standard 2 4 11" xfId="902"/>
    <cellStyle name="Standard 2 4 2" xfId="35"/>
    <cellStyle name="Standard 2 4 2 2" xfId="93"/>
    <cellStyle name="Standard 2 4 2 2 2" xfId="267"/>
    <cellStyle name="Standard 2 4 2 2 2 2" xfId="441"/>
    <cellStyle name="Standard 2 4 2 2 2 2 2" xfId="883"/>
    <cellStyle name="Standard 2 4 2 2 2 2 2 2" xfId="2197"/>
    <cellStyle name="Standard 2 4 2 2 2 2 3" xfId="1756"/>
    <cellStyle name="Standard 2 4 2 2 2 2 4" xfId="1320"/>
    <cellStyle name="Standard 2 4 2 2 2 3" xfId="709"/>
    <cellStyle name="Standard 2 4 2 2 2 3 2" xfId="2023"/>
    <cellStyle name="Standard 2 4 2 2 2 4" xfId="1582"/>
    <cellStyle name="Standard 2 4 2 2 2 5" xfId="1146"/>
    <cellStyle name="Standard 2 4 2 2 3" xfId="151"/>
    <cellStyle name="Standard 2 4 2 2 3 2" xfId="593"/>
    <cellStyle name="Standard 2 4 2 2 3 2 2" xfId="1907"/>
    <cellStyle name="Standard 2 4 2 2 3 3" xfId="1466"/>
    <cellStyle name="Standard 2 4 2 2 3 4" xfId="1030"/>
    <cellStyle name="Standard 2 4 2 2 4" xfId="325"/>
    <cellStyle name="Standard 2 4 2 2 4 2" xfId="767"/>
    <cellStyle name="Standard 2 4 2 2 4 2 2" xfId="2081"/>
    <cellStyle name="Standard 2 4 2 2 4 3" xfId="1640"/>
    <cellStyle name="Standard 2 4 2 2 4 4" xfId="1204"/>
    <cellStyle name="Standard 2 4 2 2 5" xfId="535"/>
    <cellStyle name="Standard 2 4 2 2 5 2" xfId="1849"/>
    <cellStyle name="Standard 2 4 2 2 6" xfId="1408"/>
    <cellStyle name="Standard 2 4 2 2 7" xfId="972"/>
    <cellStyle name="Standard 2 4 2 3" xfId="64"/>
    <cellStyle name="Standard 2 4 2 3 2" xfId="238"/>
    <cellStyle name="Standard 2 4 2 3 2 2" xfId="412"/>
    <cellStyle name="Standard 2 4 2 3 2 2 2" xfId="854"/>
    <cellStyle name="Standard 2 4 2 3 2 2 2 2" xfId="2168"/>
    <cellStyle name="Standard 2 4 2 3 2 2 3" xfId="1727"/>
    <cellStyle name="Standard 2 4 2 3 2 2 4" xfId="1291"/>
    <cellStyle name="Standard 2 4 2 3 2 3" xfId="680"/>
    <cellStyle name="Standard 2 4 2 3 2 3 2" xfId="1994"/>
    <cellStyle name="Standard 2 4 2 3 2 4" xfId="1553"/>
    <cellStyle name="Standard 2 4 2 3 2 5" xfId="1117"/>
    <cellStyle name="Standard 2 4 2 3 3" xfId="180"/>
    <cellStyle name="Standard 2 4 2 3 3 2" xfId="622"/>
    <cellStyle name="Standard 2 4 2 3 3 2 2" xfId="1936"/>
    <cellStyle name="Standard 2 4 2 3 3 3" xfId="1495"/>
    <cellStyle name="Standard 2 4 2 3 3 4" xfId="1059"/>
    <cellStyle name="Standard 2 4 2 3 4" xfId="354"/>
    <cellStyle name="Standard 2 4 2 3 4 2" xfId="796"/>
    <cellStyle name="Standard 2 4 2 3 4 2 2" xfId="2110"/>
    <cellStyle name="Standard 2 4 2 3 4 3" xfId="1669"/>
    <cellStyle name="Standard 2 4 2 3 4 4" xfId="1233"/>
    <cellStyle name="Standard 2 4 2 3 5" xfId="506"/>
    <cellStyle name="Standard 2 4 2 3 5 2" xfId="1820"/>
    <cellStyle name="Standard 2 4 2 3 6" xfId="1379"/>
    <cellStyle name="Standard 2 4 2 3 7" xfId="943"/>
    <cellStyle name="Standard 2 4 2 4" xfId="209"/>
    <cellStyle name="Standard 2 4 2 4 2" xfId="383"/>
    <cellStyle name="Standard 2 4 2 4 2 2" xfId="825"/>
    <cellStyle name="Standard 2 4 2 4 2 2 2" xfId="2139"/>
    <cellStyle name="Standard 2 4 2 4 2 3" xfId="1698"/>
    <cellStyle name="Standard 2 4 2 4 2 4" xfId="1262"/>
    <cellStyle name="Standard 2 4 2 4 3" xfId="651"/>
    <cellStyle name="Standard 2 4 2 4 3 2" xfId="1965"/>
    <cellStyle name="Standard 2 4 2 4 4" xfId="1524"/>
    <cellStyle name="Standard 2 4 2 4 5" xfId="1088"/>
    <cellStyle name="Standard 2 4 2 5" xfId="122"/>
    <cellStyle name="Standard 2 4 2 5 2" xfId="564"/>
    <cellStyle name="Standard 2 4 2 5 2 2" xfId="1878"/>
    <cellStyle name="Standard 2 4 2 5 3" xfId="1437"/>
    <cellStyle name="Standard 2 4 2 5 4" xfId="1001"/>
    <cellStyle name="Standard 2 4 2 6" xfId="296"/>
    <cellStyle name="Standard 2 4 2 6 2" xfId="738"/>
    <cellStyle name="Standard 2 4 2 6 2 2" xfId="2052"/>
    <cellStyle name="Standard 2 4 2 6 3" xfId="1611"/>
    <cellStyle name="Standard 2 4 2 6 4" xfId="1175"/>
    <cellStyle name="Standard 2 4 2 7" xfId="477"/>
    <cellStyle name="Standard 2 4 2 7 2" xfId="1791"/>
    <cellStyle name="Standard 2 4 2 8" xfId="1350"/>
    <cellStyle name="Standard 2 4 2 9" xfId="914"/>
    <cellStyle name="Standard 2 4 3" xfId="43"/>
    <cellStyle name="Standard 2 4 3 2" xfId="101"/>
    <cellStyle name="Standard 2 4 3 2 2" xfId="275"/>
    <cellStyle name="Standard 2 4 3 2 2 2" xfId="449"/>
    <cellStyle name="Standard 2 4 3 2 2 2 2" xfId="891"/>
    <cellStyle name="Standard 2 4 3 2 2 2 2 2" xfId="2205"/>
    <cellStyle name="Standard 2 4 3 2 2 2 3" xfId="1764"/>
    <cellStyle name="Standard 2 4 3 2 2 2 4" xfId="1328"/>
    <cellStyle name="Standard 2 4 3 2 2 3" xfId="717"/>
    <cellStyle name="Standard 2 4 3 2 2 3 2" xfId="2031"/>
    <cellStyle name="Standard 2 4 3 2 2 4" xfId="1590"/>
    <cellStyle name="Standard 2 4 3 2 2 5" xfId="1154"/>
    <cellStyle name="Standard 2 4 3 2 3" xfId="159"/>
    <cellStyle name="Standard 2 4 3 2 3 2" xfId="601"/>
    <cellStyle name="Standard 2 4 3 2 3 2 2" xfId="1915"/>
    <cellStyle name="Standard 2 4 3 2 3 3" xfId="1474"/>
    <cellStyle name="Standard 2 4 3 2 3 4" xfId="1038"/>
    <cellStyle name="Standard 2 4 3 2 4" xfId="333"/>
    <cellStyle name="Standard 2 4 3 2 4 2" xfId="775"/>
    <cellStyle name="Standard 2 4 3 2 4 2 2" xfId="2089"/>
    <cellStyle name="Standard 2 4 3 2 4 3" xfId="1648"/>
    <cellStyle name="Standard 2 4 3 2 4 4" xfId="1212"/>
    <cellStyle name="Standard 2 4 3 2 5" xfId="543"/>
    <cellStyle name="Standard 2 4 3 2 5 2" xfId="1857"/>
    <cellStyle name="Standard 2 4 3 2 6" xfId="1416"/>
    <cellStyle name="Standard 2 4 3 2 7" xfId="980"/>
    <cellStyle name="Standard 2 4 3 3" xfId="72"/>
    <cellStyle name="Standard 2 4 3 3 2" xfId="246"/>
    <cellStyle name="Standard 2 4 3 3 2 2" xfId="420"/>
    <cellStyle name="Standard 2 4 3 3 2 2 2" xfId="862"/>
    <cellStyle name="Standard 2 4 3 3 2 2 2 2" xfId="2176"/>
    <cellStyle name="Standard 2 4 3 3 2 2 3" xfId="1735"/>
    <cellStyle name="Standard 2 4 3 3 2 2 4" xfId="1299"/>
    <cellStyle name="Standard 2 4 3 3 2 3" xfId="688"/>
    <cellStyle name="Standard 2 4 3 3 2 3 2" xfId="2002"/>
    <cellStyle name="Standard 2 4 3 3 2 4" xfId="1561"/>
    <cellStyle name="Standard 2 4 3 3 2 5" xfId="1125"/>
    <cellStyle name="Standard 2 4 3 3 3" xfId="188"/>
    <cellStyle name="Standard 2 4 3 3 3 2" xfId="630"/>
    <cellStyle name="Standard 2 4 3 3 3 2 2" xfId="1944"/>
    <cellStyle name="Standard 2 4 3 3 3 3" xfId="1503"/>
    <cellStyle name="Standard 2 4 3 3 3 4" xfId="1067"/>
    <cellStyle name="Standard 2 4 3 3 4" xfId="362"/>
    <cellStyle name="Standard 2 4 3 3 4 2" xfId="804"/>
    <cellStyle name="Standard 2 4 3 3 4 2 2" xfId="2118"/>
    <cellStyle name="Standard 2 4 3 3 4 3" xfId="1677"/>
    <cellStyle name="Standard 2 4 3 3 4 4" xfId="1241"/>
    <cellStyle name="Standard 2 4 3 3 5" xfId="514"/>
    <cellStyle name="Standard 2 4 3 3 5 2" xfId="1828"/>
    <cellStyle name="Standard 2 4 3 3 6" xfId="1387"/>
    <cellStyle name="Standard 2 4 3 3 7" xfId="951"/>
    <cellStyle name="Standard 2 4 3 4" xfId="217"/>
    <cellStyle name="Standard 2 4 3 4 2" xfId="391"/>
    <cellStyle name="Standard 2 4 3 4 2 2" xfId="833"/>
    <cellStyle name="Standard 2 4 3 4 2 2 2" xfId="2147"/>
    <cellStyle name="Standard 2 4 3 4 2 3" xfId="1706"/>
    <cellStyle name="Standard 2 4 3 4 2 4" xfId="1270"/>
    <cellStyle name="Standard 2 4 3 4 3" xfId="659"/>
    <cellStyle name="Standard 2 4 3 4 3 2" xfId="1973"/>
    <cellStyle name="Standard 2 4 3 4 4" xfId="1532"/>
    <cellStyle name="Standard 2 4 3 4 5" xfId="1096"/>
    <cellStyle name="Standard 2 4 3 5" xfId="130"/>
    <cellStyle name="Standard 2 4 3 5 2" xfId="572"/>
    <cellStyle name="Standard 2 4 3 5 2 2" xfId="1886"/>
    <cellStyle name="Standard 2 4 3 5 3" xfId="1445"/>
    <cellStyle name="Standard 2 4 3 5 4" xfId="1009"/>
    <cellStyle name="Standard 2 4 3 6" xfId="304"/>
    <cellStyle name="Standard 2 4 3 6 2" xfId="746"/>
    <cellStyle name="Standard 2 4 3 6 2 2" xfId="2060"/>
    <cellStyle name="Standard 2 4 3 6 3" xfId="1619"/>
    <cellStyle name="Standard 2 4 3 6 4" xfId="1183"/>
    <cellStyle name="Standard 2 4 3 7" xfId="485"/>
    <cellStyle name="Standard 2 4 3 7 2" xfId="1799"/>
    <cellStyle name="Standard 2 4 3 8" xfId="1358"/>
    <cellStyle name="Standard 2 4 3 9" xfId="922"/>
    <cellStyle name="Standard 2 4 4" xfId="81"/>
    <cellStyle name="Standard 2 4 4 2" xfId="255"/>
    <cellStyle name="Standard 2 4 4 2 2" xfId="429"/>
    <cellStyle name="Standard 2 4 4 2 2 2" xfId="871"/>
    <cellStyle name="Standard 2 4 4 2 2 2 2" xfId="2185"/>
    <cellStyle name="Standard 2 4 4 2 2 3" xfId="1744"/>
    <cellStyle name="Standard 2 4 4 2 2 4" xfId="1308"/>
    <cellStyle name="Standard 2 4 4 2 3" xfId="697"/>
    <cellStyle name="Standard 2 4 4 2 3 2" xfId="2011"/>
    <cellStyle name="Standard 2 4 4 2 4" xfId="1570"/>
    <cellStyle name="Standard 2 4 4 2 5" xfId="1134"/>
    <cellStyle name="Standard 2 4 4 3" xfId="139"/>
    <cellStyle name="Standard 2 4 4 3 2" xfId="581"/>
    <cellStyle name="Standard 2 4 4 3 2 2" xfId="1895"/>
    <cellStyle name="Standard 2 4 4 3 3" xfId="1454"/>
    <cellStyle name="Standard 2 4 4 3 4" xfId="1018"/>
    <cellStyle name="Standard 2 4 4 4" xfId="313"/>
    <cellStyle name="Standard 2 4 4 4 2" xfId="755"/>
    <cellStyle name="Standard 2 4 4 4 2 2" xfId="2069"/>
    <cellStyle name="Standard 2 4 4 4 3" xfId="1628"/>
    <cellStyle name="Standard 2 4 4 4 4" xfId="1192"/>
    <cellStyle name="Standard 2 4 4 5" xfId="523"/>
    <cellStyle name="Standard 2 4 4 5 2" xfId="1837"/>
    <cellStyle name="Standard 2 4 4 6" xfId="1396"/>
    <cellStyle name="Standard 2 4 4 7" xfId="960"/>
    <cellStyle name="Standard 2 4 5" xfId="52"/>
    <cellStyle name="Standard 2 4 5 2" xfId="226"/>
    <cellStyle name="Standard 2 4 5 2 2" xfId="400"/>
    <cellStyle name="Standard 2 4 5 2 2 2" xfId="842"/>
    <cellStyle name="Standard 2 4 5 2 2 2 2" xfId="2156"/>
    <cellStyle name="Standard 2 4 5 2 2 3" xfId="1715"/>
    <cellStyle name="Standard 2 4 5 2 2 4" xfId="1279"/>
    <cellStyle name="Standard 2 4 5 2 3" xfId="668"/>
    <cellStyle name="Standard 2 4 5 2 3 2" xfId="1982"/>
    <cellStyle name="Standard 2 4 5 2 4" xfId="1541"/>
    <cellStyle name="Standard 2 4 5 2 5" xfId="1105"/>
    <cellStyle name="Standard 2 4 5 3" xfId="168"/>
    <cellStyle name="Standard 2 4 5 3 2" xfId="610"/>
    <cellStyle name="Standard 2 4 5 3 2 2" xfId="1924"/>
    <cellStyle name="Standard 2 4 5 3 3" xfId="1483"/>
    <cellStyle name="Standard 2 4 5 3 4" xfId="1047"/>
    <cellStyle name="Standard 2 4 5 4" xfId="342"/>
    <cellStyle name="Standard 2 4 5 4 2" xfId="784"/>
    <cellStyle name="Standard 2 4 5 4 2 2" xfId="2098"/>
    <cellStyle name="Standard 2 4 5 4 3" xfId="1657"/>
    <cellStyle name="Standard 2 4 5 4 4" xfId="1221"/>
    <cellStyle name="Standard 2 4 5 5" xfId="494"/>
    <cellStyle name="Standard 2 4 5 5 2" xfId="1808"/>
    <cellStyle name="Standard 2 4 5 6" xfId="1367"/>
    <cellStyle name="Standard 2 4 5 7" xfId="931"/>
    <cellStyle name="Standard 2 4 6" xfId="197"/>
    <cellStyle name="Standard 2 4 6 2" xfId="371"/>
    <cellStyle name="Standard 2 4 6 2 2" xfId="813"/>
    <cellStyle name="Standard 2 4 6 2 2 2" xfId="2127"/>
    <cellStyle name="Standard 2 4 6 2 3" xfId="1686"/>
    <cellStyle name="Standard 2 4 6 2 4" xfId="1250"/>
    <cellStyle name="Standard 2 4 6 3" xfId="639"/>
    <cellStyle name="Standard 2 4 6 3 2" xfId="1953"/>
    <cellStyle name="Standard 2 4 6 4" xfId="1512"/>
    <cellStyle name="Standard 2 4 6 5" xfId="1076"/>
    <cellStyle name="Standard 2 4 7" xfId="110"/>
    <cellStyle name="Standard 2 4 7 2" xfId="552"/>
    <cellStyle name="Standard 2 4 7 2 2" xfId="1866"/>
    <cellStyle name="Standard 2 4 7 3" xfId="1425"/>
    <cellStyle name="Standard 2 4 7 4" xfId="989"/>
    <cellStyle name="Standard 2 4 8" xfId="284"/>
    <cellStyle name="Standard 2 4 8 2" xfId="726"/>
    <cellStyle name="Standard 2 4 8 2 2" xfId="2040"/>
    <cellStyle name="Standard 2 4 8 3" xfId="1599"/>
    <cellStyle name="Standard 2 4 8 4" xfId="1163"/>
    <cellStyle name="Standard 2 4 9" xfId="465"/>
    <cellStyle name="Standard 2 4 9 2" xfId="1779"/>
    <cellStyle name="Standard 2 5" xfId="21"/>
    <cellStyle name="Standard 2 5 2" xfId="85"/>
    <cellStyle name="Standard 2 5 2 2" xfId="259"/>
    <cellStyle name="Standard 2 5 2 2 2" xfId="433"/>
    <cellStyle name="Standard 2 5 2 2 2 2" xfId="875"/>
    <cellStyle name="Standard 2 5 2 2 2 2 2" xfId="2189"/>
    <cellStyle name="Standard 2 5 2 2 2 3" xfId="1748"/>
    <cellStyle name="Standard 2 5 2 2 2 4" xfId="1312"/>
    <cellStyle name="Standard 2 5 2 2 3" xfId="701"/>
    <cellStyle name="Standard 2 5 2 2 3 2" xfId="2015"/>
    <cellStyle name="Standard 2 5 2 2 4" xfId="1574"/>
    <cellStyle name="Standard 2 5 2 2 5" xfId="1138"/>
    <cellStyle name="Standard 2 5 2 3" xfId="143"/>
    <cellStyle name="Standard 2 5 2 3 2" xfId="585"/>
    <cellStyle name="Standard 2 5 2 3 2 2" xfId="1899"/>
    <cellStyle name="Standard 2 5 2 3 3" xfId="1458"/>
    <cellStyle name="Standard 2 5 2 3 4" xfId="1022"/>
    <cellStyle name="Standard 2 5 2 4" xfId="317"/>
    <cellStyle name="Standard 2 5 2 4 2" xfId="759"/>
    <cellStyle name="Standard 2 5 2 4 2 2" xfId="2073"/>
    <cellStyle name="Standard 2 5 2 4 3" xfId="1632"/>
    <cellStyle name="Standard 2 5 2 4 4" xfId="1196"/>
    <cellStyle name="Standard 2 5 2 5" xfId="527"/>
    <cellStyle name="Standard 2 5 2 5 2" xfId="1841"/>
    <cellStyle name="Standard 2 5 2 6" xfId="1400"/>
    <cellStyle name="Standard 2 5 2 7" xfId="964"/>
    <cellStyle name="Standard 2 5 3" xfId="56"/>
    <cellStyle name="Standard 2 5 3 2" xfId="230"/>
    <cellStyle name="Standard 2 5 3 2 2" xfId="404"/>
    <cellStyle name="Standard 2 5 3 2 2 2" xfId="846"/>
    <cellStyle name="Standard 2 5 3 2 2 2 2" xfId="2160"/>
    <cellStyle name="Standard 2 5 3 2 2 3" xfId="1719"/>
    <cellStyle name="Standard 2 5 3 2 2 4" xfId="1283"/>
    <cellStyle name="Standard 2 5 3 2 3" xfId="672"/>
    <cellStyle name="Standard 2 5 3 2 3 2" xfId="1986"/>
    <cellStyle name="Standard 2 5 3 2 4" xfId="1545"/>
    <cellStyle name="Standard 2 5 3 2 5" xfId="1109"/>
    <cellStyle name="Standard 2 5 3 3" xfId="172"/>
    <cellStyle name="Standard 2 5 3 3 2" xfId="614"/>
    <cellStyle name="Standard 2 5 3 3 2 2" xfId="1928"/>
    <cellStyle name="Standard 2 5 3 3 3" xfId="1487"/>
    <cellStyle name="Standard 2 5 3 3 4" xfId="1051"/>
    <cellStyle name="Standard 2 5 3 4" xfId="346"/>
    <cellStyle name="Standard 2 5 3 4 2" xfId="788"/>
    <cellStyle name="Standard 2 5 3 4 2 2" xfId="2102"/>
    <cellStyle name="Standard 2 5 3 4 3" xfId="1661"/>
    <cellStyle name="Standard 2 5 3 4 4" xfId="1225"/>
    <cellStyle name="Standard 2 5 3 5" xfId="498"/>
    <cellStyle name="Standard 2 5 3 5 2" xfId="1812"/>
    <cellStyle name="Standard 2 5 3 6" xfId="1371"/>
    <cellStyle name="Standard 2 5 3 7" xfId="935"/>
    <cellStyle name="Standard 2 5 4" xfId="201"/>
    <cellStyle name="Standard 2 5 4 2" xfId="375"/>
    <cellStyle name="Standard 2 5 4 2 2" xfId="817"/>
    <cellStyle name="Standard 2 5 4 2 2 2" xfId="2131"/>
    <cellStyle name="Standard 2 5 4 2 3" xfId="1690"/>
    <cellStyle name="Standard 2 5 4 2 4" xfId="1254"/>
    <cellStyle name="Standard 2 5 4 3" xfId="643"/>
    <cellStyle name="Standard 2 5 4 3 2" xfId="1957"/>
    <cellStyle name="Standard 2 5 4 4" xfId="1516"/>
    <cellStyle name="Standard 2 5 4 5" xfId="1080"/>
    <cellStyle name="Standard 2 5 5" xfId="114"/>
    <cellStyle name="Standard 2 5 5 2" xfId="556"/>
    <cellStyle name="Standard 2 5 5 2 2" xfId="1870"/>
    <cellStyle name="Standard 2 5 5 3" xfId="1429"/>
    <cellStyle name="Standard 2 5 5 4" xfId="993"/>
    <cellStyle name="Standard 2 5 6" xfId="288"/>
    <cellStyle name="Standard 2 5 6 2" xfId="730"/>
    <cellStyle name="Standard 2 5 6 2 2" xfId="2044"/>
    <cellStyle name="Standard 2 5 6 3" xfId="1603"/>
    <cellStyle name="Standard 2 5 6 4" xfId="1167"/>
    <cellStyle name="Standard 2 5 7" xfId="469"/>
    <cellStyle name="Standard 2 5 7 2" xfId="1783"/>
    <cellStyle name="Standard 2 5 8" xfId="1342"/>
    <cellStyle name="Standard 2 5 9" xfId="906"/>
    <cellStyle name="Standard 2 6" xfId="31"/>
    <cellStyle name="Standard 2 6 2" xfId="89"/>
    <cellStyle name="Standard 2 6 2 2" xfId="263"/>
    <cellStyle name="Standard 2 6 2 2 2" xfId="437"/>
    <cellStyle name="Standard 2 6 2 2 2 2" xfId="879"/>
    <cellStyle name="Standard 2 6 2 2 2 2 2" xfId="2193"/>
    <cellStyle name="Standard 2 6 2 2 2 3" xfId="1752"/>
    <cellStyle name="Standard 2 6 2 2 2 4" xfId="1316"/>
    <cellStyle name="Standard 2 6 2 2 3" xfId="705"/>
    <cellStyle name="Standard 2 6 2 2 3 2" xfId="2019"/>
    <cellStyle name="Standard 2 6 2 2 4" xfId="1578"/>
    <cellStyle name="Standard 2 6 2 2 5" xfId="1142"/>
    <cellStyle name="Standard 2 6 2 3" xfId="147"/>
    <cellStyle name="Standard 2 6 2 3 2" xfId="589"/>
    <cellStyle name="Standard 2 6 2 3 2 2" xfId="1903"/>
    <cellStyle name="Standard 2 6 2 3 3" xfId="1462"/>
    <cellStyle name="Standard 2 6 2 3 4" xfId="1026"/>
    <cellStyle name="Standard 2 6 2 4" xfId="321"/>
    <cellStyle name="Standard 2 6 2 4 2" xfId="763"/>
    <cellStyle name="Standard 2 6 2 4 2 2" xfId="2077"/>
    <cellStyle name="Standard 2 6 2 4 3" xfId="1636"/>
    <cellStyle name="Standard 2 6 2 4 4" xfId="1200"/>
    <cellStyle name="Standard 2 6 2 5" xfId="531"/>
    <cellStyle name="Standard 2 6 2 5 2" xfId="1845"/>
    <cellStyle name="Standard 2 6 2 6" xfId="1404"/>
    <cellStyle name="Standard 2 6 2 7" xfId="968"/>
    <cellStyle name="Standard 2 6 3" xfId="60"/>
    <cellStyle name="Standard 2 6 3 2" xfId="234"/>
    <cellStyle name="Standard 2 6 3 2 2" xfId="408"/>
    <cellStyle name="Standard 2 6 3 2 2 2" xfId="850"/>
    <cellStyle name="Standard 2 6 3 2 2 2 2" xfId="2164"/>
    <cellStyle name="Standard 2 6 3 2 2 3" xfId="1723"/>
    <cellStyle name="Standard 2 6 3 2 2 4" xfId="1287"/>
    <cellStyle name="Standard 2 6 3 2 3" xfId="676"/>
    <cellStyle name="Standard 2 6 3 2 3 2" xfId="1990"/>
    <cellStyle name="Standard 2 6 3 2 4" xfId="1549"/>
    <cellStyle name="Standard 2 6 3 2 5" xfId="1113"/>
    <cellStyle name="Standard 2 6 3 3" xfId="176"/>
    <cellStyle name="Standard 2 6 3 3 2" xfId="618"/>
    <cellStyle name="Standard 2 6 3 3 2 2" xfId="1932"/>
    <cellStyle name="Standard 2 6 3 3 3" xfId="1491"/>
    <cellStyle name="Standard 2 6 3 3 4" xfId="1055"/>
    <cellStyle name="Standard 2 6 3 4" xfId="350"/>
    <cellStyle name="Standard 2 6 3 4 2" xfId="792"/>
    <cellStyle name="Standard 2 6 3 4 2 2" xfId="2106"/>
    <cellStyle name="Standard 2 6 3 4 3" xfId="1665"/>
    <cellStyle name="Standard 2 6 3 4 4" xfId="1229"/>
    <cellStyle name="Standard 2 6 3 5" xfId="502"/>
    <cellStyle name="Standard 2 6 3 5 2" xfId="1816"/>
    <cellStyle name="Standard 2 6 3 6" xfId="1375"/>
    <cellStyle name="Standard 2 6 3 7" xfId="939"/>
    <cellStyle name="Standard 2 6 4" xfId="205"/>
    <cellStyle name="Standard 2 6 4 2" xfId="379"/>
    <cellStyle name="Standard 2 6 4 2 2" xfId="821"/>
    <cellStyle name="Standard 2 6 4 2 2 2" xfId="2135"/>
    <cellStyle name="Standard 2 6 4 2 3" xfId="1694"/>
    <cellStyle name="Standard 2 6 4 2 4" xfId="1258"/>
    <cellStyle name="Standard 2 6 4 3" xfId="647"/>
    <cellStyle name="Standard 2 6 4 3 2" xfId="1961"/>
    <cellStyle name="Standard 2 6 4 4" xfId="1520"/>
    <cellStyle name="Standard 2 6 4 5" xfId="1084"/>
    <cellStyle name="Standard 2 6 5" xfId="118"/>
    <cellStyle name="Standard 2 6 5 2" xfId="560"/>
    <cellStyle name="Standard 2 6 5 2 2" xfId="1874"/>
    <cellStyle name="Standard 2 6 5 3" xfId="1433"/>
    <cellStyle name="Standard 2 6 5 4" xfId="997"/>
    <cellStyle name="Standard 2 6 6" xfId="292"/>
    <cellStyle name="Standard 2 6 6 2" xfId="734"/>
    <cellStyle name="Standard 2 6 6 2 2" xfId="2048"/>
    <cellStyle name="Standard 2 6 6 3" xfId="1607"/>
    <cellStyle name="Standard 2 6 6 4" xfId="1171"/>
    <cellStyle name="Standard 2 6 7" xfId="473"/>
    <cellStyle name="Standard 2 6 7 2" xfId="1787"/>
    <cellStyle name="Standard 2 6 8" xfId="1346"/>
    <cellStyle name="Standard 2 6 9" xfId="910"/>
    <cellStyle name="Standard 2 7" xfId="39"/>
    <cellStyle name="Standard 2 7 2" xfId="97"/>
    <cellStyle name="Standard 2 7 2 2" xfId="271"/>
    <cellStyle name="Standard 2 7 2 2 2" xfId="445"/>
    <cellStyle name="Standard 2 7 2 2 2 2" xfId="887"/>
    <cellStyle name="Standard 2 7 2 2 2 2 2" xfId="2201"/>
    <cellStyle name="Standard 2 7 2 2 2 3" xfId="1760"/>
    <cellStyle name="Standard 2 7 2 2 2 4" xfId="1324"/>
    <cellStyle name="Standard 2 7 2 2 3" xfId="713"/>
    <cellStyle name="Standard 2 7 2 2 3 2" xfId="2027"/>
    <cellStyle name="Standard 2 7 2 2 4" xfId="1586"/>
    <cellStyle name="Standard 2 7 2 2 5" xfId="1150"/>
    <cellStyle name="Standard 2 7 2 3" xfId="155"/>
    <cellStyle name="Standard 2 7 2 3 2" xfId="597"/>
    <cellStyle name="Standard 2 7 2 3 2 2" xfId="1911"/>
    <cellStyle name="Standard 2 7 2 3 3" xfId="1470"/>
    <cellStyle name="Standard 2 7 2 3 4" xfId="1034"/>
    <cellStyle name="Standard 2 7 2 4" xfId="329"/>
    <cellStyle name="Standard 2 7 2 4 2" xfId="771"/>
    <cellStyle name="Standard 2 7 2 4 2 2" xfId="2085"/>
    <cellStyle name="Standard 2 7 2 4 3" xfId="1644"/>
    <cellStyle name="Standard 2 7 2 4 4" xfId="1208"/>
    <cellStyle name="Standard 2 7 2 5" xfId="539"/>
    <cellStyle name="Standard 2 7 2 5 2" xfId="1853"/>
    <cellStyle name="Standard 2 7 2 6" xfId="1412"/>
    <cellStyle name="Standard 2 7 2 7" xfId="976"/>
    <cellStyle name="Standard 2 7 3" xfId="68"/>
    <cellStyle name="Standard 2 7 3 2" xfId="242"/>
    <cellStyle name="Standard 2 7 3 2 2" xfId="416"/>
    <cellStyle name="Standard 2 7 3 2 2 2" xfId="858"/>
    <cellStyle name="Standard 2 7 3 2 2 2 2" xfId="2172"/>
    <cellStyle name="Standard 2 7 3 2 2 3" xfId="1731"/>
    <cellStyle name="Standard 2 7 3 2 2 4" xfId="1295"/>
    <cellStyle name="Standard 2 7 3 2 3" xfId="684"/>
    <cellStyle name="Standard 2 7 3 2 3 2" xfId="1998"/>
    <cellStyle name="Standard 2 7 3 2 4" xfId="1557"/>
    <cellStyle name="Standard 2 7 3 2 5" xfId="1121"/>
    <cellStyle name="Standard 2 7 3 3" xfId="184"/>
    <cellStyle name="Standard 2 7 3 3 2" xfId="626"/>
    <cellStyle name="Standard 2 7 3 3 2 2" xfId="1940"/>
    <cellStyle name="Standard 2 7 3 3 3" xfId="1499"/>
    <cellStyle name="Standard 2 7 3 3 4" xfId="1063"/>
    <cellStyle name="Standard 2 7 3 4" xfId="358"/>
    <cellStyle name="Standard 2 7 3 4 2" xfId="800"/>
    <cellStyle name="Standard 2 7 3 4 2 2" xfId="2114"/>
    <cellStyle name="Standard 2 7 3 4 3" xfId="1673"/>
    <cellStyle name="Standard 2 7 3 4 4" xfId="1237"/>
    <cellStyle name="Standard 2 7 3 5" xfId="510"/>
    <cellStyle name="Standard 2 7 3 5 2" xfId="1824"/>
    <cellStyle name="Standard 2 7 3 6" xfId="1383"/>
    <cellStyle name="Standard 2 7 3 7" xfId="947"/>
    <cellStyle name="Standard 2 7 4" xfId="213"/>
    <cellStyle name="Standard 2 7 4 2" xfId="387"/>
    <cellStyle name="Standard 2 7 4 2 2" xfId="829"/>
    <cellStyle name="Standard 2 7 4 2 2 2" xfId="2143"/>
    <cellStyle name="Standard 2 7 4 2 3" xfId="1702"/>
    <cellStyle name="Standard 2 7 4 2 4" xfId="1266"/>
    <cellStyle name="Standard 2 7 4 3" xfId="655"/>
    <cellStyle name="Standard 2 7 4 3 2" xfId="1969"/>
    <cellStyle name="Standard 2 7 4 4" xfId="1528"/>
    <cellStyle name="Standard 2 7 4 5" xfId="1092"/>
    <cellStyle name="Standard 2 7 5" xfId="126"/>
    <cellStyle name="Standard 2 7 5 2" xfId="568"/>
    <cellStyle name="Standard 2 7 5 2 2" xfId="1882"/>
    <cellStyle name="Standard 2 7 5 3" xfId="1441"/>
    <cellStyle name="Standard 2 7 5 4" xfId="1005"/>
    <cellStyle name="Standard 2 7 6" xfId="300"/>
    <cellStyle name="Standard 2 7 6 2" xfId="742"/>
    <cellStyle name="Standard 2 7 6 2 2" xfId="2056"/>
    <cellStyle name="Standard 2 7 6 3" xfId="1615"/>
    <cellStyle name="Standard 2 7 6 4" xfId="1179"/>
    <cellStyle name="Standard 2 7 7" xfId="481"/>
    <cellStyle name="Standard 2 7 7 2" xfId="1795"/>
    <cellStyle name="Standard 2 7 8" xfId="1354"/>
    <cellStyle name="Standard 2 7 9" xfId="918"/>
    <cellStyle name="Standard 2 8" xfId="77"/>
    <cellStyle name="Standard 2 8 2" xfId="251"/>
    <cellStyle name="Standard 2 8 2 2" xfId="425"/>
    <cellStyle name="Standard 2 8 2 2 2" xfId="867"/>
    <cellStyle name="Standard 2 8 2 2 2 2" xfId="2181"/>
    <cellStyle name="Standard 2 8 2 2 3" xfId="1740"/>
    <cellStyle name="Standard 2 8 2 2 4" xfId="1304"/>
    <cellStyle name="Standard 2 8 2 3" xfId="693"/>
    <cellStyle name="Standard 2 8 2 3 2" xfId="2007"/>
    <cellStyle name="Standard 2 8 2 4" xfId="1566"/>
    <cellStyle name="Standard 2 8 2 5" xfId="1130"/>
    <cellStyle name="Standard 2 8 3" xfId="135"/>
    <cellStyle name="Standard 2 8 3 2" xfId="577"/>
    <cellStyle name="Standard 2 8 3 2 2" xfId="1891"/>
    <cellStyle name="Standard 2 8 3 3" xfId="1450"/>
    <cellStyle name="Standard 2 8 3 4" xfId="1014"/>
    <cellStyle name="Standard 2 8 4" xfId="309"/>
    <cellStyle name="Standard 2 8 4 2" xfId="751"/>
    <cellStyle name="Standard 2 8 4 2 2" xfId="2065"/>
    <cellStyle name="Standard 2 8 4 3" xfId="1624"/>
    <cellStyle name="Standard 2 8 4 4" xfId="1188"/>
    <cellStyle name="Standard 2 8 5" xfId="519"/>
    <cellStyle name="Standard 2 8 5 2" xfId="1833"/>
    <cellStyle name="Standard 2 8 6" xfId="1392"/>
    <cellStyle name="Standard 2 8 7" xfId="956"/>
    <cellStyle name="Standard 2 9" xfId="48"/>
    <cellStyle name="Standard 2 9 2" xfId="222"/>
    <cellStyle name="Standard 2 9 2 2" xfId="396"/>
    <cellStyle name="Standard 2 9 2 2 2" xfId="838"/>
    <cellStyle name="Standard 2 9 2 2 2 2" xfId="2152"/>
    <cellStyle name="Standard 2 9 2 2 3" xfId="1711"/>
    <cellStyle name="Standard 2 9 2 2 4" xfId="1275"/>
    <cellStyle name="Standard 2 9 2 3" xfId="664"/>
    <cellStyle name="Standard 2 9 2 3 2" xfId="1978"/>
    <cellStyle name="Standard 2 9 2 4" xfId="1537"/>
    <cellStyle name="Standard 2 9 2 5" xfId="1101"/>
    <cellStyle name="Standard 2 9 3" xfId="164"/>
    <cellStyle name="Standard 2 9 3 2" xfId="606"/>
    <cellStyle name="Standard 2 9 3 2 2" xfId="1920"/>
    <cellStyle name="Standard 2 9 3 3" xfId="1479"/>
    <cellStyle name="Standard 2 9 3 4" xfId="1043"/>
    <cellStyle name="Standard 2 9 4" xfId="338"/>
    <cellStyle name="Standard 2 9 4 2" xfId="780"/>
    <cellStyle name="Standard 2 9 4 2 2" xfId="2094"/>
    <cellStyle name="Standard 2 9 4 3" xfId="1653"/>
    <cellStyle name="Standard 2 9 4 4" xfId="1217"/>
    <cellStyle name="Standard 2 9 5" xfId="490"/>
    <cellStyle name="Standard 2 9 5 2" xfId="1804"/>
    <cellStyle name="Standard 2 9 6" xfId="1363"/>
    <cellStyle name="Standard 2 9 7" xfId="927"/>
    <cellStyle name="Standard 3" xfId="6"/>
    <cellStyle name="Standard 3 10" xfId="282"/>
    <cellStyle name="Standard 3 10 2" xfId="724"/>
    <cellStyle name="Standard 3 10 2 2" xfId="2038"/>
    <cellStyle name="Standard 3 10 3" xfId="1597"/>
    <cellStyle name="Standard 3 10 4" xfId="1161"/>
    <cellStyle name="Standard 3 11" xfId="458"/>
    <cellStyle name="Standard 3 11 2" xfId="1772"/>
    <cellStyle name="Standard 3 12" xfId="463"/>
    <cellStyle name="Standard 3 12 2" xfId="1777"/>
    <cellStyle name="Standard 3 13" xfId="1336"/>
    <cellStyle name="Standard 3 14" xfId="900"/>
    <cellStyle name="Standard 3 15" xfId="15"/>
    <cellStyle name="Standard 3 2" xfId="19"/>
    <cellStyle name="Standard 3 2 10" xfId="1340"/>
    <cellStyle name="Standard 3 2 11" xfId="904"/>
    <cellStyle name="Standard 3 2 2" xfId="37"/>
    <cellStyle name="Standard 3 2 2 2" xfId="95"/>
    <cellStyle name="Standard 3 2 2 2 2" xfId="269"/>
    <cellStyle name="Standard 3 2 2 2 2 2" xfId="443"/>
    <cellStyle name="Standard 3 2 2 2 2 2 2" xfId="885"/>
    <cellStyle name="Standard 3 2 2 2 2 2 2 2" xfId="2199"/>
    <cellStyle name="Standard 3 2 2 2 2 2 3" xfId="1758"/>
    <cellStyle name="Standard 3 2 2 2 2 2 4" xfId="1322"/>
    <cellStyle name="Standard 3 2 2 2 2 3" xfId="711"/>
    <cellStyle name="Standard 3 2 2 2 2 3 2" xfId="2025"/>
    <cellStyle name="Standard 3 2 2 2 2 4" xfId="1584"/>
    <cellStyle name="Standard 3 2 2 2 2 5" xfId="1148"/>
    <cellStyle name="Standard 3 2 2 2 3" xfId="153"/>
    <cellStyle name="Standard 3 2 2 2 3 2" xfId="595"/>
    <cellStyle name="Standard 3 2 2 2 3 2 2" xfId="1909"/>
    <cellStyle name="Standard 3 2 2 2 3 3" xfId="1468"/>
    <cellStyle name="Standard 3 2 2 2 3 4" xfId="1032"/>
    <cellStyle name="Standard 3 2 2 2 4" xfId="327"/>
    <cellStyle name="Standard 3 2 2 2 4 2" xfId="769"/>
    <cellStyle name="Standard 3 2 2 2 4 2 2" xfId="2083"/>
    <cellStyle name="Standard 3 2 2 2 4 3" xfId="1642"/>
    <cellStyle name="Standard 3 2 2 2 4 4" xfId="1206"/>
    <cellStyle name="Standard 3 2 2 2 5" xfId="537"/>
    <cellStyle name="Standard 3 2 2 2 5 2" xfId="1851"/>
    <cellStyle name="Standard 3 2 2 2 6" xfId="1410"/>
    <cellStyle name="Standard 3 2 2 2 7" xfId="974"/>
    <cellStyle name="Standard 3 2 2 3" xfId="66"/>
    <cellStyle name="Standard 3 2 2 3 2" xfId="240"/>
    <cellStyle name="Standard 3 2 2 3 2 2" xfId="414"/>
    <cellStyle name="Standard 3 2 2 3 2 2 2" xfId="856"/>
    <cellStyle name="Standard 3 2 2 3 2 2 2 2" xfId="2170"/>
    <cellStyle name="Standard 3 2 2 3 2 2 3" xfId="1729"/>
    <cellStyle name="Standard 3 2 2 3 2 2 4" xfId="1293"/>
    <cellStyle name="Standard 3 2 2 3 2 3" xfId="682"/>
    <cellStyle name="Standard 3 2 2 3 2 3 2" xfId="1996"/>
    <cellStyle name="Standard 3 2 2 3 2 4" xfId="1555"/>
    <cellStyle name="Standard 3 2 2 3 2 5" xfId="1119"/>
    <cellStyle name="Standard 3 2 2 3 3" xfId="182"/>
    <cellStyle name="Standard 3 2 2 3 3 2" xfId="624"/>
    <cellStyle name="Standard 3 2 2 3 3 2 2" xfId="1938"/>
    <cellStyle name="Standard 3 2 2 3 3 3" xfId="1497"/>
    <cellStyle name="Standard 3 2 2 3 3 4" xfId="1061"/>
    <cellStyle name="Standard 3 2 2 3 4" xfId="356"/>
    <cellStyle name="Standard 3 2 2 3 4 2" xfId="798"/>
    <cellStyle name="Standard 3 2 2 3 4 2 2" xfId="2112"/>
    <cellStyle name="Standard 3 2 2 3 4 3" xfId="1671"/>
    <cellStyle name="Standard 3 2 2 3 4 4" xfId="1235"/>
    <cellStyle name="Standard 3 2 2 3 5" xfId="508"/>
    <cellStyle name="Standard 3 2 2 3 5 2" xfId="1822"/>
    <cellStyle name="Standard 3 2 2 3 6" xfId="1381"/>
    <cellStyle name="Standard 3 2 2 3 7" xfId="945"/>
    <cellStyle name="Standard 3 2 2 4" xfId="211"/>
    <cellStyle name="Standard 3 2 2 4 2" xfId="385"/>
    <cellStyle name="Standard 3 2 2 4 2 2" xfId="827"/>
    <cellStyle name="Standard 3 2 2 4 2 2 2" xfId="2141"/>
    <cellStyle name="Standard 3 2 2 4 2 3" xfId="1700"/>
    <cellStyle name="Standard 3 2 2 4 2 4" xfId="1264"/>
    <cellStyle name="Standard 3 2 2 4 3" xfId="653"/>
    <cellStyle name="Standard 3 2 2 4 3 2" xfId="1967"/>
    <cellStyle name="Standard 3 2 2 4 4" xfId="1526"/>
    <cellStyle name="Standard 3 2 2 4 5" xfId="1090"/>
    <cellStyle name="Standard 3 2 2 5" xfId="124"/>
    <cellStyle name="Standard 3 2 2 5 2" xfId="566"/>
    <cellStyle name="Standard 3 2 2 5 2 2" xfId="1880"/>
    <cellStyle name="Standard 3 2 2 5 3" xfId="1439"/>
    <cellStyle name="Standard 3 2 2 5 4" xfId="1003"/>
    <cellStyle name="Standard 3 2 2 6" xfId="298"/>
    <cellStyle name="Standard 3 2 2 6 2" xfId="740"/>
    <cellStyle name="Standard 3 2 2 6 2 2" xfId="2054"/>
    <cellStyle name="Standard 3 2 2 6 3" xfId="1613"/>
    <cellStyle name="Standard 3 2 2 6 4" xfId="1177"/>
    <cellStyle name="Standard 3 2 2 7" xfId="479"/>
    <cellStyle name="Standard 3 2 2 7 2" xfId="1793"/>
    <cellStyle name="Standard 3 2 2 8" xfId="1352"/>
    <cellStyle name="Standard 3 2 2 9" xfId="916"/>
    <cellStyle name="Standard 3 2 3" xfId="45"/>
    <cellStyle name="Standard 3 2 3 2" xfId="103"/>
    <cellStyle name="Standard 3 2 3 2 2" xfId="277"/>
    <cellStyle name="Standard 3 2 3 2 2 2" xfId="451"/>
    <cellStyle name="Standard 3 2 3 2 2 2 2" xfId="893"/>
    <cellStyle name="Standard 3 2 3 2 2 2 2 2" xfId="2207"/>
    <cellStyle name="Standard 3 2 3 2 2 2 3" xfId="1766"/>
    <cellStyle name="Standard 3 2 3 2 2 2 4" xfId="1330"/>
    <cellStyle name="Standard 3 2 3 2 2 3" xfId="719"/>
    <cellStyle name="Standard 3 2 3 2 2 3 2" xfId="2033"/>
    <cellStyle name="Standard 3 2 3 2 2 4" xfId="1592"/>
    <cellStyle name="Standard 3 2 3 2 2 5" xfId="1156"/>
    <cellStyle name="Standard 3 2 3 2 3" xfId="161"/>
    <cellStyle name="Standard 3 2 3 2 3 2" xfId="603"/>
    <cellStyle name="Standard 3 2 3 2 3 2 2" xfId="1917"/>
    <cellStyle name="Standard 3 2 3 2 3 3" xfId="1476"/>
    <cellStyle name="Standard 3 2 3 2 3 4" xfId="1040"/>
    <cellStyle name="Standard 3 2 3 2 4" xfId="335"/>
    <cellStyle name="Standard 3 2 3 2 4 2" xfId="777"/>
    <cellStyle name="Standard 3 2 3 2 4 2 2" xfId="2091"/>
    <cellStyle name="Standard 3 2 3 2 4 3" xfId="1650"/>
    <cellStyle name="Standard 3 2 3 2 4 4" xfId="1214"/>
    <cellStyle name="Standard 3 2 3 2 5" xfId="545"/>
    <cellStyle name="Standard 3 2 3 2 5 2" xfId="1859"/>
    <cellStyle name="Standard 3 2 3 2 6" xfId="1418"/>
    <cellStyle name="Standard 3 2 3 2 7" xfId="982"/>
    <cellStyle name="Standard 3 2 3 3" xfId="74"/>
    <cellStyle name="Standard 3 2 3 3 2" xfId="248"/>
    <cellStyle name="Standard 3 2 3 3 2 2" xfId="422"/>
    <cellStyle name="Standard 3 2 3 3 2 2 2" xfId="864"/>
    <cellStyle name="Standard 3 2 3 3 2 2 2 2" xfId="2178"/>
    <cellStyle name="Standard 3 2 3 3 2 2 3" xfId="1737"/>
    <cellStyle name="Standard 3 2 3 3 2 2 4" xfId="1301"/>
    <cellStyle name="Standard 3 2 3 3 2 3" xfId="690"/>
    <cellStyle name="Standard 3 2 3 3 2 3 2" xfId="2004"/>
    <cellStyle name="Standard 3 2 3 3 2 4" xfId="1563"/>
    <cellStyle name="Standard 3 2 3 3 2 5" xfId="1127"/>
    <cellStyle name="Standard 3 2 3 3 3" xfId="190"/>
    <cellStyle name="Standard 3 2 3 3 3 2" xfId="632"/>
    <cellStyle name="Standard 3 2 3 3 3 2 2" xfId="1946"/>
    <cellStyle name="Standard 3 2 3 3 3 3" xfId="1505"/>
    <cellStyle name="Standard 3 2 3 3 3 4" xfId="1069"/>
    <cellStyle name="Standard 3 2 3 3 4" xfId="364"/>
    <cellStyle name="Standard 3 2 3 3 4 2" xfId="806"/>
    <cellStyle name="Standard 3 2 3 3 4 2 2" xfId="2120"/>
    <cellStyle name="Standard 3 2 3 3 4 3" xfId="1679"/>
    <cellStyle name="Standard 3 2 3 3 4 4" xfId="1243"/>
    <cellStyle name="Standard 3 2 3 3 5" xfId="516"/>
    <cellStyle name="Standard 3 2 3 3 5 2" xfId="1830"/>
    <cellStyle name="Standard 3 2 3 3 6" xfId="1389"/>
    <cellStyle name="Standard 3 2 3 3 7" xfId="953"/>
    <cellStyle name="Standard 3 2 3 4" xfId="219"/>
    <cellStyle name="Standard 3 2 3 4 2" xfId="393"/>
    <cellStyle name="Standard 3 2 3 4 2 2" xfId="835"/>
    <cellStyle name="Standard 3 2 3 4 2 2 2" xfId="2149"/>
    <cellStyle name="Standard 3 2 3 4 2 3" xfId="1708"/>
    <cellStyle name="Standard 3 2 3 4 2 4" xfId="1272"/>
    <cellStyle name="Standard 3 2 3 4 3" xfId="661"/>
    <cellStyle name="Standard 3 2 3 4 3 2" xfId="1975"/>
    <cellStyle name="Standard 3 2 3 4 4" xfId="1534"/>
    <cellStyle name="Standard 3 2 3 4 5" xfId="1098"/>
    <cellStyle name="Standard 3 2 3 5" xfId="132"/>
    <cellStyle name="Standard 3 2 3 5 2" xfId="574"/>
    <cellStyle name="Standard 3 2 3 5 2 2" xfId="1888"/>
    <cellStyle name="Standard 3 2 3 5 3" xfId="1447"/>
    <cellStyle name="Standard 3 2 3 5 4" xfId="1011"/>
    <cellStyle name="Standard 3 2 3 6" xfId="306"/>
    <cellStyle name="Standard 3 2 3 6 2" xfId="748"/>
    <cellStyle name="Standard 3 2 3 6 2 2" xfId="2062"/>
    <cellStyle name="Standard 3 2 3 6 3" xfId="1621"/>
    <cellStyle name="Standard 3 2 3 6 4" xfId="1185"/>
    <cellStyle name="Standard 3 2 3 7" xfId="487"/>
    <cellStyle name="Standard 3 2 3 7 2" xfId="1801"/>
    <cellStyle name="Standard 3 2 3 8" xfId="1360"/>
    <cellStyle name="Standard 3 2 3 9" xfId="924"/>
    <cellStyle name="Standard 3 2 4" xfId="83"/>
    <cellStyle name="Standard 3 2 4 2" xfId="257"/>
    <cellStyle name="Standard 3 2 4 2 2" xfId="431"/>
    <cellStyle name="Standard 3 2 4 2 2 2" xfId="873"/>
    <cellStyle name="Standard 3 2 4 2 2 2 2" xfId="2187"/>
    <cellStyle name="Standard 3 2 4 2 2 3" xfId="1746"/>
    <cellStyle name="Standard 3 2 4 2 2 4" xfId="1310"/>
    <cellStyle name="Standard 3 2 4 2 3" xfId="699"/>
    <cellStyle name="Standard 3 2 4 2 3 2" xfId="2013"/>
    <cellStyle name="Standard 3 2 4 2 4" xfId="1572"/>
    <cellStyle name="Standard 3 2 4 2 5" xfId="1136"/>
    <cellStyle name="Standard 3 2 4 3" xfId="141"/>
    <cellStyle name="Standard 3 2 4 3 2" xfId="583"/>
    <cellStyle name="Standard 3 2 4 3 2 2" xfId="1897"/>
    <cellStyle name="Standard 3 2 4 3 3" xfId="1456"/>
    <cellStyle name="Standard 3 2 4 3 4" xfId="1020"/>
    <cellStyle name="Standard 3 2 4 4" xfId="315"/>
    <cellStyle name="Standard 3 2 4 4 2" xfId="757"/>
    <cellStyle name="Standard 3 2 4 4 2 2" xfId="2071"/>
    <cellStyle name="Standard 3 2 4 4 3" xfId="1630"/>
    <cellStyle name="Standard 3 2 4 4 4" xfId="1194"/>
    <cellStyle name="Standard 3 2 4 5" xfId="525"/>
    <cellStyle name="Standard 3 2 4 5 2" xfId="1839"/>
    <cellStyle name="Standard 3 2 4 6" xfId="1398"/>
    <cellStyle name="Standard 3 2 4 7" xfId="962"/>
    <cellStyle name="Standard 3 2 5" xfId="54"/>
    <cellStyle name="Standard 3 2 5 2" xfId="228"/>
    <cellStyle name="Standard 3 2 5 2 2" xfId="402"/>
    <cellStyle name="Standard 3 2 5 2 2 2" xfId="844"/>
    <cellStyle name="Standard 3 2 5 2 2 2 2" xfId="2158"/>
    <cellStyle name="Standard 3 2 5 2 2 3" xfId="1717"/>
    <cellStyle name="Standard 3 2 5 2 2 4" xfId="1281"/>
    <cellStyle name="Standard 3 2 5 2 3" xfId="670"/>
    <cellStyle name="Standard 3 2 5 2 3 2" xfId="1984"/>
    <cellStyle name="Standard 3 2 5 2 4" xfId="1543"/>
    <cellStyle name="Standard 3 2 5 2 5" xfId="1107"/>
    <cellStyle name="Standard 3 2 5 3" xfId="170"/>
    <cellStyle name="Standard 3 2 5 3 2" xfId="612"/>
    <cellStyle name="Standard 3 2 5 3 2 2" xfId="1926"/>
    <cellStyle name="Standard 3 2 5 3 3" xfId="1485"/>
    <cellStyle name="Standard 3 2 5 3 4" xfId="1049"/>
    <cellStyle name="Standard 3 2 5 4" xfId="344"/>
    <cellStyle name="Standard 3 2 5 4 2" xfId="786"/>
    <cellStyle name="Standard 3 2 5 4 2 2" xfId="2100"/>
    <cellStyle name="Standard 3 2 5 4 3" xfId="1659"/>
    <cellStyle name="Standard 3 2 5 4 4" xfId="1223"/>
    <cellStyle name="Standard 3 2 5 5" xfId="496"/>
    <cellStyle name="Standard 3 2 5 5 2" xfId="1810"/>
    <cellStyle name="Standard 3 2 5 6" xfId="1369"/>
    <cellStyle name="Standard 3 2 5 7" xfId="933"/>
    <cellStyle name="Standard 3 2 6" xfId="199"/>
    <cellStyle name="Standard 3 2 6 2" xfId="373"/>
    <cellStyle name="Standard 3 2 6 2 2" xfId="815"/>
    <cellStyle name="Standard 3 2 6 2 2 2" xfId="2129"/>
    <cellStyle name="Standard 3 2 6 2 3" xfId="1688"/>
    <cellStyle name="Standard 3 2 6 2 4" xfId="1252"/>
    <cellStyle name="Standard 3 2 6 3" xfId="641"/>
    <cellStyle name="Standard 3 2 6 3 2" xfId="1955"/>
    <cellStyle name="Standard 3 2 6 4" xfId="1514"/>
    <cellStyle name="Standard 3 2 6 5" xfId="1078"/>
    <cellStyle name="Standard 3 2 7" xfId="112"/>
    <cellStyle name="Standard 3 2 7 2" xfId="554"/>
    <cellStyle name="Standard 3 2 7 2 2" xfId="1868"/>
    <cellStyle name="Standard 3 2 7 3" xfId="1427"/>
    <cellStyle name="Standard 3 2 7 4" xfId="991"/>
    <cellStyle name="Standard 3 2 8" xfId="286"/>
    <cellStyle name="Standard 3 2 8 2" xfId="728"/>
    <cellStyle name="Standard 3 2 8 2 2" xfId="2042"/>
    <cellStyle name="Standard 3 2 8 3" xfId="1601"/>
    <cellStyle name="Standard 3 2 8 4" xfId="1165"/>
    <cellStyle name="Standard 3 2 9" xfId="467"/>
    <cellStyle name="Standard 3 2 9 2" xfId="1781"/>
    <cellStyle name="Standard 3 3" xfId="23"/>
    <cellStyle name="Standard 3 3 2" xfId="87"/>
    <cellStyle name="Standard 3 3 2 2" xfId="261"/>
    <cellStyle name="Standard 3 3 2 2 2" xfId="435"/>
    <cellStyle name="Standard 3 3 2 2 2 2" xfId="877"/>
    <cellStyle name="Standard 3 3 2 2 2 2 2" xfId="2191"/>
    <cellStyle name="Standard 3 3 2 2 2 3" xfId="1750"/>
    <cellStyle name="Standard 3 3 2 2 2 4" xfId="1314"/>
    <cellStyle name="Standard 3 3 2 2 3" xfId="703"/>
    <cellStyle name="Standard 3 3 2 2 3 2" xfId="2017"/>
    <cellStyle name="Standard 3 3 2 2 4" xfId="1576"/>
    <cellStyle name="Standard 3 3 2 2 5" xfId="1140"/>
    <cellStyle name="Standard 3 3 2 3" xfId="145"/>
    <cellStyle name="Standard 3 3 2 3 2" xfId="587"/>
    <cellStyle name="Standard 3 3 2 3 2 2" xfId="1901"/>
    <cellStyle name="Standard 3 3 2 3 3" xfId="1460"/>
    <cellStyle name="Standard 3 3 2 3 4" xfId="1024"/>
    <cellStyle name="Standard 3 3 2 4" xfId="319"/>
    <cellStyle name="Standard 3 3 2 4 2" xfId="761"/>
    <cellStyle name="Standard 3 3 2 4 2 2" xfId="2075"/>
    <cellStyle name="Standard 3 3 2 4 3" xfId="1634"/>
    <cellStyle name="Standard 3 3 2 4 4" xfId="1198"/>
    <cellStyle name="Standard 3 3 2 5" xfId="529"/>
    <cellStyle name="Standard 3 3 2 5 2" xfId="1843"/>
    <cellStyle name="Standard 3 3 2 6" xfId="1402"/>
    <cellStyle name="Standard 3 3 2 7" xfId="966"/>
    <cellStyle name="Standard 3 3 3" xfId="58"/>
    <cellStyle name="Standard 3 3 3 2" xfId="232"/>
    <cellStyle name="Standard 3 3 3 2 2" xfId="406"/>
    <cellStyle name="Standard 3 3 3 2 2 2" xfId="848"/>
    <cellStyle name="Standard 3 3 3 2 2 2 2" xfId="2162"/>
    <cellStyle name="Standard 3 3 3 2 2 3" xfId="1721"/>
    <cellStyle name="Standard 3 3 3 2 2 4" xfId="1285"/>
    <cellStyle name="Standard 3 3 3 2 3" xfId="674"/>
    <cellStyle name="Standard 3 3 3 2 3 2" xfId="1988"/>
    <cellStyle name="Standard 3 3 3 2 4" xfId="1547"/>
    <cellStyle name="Standard 3 3 3 2 5" xfId="1111"/>
    <cellStyle name="Standard 3 3 3 3" xfId="174"/>
    <cellStyle name="Standard 3 3 3 3 2" xfId="616"/>
    <cellStyle name="Standard 3 3 3 3 2 2" xfId="1930"/>
    <cellStyle name="Standard 3 3 3 3 3" xfId="1489"/>
    <cellStyle name="Standard 3 3 3 3 4" xfId="1053"/>
    <cellStyle name="Standard 3 3 3 4" xfId="348"/>
    <cellStyle name="Standard 3 3 3 4 2" xfId="790"/>
    <cellStyle name="Standard 3 3 3 4 2 2" xfId="2104"/>
    <cellStyle name="Standard 3 3 3 4 3" xfId="1663"/>
    <cellStyle name="Standard 3 3 3 4 4" xfId="1227"/>
    <cellStyle name="Standard 3 3 3 5" xfId="500"/>
    <cellStyle name="Standard 3 3 3 5 2" xfId="1814"/>
    <cellStyle name="Standard 3 3 3 6" xfId="1373"/>
    <cellStyle name="Standard 3 3 3 7" xfId="937"/>
    <cellStyle name="Standard 3 3 4" xfId="203"/>
    <cellStyle name="Standard 3 3 4 2" xfId="377"/>
    <cellStyle name="Standard 3 3 4 2 2" xfId="819"/>
    <cellStyle name="Standard 3 3 4 2 2 2" xfId="2133"/>
    <cellStyle name="Standard 3 3 4 2 3" xfId="1692"/>
    <cellStyle name="Standard 3 3 4 2 4" xfId="1256"/>
    <cellStyle name="Standard 3 3 4 3" xfId="645"/>
    <cellStyle name="Standard 3 3 4 3 2" xfId="1959"/>
    <cellStyle name="Standard 3 3 4 4" xfId="1518"/>
    <cellStyle name="Standard 3 3 4 5" xfId="1082"/>
    <cellStyle name="Standard 3 3 5" xfId="116"/>
    <cellStyle name="Standard 3 3 5 2" xfId="558"/>
    <cellStyle name="Standard 3 3 5 2 2" xfId="1872"/>
    <cellStyle name="Standard 3 3 5 3" xfId="1431"/>
    <cellStyle name="Standard 3 3 5 4" xfId="995"/>
    <cellStyle name="Standard 3 3 6" xfId="290"/>
    <cellStyle name="Standard 3 3 6 2" xfId="732"/>
    <cellStyle name="Standard 3 3 6 2 2" xfId="2046"/>
    <cellStyle name="Standard 3 3 6 3" xfId="1605"/>
    <cellStyle name="Standard 3 3 6 4" xfId="1169"/>
    <cellStyle name="Standard 3 3 7" xfId="471"/>
    <cellStyle name="Standard 3 3 7 2" xfId="1785"/>
    <cellStyle name="Standard 3 3 8" xfId="1344"/>
    <cellStyle name="Standard 3 3 9" xfId="908"/>
    <cellStyle name="Standard 3 4" xfId="33"/>
    <cellStyle name="Standard 3 4 2" xfId="91"/>
    <cellStyle name="Standard 3 4 2 2" xfId="265"/>
    <cellStyle name="Standard 3 4 2 2 2" xfId="439"/>
    <cellStyle name="Standard 3 4 2 2 2 2" xfId="881"/>
    <cellStyle name="Standard 3 4 2 2 2 2 2" xfId="2195"/>
    <cellStyle name="Standard 3 4 2 2 2 3" xfId="1754"/>
    <cellStyle name="Standard 3 4 2 2 2 4" xfId="1318"/>
    <cellStyle name="Standard 3 4 2 2 3" xfId="707"/>
    <cellStyle name="Standard 3 4 2 2 3 2" xfId="2021"/>
    <cellStyle name="Standard 3 4 2 2 4" xfId="1580"/>
    <cellStyle name="Standard 3 4 2 2 5" xfId="1144"/>
    <cellStyle name="Standard 3 4 2 3" xfId="149"/>
    <cellStyle name="Standard 3 4 2 3 2" xfId="591"/>
    <cellStyle name="Standard 3 4 2 3 2 2" xfId="1905"/>
    <cellStyle name="Standard 3 4 2 3 3" xfId="1464"/>
    <cellStyle name="Standard 3 4 2 3 4" xfId="1028"/>
    <cellStyle name="Standard 3 4 2 4" xfId="323"/>
    <cellStyle name="Standard 3 4 2 4 2" xfId="765"/>
    <cellStyle name="Standard 3 4 2 4 2 2" xfId="2079"/>
    <cellStyle name="Standard 3 4 2 4 3" xfId="1638"/>
    <cellStyle name="Standard 3 4 2 4 4" xfId="1202"/>
    <cellStyle name="Standard 3 4 2 5" xfId="533"/>
    <cellStyle name="Standard 3 4 2 5 2" xfId="1847"/>
    <cellStyle name="Standard 3 4 2 6" xfId="1406"/>
    <cellStyle name="Standard 3 4 2 7" xfId="970"/>
    <cellStyle name="Standard 3 4 3" xfId="62"/>
    <cellStyle name="Standard 3 4 3 2" xfId="236"/>
    <cellStyle name="Standard 3 4 3 2 2" xfId="410"/>
    <cellStyle name="Standard 3 4 3 2 2 2" xfId="852"/>
    <cellStyle name="Standard 3 4 3 2 2 2 2" xfId="2166"/>
    <cellStyle name="Standard 3 4 3 2 2 3" xfId="1725"/>
    <cellStyle name="Standard 3 4 3 2 2 4" xfId="1289"/>
    <cellStyle name="Standard 3 4 3 2 3" xfId="678"/>
    <cellStyle name="Standard 3 4 3 2 3 2" xfId="1992"/>
    <cellStyle name="Standard 3 4 3 2 4" xfId="1551"/>
    <cellStyle name="Standard 3 4 3 2 5" xfId="1115"/>
    <cellStyle name="Standard 3 4 3 3" xfId="178"/>
    <cellStyle name="Standard 3 4 3 3 2" xfId="620"/>
    <cellStyle name="Standard 3 4 3 3 2 2" xfId="1934"/>
    <cellStyle name="Standard 3 4 3 3 3" xfId="1493"/>
    <cellStyle name="Standard 3 4 3 3 4" xfId="1057"/>
    <cellStyle name="Standard 3 4 3 4" xfId="352"/>
    <cellStyle name="Standard 3 4 3 4 2" xfId="794"/>
    <cellStyle name="Standard 3 4 3 4 2 2" xfId="2108"/>
    <cellStyle name="Standard 3 4 3 4 3" xfId="1667"/>
    <cellStyle name="Standard 3 4 3 4 4" xfId="1231"/>
    <cellStyle name="Standard 3 4 3 5" xfId="504"/>
    <cellStyle name="Standard 3 4 3 5 2" xfId="1818"/>
    <cellStyle name="Standard 3 4 3 6" xfId="1377"/>
    <cellStyle name="Standard 3 4 3 7" xfId="941"/>
    <cellStyle name="Standard 3 4 4" xfId="207"/>
    <cellStyle name="Standard 3 4 4 2" xfId="381"/>
    <cellStyle name="Standard 3 4 4 2 2" xfId="823"/>
    <cellStyle name="Standard 3 4 4 2 2 2" xfId="2137"/>
    <cellStyle name="Standard 3 4 4 2 3" xfId="1696"/>
    <cellStyle name="Standard 3 4 4 2 4" xfId="1260"/>
    <cellStyle name="Standard 3 4 4 3" xfId="649"/>
    <cellStyle name="Standard 3 4 4 3 2" xfId="1963"/>
    <cellStyle name="Standard 3 4 4 4" xfId="1522"/>
    <cellStyle name="Standard 3 4 4 5" xfId="1086"/>
    <cellStyle name="Standard 3 4 5" xfId="120"/>
    <cellStyle name="Standard 3 4 5 2" xfId="562"/>
    <cellStyle name="Standard 3 4 5 2 2" xfId="1876"/>
    <cellStyle name="Standard 3 4 5 3" xfId="1435"/>
    <cellStyle name="Standard 3 4 5 4" xfId="999"/>
    <cellStyle name="Standard 3 4 6" xfId="294"/>
    <cellStyle name="Standard 3 4 6 2" xfId="736"/>
    <cellStyle name="Standard 3 4 6 2 2" xfId="2050"/>
    <cellStyle name="Standard 3 4 6 3" xfId="1609"/>
    <cellStyle name="Standard 3 4 6 4" xfId="1173"/>
    <cellStyle name="Standard 3 4 7" xfId="475"/>
    <cellStyle name="Standard 3 4 7 2" xfId="1789"/>
    <cellStyle name="Standard 3 4 8" xfId="1348"/>
    <cellStyle name="Standard 3 4 9" xfId="912"/>
    <cellStyle name="Standard 3 5" xfId="41"/>
    <cellStyle name="Standard 3 5 2" xfId="99"/>
    <cellStyle name="Standard 3 5 2 2" xfId="273"/>
    <cellStyle name="Standard 3 5 2 2 2" xfId="447"/>
    <cellStyle name="Standard 3 5 2 2 2 2" xfId="889"/>
    <cellStyle name="Standard 3 5 2 2 2 2 2" xfId="2203"/>
    <cellStyle name="Standard 3 5 2 2 2 3" xfId="1762"/>
    <cellStyle name="Standard 3 5 2 2 2 4" xfId="1326"/>
    <cellStyle name="Standard 3 5 2 2 3" xfId="715"/>
    <cellStyle name="Standard 3 5 2 2 3 2" xfId="2029"/>
    <cellStyle name="Standard 3 5 2 2 4" xfId="1588"/>
    <cellStyle name="Standard 3 5 2 2 5" xfId="1152"/>
    <cellStyle name="Standard 3 5 2 3" xfId="157"/>
    <cellStyle name="Standard 3 5 2 3 2" xfId="599"/>
    <cellStyle name="Standard 3 5 2 3 2 2" xfId="1913"/>
    <cellStyle name="Standard 3 5 2 3 3" xfId="1472"/>
    <cellStyle name="Standard 3 5 2 3 4" xfId="1036"/>
    <cellStyle name="Standard 3 5 2 4" xfId="331"/>
    <cellStyle name="Standard 3 5 2 4 2" xfId="773"/>
    <cellStyle name="Standard 3 5 2 4 2 2" xfId="2087"/>
    <cellStyle name="Standard 3 5 2 4 3" xfId="1646"/>
    <cellStyle name="Standard 3 5 2 4 4" xfId="1210"/>
    <cellStyle name="Standard 3 5 2 5" xfId="541"/>
    <cellStyle name="Standard 3 5 2 5 2" xfId="1855"/>
    <cellStyle name="Standard 3 5 2 6" xfId="1414"/>
    <cellStyle name="Standard 3 5 2 7" xfId="978"/>
    <cellStyle name="Standard 3 5 3" xfId="70"/>
    <cellStyle name="Standard 3 5 3 2" xfId="244"/>
    <cellStyle name="Standard 3 5 3 2 2" xfId="418"/>
    <cellStyle name="Standard 3 5 3 2 2 2" xfId="860"/>
    <cellStyle name="Standard 3 5 3 2 2 2 2" xfId="2174"/>
    <cellStyle name="Standard 3 5 3 2 2 3" xfId="1733"/>
    <cellStyle name="Standard 3 5 3 2 2 4" xfId="1297"/>
    <cellStyle name="Standard 3 5 3 2 3" xfId="686"/>
    <cellStyle name="Standard 3 5 3 2 3 2" xfId="2000"/>
    <cellStyle name="Standard 3 5 3 2 4" xfId="1559"/>
    <cellStyle name="Standard 3 5 3 2 5" xfId="1123"/>
    <cellStyle name="Standard 3 5 3 3" xfId="186"/>
    <cellStyle name="Standard 3 5 3 3 2" xfId="628"/>
    <cellStyle name="Standard 3 5 3 3 2 2" xfId="1942"/>
    <cellStyle name="Standard 3 5 3 3 3" xfId="1501"/>
    <cellStyle name="Standard 3 5 3 3 4" xfId="1065"/>
    <cellStyle name="Standard 3 5 3 4" xfId="360"/>
    <cellStyle name="Standard 3 5 3 4 2" xfId="802"/>
    <cellStyle name="Standard 3 5 3 4 2 2" xfId="2116"/>
    <cellStyle name="Standard 3 5 3 4 3" xfId="1675"/>
    <cellStyle name="Standard 3 5 3 4 4" xfId="1239"/>
    <cellStyle name="Standard 3 5 3 5" xfId="512"/>
    <cellStyle name="Standard 3 5 3 5 2" xfId="1826"/>
    <cellStyle name="Standard 3 5 3 6" xfId="1385"/>
    <cellStyle name="Standard 3 5 3 7" xfId="949"/>
    <cellStyle name="Standard 3 5 4" xfId="215"/>
    <cellStyle name="Standard 3 5 4 2" xfId="389"/>
    <cellStyle name="Standard 3 5 4 2 2" xfId="831"/>
    <cellStyle name="Standard 3 5 4 2 2 2" xfId="2145"/>
    <cellStyle name="Standard 3 5 4 2 3" xfId="1704"/>
    <cellStyle name="Standard 3 5 4 2 4" xfId="1268"/>
    <cellStyle name="Standard 3 5 4 3" xfId="657"/>
    <cellStyle name="Standard 3 5 4 3 2" xfId="1971"/>
    <cellStyle name="Standard 3 5 4 4" xfId="1530"/>
    <cellStyle name="Standard 3 5 4 5" xfId="1094"/>
    <cellStyle name="Standard 3 5 5" xfId="128"/>
    <cellStyle name="Standard 3 5 5 2" xfId="570"/>
    <cellStyle name="Standard 3 5 5 2 2" xfId="1884"/>
    <cellStyle name="Standard 3 5 5 3" xfId="1443"/>
    <cellStyle name="Standard 3 5 5 4" xfId="1007"/>
    <cellStyle name="Standard 3 5 6" xfId="302"/>
    <cellStyle name="Standard 3 5 6 2" xfId="744"/>
    <cellStyle name="Standard 3 5 6 2 2" xfId="2058"/>
    <cellStyle name="Standard 3 5 6 3" xfId="1617"/>
    <cellStyle name="Standard 3 5 6 4" xfId="1181"/>
    <cellStyle name="Standard 3 5 7" xfId="483"/>
    <cellStyle name="Standard 3 5 7 2" xfId="1797"/>
    <cellStyle name="Standard 3 5 8" xfId="1356"/>
    <cellStyle name="Standard 3 5 9" xfId="920"/>
    <cellStyle name="Standard 3 6" xfId="79"/>
    <cellStyle name="Standard 3 6 2" xfId="253"/>
    <cellStyle name="Standard 3 6 2 2" xfId="427"/>
    <cellStyle name="Standard 3 6 2 2 2" xfId="869"/>
    <cellStyle name="Standard 3 6 2 2 2 2" xfId="2183"/>
    <cellStyle name="Standard 3 6 2 2 3" xfId="1742"/>
    <cellStyle name="Standard 3 6 2 2 4" xfId="1306"/>
    <cellStyle name="Standard 3 6 2 3" xfId="695"/>
    <cellStyle name="Standard 3 6 2 3 2" xfId="2009"/>
    <cellStyle name="Standard 3 6 2 4" xfId="1568"/>
    <cellStyle name="Standard 3 6 2 5" xfId="1132"/>
    <cellStyle name="Standard 3 6 3" xfId="137"/>
    <cellStyle name="Standard 3 6 3 2" xfId="579"/>
    <cellStyle name="Standard 3 6 3 2 2" xfId="1893"/>
    <cellStyle name="Standard 3 6 3 3" xfId="1452"/>
    <cellStyle name="Standard 3 6 3 4" xfId="1016"/>
    <cellStyle name="Standard 3 6 4" xfId="311"/>
    <cellStyle name="Standard 3 6 4 2" xfId="753"/>
    <cellStyle name="Standard 3 6 4 2 2" xfId="2067"/>
    <cellStyle name="Standard 3 6 4 3" xfId="1626"/>
    <cellStyle name="Standard 3 6 4 4" xfId="1190"/>
    <cellStyle name="Standard 3 6 5" xfId="521"/>
    <cellStyle name="Standard 3 6 5 2" xfId="1835"/>
    <cellStyle name="Standard 3 6 6" xfId="1394"/>
    <cellStyle name="Standard 3 6 7" xfId="958"/>
    <cellStyle name="Standard 3 7" xfId="50"/>
    <cellStyle name="Standard 3 7 2" xfId="224"/>
    <cellStyle name="Standard 3 7 2 2" xfId="398"/>
    <cellStyle name="Standard 3 7 2 2 2" xfId="840"/>
    <cellStyle name="Standard 3 7 2 2 2 2" xfId="2154"/>
    <cellStyle name="Standard 3 7 2 2 3" xfId="1713"/>
    <cellStyle name="Standard 3 7 2 2 4" xfId="1277"/>
    <cellStyle name="Standard 3 7 2 3" xfId="666"/>
    <cellStyle name="Standard 3 7 2 3 2" xfId="1980"/>
    <cellStyle name="Standard 3 7 2 4" xfId="1539"/>
    <cellStyle name="Standard 3 7 2 5" xfId="1103"/>
    <cellStyle name="Standard 3 7 3" xfId="166"/>
    <cellStyle name="Standard 3 7 3 2" xfId="608"/>
    <cellStyle name="Standard 3 7 3 2 2" xfId="1922"/>
    <cellStyle name="Standard 3 7 3 3" xfId="1481"/>
    <cellStyle name="Standard 3 7 3 4" xfId="1045"/>
    <cellStyle name="Standard 3 7 4" xfId="340"/>
    <cellStyle name="Standard 3 7 4 2" xfId="782"/>
    <cellStyle name="Standard 3 7 4 2 2" xfId="2096"/>
    <cellStyle name="Standard 3 7 4 3" xfId="1655"/>
    <cellStyle name="Standard 3 7 4 4" xfId="1219"/>
    <cellStyle name="Standard 3 7 5" xfId="492"/>
    <cellStyle name="Standard 3 7 5 2" xfId="1806"/>
    <cellStyle name="Standard 3 7 6" xfId="1365"/>
    <cellStyle name="Standard 3 7 7" xfId="929"/>
    <cellStyle name="Standard 3 8" xfId="195"/>
    <cellStyle name="Standard 3 8 2" xfId="369"/>
    <cellStyle name="Standard 3 8 2 2" xfId="811"/>
    <cellStyle name="Standard 3 8 2 2 2" xfId="2125"/>
    <cellStyle name="Standard 3 8 2 3" xfId="1684"/>
    <cellStyle name="Standard 3 8 2 4" xfId="1248"/>
    <cellStyle name="Standard 3 8 3" xfId="637"/>
    <cellStyle name="Standard 3 8 3 2" xfId="1951"/>
    <cellStyle name="Standard 3 8 4" xfId="1510"/>
    <cellStyle name="Standard 3 8 5" xfId="1074"/>
    <cellStyle name="Standard 3 9" xfId="108"/>
    <cellStyle name="Standard 3 9 2" xfId="550"/>
    <cellStyle name="Standard 3 9 2 2" xfId="1864"/>
    <cellStyle name="Standard 3 9 3" xfId="1423"/>
    <cellStyle name="Standard 3 9 4" xfId="987"/>
    <cellStyle name="Standard 4" xfId="1"/>
    <cellStyle name="Standard 4 10" xfId="279"/>
    <cellStyle name="Standard 4 10 2" xfId="721"/>
    <cellStyle name="Standard 4 10 2 2" xfId="2035"/>
    <cellStyle name="Standard 4 10 3" xfId="1594"/>
    <cellStyle name="Standard 4 10 4" xfId="1158"/>
    <cellStyle name="Standard 4 11" xfId="459"/>
    <cellStyle name="Standard 4 11 2" xfId="1773"/>
    <cellStyle name="Standard 4 12" xfId="460"/>
    <cellStyle name="Standard 4 12 2" xfId="1774"/>
    <cellStyle name="Standard 4 13" xfId="1333"/>
    <cellStyle name="Standard 4 14" xfId="897"/>
    <cellStyle name="Standard 4 15" xfId="12"/>
    <cellStyle name="Standard 4 16" xfId="2217"/>
    <cellStyle name="Standard 4 2" xfId="9"/>
    <cellStyle name="Standard 4 2 10" xfId="464"/>
    <cellStyle name="Standard 4 2 10 2" xfId="1778"/>
    <cellStyle name="Standard 4 2 11" xfId="1337"/>
    <cellStyle name="Standard 4 2 12" xfId="901"/>
    <cellStyle name="Standard 4 2 13" xfId="16"/>
    <cellStyle name="Standard 4 2 2" xfId="11"/>
    <cellStyle name="Standard 4 2 2 10" xfId="24"/>
    <cellStyle name="Standard 4 2 2 2" xfId="88"/>
    <cellStyle name="Standard 4 2 2 2 2" xfId="262"/>
    <cellStyle name="Standard 4 2 2 2 2 2" xfId="436"/>
    <cellStyle name="Standard 4 2 2 2 2 2 2" xfId="878"/>
    <cellStyle name="Standard 4 2 2 2 2 2 2 2" xfId="2192"/>
    <cellStyle name="Standard 4 2 2 2 2 2 3" xfId="1751"/>
    <cellStyle name="Standard 4 2 2 2 2 2 4" xfId="1315"/>
    <cellStyle name="Standard 4 2 2 2 2 3" xfId="704"/>
    <cellStyle name="Standard 4 2 2 2 2 3 2" xfId="2018"/>
    <cellStyle name="Standard 4 2 2 2 2 4" xfId="1577"/>
    <cellStyle name="Standard 4 2 2 2 2 5" xfId="1141"/>
    <cellStyle name="Standard 4 2 2 2 3" xfId="146"/>
    <cellStyle name="Standard 4 2 2 2 3 2" xfId="588"/>
    <cellStyle name="Standard 4 2 2 2 3 2 2" xfId="1902"/>
    <cellStyle name="Standard 4 2 2 2 3 3" xfId="1461"/>
    <cellStyle name="Standard 4 2 2 2 3 4" xfId="1025"/>
    <cellStyle name="Standard 4 2 2 2 4" xfId="320"/>
    <cellStyle name="Standard 4 2 2 2 4 2" xfId="762"/>
    <cellStyle name="Standard 4 2 2 2 4 2 2" xfId="2076"/>
    <cellStyle name="Standard 4 2 2 2 4 3" xfId="1635"/>
    <cellStyle name="Standard 4 2 2 2 4 4" xfId="1199"/>
    <cellStyle name="Standard 4 2 2 2 5" xfId="530"/>
    <cellStyle name="Standard 4 2 2 2 5 2" xfId="1844"/>
    <cellStyle name="Standard 4 2 2 2 6" xfId="1403"/>
    <cellStyle name="Standard 4 2 2 2 7" xfId="967"/>
    <cellStyle name="Standard 4 2 2 3" xfId="59"/>
    <cellStyle name="Standard 4 2 2 3 2" xfId="233"/>
    <cellStyle name="Standard 4 2 2 3 2 2" xfId="407"/>
    <cellStyle name="Standard 4 2 2 3 2 2 2" xfId="849"/>
    <cellStyle name="Standard 4 2 2 3 2 2 2 2" xfId="2163"/>
    <cellStyle name="Standard 4 2 2 3 2 2 3" xfId="1722"/>
    <cellStyle name="Standard 4 2 2 3 2 2 4" xfId="1286"/>
    <cellStyle name="Standard 4 2 2 3 2 3" xfId="675"/>
    <cellStyle name="Standard 4 2 2 3 2 3 2" xfId="1989"/>
    <cellStyle name="Standard 4 2 2 3 2 4" xfId="1548"/>
    <cellStyle name="Standard 4 2 2 3 2 5" xfId="1112"/>
    <cellStyle name="Standard 4 2 2 3 3" xfId="175"/>
    <cellStyle name="Standard 4 2 2 3 3 2" xfId="617"/>
    <cellStyle name="Standard 4 2 2 3 3 2 2" xfId="1931"/>
    <cellStyle name="Standard 4 2 2 3 3 3" xfId="1490"/>
    <cellStyle name="Standard 4 2 2 3 3 4" xfId="1054"/>
    <cellStyle name="Standard 4 2 2 3 4" xfId="349"/>
    <cellStyle name="Standard 4 2 2 3 4 2" xfId="791"/>
    <cellStyle name="Standard 4 2 2 3 4 2 2" xfId="2105"/>
    <cellStyle name="Standard 4 2 2 3 4 3" xfId="1664"/>
    <cellStyle name="Standard 4 2 2 3 4 4" xfId="1228"/>
    <cellStyle name="Standard 4 2 2 3 5" xfId="501"/>
    <cellStyle name="Standard 4 2 2 3 5 2" xfId="1815"/>
    <cellStyle name="Standard 4 2 2 3 6" xfId="1374"/>
    <cellStyle name="Standard 4 2 2 3 7" xfId="938"/>
    <cellStyle name="Standard 4 2 2 4" xfId="204"/>
    <cellStyle name="Standard 4 2 2 4 2" xfId="378"/>
    <cellStyle name="Standard 4 2 2 4 2 2" xfId="820"/>
    <cellStyle name="Standard 4 2 2 4 2 2 2" xfId="2134"/>
    <cellStyle name="Standard 4 2 2 4 2 3" xfId="1693"/>
    <cellStyle name="Standard 4 2 2 4 2 4" xfId="1257"/>
    <cellStyle name="Standard 4 2 2 4 3" xfId="646"/>
    <cellStyle name="Standard 4 2 2 4 3 2" xfId="1960"/>
    <cellStyle name="Standard 4 2 2 4 4" xfId="1519"/>
    <cellStyle name="Standard 4 2 2 4 5" xfId="1083"/>
    <cellStyle name="Standard 4 2 2 5" xfId="117"/>
    <cellStyle name="Standard 4 2 2 5 2" xfId="559"/>
    <cellStyle name="Standard 4 2 2 5 2 2" xfId="1873"/>
    <cellStyle name="Standard 4 2 2 5 3" xfId="1432"/>
    <cellStyle name="Standard 4 2 2 5 4" xfId="996"/>
    <cellStyle name="Standard 4 2 2 6" xfId="291"/>
    <cellStyle name="Standard 4 2 2 6 2" xfId="733"/>
    <cellStyle name="Standard 4 2 2 6 2 2" xfId="2047"/>
    <cellStyle name="Standard 4 2 2 6 3" xfId="1606"/>
    <cellStyle name="Standard 4 2 2 6 4" xfId="1170"/>
    <cellStyle name="Standard 4 2 2 7" xfId="472"/>
    <cellStyle name="Standard 4 2 2 7 2" xfId="1786"/>
    <cellStyle name="Standard 4 2 2 8" xfId="1345"/>
    <cellStyle name="Standard 4 2 2 9" xfId="909"/>
    <cellStyle name="Standard 4 2 3" xfId="38"/>
    <cellStyle name="Standard 4 2 3 2" xfId="96"/>
    <cellStyle name="Standard 4 2 3 2 2" xfId="270"/>
    <cellStyle name="Standard 4 2 3 2 2 2" xfId="444"/>
    <cellStyle name="Standard 4 2 3 2 2 2 2" xfId="886"/>
    <cellStyle name="Standard 4 2 3 2 2 2 2 2" xfId="2200"/>
    <cellStyle name="Standard 4 2 3 2 2 2 3" xfId="1759"/>
    <cellStyle name="Standard 4 2 3 2 2 2 4" xfId="1323"/>
    <cellStyle name="Standard 4 2 3 2 2 3" xfId="712"/>
    <cellStyle name="Standard 4 2 3 2 2 3 2" xfId="2026"/>
    <cellStyle name="Standard 4 2 3 2 2 4" xfId="1585"/>
    <cellStyle name="Standard 4 2 3 2 2 5" xfId="1149"/>
    <cellStyle name="Standard 4 2 3 2 3" xfId="154"/>
    <cellStyle name="Standard 4 2 3 2 3 2" xfId="596"/>
    <cellStyle name="Standard 4 2 3 2 3 2 2" xfId="1910"/>
    <cellStyle name="Standard 4 2 3 2 3 3" xfId="1469"/>
    <cellStyle name="Standard 4 2 3 2 3 4" xfId="1033"/>
    <cellStyle name="Standard 4 2 3 2 4" xfId="328"/>
    <cellStyle name="Standard 4 2 3 2 4 2" xfId="770"/>
    <cellStyle name="Standard 4 2 3 2 4 2 2" xfId="2084"/>
    <cellStyle name="Standard 4 2 3 2 4 3" xfId="1643"/>
    <cellStyle name="Standard 4 2 3 2 4 4" xfId="1207"/>
    <cellStyle name="Standard 4 2 3 2 5" xfId="538"/>
    <cellStyle name="Standard 4 2 3 2 5 2" xfId="1852"/>
    <cellStyle name="Standard 4 2 3 2 6" xfId="1411"/>
    <cellStyle name="Standard 4 2 3 2 7" xfId="975"/>
    <cellStyle name="Standard 4 2 3 3" xfId="67"/>
    <cellStyle name="Standard 4 2 3 3 2" xfId="241"/>
    <cellStyle name="Standard 4 2 3 3 2 2" xfId="415"/>
    <cellStyle name="Standard 4 2 3 3 2 2 2" xfId="857"/>
    <cellStyle name="Standard 4 2 3 3 2 2 2 2" xfId="2171"/>
    <cellStyle name="Standard 4 2 3 3 2 2 3" xfId="1730"/>
    <cellStyle name="Standard 4 2 3 3 2 2 4" xfId="1294"/>
    <cellStyle name="Standard 4 2 3 3 2 3" xfId="683"/>
    <cellStyle name="Standard 4 2 3 3 2 3 2" xfId="1997"/>
    <cellStyle name="Standard 4 2 3 3 2 4" xfId="1556"/>
    <cellStyle name="Standard 4 2 3 3 2 5" xfId="1120"/>
    <cellStyle name="Standard 4 2 3 3 3" xfId="183"/>
    <cellStyle name="Standard 4 2 3 3 3 2" xfId="625"/>
    <cellStyle name="Standard 4 2 3 3 3 2 2" xfId="1939"/>
    <cellStyle name="Standard 4 2 3 3 3 3" xfId="1498"/>
    <cellStyle name="Standard 4 2 3 3 3 4" xfId="1062"/>
    <cellStyle name="Standard 4 2 3 3 4" xfId="357"/>
    <cellStyle name="Standard 4 2 3 3 4 2" xfId="799"/>
    <cellStyle name="Standard 4 2 3 3 4 2 2" xfId="2113"/>
    <cellStyle name="Standard 4 2 3 3 4 3" xfId="1672"/>
    <cellStyle name="Standard 4 2 3 3 4 4" xfId="1236"/>
    <cellStyle name="Standard 4 2 3 3 5" xfId="509"/>
    <cellStyle name="Standard 4 2 3 3 5 2" xfId="1823"/>
    <cellStyle name="Standard 4 2 3 3 6" xfId="1382"/>
    <cellStyle name="Standard 4 2 3 3 7" xfId="946"/>
    <cellStyle name="Standard 4 2 3 4" xfId="212"/>
    <cellStyle name="Standard 4 2 3 4 2" xfId="386"/>
    <cellStyle name="Standard 4 2 3 4 2 2" xfId="828"/>
    <cellStyle name="Standard 4 2 3 4 2 2 2" xfId="2142"/>
    <cellStyle name="Standard 4 2 3 4 2 3" xfId="1701"/>
    <cellStyle name="Standard 4 2 3 4 2 4" xfId="1265"/>
    <cellStyle name="Standard 4 2 3 4 3" xfId="654"/>
    <cellStyle name="Standard 4 2 3 4 3 2" xfId="1968"/>
    <cellStyle name="Standard 4 2 3 4 4" xfId="1527"/>
    <cellStyle name="Standard 4 2 3 4 5" xfId="1091"/>
    <cellStyle name="Standard 4 2 3 5" xfId="125"/>
    <cellStyle name="Standard 4 2 3 5 2" xfId="567"/>
    <cellStyle name="Standard 4 2 3 5 2 2" xfId="1881"/>
    <cellStyle name="Standard 4 2 3 5 3" xfId="1440"/>
    <cellStyle name="Standard 4 2 3 5 4" xfId="1004"/>
    <cellStyle name="Standard 4 2 3 6" xfId="299"/>
    <cellStyle name="Standard 4 2 3 6 2" xfId="741"/>
    <cellStyle name="Standard 4 2 3 6 2 2" xfId="2055"/>
    <cellStyle name="Standard 4 2 3 6 3" xfId="1614"/>
    <cellStyle name="Standard 4 2 3 6 4" xfId="1178"/>
    <cellStyle name="Standard 4 2 3 7" xfId="480"/>
    <cellStyle name="Standard 4 2 3 7 2" xfId="1794"/>
    <cellStyle name="Standard 4 2 3 8" xfId="1353"/>
    <cellStyle name="Standard 4 2 3 9" xfId="917"/>
    <cellStyle name="Standard 4 2 4" xfId="46"/>
    <cellStyle name="Standard 4 2 4 2" xfId="104"/>
    <cellStyle name="Standard 4 2 4 2 2" xfId="278"/>
    <cellStyle name="Standard 4 2 4 2 2 2" xfId="452"/>
    <cellStyle name="Standard 4 2 4 2 2 2 2" xfId="894"/>
    <cellStyle name="Standard 4 2 4 2 2 2 2 2" xfId="2208"/>
    <cellStyle name="Standard 4 2 4 2 2 2 3" xfId="1767"/>
    <cellStyle name="Standard 4 2 4 2 2 2 4" xfId="1331"/>
    <cellStyle name="Standard 4 2 4 2 2 3" xfId="720"/>
    <cellStyle name="Standard 4 2 4 2 2 3 2" xfId="2034"/>
    <cellStyle name="Standard 4 2 4 2 2 4" xfId="1593"/>
    <cellStyle name="Standard 4 2 4 2 2 5" xfId="1157"/>
    <cellStyle name="Standard 4 2 4 2 3" xfId="162"/>
    <cellStyle name="Standard 4 2 4 2 3 2" xfId="604"/>
    <cellStyle name="Standard 4 2 4 2 3 2 2" xfId="1918"/>
    <cellStyle name="Standard 4 2 4 2 3 3" xfId="1477"/>
    <cellStyle name="Standard 4 2 4 2 3 4" xfId="1041"/>
    <cellStyle name="Standard 4 2 4 2 4" xfId="336"/>
    <cellStyle name="Standard 4 2 4 2 4 2" xfId="778"/>
    <cellStyle name="Standard 4 2 4 2 4 2 2" xfId="2092"/>
    <cellStyle name="Standard 4 2 4 2 4 3" xfId="1651"/>
    <cellStyle name="Standard 4 2 4 2 4 4" xfId="1215"/>
    <cellStyle name="Standard 4 2 4 2 5" xfId="546"/>
    <cellStyle name="Standard 4 2 4 2 5 2" xfId="1860"/>
    <cellStyle name="Standard 4 2 4 2 6" xfId="1419"/>
    <cellStyle name="Standard 4 2 4 2 7" xfId="983"/>
    <cellStyle name="Standard 4 2 4 3" xfId="75"/>
    <cellStyle name="Standard 4 2 4 3 2" xfId="249"/>
    <cellStyle name="Standard 4 2 4 3 2 2" xfId="423"/>
    <cellStyle name="Standard 4 2 4 3 2 2 2" xfId="865"/>
    <cellStyle name="Standard 4 2 4 3 2 2 2 2" xfId="2179"/>
    <cellStyle name="Standard 4 2 4 3 2 2 3" xfId="1738"/>
    <cellStyle name="Standard 4 2 4 3 2 2 4" xfId="1302"/>
    <cellStyle name="Standard 4 2 4 3 2 3" xfId="691"/>
    <cellStyle name="Standard 4 2 4 3 2 3 2" xfId="2005"/>
    <cellStyle name="Standard 4 2 4 3 2 4" xfId="1564"/>
    <cellStyle name="Standard 4 2 4 3 2 5" xfId="1128"/>
    <cellStyle name="Standard 4 2 4 3 3" xfId="191"/>
    <cellStyle name="Standard 4 2 4 3 3 2" xfId="633"/>
    <cellStyle name="Standard 4 2 4 3 3 2 2" xfId="1947"/>
    <cellStyle name="Standard 4 2 4 3 3 3" xfId="1506"/>
    <cellStyle name="Standard 4 2 4 3 3 4" xfId="1070"/>
    <cellStyle name="Standard 4 2 4 3 4" xfId="365"/>
    <cellStyle name="Standard 4 2 4 3 4 2" xfId="807"/>
    <cellStyle name="Standard 4 2 4 3 4 2 2" xfId="2121"/>
    <cellStyle name="Standard 4 2 4 3 4 3" xfId="1680"/>
    <cellStyle name="Standard 4 2 4 3 4 4" xfId="1244"/>
    <cellStyle name="Standard 4 2 4 3 5" xfId="517"/>
    <cellStyle name="Standard 4 2 4 3 5 2" xfId="1831"/>
    <cellStyle name="Standard 4 2 4 3 6" xfId="1390"/>
    <cellStyle name="Standard 4 2 4 3 7" xfId="954"/>
    <cellStyle name="Standard 4 2 4 4" xfId="220"/>
    <cellStyle name="Standard 4 2 4 4 2" xfId="394"/>
    <cellStyle name="Standard 4 2 4 4 2 2" xfId="836"/>
    <cellStyle name="Standard 4 2 4 4 2 2 2" xfId="2150"/>
    <cellStyle name="Standard 4 2 4 4 2 3" xfId="1709"/>
    <cellStyle name="Standard 4 2 4 4 2 4" xfId="1273"/>
    <cellStyle name="Standard 4 2 4 4 3" xfId="662"/>
    <cellStyle name="Standard 4 2 4 4 3 2" xfId="1976"/>
    <cellStyle name="Standard 4 2 4 4 4" xfId="1535"/>
    <cellStyle name="Standard 4 2 4 4 5" xfId="1099"/>
    <cellStyle name="Standard 4 2 4 5" xfId="133"/>
    <cellStyle name="Standard 4 2 4 5 2" xfId="575"/>
    <cellStyle name="Standard 4 2 4 5 2 2" xfId="1889"/>
    <cellStyle name="Standard 4 2 4 5 3" xfId="1448"/>
    <cellStyle name="Standard 4 2 4 5 4" xfId="1012"/>
    <cellStyle name="Standard 4 2 4 6" xfId="307"/>
    <cellStyle name="Standard 4 2 4 6 2" xfId="749"/>
    <cellStyle name="Standard 4 2 4 6 2 2" xfId="2063"/>
    <cellStyle name="Standard 4 2 4 6 3" xfId="1622"/>
    <cellStyle name="Standard 4 2 4 6 4" xfId="1186"/>
    <cellStyle name="Standard 4 2 4 7" xfId="488"/>
    <cellStyle name="Standard 4 2 4 7 2" xfId="1802"/>
    <cellStyle name="Standard 4 2 4 8" xfId="1361"/>
    <cellStyle name="Standard 4 2 4 9" xfId="925"/>
    <cellStyle name="Standard 4 2 5" xfId="80"/>
    <cellStyle name="Standard 4 2 5 2" xfId="254"/>
    <cellStyle name="Standard 4 2 5 2 2" xfId="428"/>
    <cellStyle name="Standard 4 2 5 2 2 2" xfId="870"/>
    <cellStyle name="Standard 4 2 5 2 2 2 2" xfId="2184"/>
    <cellStyle name="Standard 4 2 5 2 2 3" xfId="1743"/>
    <cellStyle name="Standard 4 2 5 2 2 4" xfId="1307"/>
    <cellStyle name="Standard 4 2 5 2 3" xfId="696"/>
    <cellStyle name="Standard 4 2 5 2 3 2" xfId="2010"/>
    <cellStyle name="Standard 4 2 5 2 4" xfId="1569"/>
    <cellStyle name="Standard 4 2 5 2 5" xfId="1133"/>
    <cellStyle name="Standard 4 2 5 3" xfId="138"/>
    <cellStyle name="Standard 4 2 5 3 2" xfId="580"/>
    <cellStyle name="Standard 4 2 5 3 2 2" xfId="1894"/>
    <cellStyle name="Standard 4 2 5 3 3" xfId="1453"/>
    <cellStyle name="Standard 4 2 5 3 4" xfId="1017"/>
    <cellStyle name="Standard 4 2 5 4" xfId="312"/>
    <cellStyle name="Standard 4 2 5 4 2" xfId="754"/>
    <cellStyle name="Standard 4 2 5 4 2 2" xfId="2068"/>
    <cellStyle name="Standard 4 2 5 4 3" xfId="1627"/>
    <cellStyle name="Standard 4 2 5 4 4" xfId="1191"/>
    <cellStyle name="Standard 4 2 5 5" xfId="522"/>
    <cellStyle name="Standard 4 2 5 5 2" xfId="1836"/>
    <cellStyle name="Standard 4 2 5 6" xfId="1395"/>
    <cellStyle name="Standard 4 2 5 7" xfId="959"/>
    <cellStyle name="Standard 4 2 6" xfId="51"/>
    <cellStyle name="Standard 4 2 6 2" xfId="225"/>
    <cellStyle name="Standard 4 2 6 2 2" xfId="399"/>
    <cellStyle name="Standard 4 2 6 2 2 2" xfId="841"/>
    <cellStyle name="Standard 4 2 6 2 2 2 2" xfId="2155"/>
    <cellStyle name="Standard 4 2 6 2 2 3" xfId="1714"/>
    <cellStyle name="Standard 4 2 6 2 2 4" xfId="1278"/>
    <cellStyle name="Standard 4 2 6 2 3" xfId="667"/>
    <cellStyle name="Standard 4 2 6 2 3 2" xfId="1981"/>
    <cellStyle name="Standard 4 2 6 2 4" xfId="1540"/>
    <cellStyle name="Standard 4 2 6 2 5" xfId="1104"/>
    <cellStyle name="Standard 4 2 6 3" xfId="167"/>
    <cellStyle name="Standard 4 2 6 3 2" xfId="609"/>
    <cellStyle name="Standard 4 2 6 3 2 2" xfId="1923"/>
    <cellStyle name="Standard 4 2 6 3 3" xfId="1482"/>
    <cellStyle name="Standard 4 2 6 3 4" xfId="1046"/>
    <cellStyle name="Standard 4 2 6 4" xfId="341"/>
    <cellStyle name="Standard 4 2 6 4 2" xfId="783"/>
    <cellStyle name="Standard 4 2 6 4 2 2" xfId="2097"/>
    <cellStyle name="Standard 4 2 6 4 3" xfId="1656"/>
    <cellStyle name="Standard 4 2 6 4 4" xfId="1220"/>
    <cellStyle name="Standard 4 2 6 5" xfId="493"/>
    <cellStyle name="Standard 4 2 6 5 2" xfId="1807"/>
    <cellStyle name="Standard 4 2 6 6" xfId="1366"/>
    <cellStyle name="Standard 4 2 6 7" xfId="930"/>
    <cellStyle name="Standard 4 2 7" xfId="196"/>
    <cellStyle name="Standard 4 2 7 2" xfId="370"/>
    <cellStyle name="Standard 4 2 7 2 2" xfId="812"/>
    <cellStyle name="Standard 4 2 7 2 2 2" xfId="2126"/>
    <cellStyle name="Standard 4 2 7 2 3" xfId="1685"/>
    <cellStyle name="Standard 4 2 7 2 4" xfId="1249"/>
    <cellStyle name="Standard 4 2 7 3" xfId="638"/>
    <cellStyle name="Standard 4 2 7 3 2" xfId="1952"/>
    <cellStyle name="Standard 4 2 7 4" xfId="1511"/>
    <cellStyle name="Standard 4 2 7 5" xfId="1075"/>
    <cellStyle name="Standard 4 2 8" xfId="109"/>
    <cellStyle name="Standard 4 2 8 2" xfId="551"/>
    <cellStyle name="Standard 4 2 8 2 2" xfId="1865"/>
    <cellStyle name="Standard 4 2 8 3" xfId="1424"/>
    <cellStyle name="Standard 4 2 8 4" xfId="988"/>
    <cellStyle name="Standard 4 2 9" xfId="283"/>
    <cellStyle name="Standard 4 2 9 2" xfId="725"/>
    <cellStyle name="Standard 4 2 9 2 2" xfId="2039"/>
    <cellStyle name="Standard 4 2 9 3" xfId="1598"/>
    <cellStyle name="Standard 4 2 9 4" xfId="1162"/>
    <cellStyle name="Standard 4 3" xfId="10"/>
    <cellStyle name="Standard 4 3 10" xfId="20"/>
    <cellStyle name="Standard 4 3 2" xfId="84"/>
    <cellStyle name="Standard 4 3 2 2" xfId="258"/>
    <cellStyle name="Standard 4 3 2 2 2" xfId="432"/>
    <cellStyle name="Standard 4 3 2 2 2 2" xfId="874"/>
    <cellStyle name="Standard 4 3 2 2 2 2 2" xfId="2188"/>
    <cellStyle name="Standard 4 3 2 2 2 3" xfId="1747"/>
    <cellStyle name="Standard 4 3 2 2 2 4" xfId="1311"/>
    <cellStyle name="Standard 4 3 2 2 3" xfId="700"/>
    <cellStyle name="Standard 4 3 2 2 3 2" xfId="2014"/>
    <cellStyle name="Standard 4 3 2 2 4" xfId="1573"/>
    <cellStyle name="Standard 4 3 2 2 5" xfId="1137"/>
    <cellStyle name="Standard 4 3 2 3" xfId="142"/>
    <cellStyle name="Standard 4 3 2 3 2" xfId="584"/>
    <cellStyle name="Standard 4 3 2 3 2 2" xfId="1898"/>
    <cellStyle name="Standard 4 3 2 3 3" xfId="1457"/>
    <cellStyle name="Standard 4 3 2 3 4" xfId="1021"/>
    <cellStyle name="Standard 4 3 2 4" xfId="316"/>
    <cellStyle name="Standard 4 3 2 4 2" xfId="758"/>
    <cellStyle name="Standard 4 3 2 4 2 2" xfId="2072"/>
    <cellStyle name="Standard 4 3 2 4 3" xfId="1631"/>
    <cellStyle name="Standard 4 3 2 4 4" xfId="1195"/>
    <cellStyle name="Standard 4 3 2 5" xfId="526"/>
    <cellStyle name="Standard 4 3 2 5 2" xfId="1840"/>
    <cellStyle name="Standard 4 3 2 6" xfId="1399"/>
    <cellStyle name="Standard 4 3 2 7" xfId="963"/>
    <cellStyle name="Standard 4 3 3" xfId="55"/>
    <cellStyle name="Standard 4 3 3 2" xfId="229"/>
    <cellStyle name="Standard 4 3 3 2 2" xfId="403"/>
    <cellStyle name="Standard 4 3 3 2 2 2" xfId="845"/>
    <cellStyle name="Standard 4 3 3 2 2 2 2" xfId="2159"/>
    <cellStyle name="Standard 4 3 3 2 2 3" xfId="1718"/>
    <cellStyle name="Standard 4 3 3 2 2 4" xfId="1282"/>
    <cellStyle name="Standard 4 3 3 2 3" xfId="671"/>
    <cellStyle name="Standard 4 3 3 2 3 2" xfId="1985"/>
    <cellStyle name="Standard 4 3 3 2 4" xfId="1544"/>
    <cellStyle name="Standard 4 3 3 2 5" xfId="1108"/>
    <cellStyle name="Standard 4 3 3 3" xfId="171"/>
    <cellStyle name="Standard 4 3 3 3 2" xfId="613"/>
    <cellStyle name="Standard 4 3 3 3 2 2" xfId="1927"/>
    <cellStyle name="Standard 4 3 3 3 3" xfId="1486"/>
    <cellStyle name="Standard 4 3 3 3 4" xfId="1050"/>
    <cellStyle name="Standard 4 3 3 4" xfId="345"/>
    <cellStyle name="Standard 4 3 3 4 2" xfId="787"/>
    <cellStyle name="Standard 4 3 3 4 2 2" xfId="2101"/>
    <cellStyle name="Standard 4 3 3 4 3" xfId="1660"/>
    <cellStyle name="Standard 4 3 3 4 4" xfId="1224"/>
    <cellStyle name="Standard 4 3 3 5" xfId="497"/>
    <cellStyle name="Standard 4 3 3 5 2" xfId="1811"/>
    <cellStyle name="Standard 4 3 3 6" xfId="1370"/>
    <cellStyle name="Standard 4 3 3 7" xfId="934"/>
    <cellStyle name="Standard 4 3 4" xfId="200"/>
    <cellStyle name="Standard 4 3 4 2" xfId="374"/>
    <cellStyle name="Standard 4 3 4 2 2" xfId="816"/>
    <cellStyle name="Standard 4 3 4 2 2 2" xfId="2130"/>
    <cellStyle name="Standard 4 3 4 2 3" xfId="1689"/>
    <cellStyle name="Standard 4 3 4 2 4" xfId="1253"/>
    <cellStyle name="Standard 4 3 4 3" xfId="642"/>
    <cellStyle name="Standard 4 3 4 3 2" xfId="1956"/>
    <cellStyle name="Standard 4 3 4 4" xfId="1515"/>
    <cellStyle name="Standard 4 3 4 5" xfId="1079"/>
    <cellStyle name="Standard 4 3 5" xfId="113"/>
    <cellStyle name="Standard 4 3 5 2" xfId="555"/>
    <cellStyle name="Standard 4 3 5 2 2" xfId="1869"/>
    <cellStyle name="Standard 4 3 5 3" xfId="1428"/>
    <cellStyle name="Standard 4 3 5 4" xfId="992"/>
    <cellStyle name="Standard 4 3 6" xfId="287"/>
    <cellStyle name="Standard 4 3 6 2" xfId="729"/>
    <cellStyle name="Standard 4 3 6 2 2" xfId="2043"/>
    <cellStyle name="Standard 4 3 6 3" xfId="1602"/>
    <cellStyle name="Standard 4 3 6 4" xfId="1166"/>
    <cellStyle name="Standard 4 3 7" xfId="468"/>
    <cellStyle name="Standard 4 3 7 2" xfId="1782"/>
    <cellStyle name="Standard 4 3 8" xfId="1341"/>
    <cellStyle name="Standard 4 3 9" xfId="905"/>
    <cellStyle name="Standard 4 4" xfId="34"/>
    <cellStyle name="Standard 4 4 2" xfId="92"/>
    <cellStyle name="Standard 4 4 2 2" xfId="266"/>
    <cellStyle name="Standard 4 4 2 2 2" xfId="440"/>
    <cellStyle name="Standard 4 4 2 2 2 2" xfId="882"/>
    <cellStyle name="Standard 4 4 2 2 2 2 2" xfId="2196"/>
    <cellStyle name="Standard 4 4 2 2 2 3" xfId="1755"/>
    <cellStyle name="Standard 4 4 2 2 2 4" xfId="1319"/>
    <cellStyle name="Standard 4 4 2 2 3" xfId="708"/>
    <cellStyle name="Standard 4 4 2 2 3 2" xfId="2022"/>
    <cellStyle name="Standard 4 4 2 2 4" xfId="1581"/>
    <cellStyle name="Standard 4 4 2 2 5" xfId="1145"/>
    <cellStyle name="Standard 4 4 2 3" xfId="150"/>
    <cellStyle name="Standard 4 4 2 3 2" xfId="592"/>
    <cellStyle name="Standard 4 4 2 3 2 2" xfId="1906"/>
    <cellStyle name="Standard 4 4 2 3 3" xfId="1465"/>
    <cellStyle name="Standard 4 4 2 3 4" xfId="1029"/>
    <cellStyle name="Standard 4 4 2 4" xfId="324"/>
    <cellStyle name="Standard 4 4 2 4 2" xfId="766"/>
    <cellStyle name="Standard 4 4 2 4 2 2" xfId="2080"/>
    <cellStyle name="Standard 4 4 2 4 3" xfId="1639"/>
    <cellStyle name="Standard 4 4 2 4 4" xfId="1203"/>
    <cellStyle name="Standard 4 4 2 5" xfId="534"/>
    <cellStyle name="Standard 4 4 2 5 2" xfId="1848"/>
    <cellStyle name="Standard 4 4 2 6" xfId="1407"/>
    <cellStyle name="Standard 4 4 2 7" xfId="971"/>
    <cellStyle name="Standard 4 4 3" xfId="63"/>
    <cellStyle name="Standard 4 4 3 2" xfId="237"/>
    <cellStyle name="Standard 4 4 3 2 2" xfId="411"/>
    <cellStyle name="Standard 4 4 3 2 2 2" xfId="853"/>
    <cellStyle name="Standard 4 4 3 2 2 2 2" xfId="2167"/>
    <cellStyle name="Standard 4 4 3 2 2 3" xfId="1726"/>
    <cellStyle name="Standard 4 4 3 2 2 4" xfId="1290"/>
    <cellStyle name="Standard 4 4 3 2 3" xfId="679"/>
    <cellStyle name="Standard 4 4 3 2 3 2" xfId="1993"/>
    <cellStyle name="Standard 4 4 3 2 4" xfId="1552"/>
    <cellStyle name="Standard 4 4 3 2 5" xfId="1116"/>
    <cellStyle name="Standard 4 4 3 3" xfId="179"/>
    <cellStyle name="Standard 4 4 3 3 2" xfId="621"/>
    <cellStyle name="Standard 4 4 3 3 2 2" xfId="1935"/>
    <cellStyle name="Standard 4 4 3 3 3" xfId="1494"/>
    <cellStyle name="Standard 4 4 3 3 4" xfId="1058"/>
    <cellStyle name="Standard 4 4 3 4" xfId="353"/>
    <cellStyle name="Standard 4 4 3 4 2" xfId="795"/>
    <cellStyle name="Standard 4 4 3 4 2 2" xfId="2109"/>
    <cellStyle name="Standard 4 4 3 4 3" xfId="1668"/>
    <cellStyle name="Standard 4 4 3 4 4" xfId="1232"/>
    <cellStyle name="Standard 4 4 3 5" xfId="505"/>
    <cellStyle name="Standard 4 4 3 5 2" xfId="1819"/>
    <cellStyle name="Standard 4 4 3 6" xfId="1378"/>
    <cellStyle name="Standard 4 4 3 7" xfId="942"/>
    <cellStyle name="Standard 4 4 4" xfId="208"/>
    <cellStyle name="Standard 4 4 4 2" xfId="382"/>
    <cellStyle name="Standard 4 4 4 2 2" xfId="824"/>
    <cellStyle name="Standard 4 4 4 2 2 2" xfId="2138"/>
    <cellStyle name="Standard 4 4 4 2 3" xfId="1697"/>
    <cellStyle name="Standard 4 4 4 2 4" xfId="1261"/>
    <cellStyle name="Standard 4 4 4 3" xfId="650"/>
    <cellStyle name="Standard 4 4 4 3 2" xfId="1964"/>
    <cellStyle name="Standard 4 4 4 4" xfId="1523"/>
    <cellStyle name="Standard 4 4 4 5" xfId="1087"/>
    <cellStyle name="Standard 4 4 5" xfId="121"/>
    <cellStyle name="Standard 4 4 5 2" xfId="563"/>
    <cellStyle name="Standard 4 4 5 2 2" xfId="1877"/>
    <cellStyle name="Standard 4 4 5 3" xfId="1436"/>
    <cellStyle name="Standard 4 4 5 4" xfId="1000"/>
    <cellStyle name="Standard 4 4 6" xfId="295"/>
    <cellStyle name="Standard 4 4 6 2" xfId="737"/>
    <cellStyle name="Standard 4 4 6 2 2" xfId="2051"/>
    <cellStyle name="Standard 4 4 6 3" xfId="1610"/>
    <cellStyle name="Standard 4 4 6 4" xfId="1174"/>
    <cellStyle name="Standard 4 4 7" xfId="476"/>
    <cellStyle name="Standard 4 4 7 2" xfId="1790"/>
    <cellStyle name="Standard 4 4 8" xfId="1349"/>
    <cellStyle name="Standard 4 4 9" xfId="913"/>
    <cellStyle name="Standard 4 5" xfId="42"/>
    <cellStyle name="Standard 4 5 2" xfId="100"/>
    <cellStyle name="Standard 4 5 2 2" xfId="274"/>
    <cellStyle name="Standard 4 5 2 2 2" xfId="448"/>
    <cellStyle name="Standard 4 5 2 2 2 2" xfId="890"/>
    <cellStyle name="Standard 4 5 2 2 2 2 2" xfId="2204"/>
    <cellStyle name="Standard 4 5 2 2 2 3" xfId="1763"/>
    <cellStyle name="Standard 4 5 2 2 2 4" xfId="1327"/>
    <cellStyle name="Standard 4 5 2 2 3" xfId="716"/>
    <cellStyle name="Standard 4 5 2 2 3 2" xfId="2030"/>
    <cellStyle name="Standard 4 5 2 2 4" xfId="1589"/>
    <cellStyle name="Standard 4 5 2 2 5" xfId="1153"/>
    <cellStyle name="Standard 4 5 2 3" xfId="158"/>
    <cellStyle name="Standard 4 5 2 3 2" xfId="600"/>
    <cellStyle name="Standard 4 5 2 3 2 2" xfId="1914"/>
    <cellStyle name="Standard 4 5 2 3 3" xfId="1473"/>
    <cellStyle name="Standard 4 5 2 3 4" xfId="1037"/>
    <cellStyle name="Standard 4 5 2 4" xfId="332"/>
    <cellStyle name="Standard 4 5 2 4 2" xfId="774"/>
    <cellStyle name="Standard 4 5 2 4 2 2" xfId="2088"/>
    <cellStyle name="Standard 4 5 2 4 3" xfId="1647"/>
    <cellStyle name="Standard 4 5 2 4 4" xfId="1211"/>
    <cellStyle name="Standard 4 5 2 5" xfId="542"/>
    <cellStyle name="Standard 4 5 2 5 2" xfId="1856"/>
    <cellStyle name="Standard 4 5 2 6" xfId="1415"/>
    <cellStyle name="Standard 4 5 2 7" xfId="979"/>
    <cellStyle name="Standard 4 5 3" xfId="71"/>
    <cellStyle name="Standard 4 5 3 2" xfId="245"/>
    <cellStyle name="Standard 4 5 3 2 2" xfId="419"/>
    <cellStyle name="Standard 4 5 3 2 2 2" xfId="861"/>
    <cellStyle name="Standard 4 5 3 2 2 2 2" xfId="2175"/>
    <cellStyle name="Standard 4 5 3 2 2 3" xfId="1734"/>
    <cellStyle name="Standard 4 5 3 2 2 4" xfId="1298"/>
    <cellStyle name="Standard 4 5 3 2 3" xfId="687"/>
    <cellStyle name="Standard 4 5 3 2 3 2" xfId="2001"/>
    <cellStyle name="Standard 4 5 3 2 4" xfId="1560"/>
    <cellStyle name="Standard 4 5 3 2 5" xfId="1124"/>
    <cellStyle name="Standard 4 5 3 3" xfId="187"/>
    <cellStyle name="Standard 4 5 3 3 2" xfId="629"/>
    <cellStyle name="Standard 4 5 3 3 2 2" xfId="1943"/>
    <cellStyle name="Standard 4 5 3 3 3" xfId="1502"/>
    <cellStyle name="Standard 4 5 3 3 4" xfId="1066"/>
    <cellStyle name="Standard 4 5 3 4" xfId="361"/>
    <cellStyle name="Standard 4 5 3 4 2" xfId="803"/>
    <cellStyle name="Standard 4 5 3 4 2 2" xfId="2117"/>
    <cellStyle name="Standard 4 5 3 4 3" xfId="1676"/>
    <cellStyle name="Standard 4 5 3 4 4" xfId="1240"/>
    <cellStyle name="Standard 4 5 3 5" xfId="513"/>
    <cellStyle name="Standard 4 5 3 5 2" xfId="1827"/>
    <cellStyle name="Standard 4 5 3 6" xfId="1386"/>
    <cellStyle name="Standard 4 5 3 7" xfId="950"/>
    <cellStyle name="Standard 4 5 4" xfId="216"/>
    <cellStyle name="Standard 4 5 4 2" xfId="390"/>
    <cellStyle name="Standard 4 5 4 2 2" xfId="832"/>
    <cellStyle name="Standard 4 5 4 2 2 2" xfId="2146"/>
    <cellStyle name="Standard 4 5 4 2 3" xfId="1705"/>
    <cellStyle name="Standard 4 5 4 2 4" xfId="1269"/>
    <cellStyle name="Standard 4 5 4 3" xfId="658"/>
    <cellStyle name="Standard 4 5 4 3 2" xfId="1972"/>
    <cellStyle name="Standard 4 5 4 4" xfId="1531"/>
    <cellStyle name="Standard 4 5 4 5" xfId="1095"/>
    <cellStyle name="Standard 4 5 5" xfId="129"/>
    <cellStyle name="Standard 4 5 5 2" xfId="571"/>
    <cellStyle name="Standard 4 5 5 2 2" xfId="1885"/>
    <cellStyle name="Standard 4 5 5 3" xfId="1444"/>
    <cellStyle name="Standard 4 5 5 4" xfId="1008"/>
    <cellStyle name="Standard 4 5 6" xfId="303"/>
    <cellStyle name="Standard 4 5 6 2" xfId="745"/>
    <cellStyle name="Standard 4 5 6 2 2" xfId="2059"/>
    <cellStyle name="Standard 4 5 6 3" xfId="1618"/>
    <cellStyle name="Standard 4 5 6 4" xfId="1182"/>
    <cellStyle name="Standard 4 5 7" xfId="484"/>
    <cellStyle name="Standard 4 5 7 2" xfId="1798"/>
    <cellStyle name="Standard 4 5 8" xfId="1357"/>
    <cellStyle name="Standard 4 5 9" xfId="921"/>
    <cellStyle name="Standard 4 6" xfId="76"/>
    <cellStyle name="Standard 4 6 2" xfId="250"/>
    <cellStyle name="Standard 4 6 2 2" xfId="424"/>
    <cellStyle name="Standard 4 6 2 2 2" xfId="866"/>
    <cellStyle name="Standard 4 6 2 2 2 2" xfId="2180"/>
    <cellStyle name="Standard 4 6 2 2 3" xfId="1739"/>
    <cellStyle name="Standard 4 6 2 2 4" xfId="1303"/>
    <cellStyle name="Standard 4 6 2 3" xfId="692"/>
    <cellStyle name="Standard 4 6 2 3 2" xfId="2006"/>
    <cellStyle name="Standard 4 6 2 4" xfId="1565"/>
    <cellStyle name="Standard 4 6 2 5" xfId="1129"/>
    <cellStyle name="Standard 4 6 3" xfId="134"/>
    <cellStyle name="Standard 4 6 3 2" xfId="576"/>
    <cellStyle name="Standard 4 6 3 2 2" xfId="1890"/>
    <cellStyle name="Standard 4 6 3 3" xfId="1449"/>
    <cellStyle name="Standard 4 6 3 4" xfId="1013"/>
    <cellStyle name="Standard 4 6 4" xfId="308"/>
    <cellStyle name="Standard 4 6 4 2" xfId="750"/>
    <cellStyle name="Standard 4 6 4 2 2" xfId="2064"/>
    <cellStyle name="Standard 4 6 4 3" xfId="1623"/>
    <cellStyle name="Standard 4 6 4 4" xfId="1187"/>
    <cellStyle name="Standard 4 6 5" xfId="518"/>
    <cellStyle name="Standard 4 6 5 2" xfId="1832"/>
    <cellStyle name="Standard 4 6 6" xfId="1391"/>
    <cellStyle name="Standard 4 6 7" xfId="955"/>
    <cellStyle name="Standard 4 7" xfId="47"/>
    <cellStyle name="Standard 4 7 2" xfId="221"/>
    <cellStyle name="Standard 4 7 2 2" xfId="395"/>
    <cellStyle name="Standard 4 7 2 2 2" xfId="837"/>
    <cellStyle name="Standard 4 7 2 2 2 2" xfId="2151"/>
    <cellStyle name="Standard 4 7 2 2 3" xfId="1710"/>
    <cellStyle name="Standard 4 7 2 2 4" xfId="1274"/>
    <cellStyle name="Standard 4 7 2 3" xfId="663"/>
    <cellStyle name="Standard 4 7 2 3 2" xfId="1977"/>
    <cellStyle name="Standard 4 7 2 4" xfId="1536"/>
    <cellStyle name="Standard 4 7 2 5" xfId="1100"/>
    <cellStyle name="Standard 4 7 3" xfId="163"/>
    <cellStyle name="Standard 4 7 3 2" xfId="605"/>
    <cellStyle name="Standard 4 7 3 2 2" xfId="1919"/>
    <cellStyle name="Standard 4 7 3 3" xfId="1478"/>
    <cellStyle name="Standard 4 7 3 4" xfId="1042"/>
    <cellStyle name="Standard 4 7 4" xfId="337"/>
    <cellStyle name="Standard 4 7 4 2" xfId="779"/>
    <cellStyle name="Standard 4 7 4 2 2" xfId="2093"/>
    <cellStyle name="Standard 4 7 4 3" xfId="1652"/>
    <cellStyle name="Standard 4 7 4 4" xfId="1216"/>
    <cellStyle name="Standard 4 7 5" xfId="489"/>
    <cellStyle name="Standard 4 7 5 2" xfId="1803"/>
    <cellStyle name="Standard 4 7 6" xfId="1362"/>
    <cellStyle name="Standard 4 7 7" xfId="926"/>
    <cellStyle name="Standard 4 8" xfId="192"/>
    <cellStyle name="Standard 4 8 2" xfId="366"/>
    <cellStyle name="Standard 4 8 2 2" xfId="808"/>
    <cellStyle name="Standard 4 8 2 2 2" xfId="2122"/>
    <cellStyle name="Standard 4 8 2 3" xfId="1681"/>
    <cellStyle name="Standard 4 8 2 4" xfId="1245"/>
    <cellStyle name="Standard 4 8 3" xfId="634"/>
    <cellStyle name="Standard 4 8 3 2" xfId="1948"/>
    <cellStyle name="Standard 4 8 4" xfId="1507"/>
    <cellStyle name="Standard 4 8 5" xfId="1071"/>
    <cellStyle name="Standard 4 9" xfId="105"/>
    <cellStyle name="Standard 4 9 2" xfId="547"/>
    <cellStyle name="Standard 4 9 2 2" xfId="1861"/>
    <cellStyle name="Standard 4 9 3" xfId="1420"/>
    <cellStyle name="Standard 4 9 4" xfId="984"/>
    <cellStyle name="Standard 5" xfId="453"/>
    <cellStyle name="Standard 5 2" xfId="895"/>
    <cellStyle name="Standard 5 2 2" xfId="2209"/>
    <cellStyle name="Standard 5 3" xfId="1768"/>
    <cellStyle name="Standard 5 4" xfId="1332"/>
    <cellStyle name="Standard 6" xfId="454"/>
    <cellStyle name="Standard 6 2" xfId="896"/>
    <cellStyle name="Standard 6 2 2" xfId="2210"/>
    <cellStyle name="Standard 6 3" xfId="1769"/>
    <cellStyle name="Standard_Albert Schweitzer Betreuungsstunden 2014" xfId="2215"/>
    <cellStyle name="Stil 1" xfId="7"/>
    <cellStyle name="Stil 2" xfId="8"/>
    <cellStyle name="Währung" xfId="2212" builtinId="4"/>
    <cellStyle name="Zelle überprüfen 2"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92D050"/>
    <pageSetUpPr fitToPage="1"/>
  </sheetPr>
  <dimension ref="A1:P83"/>
  <sheetViews>
    <sheetView showGridLines="0" tabSelected="1" view="pageLayout" zoomScaleNormal="100" workbookViewId="0">
      <selection activeCell="C4" sqref="C4"/>
    </sheetView>
  </sheetViews>
  <sheetFormatPr baseColWidth="10" defaultColWidth="11.42578125" defaultRowHeight="15" x14ac:dyDescent="0.25"/>
  <cols>
    <col min="1" max="1" width="6" style="145" customWidth="1"/>
    <col min="2" max="2" width="35.5703125" style="151" customWidth="1"/>
    <col min="3" max="4" width="16.42578125" style="146" customWidth="1"/>
    <col min="5" max="5" width="16.42578125" style="145" customWidth="1"/>
    <col min="6" max="6" width="3.42578125" style="145" customWidth="1"/>
    <col min="7" max="7" width="38.5703125" style="145" hidden="1" customWidth="1"/>
    <col min="8" max="8" width="27.5703125" style="143" customWidth="1"/>
    <col min="9" max="9" width="11.42578125" style="144"/>
    <col min="10" max="13" width="11.42578125" style="143"/>
    <col min="14" max="14" width="11.42578125" style="143" customWidth="1"/>
    <col min="15" max="15" width="4.85546875" style="143" customWidth="1"/>
    <col min="16" max="16" width="11.42578125" style="145" hidden="1" customWidth="1"/>
    <col min="17" max="16384" width="11.42578125" style="145"/>
  </cols>
  <sheetData>
    <row r="1" spans="1:16" ht="9.75" customHeight="1" x14ac:dyDescent="0.2">
      <c r="A1" s="1088" t="s">
        <v>10</v>
      </c>
      <c r="B1" s="1088"/>
      <c r="C1" s="1088"/>
      <c r="D1" s="1088"/>
      <c r="E1" s="142"/>
      <c r="F1" s="142"/>
      <c r="G1" s="142"/>
    </row>
    <row r="2" spans="1:16" ht="12.75" customHeight="1" x14ac:dyDescent="0.2">
      <c r="A2" s="1088" t="s">
        <v>227</v>
      </c>
      <c r="B2" s="1088"/>
      <c r="C2" s="1088"/>
      <c r="D2" s="1088"/>
    </row>
    <row r="3" spans="1:16" x14ac:dyDescent="0.25">
      <c r="A3" s="1086" t="s">
        <v>228</v>
      </c>
      <c r="B3" s="1086"/>
      <c r="H3" s="1086" t="s">
        <v>683</v>
      </c>
      <c r="I3" s="1086"/>
      <c r="J3" s="146"/>
      <c r="K3" s="146"/>
      <c r="L3" s="145"/>
      <c r="M3" s="145"/>
      <c r="P3" s="145" t="s">
        <v>268</v>
      </c>
    </row>
    <row r="4" spans="1:16" x14ac:dyDescent="0.25">
      <c r="B4" s="147" t="s">
        <v>229</v>
      </c>
      <c r="C4" s="148">
        <v>2025</v>
      </c>
      <c r="D4" s="149" t="s">
        <v>230</v>
      </c>
      <c r="E4" s="150"/>
      <c r="H4" s="205"/>
      <c r="I4" s="215"/>
      <c r="J4" s="1101" t="s">
        <v>267</v>
      </c>
      <c r="K4" s="1101"/>
      <c r="L4" s="145"/>
      <c r="M4" s="145"/>
      <c r="P4" s="145" t="s">
        <v>269</v>
      </c>
    </row>
    <row r="5" spans="1:16" ht="21" customHeight="1" x14ac:dyDescent="0.25">
      <c r="D5" s="1089"/>
      <c r="E5" s="1089"/>
      <c r="H5" s="1081" t="s">
        <v>678</v>
      </c>
      <c r="I5" s="1082"/>
      <c r="J5" s="1083"/>
      <c r="K5" s="1083"/>
      <c r="L5" s="1083"/>
      <c r="M5" s="1083"/>
      <c r="P5" s="145" t="s">
        <v>271</v>
      </c>
    </row>
    <row r="6" spans="1:16" ht="21" customHeight="1" x14ac:dyDescent="0.2">
      <c r="B6" s="152" t="s">
        <v>17</v>
      </c>
      <c r="C6" s="1079"/>
      <c r="D6" s="1080"/>
      <c r="E6" s="1080"/>
      <c r="H6" s="1081" t="s">
        <v>679</v>
      </c>
      <c r="I6" s="1082"/>
      <c r="J6" s="1083"/>
      <c r="K6" s="1083"/>
      <c r="L6" s="1083"/>
      <c r="M6" s="1083"/>
    </row>
    <row r="7" spans="1:16" ht="21" customHeight="1" x14ac:dyDescent="0.2">
      <c r="B7" s="152" t="s">
        <v>231</v>
      </c>
      <c r="C7" s="1079"/>
      <c r="D7" s="1080"/>
      <c r="E7" s="1080"/>
      <c r="H7" s="1081" t="s">
        <v>680</v>
      </c>
      <c r="I7" s="1082"/>
      <c r="J7" s="1083"/>
      <c r="K7" s="1083"/>
      <c r="L7" s="1083"/>
      <c r="M7" s="1083"/>
      <c r="N7" s="145"/>
    </row>
    <row r="8" spans="1:16" ht="21" customHeight="1" x14ac:dyDescent="0.25">
      <c r="B8" s="152"/>
      <c r="C8" s="153"/>
      <c r="D8" s="154"/>
      <c r="E8" s="154"/>
      <c r="H8" s="1081" t="s">
        <v>681</v>
      </c>
      <c r="I8" s="1082"/>
      <c r="J8" s="1084"/>
      <c r="K8" s="1084"/>
      <c r="L8" s="1084"/>
      <c r="M8" s="1084"/>
      <c r="N8" s="145"/>
      <c r="P8" s="927" t="s">
        <v>734</v>
      </c>
    </row>
    <row r="9" spans="1:16" ht="21" customHeight="1" x14ac:dyDescent="0.2">
      <c r="B9" s="152" t="s">
        <v>16</v>
      </c>
      <c r="C9" s="1079"/>
      <c r="D9" s="1080"/>
      <c r="E9" s="1080"/>
      <c r="H9" s="1081" t="s">
        <v>682</v>
      </c>
      <c r="I9" s="1082"/>
      <c r="J9" s="1084"/>
      <c r="K9" s="1084"/>
      <c r="L9" s="1084"/>
      <c r="M9" s="1084"/>
      <c r="N9" s="145"/>
      <c r="P9" s="927" t="s">
        <v>735</v>
      </c>
    </row>
    <row r="10" spans="1:16" ht="21" customHeight="1" x14ac:dyDescent="0.2">
      <c r="B10" s="152" t="s">
        <v>231</v>
      </c>
      <c r="C10" s="1079"/>
      <c r="D10" s="1080"/>
      <c r="E10" s="1080"/>
      <c r="H10" s="216"/>
      <c r="I10" s="865" t="s">
        <v>176</v>
      </c>
      <c r="J10" s="1085"/>
      <c r="K10" s="1085"/>
      <c r="L10" s="1085"/>
      <c r="M10" s="1085"/>
      <c r="N10" s="145"/>
    </row>
    <row r="11" spans="1:16" ht="21" customHeight="1" x14ac:dyDescent="0.25">
      <c r="J11" s="1085"/>
      <c r="K11" s="1085"/>
      <c r="L11" s="1085"/>
      <c r="M11" s="1085"/>
    </row>
    <row r="12" spans="1:16" ht="21" customHeight="1" x14ac:dyDescent="0.25">
      <c r="A12" s="1086" t="s">
        <v>232</v>
      </c>
      <c r="B12" s="1086"/>
      <c r="J12" s="1085"/>
      <c r="K12" s="1085"/>
      <c r="L12" s="1085"/>
      <c r="M12" s="1085"/>
    </row>
    <row r="13" spans="1:16" ht="21" customHeight="1" x14ac:dyDescent="0.2">
      <c r="B13" s="890" t="s">
        <v>691</v>
      </c>
      <c r="C13" s="1079"/>
      <c r="D13" s="1080"/>
      <c r="E13" s="1080"/>
      <c r="H13" s="216" t="str">
        <f>IF(K10="als Anlage beigefügt",CHAR(254),IF(K10="","",CHAR(253)))</f>
        <v/>
      </c>
      <c r="M13" s="145"/>
      <c r="N13" s="145"/>
    </row>
    <row r="14" spans="1:16" ht="21" customHeight="1" x14ac:dyDescent="0.25">
      <c r="B14" s="888"/>
      <c r="C14" s="1093" t="s">
        <v>701</v>
      </c>
      <c r="D14" s="1093"/>
      <c r="E14" s="1093"/>
      <c r="H14" s="1086" t="s">
        <v>693</v>
      </c>
      <c r="I14" s="1086"/>
      <c r="M14" s="145"/>
      <c r="N14" s="145"/>
    </row>
    <row r="15" spans="1:16" x14ac:dyDescent="0.25">
      <c r="B15" s="177"/>
      <c r="C15" s="178"/>
      <c r="D15" s="178"/>
      <c r="E15" s="178"/>
    </row>
    <row r="16" spans="1:16" ht="21" customHeight="1" x14ac:dyDescent="0.2">
      <c r="B16" s="890" t="s">
        <v>692</v>
      </c>
      <c r="C16" s="1047"/>
      <c r="D16" s="1094" t="s">
        <v>233</v>
      </c>
      <c r="E16" s="1094"/>
      <c r="H16" s="1087"/>
      <c r="I16" s="1087"/>
      <c r="J16" s="1087"/>
      <c r="K16" s="1087"/>
      <c r="L16" s="1087"/>
      <c r="M16" s="1087"/>
      <c r="N16" s="145"/>
    </row>
    <row r="17" spans="1:13" ht="21" customHeight="1" x14ac:dyDescent="0.2">
      <c r="B17" s="888"/>
      <c r="C17" s="889"/>
      <c r="H17" s="1087"/>
      <c r="I17" s="1087"/>
      <c r="J17" s="1087"/>
      <c r="K17" s="1087"/>
      <c r="L17" s="1087"/>
      <c r="M17" s="1087"/>
    </row>
    <row r="18" spans="1:13" ht="21" customHeight="1" x14ac:dyDescent="0.25">
      <c r="A18" s="1086" t="s">
        <v>234</v>
      </c>
      <c r="B18" s="1086"/>
      <c r="C18" s="155"/>
      <c r="D18" s="156"/>
      <c r="E18" s="157"/>
      <c r="H18" s="1087"/>
      <c r="I18" s="1087"/>
      <c r="J18" s="1087"/>
      <c r="K18" s="1087"/>
      <c r="L18" s="1087"/>
      <c r="M18" s="1087"/>
    </row>
    <row r="19" spans="1:13" ht="21" customHeight="1" x14ac:dyDescent="0.25">
      <c r="A19" s="158"/>
      <c r="B19" s="158"/>
      <c r="C19" s="159"/>
      <c r="D19" s="160"/>
      <c r="E19" s="161"/>
      <c r="H19" s="1087"/>
      <c r="I19" s="1087"/>
      <c r="J19" s="1087"/>
      <c r="K19" s="1087"/>
      <c r="L19" s="1087"/>
      <c r="M19" s="1087"/>
    </row>
    <row r="20" spans="1:13" ht="21" customHeight="1" x14ac:dyDescent="0.2">
      <c r="B20" s="152" t="s">
        <v>235</v>
      </c>
      <c r="C20" s="1058"/>
      <c r="D20" s="162"/>
      <c r="E20" s="163"/>
    </row>
    <row r="21" spans="1:13" ht="21" customHeight="1" x14ac:dyDescent="0.2">
      <c r="B21" s="152" t="s">
        <v>236</v>
      </c>
      <c r="C21" s="1058"/>
      <c r="D21" s="162"/>
      <c r="E21" s="163"/>
    </row>
    <row r="22" spans="1:13" ht="21" customHeight="1" x14ac:dyDescent="0.2">
      <c r="B22" s="152" t="s">
        <v>237</v>
      </c>
      <c r="C22" s="1058"/>
      <c r="D22" s="162"/>
      <c r="E22" s="163"/>
    </row>
    <row r="23" spans="1:13" ht="21" customHeight="1" thickBot="1" x14ac:dyDescent="0.3">
      <c r="B23" s="164" t="s">
        <v>238</v>
      </c>
      <c r="C23" s="165" t="str">
        <f>IF(SUM(C20:C22)=0,"",SUM(C20:C22))</f>
        <v/>
      </c>
      <c r="D23" s="166"/>
      <c r="E23" s="167"/>
    </row>
    <row r="24" spans="1:13" ht="21" customHeight="1" thickTop="1" x14ac:dyDescent="0.25"/>
    <row r="25" spans="1:13" ht="21" customHeight="1" x14ac:dyDescent="0.25">
      <c r="A25" s="1086" t="s">
        <v>239</v>
      </c>
      <c r="B25" s="1086"/>
      <c r="C25" s="155"/>
      <c r="D25" s="168"/>
      <c r="E25" s="169"/>
    </row>
    <row r="26" spans="1:13" ht="21" customHeight="1" x14ac:dyDescent="0.2">
      <c r="B26" s="152" t="s">
        <v>240</v>
      </c>
      <c r="C26" s="170"/>
      <c r="D26" s="171"/>
      <c r="E26" s="172"/>
    </row>
    <row r="27" spans="1:13" ht="21" customHeight="1" x14ac:dyDescent="0.2">
      <c r="B27" s="152" t="s">
        <v>241</v>
      </c>
      <c r="C27" s="173"/>
      <c r="D27" s="149" t="s">
        <v>242</v>
      </c>
      <c r="E27" s="172"/>
    </row>
    <row r="28" spans="1:13" ht="21" customHeight="1" x14ac:dyDescent="0.2">
      <c r="B28" s="152" t="s">
        <v>243</v>
      </c>
      <c r="C28" s="1091"/>
      <c r="D28" s="1092"/>
      <c r="E28" s="1092"/>
      <c r="F28" s="1092"/>
    </row>
    <row r="29" spans="1:13" ht="21" customHeight="1" x14ac:dyDescent="0.2">
      <c r="B29" s="152"/>
      <c r="C29" s="1092"/>
      <c r="D29" s="1092"/>
      <c r="E29" s="1092"/>
      <c r="F29" s="1092"/>
    </row>
    <row r="30" spans="1:13" ht="21" customHeight="1" x14ac:dyDescent="0.25">
      <c r="B30" s="174"/>
      <c r="C30" s="155"/>
      <c r="D30" s="168"/>
      <c r="E30" s="169"/>
    </row>
    <row r="31" spans="1:13" ht="21" customHeight="1" x14ac:dyDescent="0.25">
      <c r="A31" s="1086" t="s">
        <v>244</v>
      </c>
      <c r="B31" s="1086"/>
      <c r="C31" s="145"/>
      <c r="D31" s="145"/>
    </row>
    <row r="32" spans="1:13" ht="21" customHeight="1" x14ac:dyDescent="0.2">
      <c r="B32" s="152" t="s">
        <v>245</v>
      </c>
      <c r="C32" s="1058"/>
      <c r="D32" s="171"/>
      <c r="E32" s="172"/>
    </row>
    <row r="33" spans="1:6" ht="21" customHeight="1" x14ac:dyDescent="0.2">
      <c r="B33" s="152" t="s">
        <v>246</v>
      </c>
      <c r="C33" s="1059"/>
      <c r="D33" s="175"/>
      <c r="E33" s="172"/>
    </row>
    <row r="34" spans="1:6" ht="21" customHeight="1" x14ac:dyDescent="0.2">
      <c r="B34" s="868" t="s">
        <v>247</v>
      </c>
      <c r="C34" s="1059"/>
      <c r="D34" s="175"/>
      <c r="E34" s="172"/>
    </row>
    <row r="35" spans="1:6" ht="21" customHeight="1" x14ac:dyDescent="0.2">
      <c r="B35" s="152" t="s">
        <v>248</v>
      </c>
      <c r="C35" s="1059"/>
      <c r="D35" s="175"/>
      <c r="E35" s="172"/>
    </row>
    <row r="36" spans="1:6" ht="21" customHeight="1" x14ac:dyDescent="0.2">
      <c r="B36" s="176" t="s">
        <v>249</v>
      </c>
      <c r="C36" s="1058"/>
      <c r="D36" s="149" t="s">
        <v>250</v>
      </c>
      <c r="E36" s="172"/>
    </row>
    <row r="37" spans="1:6" ht="21" customHeight="1" x14ac:dyDescent="0.2">
      <c r="B37" s="152" t="s">
        <v>243</v>
      </c>
      <c r="C37" s="1091"/>
      <c r="D37" s="1092"/>
      <c r="E37" s="1092"/>
      <c r="F37" s="1092"/>
    </row>
    <row r="38" spans="1:6" ht="21" customHeight="1" x14ac:dyDescent="0.2">
      <c r="B38" s="152"/>
      <c r="C38" s="1092"/>
      <c r="D38" s="1092"/>
      <c r="E38" s="1092"/>
      <c r="F38" s="1092"/>
    </row>
    <row r="39" spans="1:6" hidden="1" x14ac:dyDescent="0.25">
      <c r="B39" s="177"/>
      <c r="C39" s="178"/>
      <c r="D39" s="178"/>
      <c r="E39" s="178"/>
    </row>
    <row r="40" spans="1:6" x14ac:dyDescent="0.25">
      <c r="A40" s="1086" t="s">
        <v>694</v>
      </c>
      <c r="B40" s="1086"/>
      <c r="D40" s="179"/>
    </row>
    <row r="41" spans="1:6" x14ac:dyDescent="0.25">
      <c r="A41" s="1090" t="s">
        <v>695</v>
      </c>
      <c r="B41" s="1090"/>
      <c r="D41" s="180"/>
    </row>
    <row r="42" spans="1:6" x14ac:dyDescent="0.25">
      <c r="B42" s="147" t="s">
        <v>235</v>
      </c>
      <c r="C42" s="181">
        <f>Belegung!$N$16</f>
        <v>0</v>
      </c>
      <c r="D42" s="180"/>
    </row>
    <row r="43" spans="1:6" ht="14.25" x14ac:dyDescent="0.2">
      <c r="B43" s="147" t="s">
        <v>236</v>
      </c>
      <c r="C43" s="181">
        <f>Belegung!$N$26</f>
        <v>0</v>
      </c>
    </row>
    <row r="44" spans="1:6" ht="14.25" x14ac:dyDescent="0.2">
      <c r="B44" s="147" t="s">
        <v>237</v>
      </c>
      <c r="C44" s="181">
        <f>Belegung!$N$36</f>
        <v>0</v>
      </c>
    </row>
    <row r="45" spans="1:6" ht="15.75" thickBot="1" x14ac:dyDescent="0.3">
      <c r="B45" s="177" t="s">
        <v>238</v>
      </c>
      <c r="C45" s="182">
        <f>SUM(C42:C44)</f>
        <v>0</v>
      </c>
      <c r="F45" s="183" t="str">
        <f>IF(E52="Leitungsfreistellung:","h","")</f>
        <v/>
      </c>
    </row>
    <row r="46" spans="1:6" ht="15.75" thickTop="1" x14ac:dyDescent="0.25">
      <c r="A46" s="1090" t="s">
        <v>696</v>
      </c>
      <c r="B46" s="1090"/>
      <c r="D46" s="180"/>
    </row>
    <row r="47" spans="1:6" ht="14.25" x14ac:dyDescent="0.2">
      <c r="B47" s="184" t="s">
        <v>251</v>
      </c>
    </row>
    <row r="48" spans="1:6" ht="14.25" x14ac:dyDescent="0.2">
      <c r="B48" s="147" t="s">
        <v>235</v>
      </c>
      <c r="C48" s="181">
        <f>Belegung!$N$83</f>
        <v>0</v>
      </c>
    </row>
    <row r="49" spans="1:15" ht="14.25" x14ac:dyDescent="0.2">
      <c r="B49" s="147" t="s">
        <v>236</v>
      </c>
      <c r="C49" s="181">
        <f>Belegung!$N$95</f>
        <v>0</v>
      </c>
    </row>
    <row r="50" spans="1:15" ht="14.25" x14ac:dyDescent="0.2">
      <c r="B50" s="147" t="s">
        <v>237</v>
      </c>
      <c r="C50" s="181">
        <f>Belegung!$N$109</f>
        <v>0</v>
      </c>
    </row>
    <row r="51" spans="1:15" ht="15.75" thickBot="1" x14ac:dyDescent="0.3">
      <c r="B51" s="177" t="s">
        <v>238</v>
      </c>
      <c r="C51" s="182">
        <f>SUM(C48:C50)</f>
        <v>0</v>
      </c>
    </row>
    <row r="52" spans="1:15" thickTop="1" x14ac:dyDescent="0.2">
      <c r="B52" s="184" t="s">
        <v>252</v>
      </c>
      <c r="E52" s="185"/>
    </row>
    <row r="53" spans="1:15" ht="14.25" x14ac:dyDescent="0.2">
      <c r="B53" s="147" t="s">
        <v>235</v>
      </c>
      <c r="C53" s="181">
        <f>Belegung!$N$84</f>
        <v>0</v>
      </c>
      <c r="E53" s="186"/>
    </row>
    <row r="54" spans="1:15" ht="14.25" x14ac:dyDescent="0.2">
      <c r="B54" s="147" t="s">
        <v>236</v>
      </c>
      <c r="C54" s="181">
        <f>Belegung!$N$96</f>
        <v>0</v>
      </c>
    </row>
    <row r="55" spans="1:15" ht="14.25" x14ac:dyDescent="0.2">
      <c r="B55" s="147" t="s">
        <v>237</v>
      </c>
      <c r="C55" s="181">
        <f>Belegung!$N$110</f>
        <v>0</v>
      </c>
      <c r="G55" s="145" t="s">
        <v>253</v>
      </c>
    </row>
    <row r="56" spans="1:15" ht="15.75" thickBot="1" x14ac:dyDescent="0.3">
      <c r="B56" s="177" t="s">
        <v>238</v>
      </c>
      <c r="C56" s="182">
        <f>SUM(C53:C55)</f>
        <v>0</v>
      </c>
      <c r="E56" s="185"/>
      <c r="G56" s="145" t="s">
        <v>254</v>
      </c>
    </row>
    <row r="57" spans="1:15" ht="15.75" thickTop="1" x14ac:dyDescent="0.25">
      <c r="A57" s="1090" t="s">
        <v>697</v>
      </c>
      <c r="B57" s="1090"/>
      <c r="C57" s="145"/>
      <c r="E57" s="187"/>
    </row>
    <row r="58" spans="1:15" ht="15" customHeight="1" x14ac:dyDescent="0.25">
      <c r="A58" s="192"/>
      <c r="B58" s="147" t="s">
        <v>256</v>
      </c>
      <c r="C58" s="193">
        <f>IF(C23="",0,ROUNDUP(IF('INTERN Personalstunden'!C23&gt;40,'INTERN Personalstunden'!C23,IF(C45&gt;=200,40,IF(C45&gt;=170,30,'INTERN Personalstunden'!C23))),0))</f>
        <v>0</v>
      </c>
    </row>
    <row r="59" spans="1:15" ht="15.75" customHeight="1" x14ac:dyDescent="0.25">
      <c r="A59" s="192"/>
      <c r="B59" s="152" t="s">
        <v>257</v>
      </c>
      <c r="C59" s="194">
        <f>IF(J60="Ja",N60,0)</f>
        <v>0</v>
      </c>
      <c r="D59" s="1095" t="s">
        <v>258</v>
      </c>
      <c r="E59" s="1095"/>
      <c r="F59" s="1095"/>
      <c r="H59" s="847" t="s">
        <v>255</v>
      </c>
      <c r="I59" s="848"/>
      <c r="J59" s="849"/>
      <c r="K59" s="848"/>
      <c r="L59" s="850"/>
      <c r="M59" s="850"/>
      <c r="N59" s="849"/>
      <c r="O59" s="851"/>
    </row>
    <row r="60" spans="1:15" ht="15.75" thickBot="1" x14ac:dyDescent="0.3">
      <c r="A60" s="192"/>
      <c r="B60" s="177" t="s">
        <v>238</v>
      </c>
      <c r="C60" s="182">
        <f>'INTERN Personalstunden'!$C$38</f>
        <v>0</v>
      </c>
      <c r="H60" s="1076" t="s">
        <v>670</v>
      </c>
      <c r="I60" s="1077"/>
      <c r="J60" s="838"/>
      <c r="K60" s="1078" t="s">
        <v>687</v>
      </c>
      <c r="L60" s="1078"/>
      <c r="M60" s="1078"/>
      <c r="N60" s="879"/>
      <c r="O60" s="853"/>
    </row>
    <row r="61" spans="1:15" ht="15.75" thickTop="1" x14ac:dyDescent="0.25">
      <c r="A61" s="1090" t="s">
        <v>698</v>
      </c>
      <c r="B61" s="1090"/>
      <c r="C61" s="199"/>
      <c r="H61" s="869"/>
      <c r="I61" s="870"/>
      <c r="J61" s="881"/>
      <c r="K61" s="871"/>
      <c r="L61" s="871"/>
      <c r="M61" s="871"/>
      <c r="N61" s="882"/>
      <c r="O61" s="854"/>
    </row>
    <row r="62" spans="1:15" x14ac:dyDescent="0.25">
      <c r="A62" s="192"/>
      <c r="B62" s="864" t="s">
        <v>677</v>
      </c>
      <c r="C62" s="202">
        <f>'INTERN Personalstunden'!$C$28</f>
        <v>0</v>
      </c>
      <c r="E62" s="845"/>
      <c r="F62" s="773"/>
      <c r="H62" s="875"/>
      <c r="I62" s="875"/>
      <c r="J62" s="875"/>
      <c r="K62" s="875"/>
      <c r="L62" s="875"/>
      <c r="M62" s="875"/>
      <c r="N62" s="875"/>
      <c r="O62" s="875"/>
    </row>
    <row r="63" spans="1:15" x14ac:dyDescent="0.25">
      <c r="A63" s="192"/>
      <c r="B63" s="825" t="s">
        <v>259</v>
      </c>
      <c r="C63" s="817">
        <f>'INTERN Personalstunden'!$C$29</f>
        <v>0</v>
      </c>
      <c r="E63" s="845"/>
      <c r="F63" s="773"/>
      <c r="H63" s="871"/>
      <c r="I63" s="872"/>
      <c r="J63" s="873"/>
      <c r="K63" s="874"/>
      <c r="L63" s="871"/>
      <c r="M63" s="871"/>
      <c r="N63" s="871"/>
      <c r="O63" s="871"/>
    </row>
    <row r="64" spans="1:15" ht="15" hidden="1" customHeight="1" x14ac:dyDescent="0.25">
      <c r="A64" s="837"/>
      <c r="B64" s="844" t="s">
        <v>661</v>
      </c>
      <c r="C64" s="817">
        <f>'INTERN Personalstunden'!$C$30</f>
        <v>0</v>
      </c>
      <c r="D64" s="1096" t="s">
        <v>669</v>
      </c>
      <c r="E64" s="1096"/>
      <c r="F64" s="1096"/>
    </row>
    <row r="65" spans="1:15" hidden="1" x14ac:dyDescent="0.25">
      <c r="A65" s="837"/>
      <c r="B65" s="844" t="s">
        <v>662</v>
      </c>
      <c r="C65" s="817">
        <f>'INTERN Personalstunden'!$C$31</f>
        <v>0</v>
      </c>
      <c r="D65" s="1096"/>
      <c r="E65" s="1096"/>
      <c r="F65" s="1096"/>
      <c r="H65" s="1097" t="s">
        <v>671</v>
      </c>
      <c r="I65" s="1098"/>
      <c r="J65" s="1098"/>
      <c r="K65" s="1098"/>
      <c r="L65" s="857"/>
      <c r="M65" s="857"/>
      <c r="N65" s="850"/>
      <c r="O65" s="858"/>
    </row>
    <row r="66" spans="1:15" hidden="1" x14ac:dyDescent="0.25">
      <c r="H66" s="1099" t="s">
        <v>684</v>
      </c>
      <c r="I66" s="1078"/>
      <c r="J66" s="838"/>
      <c r="K66" s="1100" t="s">
        <v>685</v>
      </c>
      <c r="L66" s="1100"/>
      <c r="M66" s="1100"/>
      <c r="N66" s="852"/>
      <c r="O66" s="854"/>
    </row>
    <row r="67" spans="1:15" hidden="1" x14ac:dyDescent="0.25">
      <c r="H67" s="1099" t="s">
        <v>673</v>
      </c>
      <c r="I67" s="1078"/>
      <c r="J67" s="838"/>
      <c r="K67" s="1100" t="s">
        <v>686</v>
      </c>
      <c r="L67" s="1100"/>
      <c r="M67" s="1100"/>
      <c r="N67" s="852"/>
      <c r="O67" s="854"/>
    </row>
    <row r="68" spans="1:15" hidden="1" x14ac:dyDescent="0.25">
      <c r="H68" s="207"/>
      <c r="I68" s="208"/>
      <c r="J68" s="209"/>
      <c r="K68" s="209"/>
      <c r="L68" s="209"/>
      <c r="M68" s="209"/>
      <c r="N68" s="209"/>
      <c r="O68" s="210"/>
    </row>
    <row r="69" spans="1:15" ht="15.75" thickBot="1" x14ac:dyDescent="0.3">
      <c r="B69" s="177" t="s">
        <v>238</v>
      </c>
      <c r="C69" s="182">
        <f>SUM(C62:C65)</f>
        <v>0</v>
      </c>
      <c r="D69" s="1096"/>
      <c r="E69" s="1096"/>
      <c r="F69" s="1096"/>
      <c r="H69" s="145"/>
      <c r="I69" s="145"/>
      <c r="J69" s="145"/>
      <c r="K69" s="145"/>
      <c r="L69" s="145"/>
      <c r="M69" s="145"/>
      <c r="N69" s="145"/>
      <c r="O69" s="145"/>
    </row>
    <row r="70" spans="1:15" thickTop="1" x14ac:dyDescent="0.2">
      <c r="B70" s="825"/>
      <c r="D70" s="1096"/>
      <c r="E70" s="1096"/>
      <c r="F70" s="1096"/>
      <c r="H70" s="145"/>
      <c r="I70" s="145"/>
      <c r="J70" s="145"/>
      <c r="K70" s="145"/>
      <c r="L70" s="145"/>
      <c r="M70" s="145"/>
      <c r="N70" s="145"/>
      <c r="O70" s="145"/>
    </row>
    <row r="71" spans="1:15" x14ac:dyDescent="0.25">
      <c r="A71" s="1090" t="s">
        <v>699</v>
      </c>
      <c r="B71" s="1090"/>
      <c r="H71" s="145"/>
      <c r="I71" s="145"/>
      <c r="J71" s="145"/>
      <c r="K71" s="145"/>
      <c r="L71" s="145"/>
      <c r="M71" s="145"/>
      <c r="N71" s="145"/>
      <c r="O71" s="145"/>
    </row>
    <row r="72" spans="1:15" x14ac:dyDescent="0.25">
      <c r="A72" s="192"/>
      <c r="B72" s="152" t="s">
        <v>224</v>
      </c>
      <c r="C72" s="181">
        <f>C51</f>
        <v>0</v>
      </c>
      <c r="G72" s="818"/>
      <c r="H72" s="145"/>
      <c r="I72" s="145"/>
      <c r="J72" s="145"/>
      <c r="K72" s="145"/>
      <c r="L72" s="145"/>
      <c r="M72" s="145"/>
      <c r="N72" s="145"/>
      <c r="O72" s="145"/>
    </row>
    <row r="73" spans="1:15" ht="15" customHeight="1" x14ac:dyDescent="0.2">
      <c r="B73" s="152" t="s">
        <v>261</v>
      </c>
      <c r="C73" s="194">
        <f>IF(J74="Ja",N74,0)</f>
        <v>0</v>
      </c>
      <c r="D73" s="1096" t="s">
        <v>262</v>
      </c>
      <c r="E73" s="1096"/>
      <c r="F73" s="1096"/>
      <c r="G73" s="818"/>
      <c r="H73" s="188" t="s">
        <v>260</v>
      </c>
      <c r="I73" s="189"/>
      <c r="J73" s="189"/>
      <c r="K73" s="855"/>
      <c r="L73" s="856"/>
      <c r="M73" s="191"/>
      <c r="N73" s="190"/>
      <c r="O73" s="843"/>
    </row>
    <row r="74" spans="1:15" x14ac:dyDescent="0.25">
      <c r="A74" s="192"/>
      <c r="B74" s="152" t="s">
        <v>263</v>
      </c>
      <c r="C74" s="181">
        <f>C60</f>
        <v>0</v>
      </c>
      <c r="D74" s="204"/>
      <c r="H74" s="1076" t="s">
        <v>672</v>
      </c>
      <c r="I74" s="1077"/>
      <c r="J74" s="815"/>
      <c r="K74" s="196"/>
      <c r="L74" s="196"/>
      <c r="M74" s="197" t="s">
        <v>688</v>
      </c>
      <c r="N74" s="880"/>
      <c r="O74" s="198"/>
    </row>
    <row r="75" spans="1:15" x14ac:dyDescent="0.25">
      <c r="A75" s="192"/>
      <c r="B75" s="832" t="s">
        <v>660</v>
      </c>
      <c r="C75" s="203">
        <f>C69</f>
        <v>0</v>
      </c>
      <c r="H75" s="876"/>
      <c r="I75" s="846"/>
      <c r="J75" s="85"/>
      <c r="K75" s="846"/>
      <c r="L75" s="846"/>
      <c r="M75" s="846"/>
      <c r="N75" s="85"/>
      <c r="O75" s="877"/>
    </row>
    <row r="76" spans="1:15" ht="15.75" thickBot="1" x14ac:dyDescent="0.3">
      <c r="A76" s="192"/>
      <c r="B76" s="177" t="s">
        <v>238</v>
      </c>
      <c r="C76" s="182">
        <f>SUM(C72:C75)</f>
        <v>0</v>
      </c>
      <c r="E76" s="204"/>
      <c r="F76" s="204"/>
      <c r="H76" s="191"/>
      <c r="I76" s="878"/>
      <c r="J76" s="191"/>
      <c r="K76" s="191"/>
      <c r="L76" s="191"/>
      <c r="M76" s="191"/>
      <c r="N76" s="191"/>
      <c r="O76" s="191"/>
    </row>
    <row r="77" spans="1:15" ht="15.75" thickTop="1" x14ac:dyDescent="0.25">
      <c r="H77" s="205"/>
      <c r="I77" s="205"/>
      <c r="J77" s="205"/>
      <c r="K77" s="205"/>
      <c r="L77" s="205"/>
      <c r="M77" s="205"/>
      <c r="N77" s="205"/>
      <c r="O77" s="205"/>
    </row>
    <row r="78" spans="1:15" x14ac:dyDescent="0.25">
      <c r="A78" s="1086" t="s">
        <v>700</v>
      </c>
      <c r="B78" s="1086"/>
      <c r="C78" s="1086"/>
      <c r="D78" s="180"/>
      <c r="H78" s="196"/>
      <c r="I78" s="846"/>
      <c r="J78" s="846"/>
      <c r="K78" s="846"/>
      <c r="L78" s="846"/>
      <c r="M78" s="846"/>
      <c r="N78" s="196"/>
      <c r="O78" s="196"/>
    </row>
    <row r="79" spans="1:15" ht="14.25" x14ac:dyDescent="0.2">
      <c r="B79" s="147" t="s">
        <v>264</v>
      </c>
      <c r="C79" s="181">
        <f>'INTERN Personalstunden'!$C$44</f>
        <v>0</v>
      </c>
      <c r="D79" s="147" t="s">
        <v>265</v>
      </c>
      <c r="E79" s="206">
        <f>IF(C79=0,0,C79/C16)</f>
        <v>0</v>
      </c>
      <c r="H79" s="196"/>
      <c r="I79" s="195"/>
      <c r="J79" s="196"/>
      <c r="K79" s="196"/>
      <c r="L79" s="196"/>
      <c r="M79" s="846"/>
      <c r="N79" s="196"/>
      <c r="O79" s="196"/>
    </row>
    <row r="80" spans="1:15" ht="14.25" x14ac:dyDescent="0.2">
      <c r="B80" s="147" t="s">
        <v>266</v>
      </c>
      <c r="C80" s="181">
        <f>C76</f>
        <v>0</v>
      </c>
      <c r="D80" s="147" t="s">
        <v>265</v>
      </c>
      <c r="E80" s="206">
        <f>IF(C16="",0,IF(C80=0,0,C80/C16))</f>
        <v>0</v>
      </c>
      <c r="H80" s="196"/>
      <c r="I80" s="195"/>
      <c r="J80" s="196"/>
      <c r="K80" s="196"/>
      <c r="L80" s="196"/>
      <c r="M80" s="196"/>
      <c r="N80" s="196"/>
      <c r="O80" s="196"/>
    </row>
    <row r="81" spans="2:5" ht="14.25" x14ac:dyDescent="0.2">
      <c r="B81" s="147" t="str">
        <f>'INTERN Personalstunden'!B46</f>
        <v>Differenz:</v>
      </c>
      <c r="C81" s="181">
        <f>'INTERN Personalstunden'!C46</f>
        <v>0</v>
      </c>
      <c r="D81" s="211" t="str">
        <f>IF(C81&gt;0,"PLUS",(IF(C81=0,"","MINUS ist umgehend auszugleichen!")))</f>
        <v/>
      </c>
      <c r="E81" s="212"/>
    </row>
    <row r="82" spans="2:5" ht="14.25" x14ac:dyDescent="0.2">
      <c r="B82" s="834"/>
      <c r="C82" s="834"/>
      <c r="D82" s="834"/>
      <c r="E82" s="834"/>
    </row>
    <row r="83" spans="2:5" x14ac:dyDescent="0.25">
      <c r="B83" s="213" t="str">
        <f>IF(C81=0,"",'INTERN Personalstunden'!$D$59)</f>
        <v/>
      </c>
      <c r="C83" s="214">
        <f>'INTERN Personalstunden'!$E$59</f>
        <v>0</v>
      </c>
    </row>
  </sheetData>
  <sheetProtection algorithmName="SHA-512" hashValue="HWYXfry6LgAYlZ8sLRwKjgtIGNwhsw6v+a2GfkBI4zs6zxsiae0Ychn/tNGX2F5ZsUbmzgRTR7owvqY+cp2Y5Q==" saltValue="syxEkZYEwW/x6KVblp1foQ==" spinCount="100000" sheet="1" objects="1" scenarios="1"/>
  <mergeCells count="52">
    <mergeCell ref="H3:I3"/>
    <mergeCell ref="J4:K4"/>
    <mergeCell ref="H5:I5"/>
    <mergeCell ref="J5:M5"/>
    <mergeCell ref="H6:I6"/>
    <mergeCell ref="J6:M6"/>
    <mergeCell ref="H65:K65"/>
    <mergeCell ref="H74:I74"/>
    <mergeCell ref="H66:I66"/>
    <mergeCell ref="K66:M66"/>
    <mergeCell ref="H67:I67"/>
    <mergeCell ref="K67:M67"/>
    <mergeCell ref="A78:C78"/>
    <mergeCell ref="A57:B57"/>
    <mergeCell ref="D59:F59"/>
    <mergeCell ref="A61:B61"/>
    <mergeCell ref="A71:B71"/>
    <mergeCell ref="D73:F73"/>
    <mergeCell ref="D64:F65"/>
    <mergeCell ref="D70:F70"/>
    <mergeCell ref="D69:F69"/>
    <mergeCell ref="A46:B46"/>
    <mergeCell ref="C9:E9"/>
    <mergeCell ref="C10:E10"/>
    <mergeCell ref="A12:B12"/>
    <mergeCell ref="C13:E13"/>
    <mergeCell ref="A18:B18"/>
    <mergeCell ref="A25:B25"/>
    <mergeCell ref="C28:F29"/>
    <mergeCell ref="A31:B31"/>
    <mergeCell ref="C37:F38"/>
    <mergeCell ref="A40:B40"/>
    <mergeCell ref="A41:B41"/>
    <mergeCell ref="C14:E14"/>
    <mergeCell ref="D16:E16"/>
    <mergeCell ref="A1:D1"/>
    <mergeCell ref="A2:D2"/>
    <mergeCell ref="A3:B3"/>
    <mergeCell ref="D5:E5"/>
    <mergeCell ref="C6:E6"/>
    <mergeCell ref="H60:I60"/>
    <mergeCell ref="K60:M60"/>
    <mergeCell ref="C7:E7"/>
    <mergeCell ref="H7:I7"/>
    <mergeCell ref="J7:M7"/>
    <mergeCell ref="H8:I8"/>
    <mergeCell ref="J8:M8"/>
    <mergeCell ref="H9:I9"/>
    <mergeCell ref="J9:M9"/>
    <mergeCell ref="J10:M12"/>
    <mergeCell ref="H14:I14"/>
    <mergeCell ref="H16:M19"/>
  </mergeCells>
  <dataValidations disablePrompts="1" count="9">
    <dataValidation type="decimal" showInputMessage="1" showErrorMessage="1" errorTitle="Wochenarbeitszeit" error="Bitte in Stunden angeben!! (z.B. 40,0 oder 38,5)" promptTitle="HINWEIS" prompt="Hier ist NICHT die durchschnittliche Arbeitszeit der Mitarbeiter gemeint!" sqref="C16">
      <formula1>38</formula1>
      <formula2>40</formula2>
    </dataValidation>
    <dataValidation type="whole" allowBlank="1" showInputMessage="1" showErrorMessage="1" errorTitle="Betriebsmonate" error="Die Anzahl der Betriebsmonate beträgt mind. 1 Monat und max. 12 Monate!" promptTitle="Betriebsmonate" prompt="Hier bitte die Anzahl der Betriebsmonate im Kalenderjahr angeben!" sqref="C26">
      <formula1>1</formula1>
      <formula2>12</formula2>
    </dataValidation>
    <dataValidation type="date" allowBlank="1" showInputMessage="1" showErrorMessage="1" errorTitle="Beginn bzw. Ende des Betriebes" error="BItte nur bei unterjährigem Beginn bzw. Ende angeben!" promptTitle="Beginn bzw. Ende des Betriebes" prompt="Bei unterjährigem Beginn oder Ende des Betriebes bitte das Anfangs- bzw. das Enddatum angeben!" sqref="C27">
      <formula1>44562</formula1>
      <formula2>44926</formula2>
    </dataValidation>
    <dataValidation type="list" allowBlank="1" showInputMessage="1" showErrorMessage="1" errorTitle="beantragte Leitungsstunden" error="Bitte nur Ja oder Nein angeben!" sqref="J60 J66:J67">
      <formula1>$G$54:$G$56</formula1>
    </dataValidation>
    <dataValidation type="list" allowBlank="1" showInputMessage="1" showErrorMessage="1" errorTitle="beantragter Mehrbedarf" error="Bitte nur Ja oder Nein angeben!" sqref="J74">
      <formula1>$G$54:$G$56</formula1>
    </dataValidation>
    <dataValidation type="decimal" allowBlank="1" showInputMessage="1" showErrorMessage="1" sqref="N60:N61 N74">
      <formula1>1</formula1>
      <formula2>200</formula2>
    </dataValidation>
    <dataValidation type="decimal" allowBlank="1" showInputMessage="1" showErrorMessage="1" sqref="N66">
      <formula1>1</formula1>
      <formula2>100</formula2>
    </dataValidation>
    <dataValidation type="list" allowBlank="1" showInputMessage="1" showErrorMessage="1" sqref="J9:K9 J5:J8 K6:K8">
      <formula1>Anlage</formula1>
    </dataValidation>
    <dataValidation type="whole" allowBlank="1" showInputMessage="1" showErrorMessage="1" sqref="N67">
      <formula1>0</formula1>
      <formula2>10</formula2>
    </dataValidation>
  </dataValidations>
  <printOptions horizontalCentered="1"/>
  <pageMargins left="0.39370078740157483" right="0.39370078740157483" top="1.1811023622047245" bottom="0.78740157480314965" header="0.19685039370078741" footer="0.19685039370078741"/>
  <pageSetup paperSize="9" scale="94" fitToWidth="2" fitToHeight="0" pageOrder="overThenDown" orientation="portrait" r:id="rId1"/>
  <headerFooter>
    <oddHeader xml:space="preserve">&amp;L&amp;"Arial,Fett"&amp;22Salzlandkreis&amp;11
&amp;12Der Landrat&amp;C&amp;"-,Fett"
&amp;"Arial,Fett"&amp;12Grundlagen&amp;R&amp;G
</oddHeader>
    <oddFooter>&amp;L&amp;"Arial,Standard"&amp;8Ausfertigung vom &amp;D &amp;T SLK-14-20-871
Version: 28.06.2024&amp;R&amp;"Arial,Standard"&amp;8&amp;P von &amp;N</oddFooter>
  </headerFooter>
  <rowBreaks count="1" manualBreakCount="1">
    <brk id="39"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0000"/>
    <pageSetUpPr fitToPage="1"/>
  </sheetPr>
  <dimension ref="A1:I170"/>
  <sheetViews>
    <sheetView showGridLines="0" view="pageLayout" zoomScaleNormal="100" workbookViewId="0">
      <selection activeCell="C1" sqref="C1:E1"/>
    </sheetView>
  </sheetViews>
  <sheetFormatPr baseColWidth="10" defaultColWidth="11.42578125" defaultRowHeight="12.75" x14ac:dyDescent="0.25"/>
  <cols>
    <col min="1" max="1" width="5.42578125" style="243" customWidth="1"/>
    <col min="2" max="2" width="7.140625" style="240" customWidth="1"/>
    <col min="3" max="3" width="6.85546875" style="241" customWidth="1"/>
    <col min="4" max="4" width="12" style="240" hidden="1" customWidth="1"/>
    <col min="5" max="5" width="6.7109375" style="239" customWidth="1"/>
    <col min="6" max="7" width="11.140625" style="239" customWidth="1"/>
    <col min="8" max="8" width="11.140625" style="109" customWidth="1"/>
    <col min="9" max="9" width="15.42578125" style="109" customWidth="1"/>
    <col min="10" max="16384" width="11.42578125" style="109"/>
  </cols>
  <sheetData>
    <row r="1" spans="1:9" ht="15" customHeight="1" x14ac:dyDescent="0.25">
      <c r="A1" s="1271" t="s">
        <v>274</v>
      </c>
      <c r="B1" s="1272"/>
      <c r="C1" s="1274">
        <f>IF(Grundlagen!$C$4="","",Grundlagen!$C$4)</f>
        <v>2025</v>
      </c>
      <c r="D1" s="1274"/>
      <c r="E1" s="1274"/>
      <c r="F1" s="822"/>
      <c r="G1" s="822"/>
      <c r="H1" s="822"/>
      <c r="I1" s="822"/>
    </row>
    <row r="2" spans="1:9" ht="15" customHeight="1" x14ac:dyDescent="0.25">
      <c r="A2" s="1271" t="s">
        <v>17</v>
      </c>
      <c r="B2" s="1272"/>
      <c r="C2" s="1273" t="str">
        <f>IF(Grundlagen!$C$6="","",Grundlagen!$C$6)</f>
        <v/>
      </c>
      <c r="D2" s="1273"/>
      <c r="E2" s="1273"/>
      <c r="F2" s="1273"/>
      <c r="G2" s="1273"/>
      <c r="H2" s="1273"/>
      <c r="I2" s="1273"/>
    </row>
    <row r="3" spans="1:9" ht="15" customHeight="1" x14ac:dyDescent="0.25">
      <c r="A3" s="1271" t="s">
        <v>16</v>
      </c>
      <c r="B3" s="1272"/>
      <c r="C3" s="1273" t="str">
        <f>IF(Grundlagen!$C$9="","",Grundlagen!$C$9)</f>
        <v/>
      </c>
      <c r="D3" s="1273"/>
      <c r="E3" s="1273"/>
      <c r="F3" s="1273"/>
      <c r="G3" s="1273"/>
      <c r="H3" s="1273"/>
      <c r="I3" s="1273"/>
    </row>
    <row r="4" spans="1:9" ht="12.75" customHeight="1" x14ac:dyDescent="0.25">
      <c r="A4" s="217"/>
      <c r="B4" s="142"/>
      <c r="C4" s="218"/>
      <c r="D4" s="219"/>
      <c r="E4" s="219"/>
      <c r="F4" s="219"/>
      <c r="G4" s="219"/>
    </row>
    <row r="5" spans="1:9" ht="12.75" customHeight="1" x14ac:dyDescent="0.25">
      <c r="A5" s="1118" t="s">
        <v>275</v>
      </c>
      <c r="B5" s="1282" t="s">
        <v>276</v>
      </c>
      <c r="C5" s="1118" t="s">
        <v>277</v>
      </c>
      <c r="D5" s="219"/>
      <c r="E5" s="1278" t="s">
        <v>278</v>
      </c>
      <c r="F5" s="1282" t="s">
        <v>279</v>
      </c>
      <c r="G5" s="1291"/>
      <c r="H5" s="1282" t="s">
        <v>280</v>
      </c>
      <c r="I5" s="1291"/>
    </row>
    <row r="6" spans="1:9" ht="12.75" customHeight="1" x14ac:dyDescent="0.25">
      <c r="A6" s="1119"/>
      <c r="B6" s="1283"/>
      <c r="C6" s="1119"/>
      <c r="D6" s="219"/>
      <c r="E6" s="1278"/>
      <c r="F6" s="1283"/>
      <c r="G6" s="1292"/>
      <c r="H6" s="1283"/>
      <c r="I6" s="1292"/>
    </row>
    <row r="7" spans="1:9" ht="12.75" customHeight="1" x14ac:dyDescent="0.25">
      <c r="A7" s="1119"/>
      <c r="B7" s="1283"/>
      <c r="C7" s="1119"/>
      <c r="D7" s="219"/>
      <c r="E7" s="1278"/>
      <c r="F7" s="1283"/>
      <c r="G7" s="1292"/>
      <c r="H7" s="1283"/>
      <c r="I7" s="1292"/>
    </row>
    <row r="8" spans="1:9" ht="12.75" customHeight="1" x14ac:dyDescent="0.25">
      <c r="A8" s="1120"/>
      <c r="B8" s="1284"/>
      <c r="C8" s="220" t="s">
        <v>281</v>
      </c>
      <c r="D8" s="219"/>
      <c r="E8" s="1278"/>
      <c r="F8" s="1284"/>
      <c r="G8" s="1293"/>
      <c r="H8" s="1284"/>
      <c r="I8" s="1293"/>
    </row>
    <row r="9" spans="1:9" ht="12.75" customHeight="1" x14ac:dyDescent="0.25">
      <c r="A9" s="217"/>
      <c r="B9" s="142"/>
      <c r="C9" s="218"/>
      <c r="D9" s="219"/>
      <c r="E9" s="219"/>
      <c r="F9" s="219"/>
      <c r="G9" s="219"/>
    </row>
    <row r="10" spans="1:9" x14ac:dyDescent="0.25">
      <c r="A10" s="201" t="s">
        <v>282</v>
      </c>
      <c r="B10" s="221"/>
      <c r="C10" s="221"/>
      <c r="D10" s="221"/>
      <c r="E10" s="221"/>
      <c r="F10" s="221"/>
      <c r="G10" s="221"/>
    </row>
    <row r="11" spans="1:9" x14ac:dyDescent="0.25">
      <c r="A11" s="1279"/>
      <c r="B11" s="1280"/>
      <c r="C11" s="1280"/>
      <c r="D11" s="1280"/>
      <c r="E11" s="1280"/>
      <c r="F11" s="1280"/>
      <c r="G11" s="1280"/>
      <c r="H11" s="1280"/>
      <c r="I11" s="1281"/>
    </row>
    <row r="12" spans="1:9" ht="27.75" customHeight="1" x14ac:dyDescent="0.25">
      <c r="A12" s="222" t="s">
        <v>283</v>
      </c>
      <c r="B12" s="223" t="s">
        <v>284</v>
      </c>
      <c r="C12" s="222" t="s">
        <v>656</v>
      </c>
      <c r="D12" s="224" t="s">
        <v>285</v>
      </c>
      <c r="E12" s="225" t="str">
        <f>IF(Platzkosten!$R$20=0,"",(IF(H17="","",Platzkosten!$R$20)))</f>
        <v/>
      </c>
      <c r="F12" s="1298" t="str">
        <f>IF(E12="","",H20)</f>
        <v/>
      </c>
      <c r="G12" s="1299"/>
      <c r="H12" s="1298" t="str">
        <f>IF(F12="","",F12*H19*E12)</f>
        <v/>
      </c>
      <c r="I12" s="1299"/>
    </row>
    <row r="13" spans="1:9" ht="27.75" customHeight="1" x14ac:dyDescent="0.25">
      <c r="A13" s="222" t="s">
        <v>283</v>
      </c>
      <c r="B13" s="223" t="s">
        <v>286</v>
      </c>
      <c r="C13" s="222" t="s">
        <v>656</v>
      </c>
      <c r="D13" s="224" t="s">
        <v>285</v>
      </c>
      <c r="E13" s="225" t="str">
        <f>IF(Platzkosten!$R$37=0,"",(IF(H17="","",Platzkosten!$R$37)))</f>
        <v/>
      </c>
      <c r="F13" s="1298" t="str">
        <f>IF(E13="","",H20)</f>
        <v/>
      </c>
      <c r="G13" s="1299"/>
      <c r="H13" s="1298" t="str">
        <f>IF(F13="","",F13*H19*E13)</f>
        <v/>
      </c>
      <c r="I13" s="1299"/>
    </row>
    <row r="14" spans="1:9" ht="27.75" customHeight="1" x14ac:dyDescent="0.25">
      <c r="A14" s="222" t="s">
        <v>287</v>
      </c>
      <c r="B14" s="223" t="s">
        <v>288</v>
      </c>
      <c r="C14" s="222" t="s">
        <v>287</v>
      </c>
      <c r="D14" s="224" t="s">
        <v>289</v>
      </c>
      <c r="E14" s="225" t="str">
        <f>IF(Platzkosten!$R$56=0,"",(IF(H17="","",Platzkosten!$R$56)))</f>
        <v/>
      </c>
      <c r="F14" s="1298" t="str">
        <f>IF(E14="","",H20)</f>
        <v/>
      </c>
      <c r="G14" s="1299"/>
      <c r="H14" s="1298" t="str">
        <f>IF(F14="","",F14*H19*E14)</f>
        <v/>
      </c>
      <c r="I14" s="1299"/>
    </row>
    <row r="15" spans="1:9" ht="27.75" customHeight="1" x14ac:dyDescent="0.25">
      <c r="A15" s="226"/>
      <c r="B15" s="227"/>
      <c r="C15" s="228"/>
      <c r="D15" s="229"/>
      <c r="E15" s="225" t="str">
        <f>IF(SUM(E12:E14)=0,"",SUM(E12:E14))</f>
        <v/>
      </c>
      <c r="F15" s="230"/>
      <c r="G15" s="109"/>
      <c r="H15" s="1298" t="str">
        <f>IF(SUM(H12:H14)=0,"",SUM(H12:H14))</f>
        <v/>
      </c>
      <c r="I15" s="1299"/>
    </row>
    <row r="16" spans="1:9" ht="12" customHeight="1" x14ac:dyDescent="0.25">
      <c r="A16" s="231"/>
      <c r="B16" s="232"/>
      <c r="C16" s="231"/>
      <c r="D16" s="232"/>
      <c r="E16" s="232"/>
      <c r="F16" s="109"/>
      <c r="G16" s="109"/>
    </row>
    <row r="17" spans="1:9" ht="12" customHeight="1" x14ac:dyDescent="0.25">
      <c r="A17" s="109"/>
      <c r="B17" s="109"/>
      <c r="C17" s="231"/>
      <c r="D17" s="233"/>
      <c r="E17" s="109"/>
      <c r="F17" s="1294" t="s">
        <v>290</v>
      </c>
      <c r="G17" s="1295"/>
      <c r="H17" s="1275" t="str">
        <f>IF('INTERN Personal- und Sachkosten'!B49=0,"",('INTERN Personal- und Sachkosten'!B49))</f>
        <v/>
      </c>
      <c r="I17" s="1277"/>
    </row>
    <row r="18" spans="1:9" ht="12" customHeight="1" x14ac:dyDescent="0.25">
      <c r="A18" s="109"/>
      <c r="B18" s="109"/>
      <c r="C18" s="231"/>
      <c r="D18" s="233"/>
      <c r="E18" s="109"/>
      <c r="F18" s="1294" t="s">
        <v>291</v>
      </c>
      <c r="G18" s="1295"/>
      <c r="H18" s="1300" t="str">
        <f>IF(H17="","",E15)</f>
        <v/>
      </c>
      <c r="I18" s="1301"/>
    </row>
    <row r="19" spans="1:9" ht="12" customHeight="1" x14ac:dyDescent="0.25">
      <c r="A19" s="109"/>
      <c r="B19" s="109"/>
      <c r="C19" s="231"/>
      <c r="D19" s="233"/>
      <c r="E19" s="109"/>
      <c r="F19" s="1294" t="s">
        <v>292</v>
      </c>
      <c r="G19" s="1295"/>
      <c r="H19" s="1296" t="str">
        <f>IF(H18="","",Grundlagen!C26)</f>
        <v/>
      </c>
      <c r="I19" s="1297"/>
    </row>
    <row r="20" spans="1:9" ht="12" customHeight="1" x14ac:dyDescent="0.25">
      <c r="A20" s="109"/>
      <c r="B20" s="109"/>
      <c r="C20" s="231"/>
      <c r="D20" s="233"/>
      <c r="E20" s="109"/>
      <c r="F20" s="1294" t="s">
        <v>293</v>
      </c>
      <c r="G20" s="1295"/>
      <c r="H20" s="1298" t="str">
        <f>IF(H17="","",H17/H18/H19)</f>
        <v/>
      </c>
      <c r="I20" s="1299"/>
    </row>
    <row r="21" spans="1:9" ht="12.75" customHeight="1" x14ac:dyDescent="0.25">
      <c r="A21" s="231"/>
      <c r="B21" s="232"/>
      <c r="C21" s="231"/>
      <c r="D21" s="233"/>
      <c r="E21" s="234"/>
      <c r="F21" s="234"/>
      <c r="G21" s="235"/>
    </row>
    <row r="22" spans="1:9" x14ac:dyDescent="0.25">
      <c r="A22" s="201" t="s">
        <v>294</v>
      </c>
      <c r="B22" s="221"/>
      <c r="C22" s="221"/>
      <c r="D22" s="221"/>
      <c r="E22" s="221"/>
      <c r="F22" s="221"/>
      <c r="G22" s="221"/>
    </row>
    <row r="23" spans="1:9" x14ac:dyDescent="0.25">
      <c r="A23" s="1279"/>
      <c r="B23" s="1280"/>
      <c r="C23" s="1280"/>
      <c r="D23" s="1280"/>
      <c r="E23" s="1280"/>
      <c r="F23" s="1280"/>
      <c r="G23" s="1280"/>
      <c r="H23" s="1280"/>
      <c r="I23" s="1281"/>
    </row>
    <row r="24" spans="1:9" ht="27.75" customHeight="1" x14ac:dyDescent="0.25">
      <c r="A24" s="236" t="s">
        <v>283</v>
      </c>
      <c r="B24" s="223" t="s">
        <v>284</v>
      </c>
      <c r="C24" s="222" t="s">
        <v>656</v>
      </c>
      <c r="D24" s="237" t="s">
        <v>285</v>
      </c>
      <c r="E24" s="238" t="str">
        <f>IF(Platzkosten!$R$20=0,"",(IF(H29="","",Platzkosten!$R$20)))</f>
        <v/>
      </c>
      <c r="F24" s="1298" t="str">
        <f>IF(E24="","",H32)</f>
        <v/>
      </c>
      <c r="G24" s="1299"/>
      <c r="H24" s="1298" t="str">
        <f>IF(F24="","",F24*H31*E24)</f>
        <v/>
      </c>
      <c r="I24" s="1299"/>
    </row>
    <row r="25" spans="1:9" ht="27.75" customHeight="1" x14ac:dyDescent="0.25">
      <c r="A25" s="222" t="s">
        <v>283</v>
      </c>
      <c r="B25" s="223" t="s">
        <v>286</v>
      </c>
      <c r="C25" s="222" t="s">
        <v>656</v>
      </c>
      <c r="D25" s="224" t="s">
        <v>285</v>
      </c>
      <c r="E25" s="225" t="str">
        <f>IF(Platzkosten!$R$37=0,"",(IF(H29="","",Platzkosten!$R$37)))</f>
        <v/>
      </c>
      <c r="F25" s="1298" t="str">
        <f>IF(E25="","",H32)</f>
        <v/>
      </c>
      <c r="G25" s="1299"/>
      <c r="H25" s="1298" t="str">
        <f>IF(F25="","",F25*H31*E25)</f>
        <v/>
      </c>
      <c r="I25" s="1299"/>
    </row>
    <row r="26" spans="1:9" ht="27.75" customHeight="1" x14ac:dyDescent="0.25">
      <c r="A26" s="222" t="s">
        <v>287</v>
      </c>
      <c r="B26" s="223" t="s">
        <v>288</v>
      </c>
      <c r="C26" s="222" t="s">
        <v>287</v>
      </c>
      <c r="D26" s="224" t="s">
        <v>289</v>
      </c>
      <c r="E26" s="225" t="str">
        <f>IF(Platzkosten!$R$56=0,"",(IF(H29="","",Platzkosten!$R$56)))</f>
        <v/>
      </c>
      <c r="F26" s="1298" t="str">
        <f>IF(E26="","",H32)</f>
        <v/>
      </c>
      <c r="G26" s="1299"/>
      <c r="H26" s="1298" t="str">
        <f>IF(F26="","",F26*H31*E26)</f>
        <v/>
      </c>
      <c r="I26" s="1299"/>
    </row>
    <row r="27" spans="1:9" ht="27.75" customHeight="1" x14ac:dyDescent="0.25">
      <c r="A27" s="228"/>
      <c r="B27" s="227"/>
      <c r="C27" s="228"/>
      <c r="D27" s="229"/>
      <c r="E27" s="225" t="str">
        <f>IF(SUM(E24:E26)=0,"",SUM(E24:E26))</f>
        <v/>
      </c>
      <c r="F27" s="230"/>
      <c r="G27" s="109"/>
      <c r="H27" s="1298" t="str">
        <f>IF(SUM(H24:H26)=0,"",SUM(H24:H26))</f>
        <v/>
      </c>
      <c r="I27" s="1299"/>
    </row>
    <row r="28" spans="1:9" ht="12" customHeight="1" x14ac:dyDescent="0.25">
      <c r="A28" s="231"/>
      <c r="B28" s="232"/>
      <c r="C28" s="231"/>
      <c r="D28" s="232"/>
      <c r="E28" s="232"/>
      <c r="F28" s="109"/>
      <c r="G28" s="109"/>
    </row>
    <row r="29" spans="1:9" ht="12" customHeight="1" x14ac:dyDescent="0.25">
      <c r="A29" s="109"/>
      <c r="B29" s="109"/>
      <c r="C29" s="231"/>
      <c r="D29" s="233"/>
      <c r="E29" s="109"/>
      <c r="F29" s="1294" t="s">
        <v>290</v>
      </c>
      <c r="G29" s="1295"/>
      <c r="H29" s="1275" t="str">
        <f>IF('INTERN Personal- und Sachkosten'!B51=0,"",('INTERN Personal- und Sachkosten'!B51))</f>
        <v/>
      </c>
      <c r="I29" s="1277"/>
    </row>
    <row r="30" spans="1:9" ht="12" customHeight="1" x14ac:dyDescent="0.25">
      <c r="A30" s="109"/>
      <c r="B30" s="109"/>
      <c r="C30" s="231"/>
      <c r="D30" s="233"/>
      <c r="E30" s="109"/>
      <c r="F30" s="1294" t="s">
        <v>291</v>
      </c>
      <c r="G30" s="1295"/>
      <c r="H30" s="1300" t="str">
        <f>IF(H29="","",E27)</f>
        <v/>
      </c>
      <c r="I30" s="1301"/>
    </row>
    <row r="31" spans="1:9" ht="12" customHeight="1" x14ac:dyDescent="0.25">
      <c r="A31" s="109"/>
      <c r="B31" s="109"/>
      <c r="C31" s="231"/>
      <c r="D31" s="233"/>
      <c r="E31" s="109"/>
      <c r="F31" s="1294" t="s">
        <v>292</v>
      </c>
      <c r="G31" s="1295"/>
      <c r="H31" s="1296" t="str">
        <f>IF(H30="","",Grundlagen!C26)</f>
        <v/>
      </c>
      <c r="I31" s="1297"/>
    </row>
    <row r="32" spans="1:9" ht="12" customHeight="1" x14ac:dyDescent="0.25">
      <c r="A32" s="109"/>
      <c r="B32" s="109"/>
      <c r="C32" s="231"/>
      <c r="D32" s="233"/>
      <c r="E32" s="109"/>
      <c r="F32" s="1294" t="s">
        <v>293</v>
      </c>
      <c r="G32" s="1295"/>
      <c r="H32" s="1298" t="str">
        <f>IF(H29="","",H29/H30/H31)</f>
        <v/>
      </c>
      <c r="I32" s="1299"/>
    </row>
    <row r="33" spans="1:9" ht="12.75" customHeight="1" x14ac:dyDescent="0.25">
      <c r="A33" s="231"/>
      <c r="B33" s="232"/>
      <c r="C33" s="231"/>
      <c r="D33" s="233"/>
      <c r="E33" s="234"/>
      <c r="F33" s="234"/>
      <c r="G33" s="235"/>
    </row>
    <row r="34" spans="1:9" x14ac:dyDescent="0.25">
      <c r="A34" s="231"/>
      <c r="D34" s="233"/>
      <c r="F34" s="234"/>
      <c r="G34" s="234"/>
    </row>
    <row r="35" spans="1:9" x14ac:dyDescent="0.25">
      <c r="A35" s="201" t="s">
        <v>273</v>
      </c>
      <c r="B35" s="221"/>
      <c r="C35" s="221"/>
      <c r="D35" s="221"/>
      <c r="E35" s="221"/>
      <c r="F35" s="221"/>
      <c r="G35" s="221"/>
    </row>
    <row r="36" spans="1:9" x14ac:dyDescent="0.25">
      <c r="A36" s="1279"/>
      <c r="B36" s="1280"/>
      <c r="C36" s="1280"/>
      <c r="D36" s="1280"/>
      <c r="E36" s="1280"/>
      <c r="F36" s="1280"/>
      <c r="G36" s="1280"/>
      <c r="H36" s="1280"/>
      <c r="I36" s="1281"/>
    </row>
    <row r="37" spans="1:9" ht="27.75" customHeight="1" x14ac:dyDescent="0.25">
      <c r="A37" s="236" t="s">
        <v>283</v>
      </c>
      <c r="B37" s="242" t="s">
        <v>284</v>
      </c>
      <c r="C37" s="236" t="s">
        <v>656</v>
      </c>
      <c r="D37" s="237" t="s">
        <v>285</v>
      </c>
      <c r="E37" s="238" t="str">
        <f>IF(Platzkosten!$R$20=0,"",(IF(H42="","",Platzkosten!$R$20)))</f>
        <v/>
      </c>
      <c r="F37" s="1298" t="str">
        <f>IF(E37="","",H45)</f>
        <v/>
      </c>
      <c r="G37" s="1299"/>
      <c r="H37" s="1298" t="str">
        <f>IF(F37="","",F37*H44*E37)</f>
        <v/>
      </c>
      <c r="I37" s="1299"/>
    </row>
    <row r="38" spans="1:9" ht="27.75" customHeight="1" x14ac:dyDescent="0.25">
      <c r="A38" s="222" t="s">
        <v>283</v>
      </c>
      <c r="B38" s="223" t="s">
        <v>286</v>
      </c>
      <c r="C38" s="222" t="s">
        <v>656</v>
      </c>
      <c r="D38" s="224" t="s">
        <v>285</v>
      </c>
      <c r="E38" s="225" t="str">
        <f>IF(Platzkosten!$R$37=0,"",(IF(H42="","",Platzkosten!$R$37)))</f>
        <v/>
      </c>
      <c r="F38" s="1298" t="str">
        <f>IF(E38="","",H45)</f>
        <v/>
      </c>
      <c r="G38" s="1299"/>
      <c r="H38" s="1298" t="str">
        <f>IF(F38="","",F38*H44*E38)</f>
        <v/>
      </c>
      <c r="I38" s="1299"/>
    </row>
    <row r="39" spans="1:9" ht="27.75" customHeight="1" x14ac:dyDescent="0.25">
      <c r="A39" s="222" t="s">
        <v>287</v>
      </c>
      <c r="B39" s="223" t="s">
        <v>288</v>
      </c>
      <c r="C39" s="222" t="s">
        <v>287</v>
      </c>
      <c r="D39" s="224" t="s">
        <v>289</v>
      </c>
      <c r="E39" s="225" t="str">
        <f>IF(Platzkosten!$R$56=0,"",(IF(H42="","",Platzkosten!$R$56)))</f>
        <v/>
      </c>
      <c r="F39" s="1298" t="str">
        <f>IF(E39="","",H45)</f>
        <v/>
      </c>
      <c r="G39" s="1299"/>
      <c r="H39" s="1298" t="str">
        <f>IF(F39="","",F39*H44*E39)</f>
        <v/>
      </c>
      <c r="I39" s="1299"/>
    </row>
    <row r="40" spans="1:9" ht="27.75" customHeight="1" x14ac:dyDescent="0.25">
      <c r="A40" s="226"/>
      <c r="B40" s="227"/>
      <c r="C40" s="228"/>
      <c r="D40" s="229"/>
      <c r="E40" s="225" t="str">
        <f>IF(SUM(E37:E39)=0,"",SUM(E37:E39))</f>
        <v/>
      </c>
      <c r="F40" s="230"/>
      <c r="H40" s="1298" t="str">
        <f>IF(SUM(H37:H39)=0,"",SUM(H37:H39))</f>
        <v/>
      </c>
      <c r="I40" s="1299"/>
    </row>
    <row r="41" spans="1:9" ht="12" customHeight="1" x14ac:dyDescent="0.25">
      <c r="A41" s="231"/>
      <c r="B41" s="232"/>
      <c r="C41" s="231"/>
      <c r="D41" s="232"/>
      <c r="E41" s="232"/>
      <c r="F41" s="109"/>
    </row>
    <row r="42" spans="1:9" ht="12" customHeight="1" x14ac:dyDescent="0.25">
      <c r="C42" s="231"/>
      <c r="D42" s="233"/>
      <c r="F42" s="1294" t="s">
        <v>290</v>
      </c>
      <c r="G42" s="1295"/>
      <c r="H42" s="1275" t="str">
        <f>IF('INTERN Personal- und Sachkosten'!B53=0,"",('INTERN Personal- und Sachkosten'!B53))</f>
        <v/>
      </c>
      <c r="I42" s="1277"/>
    </row>
    <row r="43" spans="1:9" ht="12" customHeight="1" x14ac:dyDescent="0.25">
      <c r="C43" s="231"/>
      <c r="D43" s="233"/>
      <c r="F43" s="1294" t="s">
        <v>291</v>
      </c>
      <c r="G43" s="1295"/>
      <c r="H43" s="1300" t="str">
        <f>IF(E40="","",E40)</f>
        <v/>
      </c>
      <c r="I43" s="1301"/>
    </row>
    <row r="44" spans="1:9" ht="12" customHeight="1" x14ac:dyDescent="0.25">
      <c r="C44" s="231"/>
      <c r="D44" s="233"/>
      <c r="F44" s="1294" t="s">
        <v>292</v>
      </c>
      <c r="G44" s="1295"/>
      <c r="H44" s="1296" t="str">
        <f>IF(H43="","",Grundlagen!C26)</f>
        <v/>
      </c>
      <c r="I44" s="1297"/>
    </row>
    <row r="45" spans="1:9" ht="12" customHeight="1" x14ac:dyDescent="0.25">
      <c r="C45" s="231"/>
      <c r="D45" s="233"/>
      <c r="F45" s="1294" t="s">
        <v>293</v>
      </c>
      <c r="G45" s="1295"/>
      <c r="H45" s="1298" t="str">
        <f>IF(H42="","",H42/H43/H44)</f>
        <v/>
      </c>
      <c r="I45" s="1299"/>
    </row>
    <row r="46" spans="1:9" x14ac:dyDescent="0.25">
      <c r="H46" s="239"/>
    </row>
    <row r="47" spans="1:9" x14ac:dyDescent="0.25">
      <c r="H47" s="239"/>
    </row>
    <row r="48" spans="1:9" ht="27.75" customHeight="1" x14ac:dyDescent="0.25">
      <c r="A48" s="244"/>
      <c r="B48" s="244"/>
      <c r="C48" s="244"/>
      <c r="D48" s="244"/>
      <c r="E48" s="244"/>
      <c r="G48" s="245" t="s">
        <v>284</v>
      </c>
      <c r="H48" s="1298">
        <f>IF(H12="",0,H12)+IF(H24="",0,H24)++IF(H37="",0,H37)</f>
        <v>0</v>
      </c>
      <c r="I48" s="1299"/>
    </row>
    <row r="49" spans="1:9" ht="27.75" customHeight="1" x14ac:dyDescent="0.25">
      <c r="A49" s="244"/>
      <c r="B49" s="244"/>
      <c r="C49" s="244"/>
      <c r="D49" s="244"/>
      <c r="E49" s="244"/>
      <c r="G49" s="245" t="s">
        <v>286</v>
      </c>
      <c r="H49" s="1298">
        <f>IF(H13="",0,H13)+IF(H25="",0,H25)+IF(H38="",0,H38)</f>
        <v>0</v>
      </c>
      <c r="I49" s="1299"/>
    </row>
    <row r="50" spans="1:9" ht="27.75" customHeight="1" thickBot="1" x14ac:dyDescent="0.3">
      <c r="A50" s="244"/>
      <c r="B50" s="244"/>
      <c r="C50" s="244"/>
      <c r="D50" s="244"/>
      <c r="E50" s="244"/>
      <c r="G50" s="245" t="s">
        <v>288</v>
      </c>
      <c r="H50" s="1304">
        <f>IF(H14="",0,H14)+IF(H26="",0,H26)+IF(H39="",0,H39)</f>
        <v>0</v>
      </c>
      <c r="I50" s="1305"/>
    </row>
    <row r="51" spans="1:9" ht="27.75" customHeight="1" thickBot="1" x14ac:dyDescent="0.3">
      <c r="A51" s="244"/>
      <c r="B51" s="244"/>
      <c r="C51" s="244"/>
      <c r="D51" s="244"/>
      <c r="E51" s="244"/>
      <c r="F51" s="244"/>
      <c r="H51" s="1302">
        <f>SUM(H48:H50)</f>
        <v>0</v>
      </c>
      <c r="I51" s="1303"/>
    </row>
    <row r="170" spans="1:7" x14ac:dyDescent="0.25">
      <c r="A170" s="109"/>
      <c r="B170" s="109"/>
      <c r="C170" s="109"/>
      <c r="D170" s="109"/>
      <c r="E170" s="109"/>
      <c r="F170" s="109"/>
      <c r="G170" s="109"/>
    </row>
  </sheetData>
  <mergeCells count="64">
    <mergeCell ref="H51:I51"/>
    <mergeCell ref="H40:I40"/>
    <mergeCell ref="F42:G42"/>
    <mergeCell ref="H42:I42"/>
    <mergeCell ref="F43:G43"/>
    <mergeCell ref="H43:I43"/>
    <mergeCell ref="F44:G44"/>
    <mergeCell ref="H44:I44"/>
    <mergeCell ref="F45:G45"/>
    <mergeCell ref="H45:I45"/>
    <mergeCell ref="H48:I48"/>
    <mergeCell ref="H49:I49"/>
    <mergeCell ref="H50:I50"/>
    <mergeCell ref="F39:G39"/>
    <mergeCell ref="H39:I39"/>
    <mergeCell ref="A36:I36"/>
    <mergeCell ref="F37:G37"/>
    <mergeCell ref="H37:I37"/>
    <mergeCell ref="F38:G38"/>
    <mergeCell ref="H38:I38"/>
    <mergeCell ref="F31:G31"/>
    <mergeCell ref="H31:I31"/>
    <mergeCell ref="F32:G32"/>
    <mergeCell ref="H32:I32"/>
    <mergeCell ref="F30:G30"/>
    <mergeCell ref="H30:I30"/>
    <mergeCell ref="F20:G20"/>
    <mergeCell ref="H20:I20"/>
    <mergeCell ref="A23:I23"/>
    <mergeCell ref="F24:G24"/>
    <mergeCell ref="H24:I24"/>
    <mergeCell ref="F25:G25"/>
    <mergeCell ref="H25:I25"/>
    <mergeCell ref="F26:G26"/>
    <mergeCell ref="H26:I26"/>
    <mergeCell ref="H27:I27"/>
    <mergeCell ref="F29:G29"/>
    <mergeCell ref="H29:I29"/>
    <mergeCell ref="F19:G19"/>
    <mergeCell ref="H19:I19"/>
    <mergeCell ref="A11:I11"/>
    <mergeCell ref="F12:G12"/>
    <mergeCell ref="H12:I12"/>
    <mergeCell ref="F13:G13"/>
    <mergeCell ref="H13:I13"/>
    <mergeCell ref="F14:G14"/>
    <mergeCell ref="H14:I14"/>
    <mergeCell ref="H15:I15"/>
    <mergeCell ref="F17:G17"/>
    <mergeCell ref="H17:I17"/>
    <mergeCell ref="F18:G18"/>
    <mergeCell ref="H18:I18"/>
    <mergeCell ref="H5:I8"/>
    <mergeCell ref="A1:B1"/>
    <mergeCell ref="A2:B2"/>
    <mergeCell ref="C2:I2"/>
    <mergeCell ref="A3:B3"/>
    <mergeCell ref="C3:I3"/>
    <mergeCell ref="A5:A8"/>
    <mergeCell ref="B5:B8"/>
    <mergeCell ref="C5:C7"/>
    <mergeCell ref="E5:E8"/>
    <mergeCell ref="F5:G8"/>
    <mergeCell ref="C1:E1"/>
  </mergeCells>
  <printOptions horizontalCentered="1"/>
  <pageMargins left="0.78740157480314965" right="0.78740157480314965" top="0.98425196850393704" bottom="0.59055118110236227"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3" tint="0.39997558519241921"/>
  </sheetPr>
  <dimension ref="A1:X144"/>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ustomWidth="1"/>
    <col min="13" max="13" width="10.28515625" style="1" customWidth="1"/>
    <col min="14" max="14" width="11.140625" style="1" customWidth="1"/>
    <col min="15" max="15" width="11.5703125" style="1" customWidth="1"/>
    <col min="16" max="16" width="10.7109375" style="1" customWidth="1"/>
    <col min="17" max="17" width="17.140625" style="1" hidden="1" customWidth="1"/>
    <col min="18" max="19" width="11.42578125" style="1" hidden="1" customWidth="1"/>
    <col min="20" max="20" width="0" style="1" hidden="1" customWidth="1"/>
    <col min="21" max="21" width="11.42578125" style="1" hidden="1" customWidth="1"/>
    <col min="22" max="24" width="0" style="1" hidden="1" customWidth="1"/>
    <col min="25" max="16384" width="11.42578125" style="1"/>
  </cols>
  <sheetData>
    <row r="1" spans="1:20" s="10" customFormat="1" ht="13.5" customHeight="1" x14ac:dyDescent="0.2">
      <c r="A1" s="1321" t="s">
        <v>17</v>
      </c>
      <c r="B1" s="1321"/>
      <c r="C1" s="1321"/>
      <c r="D1" s="1320" t="str">
        <f>IF(Grundlagen!$C$6="","",Grundlagen!$C$6)</f>
        <v/>
      </c>
      <c r="E1" s="1320"/>
      <c r="F1" s="1320"/>
      <c r="G1" s="1320"/>
      <c r="H1" s="1320"/>
      <c r="I1" s="1320"/>
      <c r="J1" s="1320"/>
      <c r="K1" s="1320"/>
      <c r="L1" s="1320"/>
      <c r="M1" s="1320"/>
      <c r="N1" s="1320"/>
    </row>
    <row r="2" spans="1:20" s="10" customFormat="1" ht="15" customHeight="1" x14ac:dyDescent="0.2">
      <c r="A2" s="1321" t="s">
        <v>16</v>
      </c>
      <c r="B2" s="1321"/>
      <c r="C2" s="1321" t="s">
        <v>14</v>
      </c>
      <c r="D2" s="1320" t="str">
        <f>IF(Grundlagen!$C$9="","",Grundlagen!$C$9)</f>
        <v/>
      </c>
      <c r="E2" s="1320"/>
      <c r="F2" s="1320"/>
      <c r="G2" s="1320"/>
      <c r="H2" s="1320"/>
      <c r="I2" s="1320"/>
      <c r="J2" s="1320"/>
      <c r="K2" s="1320"/>
      <c r="L2" s="1320"/>
      <c r="M2" s="1320"/>
      <c r="N2" s="1320"/>
    </row>
    <row r="3" spans="1:20" s="10" customFormat="1" ht="15" customHeight="1" x14ac:dyDescent="0.2">
      <c r="A3" s="1321" t="s">
        <v>15</v>
      </c>
      <c r="B3" s="1321"/>
      <c r="C3" s="1321" t="s">
        <v>14</v>
      </c>
      <c r="D3" s="1320" t="str">
        <f>IF(Grundlagen!$C$13="","",Grundlagen!$C$13)</f>
        <v/>
      </c>
      <c r="E3" s="1320"/>
      <c r="F3" s="1320"/>
      <c r="G3" s="1320"/>
      <c r="H3" s="1320"/>
      <c r="I3" s="1320"/>
      <c r="J3" s="1320"/>
      <c r="K3" s="1321" t="s">
        <v>100</v>
      </c>
      <c r="L3" s="1321"/>
      <c r="M3" s="1321"/>
      <c r="N3" s="38" t="str">
        <f>IF(Grundlagen!$C$16="","",Grundlagen!$C$16)</f>
        <v/>
      </c>
    </row>
    <row r="4" spans="1:20" s="923" customFormat="1" ht="7.5" customHeight="1" x14ac:dyDescent="0.15">
      <c r="A4" s="1353"/>
      <c r="B4" s="1353"/>
      <c r="C4" s="1353"/>
      <c r="D4" s="1354"/>
      <c r="E4" s="1354"/>
      <c r="F4" s="1354"/>
      <c r="G4" s="1354"/>
      <c r="H4" s="1354"/>
      <c r="I4" s="1354"/>
      <c r="J4" s="1354"/>
      <c r="K4" s="922"/>
      <c r="L4" s="922"/>
      <c r="M4" s="922"/>
      <c r="N4" s="922"/>
      <c r="O4" s="922"/>
      <c r="P4" s="922"/>
    </row>
    <row r="5" spans="1:20" s="13" customFormat="1" ht="13.5" customHeight="1" x14ac:dyDescent="0.2">
      <c r="A5" s="1355" t="s">
        <v>19</v>
      </c>
      <c r="B5" s="1355"/>
      <c r="C5" s="1355"/>
      <c r="D5" s="1355"/>
      <c r="E5" s="1355"/>
      <c r="F5" s="1355"/>
      <c r="G5" s="1355"/>
      <c r="H5" s="1355"/>
      <c r="I5" s="1355"/>
      <c r="J5" s="1355"/>
      <c r="K5" s="7"/>
      <c r="L5" s="7"/>
      <c r="M5" s="7"/>
      <c r="N5" s="52"/>
      <c r="O5" s="814">
        <f>Grundlagen!$C$4</f>
        <v>2025</v>
      </c>
      <c r="P5" s="52" t="s">
        <v>140</v>
      </c>
    </row>
    <row r="6" spans="1:20" s="8" customFormat="1" ht="13.5" customHeight="1" x14ac:dyDescent="0.25">
      <c r="B6" s="29"/>
      <c r="C6" s="29"/>
      <c r="D6" s="3" t="s">
        <v>20</v>
      </c>
      <c r="E6" s="3"/>
      <c r="F6" s="28"/>
      <c r="G6" s="28"/>
      <c r="H6" s="28"/>
      <c r="I6" s="24"/>
      <c r="K6" s="1327" t="s">
        <v>13</v>
      </c>
      <c r="L6" s="1327"/>
      <c r="M6" s="131"/>
      <c r="O6" s="928" t="str">
        <f>A29</f>
        <v>Jan 2025</v>
      </c>
      <c r="P6" s="1402">
        <f>IF(M8="","",M8)</f>
        <v>0</v>
      </c>
    </row>
    <row r="7" spans="1:20" s="5" customFormat="1" ht="13.5" customHeight="1" x14ac:dyDescent="0.25">
      <c r="A7" s="1328" t="s">
        <v>754</v>
      </c>
      <c r="B7" s="1328"/>
      <c r="C7" s="1328"/>
      <c r="D7" s="1329"/>
      <c r="E7" s="1329"/>
      <c r="F7" s="1329"/>
      <c r="G7" s="1329"/>
      <c r="H7" s="1329"/>
      <c r="I7" s="1329"/>
      <c r="K7" s="1327" t="s">
        <v>101</v>
      </c>
      <c r="L7" s="1327"/>
      <c r="M7" s="101"/>
      <c r="O7" s="928" t="str">
        <f t="shared" ref="O7:O17" si="0">A30</f>
        <v>Feb 2025</v>
      </c>
      <c r="P7" s="1403">
        <f>IF(P6="","",P6)</f>
        <v>0</v>
      </c>
    </row>
    <row r="8" spans="1:20" ht="13.5" customHeight="1" x14ac:dyDescent="0.2">
      <c r="A8" s="1328" t="s">
        <v>12</v>
      </c>
      <c r="B8" s="1328"/>
      <c r="C8" s="1328"/>
      <c r="D8" s="1345"/>
      <c r="E8" s="1345"/>
      <c r="F8" s="1345"/>
      <c r="G8" s="1345"/>
      <c r="H8" s="1345"/>
      <c r="I8" s="1345"/>
      <c r="K8" s="1327" t="s">
        <v>102</v>
      </c>
      <c r="L8" s="1327"/>
      <c r="M8" s="122">
        <f>IF(Grundlagen!$C$60&lt;=(M7-M9),Grundlagen!$C$60,IF(Grundlagen!$C$60&gt;=(M7-M9),(M7-M9),IF(IF((M56+M101)=0,Grundlagen!$C$60,Grundlagen!$C$60-(M56+M101))&lt;0,0,IF((M56+M101)=0,Grundlagen!$C$60,Grundlagen!$C$60-(M56+M101)))))</f>
        <v>0</v>
      </c>
      <c r="O8" s="928" t="str">
        <f t="shared" si="0"/>
        <v>Mrz 2025</v>
      </c>
      <c r="P8" s="1403">
        <f>IF(P7="","",P7)</f>
        <v>0</v>
      </c>
    </row>
    <row r="9" spans="1:20" ht="13.5" customHeight="1" x14ac:dyDescent="0.2">
      <c r="A9" s="1328" t="s">
        <v>11</v>
      </c>
      <c r="B9" s="1328"/>
      <c r="C9" s="1328"/>
      <c r="D9" s="1345"/>
      <c r="E9" s="1345"/>
      <c r="F9" s="1345"/>
      <c r="G9" s="1345"/>
      <c r="H9" s="1345"/>
      <c r="I9" s="1345"/>
      <c r="J9" s="1313" t="s">
        <v>655</v>
      </c>
      <c r="K9" s="1313"/>
      <c r="L9" s="1313"/>
      <c r="M9" s="123"/>
      <c r="O9" s="928" t="str">
        <f t="shared" si="0"/>
        <v>Apr 2025</v>
      </c>
      <c r="P9" s="1403">
        <f>IF(P8="","",P8)</f>
        <v>0</v>
      </c>
    </row>
    <row r="10" spans="1:20" ht="13.5" customHeight="1" x14ac:dyDescent="0.2">
      <c r="A10" s="1328" t="s">
        <v>18</v>
      </c>
      <c r="B10" s="1328"/>
      <c r="C10" s="1328"/>
      <c r="D10" s="1345"/>
      <c r="E10" s="1345"/>
      <c r="F10" s="1345"/>
      <c r="G10" s="1345"/>
      <c r="H10" s="1345"/>
      <c r="I10" s="1345"/>
      <c r="K10" s="1327" t="s">
        <v>94</v>
      </c>
      <c r="L10" s="1327"/>
      <c r="M10" s="15" t="str">
        <f>IF(IF((COUNTIF(B29:B40,"&gt;0"))=0,0,(COUNTIF(B29:B40,"&gt;0")))&gt;Grundlagen!$C$26,Grundlagen!$C$26,IF((COUNTIF(B29:B40,"&gt;0"))=0,"",(COUNTIF(B29:B40,"&gt;0"))))</f>
        <v/>
      </c>
      <c r="O10" s="928" t="str">
        <f t="shared" si="0"/>
        <v>Mai 2025</v>
      </c>
      <c r="P10" s="1403">
        <f t="shared" ref="P10:P11" si="1">IF(P9="","",P9)</f>
        <v>0</v>
      </c>
    </row>
    <row r="11" spans="1:20" ht="13.5" customHeight="1" x14ac:dyDescent="0.2">
      <c r="B11" s="6"/>
      <c r="C11" s="78" t="s">
        <v>147</v>
      </c>
      <c r="D11" s="1324"/>
      <c r="E11" s="1324"/>
      <c r="F11" s="1359" t="s">
        <v>103</v>
      </c>
      <c r="G11" s="1359"/>
      <c r="H11" s="1324"/>
      <c r="I11" s="1324"/>
      <c r="M11" s="102" t="str">
        <f>IF((SUM(F14:F17))=0,"",IF(P18&gt;M7,M7,IF(M7="","",IF(M10="","",P18))))</f>
        <v/>
      </c>
      <c r="O11" s="928" t="str">
        <f t="shared" si="0"/>
        <v>Jun 2025</v>
      </c>
      <c r="P11" s="1403">
        <f t="shared" si="1"/>
        <v>0</v>
      </c>
    </row>
    <row r="12" spans="1:20" ht="13.5" customHeight="1" x14ac:dyDescent="0.2">
      <c r="O12" s="928" t="str">
        <f t="shared" si="0"/>
        <v>Jul 2025</v>
      </c>
      <c r="P12" s="1403">
        <f>IF(P11="","",P11)</f>
        <v>0</v>
      </c>
    </row>
    <row r="13" spans="1:20" s="46" customFormat="1" ht="13.5" customHeight="1" x14ac:dyDescent="0.2">
      <c r="A13" s="54" t="s">
        <v>134</v>
      </c>
      <c r="B13" s="1356" t="s">
        <v>135</v>
      </c>
      <c r="C13" s="1356"/>
      <c r="D13" s="55" t="s">
        <v>136</v>
      </c>
      <c r="E13" s="56" t="s">
        <v>137</v>
      </c>
      <c r="F13" s="57" t="str">
        <f>CONCATENATE("Entg. ",N3," h/Wo")</f>
        <v>Entg.  h/Wo</v>
      </c>
      <c r="G13" s="58" t="s">
        <v>138</v>
      </c>
      <c r="H13" s="58"/>
      <c r="I13" s="967" t="s">
        <v>139</v>
      </c>
      <c r="J13" s="56"/>
      <c r="K13" s="56"/>
      <c r="L13" s="56"/>
      <c r="M13" s="56"/>
      <c r="O13" s="928" t="str">
        <f t="shared" si="0"/>
        <v>Aug 2025</v>
      </c>
      <c r="P13" s="1403">
        <f t="shared" ref="P13:P17" si="2">IF(P12="","",P12)</f>
        <v>0</v>
      </c>
      <c r="T13" s="109"/>
    </row>
    <row r="14" spans="1:20" s="46" customFormat="1" ht="13.5" customHeight="1" x14ac:dyDescent="0.25">
      <c r="A14" s="48" t="str">
        <f>A29</f>
        <v>Jan 2025</v>
      </c>
      <c r="B14" s="1357" t="str">
        <f>IF(D3="","",D3)</f>
        <v/>
      </c>
      <c r="C14" s="1358"/>
      <c r="D14" s="132"/>
      <c r="E14" s="132"/>
      <c r="F14" s="71"/>
      <c r="G14" s="50">
        <f>IF(N3="",0,F14/N3/4.348)</f>
        <v>0</v>
      </c>
      <c r="I14" s="47">
        <f>SUM(J14:M14)</f>
        <v>0</v>
      </c>
      <c r="J14" s="124"/>
      <c r="K14" s="124"/>
      <c r="L14" s="124"/>
      <c r="M14" s="124"/>
      <c r="O14" s="928" t="str">
        <f t="shared" si="0"/>
        <v>Sep 2025</v>
      </c>
      <c r="P14" s="1403">
        <f t="shared" si="2"/>
        <v>0</v>
      </c>
      <c r="T14" s="107"/>
    </row>
    <row r="15" spans="1:20" s="46" customFormat="1" ht="13.5" customHeight="1" x14ac:dyDescent="0.25">
      <c r="A15" s="49"/>
      <c r="B15" s="1322"/>
      <c r="C15" s="1323"/>
      <c r="D15" s="132"/>
      <c r="E15" s="132"/>
      <c r="F15" s="71"/>
      <c r="G15" s="50">
        <f>IF(N3="",0,F15/N3/4.348)</f>
        <v>0</v>
      </c>
      <c r="I15" s="47">
        <f>SUM(J15:M15)</f>
        <v>0</v>
      </c>
      <c r="J15" s="124"/>
      <c r="K15" s="124"/>
      <c r="L15" s="124"/>
      <c r="M15" s="124"/>
      <c r="O15" s="928" t="str">
        <f t="shared" si="0"/>
        <v>Okt 2025</v>
      </c>
      <c r="P15" s="1403">
        <f t="shared" si="2"/>
        <v>0</v>
      </c>
      <c r="T15" s="107"/>
    </row>
    <row r="16" spans="1:20" s="46" customFormat="1" ht="13.5" customHeight="1" x14ac:dyDescent="0.25">
      <c r="A16" s="49"/>
      <c r="B16" s="1322" t="str">
        <f>IF(A16="","",B15)</f>
        <v/>
      </c>
      <c r="C16" s="1323"/>
      <c r="D16" s="132"/>
      <c r="E16" s="132"/>
      <c r="F16" s="72"/>
      <c r="G16" s="50">
        <f>IF(N3="",0,F16/N3/4.348)</f>
        <v>0</v>
      </c>
      <c r="I16" s="47">
        <f>SUM(J16:M16)</f>
        <v>0</v>
      </c>
      <c r="J16" s="124"/>
      <c r="K16" s="124"/>
      <c r="L16" s="124"/>
      <c r="M16" s="124"/>
      <c r="O16" s="928" t="str">
        <f t="shared" si="0"/>
        <v>Nov 2025</v>
      </c>
      <c r="P16" s="1403">
        <f t="shared" si="2"/>
        <v>0</v>
      </c>
      <c r="T16" s="107"/>
    </row>
    <row r="17" spans="1:22" s="46" customFormat="1" ht="13.5" customHeight="1" x14ac:dyDescent="0.25">
      <c r="A17" s="49"/>
      <c r="B17" s="1322" t="str">
        <f>IF(A17="","",B16)</f>
        <v/>
      </c>
      <c r="C17" s="1323"/>
      <c r="D17" s="132"/>
      <c r="E17" s="132"/>
      <c r="F17" s="71"/>
      <c r="G17" s="50">
        <f>IF(N3="",0,F17/N3/4.348)</f>
        <v>0</v>
      </c>
      <c r="I17" s="47">
        <f>SUM(J17:M17)</f>
        <v>0</v>
      </c>
      <c r="J17" s="124"/>
      <c r="K17" s="124"/>
      <c r="L17" s="124"/>
      <c r="M17" s="124"/>
      <c r="O17" s="928" t="str">
        <f t="shared" si="0"/>
        <v>Dez 2025</v>
      </c>
      <c r="P17" s="1403">
        <f t="shared" si="2"/>
        <v>0</v>
      </c>
      <c r="T17" s="107"/>
    </row>
    <row r="18" spans="1:22" s="46" customFormat="1" ht="13.5" customHeight="1" x14ac:dyDescent="0.25">
      <c r="I18" s="930" t="s">
        <v>730</v>
      </c>
      <c r="J18" s="1050"/>
      <c r="K18" s="1050"/>
      <c r="L18" s="1050"/>
      <c r="M18" s="1050"/>
      <c r="O18" s="126" t="s">
        <v>221</v>
      </c>
      <c r="P18" s="127">
        <f>IF(M10="",0,((IF(SUMIF(B29,"&gt;0"),P6,0))+(IF(SUMIF(B30,"&gt;0"),P7,0))+(IF(SUMIF(B31,"&gt;0"),P8,0))+(IF(SUMIF(B32,"&gt;0"),P9,0))+(IF(SUMIF(B33,"&gt;0"),P10,0))+(IF(SUMIF(B34,"&gt;0"),P11,0))+(IF(SUMIF(B35,"&gt;0"),P12,0))+(IF(SUMIF(B36,"&gt;0"),P13,0))+(IF(SUMIF(B37,"&gt;0"),P14,0))+(IF(SUMIF(B38,"&gt;0"),P15,0))+(IF(SUMIF(B39,"&gt;0"),P16,0))+(IF(SUMIF(B40,"&gt;0"),P17,0)))/Grundlagen!$C$26)</f>
        <v>0</v>
      </c>
      <c r="Q18" s="934" t="str">
        <f>CONCATENATE("BBG"," anteilig ",O20)</f>
        <v>BBG anteilig 2025</v>
      </c>
      <c r="R18" s="931" t="s">
        <v>659</v>
      </c>
      <c r="S18" s="931" t="s">
        <v>398</v>
      </c>
      <c r="T18" s="107"/>
    </row>
    <row r="19" spans="1:22" s="46" customFormat="1" ht="13.5" customHeight="1" x14ac:dyDescent="0.2">
      <c r="A19" s="924" t="s">
        <v>732</v>
      </c>
      <c r="D19" s="55" t="s">
        <v>369</v>
      </c>
      <c r="E19" s="56" t="s">
        <v>368</v>
      </c>
      <c r="F19" s="58"/>
      <c r="J19" s="61"/>
      <c r="Q19" s="932" t="s">
        <v>144</v>
      </c>
      <c r="R19" s="140">
        <f>IF(M8=0,R23,IF(M7="",R23,(SUM(R29:R40)/M10)))</f>
        <v>5175</v>
      </c>
      <c r="S19" s="933">
        <f>IF(M8=0,S23,IF(M7="",S23,SUM(R29:R40)))</f>
        <v>0</v>
      </c>
      <c r="T19" s="107"/>
    </row>
    <row r="20" spans="1:22" s="46" customFormat="1" ht="13.5" customHeight="1" x14ac:dyDescent="0.25">
      <c r="A20" s="60"/>
      <c r="B20" s="1314" t="s">
        <v>143</v>
      </c>
      <c r="C20" s="1315"/>
      <c r="D20" s="926"/>
      <c r="E20" s="1404" t="str">
        <f>IF(A20="","",ROUND((((SUM(B35:B37)+SUM(F35:F37))/3)*D20)/Grundlagen!$C$26*M10,2))</f>
        <v/>
      </c>
      <c r="G20" s="941" t="s">
        <v>733</v>
      </c>
      <c r="H20" s="943"/>
      <c r="I20" s="1316" t="str">
        <f>CONCATENATE(R43,":"," Übergangsbereich von ",R44+0.01," €"," bis ",R45," €")</f>
        <v>2025: Übergangsbereich von 556,01 € bis 2000 €</v>
      </c>
      <c r="J20" s="1317"/>
      <c r="K20" s="1317"/>
      <c r="N20" s="917" t="s">
        <v>736</v>
      </c>
      <c r="O20" s="918">
        <f>P20+1</f>
        <v>2025</v>
      </c>
      <c r="P20" s="918" t="s">
        <v>721</v>
      </c>
      <c r="Q20" s="932" t="s">
        <v>145</v>
      </c>
      <c r="R20" s="140">
        <f>IF(M8=0,R24,IF(M7="",R24,(SUM(S29:S40)/M10)))</f>
        <v>7450</v>
      </c>
      <c r="S20" s="933">
        <f>IF(M8=0,S24,IF(M7="",S24,SUM(S29:S40)))</f>
        <v>0</v>
      </c>
      <c r="T20" s="109"/>
    </row>
    <row r="21" spans="1:22" ht="14.25" customHeight="1" x14ac:dyDescent="0.2">
      <c r="A21" s="60"/>
      <c r="B21" s="1314" t="s">
        <v>142</v>
      </c>
      <c r="C21" s="1315"/>
      <c r="D21" s="926"/>
      <c r="E21" s="1404" t="str">
        <f>IF(A21="","",ROUND(((B41+F41)*D21)/Grundlagen!$C$26*M10,2))</f>
        <v/>
      </c>
      <c r="G21" s="941" t="str">
        <f>IF(OR(H20="",H20="nein")=TRUE,"","Faktor (F):")</f>
        <v/>
      </c>
      <c r="H21" s="949" t="str">
        <f>IF(OR(H20="",H20="nein")=TRUE,"",IF(H20="","",R47))</f>
        <v/>
      </c>
      <c r="I21" s="1318" t="str">
        <f>IF(OR(H20="",H20="nein")=TRUE,"",IF(H21="","",CONCATENATE(S47*100,"%"," / ","(",R46*100,"%"," Gesamt-SV-Beitragssatz 2024)")))</f>
        <v/>
      </c>
      <c r="J21" s="1319"/>
      <c r="K21" s="1319"/>
      <c r="N21" s="139" t="s">
        <v>144</v>
      </c>
      <c r="O21" s="1405">
        <f>P21</f>
        <v>5175</v>
      </c>
      <c r="P21" s="141">
        <v>5175</v>
      </c>
      <c r="Q21" s="11"/>
      <c r="R21" s="11"/>
      <c r="S21" s="11"/>
      <c r="T21" s="109"/>
    </row>
    <row r="22" spans="1:22" ht="14.25" customHeight="1" x14ac:dyDescent="0.2">
      <c r="C22" s="925" t="s">
        <v>731</v>
      </c>
      <c r="N22" s="139" t="s">
        <v>145</v>
      </c>
      <c r="O22" s="1405">
        <f>P22</f>
        <v>7450</v>
      </c>
      <c r="P22" s="899">
        <v>7450</v>
      </c>
      <c r="Q22" s="934" t="str">
        <f>CONCATENATE("BBG"," ",O20)</f>
        <v>BBG 2025</v>
      </c>
      <c r="R22" s="11"/>
      <c r="S22" s="11"/>
      <c r="T22" s="109"/>
    </row>
    <row r="23" spans="1:22" ht="14.25" customHeight="1" x14ac:dyDescent="0.2">
      <c r="A23" s="53" t="s">
        <v>141</v>
      </c>
      <c r="B23" s="46"/>
      <c r="C23" s="46"/>
      <c r="D23" s="46"/>
      <c r="E23" s="46"/>
      <c r="F23" s="46"/>
      <c r="G23" s="46"/>
      <c r="H23" s="46"/>
      <c r="I23" s="46"/>
      <c r="J23" s="46"/>
      <c r="K23" s="46"/>
      <c r="L23" s="46"/>
      <c r="M23" s="46"/>
      <c r="N23" s="1360" t="s">
        <v>753</v>
      </c>
      <c r="O23" s="1360"/>
      <c r="P23" s="1360"/>
      <c r="Q23" s="932" t="s">
        <v>144</v>
      </c>
      <c r="R23" s="141">
        <f>IF($O$21="",0,$O$21)</f>
        <v>5175</v>
      </c>
      <c r="S23" s="933">
        <f>R23*IF(M10="",0,M10)</f>
        <v>0</v>
      </c>
      <c r="T23" s="295"/>
    </row>
    <row r="24" spans="1:22" x14ac:dyDescent="0.2">
      <c r="A24" s="1346"/>
      <c r="B24" s="1348" t="s">
        <v>8</v>
      </c>
      <c r="C24" s="1349"/>
      <c r="D24" s="1349"/>
      <c r="E24" s="1349"/>
      <c r="F24" s="1349"/>
      <c r="G24" s="1350"/>
      <c r="H24" s="1351" t="s">
        <v>113</v>
      </c>
      <c r="I24" s="1352"/>
      <c r="J24" s="1352"/>
      <c r="K24" s="1352"/>
      <c r="L24" s="1352"/>
      <c r="M24" s="1352"/>
      <c r="N24" s="1352"/>
      <c r="O24" s="30"/>
      <c r="P24" s="1330" t="s">
        <v>0</v>
      </c>
      <c r="Q24" s="932" t="s">
        <v>145</v>
      </c>
      <c r="R24" s="141">
        <f>IF($O$22="",0,$O$22)</f>
        <v>7450</v>
      </c>
      <c r="S24" s="933">
        <f>R24*IF(M10="",0,M10)</f>
        <v>0</v>
      </c>
      <c r="T24" s="830"/>
    </row>
    <row r="25" spans="1:22" ht="14.25" customHeight="1" x14ac:dyDescent="0.2">
      <c r="A25" s="1347"/>
      <c r="B25" s="1333" t="s">
        <v>111</v>
      </c>
      <c r="C25" s="1335" t="s">
        <v>743</v>
      </c>
      <c r="D25" s="1337" t="s">
        <v>226</v>
      </c>
      <c r="E25" s="1339" t="s">
        <v>133</v>
      </c>
      <c r="F25" s="898" t="s">
        <v>6</v>
      </c>
      <c r="G25" s="1340" t="s">
        <v>5</v>
      </c>
      <c r="H25" s="1339" t="s">
        <v>119</v>
      </c>
      <c r="I25" s="1339" t="s">
        <v>4</v>
      </c>
      <c r="J25" s="1339" t="s">
        <v>3</v>
      </c>
      <c r="K25" s="1339" t="s">
        <v>2</v>
      </c>
      <c r="L25" s="1339" t="s">
        <v>114</v>
      </c>
      <c r="M25" s="1339" t="s">
        <v>115</v>
      </c>
      <c r="N25" s="1339" t="s">
        <v>116</v>
      </c>
      <c r="O25" s="1338" t="s">
        <v>109</v>
      </c>
      <c r="P25" s="1331"/>
      <c r="Q25" s="456"/>
      <c r="R25" s="11"/>
      <c r="S25" s="11"/>
      <c r="T25" s="621"/>
    </row>
    <row r="26" spans="1:22" x14ac:dyDescent="0.2">
      <c r="A26" s="1347"/>
      <c r="B26" s="1333"/>
      <c r="C26" s="1335"/>
      <c r="D26" s="1338"/>
      <c r="E26" s="1339"/>
      <c r="F26" s="1343" t="str">
        <f>I18</f>
        <v>Zuschläge / Zulagen / o.ä.:</v>
      </c>
      <c r="G26" s="1340"/>
      <c r="H26" s="1342" t="s">
        <v>117</v>
      </c>
      <c r="I26" s="1342"/>
      <c r="J26" s="1342"/>
      <c r="K26" s="1342"/>
      <c r="L26" s="1342"/>
      <c r="M26" s="1342"/>
      <c r="N26" s="1342"/>
      <c r="O26" s="1338"/>
      <c r="P26" s="1331"/>
      <c r="Q26" s="456"/>
      <c r="R26" s="1306" t="str">
        <f>Q18</f>
        <v>BBG anteilig 2025</v>
      </c>
      <c r="S26" s="1306"/>
      <c r="T26" s="829"/>
    </row>
    <row r="27" spans="1:22" ht="14.25" customHeight="1" x14ac:dyDescent="0.2">
      <c r="A27" s="1347"/>
      <c r="B27" s="1333"/>
      <c r="C27" s="1335"/>
      <c r="D27" s="1338"/>
      <c r="E27" s="1339"/>
      <c r="F27" s="1343"/>
      <c r="G27" s="1340"/>
      <c r="H27" s="39" t="s">
        <v>118</v>
      </c>
      <c r="I27" s="39" t="s">
        <v>717</v>
      </c>
      <c r="J27" s="39" t="s">
        <v>718</v>
      </c>
      <c r="K27" s="39" t="s">
        <v>720</v>
      </c>
      <c r="L27" s="39"/>
      <c r="M27" s="39"/>
      <c r="N27" s="39" t="s">
        <v>719</v>
      </c>
      <c r="O27" s="1338"/>
      <c r="P27" s="1331"/>
      <c r="Q27" s="456"/>
      <c r="R27" s="1307" t="s">
        <v>659</v>
      </c>
      <c r="S27" s="1307"/>
      <c r="T27" s="829"/>
      <c r="U27" s="1308" t="s">
        <v>1</v>
      </c>
      <c r="V27" s="1308" t="s">
        <v>741</v>
      </c>
    </row>
    <row r="28" spans="1:22" x14ac:dyDescent="0.2">
      <c r="A28" s="1347"/>
      <c r="B28" s="1334"/>
      <c r="C28" s="1336"/>
      <c r="D28" s="45"/>
      <c r="E28" s="45"/>
      <c r="F28" s="1344"/>
      <c r="G28" s="1341"/>
      <c r="H28" s="74"/>
      <c r="I28" s="1048"/>
      <c r="J28" s="1048"/>
      <c r="K28" s="1049"/>
      <c r="L28" s="19"/>
      <c r="M28" s="19"/>
      <c r="N28" s="23"/>
      <c r="O28" s="23"/>
      <c r="P28" s="1332"/>
      <c r="Q28" s="456"/>
      <c r="R28" s="935" t="s">
        <v>144</v>
      </c>
      <c r="S28" s="935" t="s">
        <v>145</v>
      </c>
      <c r="T28" s="829"/>
      <c r="U28" s="1308"/>
      <c r="V28" s="1308"/>
    </row>
    <row r="29" spans="1:22"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 t="shared" ref="P29:P40" si="4">SUM(G29:O29)</f>
        <v>0</v>
      </c>
      <c r="Q29" s="456"/>
      <c r="R29" s="140">
        <f>ROUND(IF(M7="",R23,R23/M7*P6),2)</f>
        <v>5175</v>
      </c>
      <c r="S29" s="140">
        <f>ROUND(IF(M7="",R24,R24/M7*P6),2)</f>
        <v>7450</v>
      </c>
      <c r="U29" s="950">
        <f t="shared" ref="U29:U40" si="5">SUM(B29:F29)</f>
        <v>0</v>
      </c>
      <c r="V29" s="950">
        <f>SUM(B29:F29)</f>
        <v>0</v>
      </c>
    </row>
    <row r="30" spans="1:22"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si="4"/>
        <v>0</v>
      </c>
      <c r="Q30" s="456"/>
      <c r="R30" s="140">
        <f>ROUND(IF(M7="",R23,R23/M7*P7),2)</f>
        <v>5175</v>
      </c>
      <c r="S30" s="140">
        <f>ROUND(IF(M7="",R24,R24/M7*P7),2)</f>
        <v>7450</v>
      </c>
      <c r="U30" s="950">
        <f t="shared" si="5"/>
        <v>0</v>
      </c>
      <c r="V30" s="950">
        <f>SUM(B29:F30)</f>
        <v>0</v>
      </c>
    </row>
    <row r="31" spans="1:22"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56"/>
      <c r="R31" s="140">
        <f>ROUND(IF(M7="",R23,R23/M7*P8),2)</f>
        <v>5175</v>
      </c>
      <c r="S31" s="140">
        <f>ROUND(IF(M7="",R24,R24/M7*P8),2)</f>
        <v>7450</v>
      </c>
      <c r="U31" s="950">
        <f t="shared" si="5"/>
        <v>0</v>
      </c>
      <c r="V31" s="950">
        <f>SUM(B29:F31)</f>
        <v>0</v>
      </c>
    </row>
    <row r="32" spans="1:22"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56"/>
      <c r="R32" s="140">
        <f>ROUND(IF(M7="",R23,R23/M7*P9),2)</f>
        <v>5175</v>
      </c>
      <c r="S32" s="140">
        <f>ROUND(IF(M7="",R24,R24/M7*P9),2)</f>
        <v>7450</v>
      </c>
      <c r="U32" s="950">
        <f t="shared" si="5"/>
        <v>0</v>
      </c>
      <c r="V32" s="950">
        <f>SUM(B29:F32)</f>
        <v>0</v>
      </c>
    </row>
    <row r="33" spans="1:24"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56"/>
      <c r="R33" s="140">
        <f>ROUND(IF(M7="",R23,R23/M7*P10),2)</f>
        <v>5175</v>
      </c>
      <c r="S33" s="140">
        <f>ROUND(IF(M7="",R24,R24/M7*P10),2)</f>
        <v>7450</v>
      </c>
      <c r="U33" s="950">
        <f t="shared" si="5"/>
        <v>0</v>
      </c>
      <c r="V33" s="950">
        <f>SUM(B29:F33)</f>
        <v>0</v>
      </c>
    </row>
    <row r="34" spans="1:24"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56"/>
      <c r="R34" s="140">
        <f>ROUND(IF(M7="",R23,R23/M7*P11),2)</f>
        <v>5175</v>
      </c>
      <c r="S34" s="140">
        <f>ROUND(IF(M7="",R24,R24/M7*P11),2)</f>
        <v>7450</v>
      </c>
      <c r="U34" s="950">
        <f t="shared" si="5"/>
        <v>0</v>
      </c>
      <c r="V34" s="950">
        <f>SUM(B29:F34)</f>
        <v>0</v>
      </c>
    </row>
    <row r="35" spans="1:24"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56"/>
      <c r="R35" s="140">
        <f>ROUND(IF(M7="",R23,R23/M7*P12),2)</f>
        <v>5175</v>
      </c>
      <c r="S35" s="140">
        <f>ROUND(IF(M7="",R24,R24/M7*P12),2)</f>
        <v>7450</v>
      </c>
      <c r="U35" s="950">
        <f t="shared" si="5"/>
        <v>0</v>
      </c>
      <c r="V35" s="950">
        <f>SUM(B29:F35)</f>
        <v>0</v>
      </c>
    </row>
    <row r="36" spans="1:24"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56"/>
      <c r="R36" s="140">
        <f>ROUND(IF(M7="",R23,R23/M7*P13),2)</f>
        <v>5175</v>
      </c>
      <c r="S36" s="140">
        <f>ROUND(IF(M7="",R24,R24/M7*P13),2)</f>
        <v>7450</v>
      </c>
      <c r="U36" s="950">
        <f t="shared" si="5"/>
        <v>0</v>
      </c>
      <c r="V36" s="950">
        <f>SUM(B29:F36)</f>
        <v>0</v>
      </c>
    </row>
    <row r="37" spans="1:24"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56"/>
      <c r="R37" s="140">
        <f>ROUND(IF(M7="",R23,R23/M7*P14),2)</f>
        <v>5175</v>
      </c>
      <c r="S37" s="140">
        <f>ROUND(IF(M7="",R24,R24/M7*P14),2)</f>
        <v>7450</v>
      </c>
      <c r="U37" s="950">
        <f t="shared" si="5"/>
        <v>0</v>
      </c>
      <c r="V37" s="950">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936"/>
      <c r="R38" s="140">
        <f>ROUND(IF(M7="",R23,R23/M7*P15),2)</f>
        <v>5175</v>
      </c>
      <c r="S38" s="140">
        <f>ROUND(IF(M7="",R24,R24/M7*P15),2)</f>
        <v>7450</v>
      </c>
      <c r="U38" s="950">
        <f t="shared" si="5"/>
        <v>0</v>
      </c>
      <c r="V38" s="950">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40">
        <f>ROUND(IF(M7="",R23,R23/M7*P16),2)</f>
        <v>5175</v>
      </c>
      <c r="S39" s="140">
        <f>ROUND(IF(M7="",R24,R24/M7*P16),2)</f>
        <v>7450</v>
      </c>
      <c r="U39" s="950">
        <f t="shared" si="5"/>
        <v>0</v>
      </c>
      <c r="V39" s="950">
        <f>SUM(B29:F39)</f>
        <v>0</v>
      </c>
      <c r="X39" s="1"/>
    </row>
    <row r="40" spans="1:24"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40">
        <f>ROUND(IF(M7="",R23,R23/M7*P17),2)</f>
        <v>5175</v>
      </c>
      <c r="S40" s="140">
        <f>ROUND(IF(M7="",R24,R24/M7*P17),2)</f>
        <v>7450</v>
      </c>
      <c r="U40" s="950">
        <f t="shared" si="5"/>
        <v>0</v>
      </c>
      <c r="V40" s="950">
        <f>SUM(B29:F40)</f>
        <v>0</v>
      </c>
    </row>
    <row r="41" spans="1:24" ht="15" customHeight="1" x14ac:dyDescent="0.2">
      <c r="A41" s="2" t="s">
        <v>1</v>
      </c>
      <c r="B41" s="25">
        <f t="shared" ref="B41:G41" si="6">SUM(B29:B40)</f>
        <v>0</v>
      </c>
      <c r="C41" s="25">
        <f t="shared" si="6"/>
        <v>0</v>
      </c>
      <c r="D41" s="25">
        <f t="shared" si="6"/>
        <v>0</v>
      </c>
      <c r="E41" s="25">
        <f t="shared" si="6"/>
        <v>0</v>
      </c>
      <c r="F41" s="25">
        <f t="shared" si="6"/>
        <v>0</v>
      </c>
      <c r="G41" s="25">
        <f t="shared" si="6"/>
        <v>0</v>
      </c>
      <c r="H41" s="1309">
        <f>SUM(H29:N40)</f>
        <v>0</v>
      </c>
      <c r="I41" s="1310"/>
      <c r="J41" s="1310"/>
      <c r="K41" s="1310"/>
      <c r="L41" s="1310"/>
      <c r="M41" s="1310"/>
      <c r="N41" s="1311"/>
      <c r="O41" s="25">
        <f>SUM(O29:O40)</f>
        <v>0</v>
      </c>
      <c r="P41" s="25">
        <f>SUM(P29:P40)</f>
        <v>0</v>
      </c>
    </row>
    <row r="42" spans="1:24" ht="12" customHeight="1" x14ac:dyDescent="0.2"/>
    <row r="43" spans="1:24" ht="14.25" customHeight="1" x14ac:dyDescent="0.2">
      <c r="B43" s="906"/>
      <c r="H43" s="905"/>
      <c r="I43" s="62"/>
      <c r="J43" s="914" t="s">
        <v>123</v>
      </c>
      <c r="L43" s="900" t="s">
        <v>124</v>
      </c>
      <c r="M43" s="901"/>
      <c r="N43" s="902" t="s">
        <v>125</v>
      </c>
      <c r="O43" s="903"/>
      <c r="P43" s="25">
        <f>ROUND(IF(M43=0,0,G41*M43*O43/1000),2)</f>
        <v>0</v>
      </c>
      <c r="Q43" s="937"/>
      <c r="R43" s="938">
        <v>2025</v>
      </c>
      <c r="S43" s="939"/>
    </row>
    <row r="44" spans="1:24" ht="14.25" customHeight="1" x14ac:dyDescent="0.2">
      <c r="H44" s="907"/>
      <c r="I44" s="42"/>
      <c r="M44" s="915" t="s">
        <v>129</v>
      </c>
      <c r="N44" s="79" t="s">
        <v>125</v>
      </c>
      <c r="O44" s="43"/>
      <c r="P44" s="25">
        <f>ROUND(IF(O44="",0,G41*O44/1000),2)</f>
        <v>0</v>
      </c>
      <c r="Q44" s="942" t="s">
        <v>737</v>
      </c>
      <c r="R44" s="141">
        <f>ROUND(S44*130/3,0)</f>
        <v>556</v>
      </c>
      <c r="S44" s="951">
        <v>12.82</v>
      </c>
    </row>
    <row r="45" spans="1:24" ht="14.25" customHeight="1" x14ac:dyDescent="0.2">
      <c r="H45" s="912" t="s">
        <v>126</v>
      </c>
      <c r="I45" s="896" t="s">
        <v>127</v>
      </c>
      <c r="J45" s="911"/>
      <c r="K45" s="902" t="s">
        <v>128</v>
      </c>
      <c r="L45" s="909"/>
      <c r="M45" s="16"/>
      <c r="N45" s="900" t="s">
        <v>132</v>
      </c>
      <c r="O45" s="910"/>
      <c r="P45" s="25">
        <f>ROUND(IF(J45=0,0,(J45*L45/O45)/M9*M10),2)</f>
        <v>0</v>
      </c>
      <c r="Q45" s="942" t="s">
        <v>738</v>
      </c>
      <c r="R45" s="952">
        <v>2000</v>
      </c>
      <c r="S45" s="939"/>
    </row>
    <row r="46" spans="1:24" ht="14.25" customHeight="1" x14ac:dyDescent="0.2">
      <c r="D46" s="16"/>
      <c r="I46" s="16"/>
      <c r="J46" s="16"/>
      <c r="K46" s="63"/>
      <c r="L46" s="67"/>
      <c r="M46" s="915" t="s">
        <v>130</v>
      </c>
      <c r="N46" s="80" t="s">
        <v>131</v>
      </c>
      <c r="O46" s="904"/>
      <c r="P46" s="21">
        <f>ROUND(IF(G41=0,0,O46/M7*M8),2)</f>
        <v>0</v>
      </c>
      <c r="Q46" s="942" t="s">
        <v>740</v>
      </c>
      <c r="R46" s="953">
        <f>(14.6%+1.7%)+18.6%+2.6%+3.4%</f>
        <v>0.40900000000000003</v>
      </c>
    </row>
    <row r="47" spans="1:24" ht="14.25" customHeight="1" x14ac:dyDescent="0.2">
      <c r="A47" s="16"/>
      <c r="B47" s="16"/>
      <c r="I47" s="905"/>
      <c r="J47" s="897" t="s">
        <v>176</v>
      </c>
      <c r="K47" s="1312"/>
      <c r="L47" s="1312"/>
      <c r="M47" s="1312"/>
      <c r="N47" s="80" t="s">
        <v>131</v>
      </c>
      <c r="O47" s="904"/>
      <c r="P47" s="21">
        <f>ROUND(IF(G41=0,0,O47/M7*M8),2)</f>
        <v>0</v>
      </c>
      <c r="Q47" s="942" t="s">
        <v>739</v>
      </c>
      <c r="R47" s="940">
        <f>ROUND(IF(R45="","",S47/R46),4)</f>
        <v>0.68459999999999999</v>
      </c>
      <c r="S47" s="954">
        <v>0.28000000000000003</v>
      </c>
    </row>
    <row r="48" spans="1:24" ht="14.25" customHeight="1" x14ac:dyDescent="0.2">
      <c r="A48" s="908"/>
      <c r="B48" s="908"/>
      <c r="C48" s="896"/>
      <c r="D48" s="896"/>
      <c r="I48" s="913"/>
      <c r="J48" s="913"/>
      <c r="K48" s="916"/>
      <c r="L48" s="27"/>
      <c r="M48" s="27"/>
      <c r="N48" s="27"/>
      <c r="O48" s="26" t="s">
        <v>0</v>
      </c>
      <c r="P48" s="25">
        <f>P41+SUM(P43:P47)</f>
        <v>0</v>
      </c>
    </row>
    <row r="49" spans="1:20" s="10" customFormat="1" ht="13.5" customHeight="1" x14ac:dyDescent="0.2">
      <c r="A49" s="1321" t="s">
        <v>17</v>
      </c>
      <c r="B49" s="1321"/>
      <c r="C49" s="1321"/>
      <c r="D49" s="1320" t="str">
        <f>IF($D$1="","",$D$1)</f>
        <v/>
      </c>
      <c r="E49" s="1320"/>
      <c r="F49" s="1320"/>
      <c r="G49" s="1320"/>
      <c r="H49" s="1320"/>
      <c r="I49" s="1320"/>
      <c r="J49" s="1320"/>
      <c r="K49" s="1320"/>
      <c r="L49" s="1320"/>
      <c r="M49" s="1320"/>
      <c r="N49" s="1320"/>
    </row>
    <row r="50" spans="1:20" s="10" customFormat="1" ht="15" customHeight="1" x14ac:dyDescent="0.2">
      <c r="A50" s="1321" t="s">
        <v>16</v>
      </c>
      <c r="B50" s="1321"/>
      <c r="C50" s="1321" t="s">
        <v>14</v>
      </c>
      <c r="D50" s="1320" t="str">
        <f>IF($D$2="","",$D$2)</f>
        <v/>
      </c>
      <c r="E50" s="1320"/>
      <c r="F50" s="1320"/>
      <c r="G50" s="1320"/>
      <c r="H50" s="1320"/>
      <c r="I50" s="1320"/>
      <c r="J50" s="1320"/>
      <c r="K50" s="1320"/>
      <c r="L50" s="1320"/>
      <c r="M50" s="1320"/>
      <c r="N50" s="1320"/>
    </row>
    <row r="51" spans="1:20" s="10" customFormat="1" ht="15" customHeight="1" x14ac:dyDescent="0.2">
      <c r="A51" s="1321" t="s">
        <v>15</v>
      </c>
      <c r="B51" s="1321"/>
      <c r="C51" s="1321" t="s">
        <v>14</v>
      </c>
      <c r="D51" s="1320" t="str">
        <f>IF($D$3="","",$D$3)</f>
        <v/>
      </c>
      <c r="E51" s="1320"/>
      <c r="F51" s="1320"/>
      <c r="G51" s="1320"/>
      <c r="H51" s="1320"/>
      <c r="I51" s="1320"/>
      <c r="J51" s="1320"/>
      <c r="K51" s="1321" t="s">
        <v>100</v>
      </c>
      <c r="L51" s="1321"/>
      <c r="M51" s="1321"/>
      <c r="N51" s="38" t="str">
        <f>IF($N$3="","",$N$3)</f>
        <v/>
      </c>
    </row>
    <row r="52" spans="1:20" s="11" customFormat="1" ht="7.5" customHeight="1" x14ac:dyDescent="0.2">
      <c r="A52" s="1325"/>
      <c r="B52" s="1325"/>
      <c r="C52" s="1325"/>
      <c r="D52" s="1326"/>
      <c r="E52" s="1326"/>
      <c r="F52" s="1326"/>
      <c r="G52" s="1326"/>
      <c r="H52" s="1326"/>
      <c r="I52" s="1326"/>
      <c r="J52" s="1326"/>
      <c r="K52" s="9"/>
      <c r="L52" s="9"/>
      <c r="M52" s="9"/>
      <c r="N52" s="9"/>
      <c r="O52" s="9"/>
      <c r="P52" s="9"/>
    </row>
    <row r="53" spans="1:20" s="13" customFormat="1" ht="13.5" customHeight="1" x14ac:dyDescent="0.2">
      <c r="A53" s="1355" t="s">
        <v>19</v>
      </c>
      <c r="B53" s="1355"/>
      <c r="C53" s="1355"/>
      <c r="D53" s="1355"/>
      <c r="E53" s="1355"/>
      <c r="F53" s="1355"/>
      <c r="G53" s="1355"/>
      <c r="H53" s="1355"/>
      <c r="I53" s="1355"/>
      <c r="J53" s="1355"/>
      <c r="K53" s="7"/>
      <c r="L53" s="7"/>
      <c r="M53" s="7"/>
      <c r="N53" s="52"/>
      <c r="O53" s="814">
        <f>Grundlagen!$C$4</f>
        <v>2025</v>
      </c>
      <c r="P53" s="52" t="s">
        <v>140</v>
      </c>
    </row>
    <row r="54" spans="1:20" s="8" customFormat="1" ht="13.5" customHeight="1" x14ac:dyDescent="0.25">
      <c r="B54" s="29"/>
      <c r="C54" s="29"/>
      <c r="D54" s="3" t="s">
        <v>146</v>
      </c>
      <c r="E54" s="3"/>
      <c r="F54" s="28"/>
      <c r="G54" s="28"/>
      <c r="H54" s="28"/>
      <c r="I54" s="24"/>
      <c r="K54" s="1327" t="s">
        <v>13</v>
      </c>
      <c r="L54" s="1327"/>
      <c r="M54" s="131"/>
      <c r="O54" s="928" t="str">
        <f>A77</f>
        <v>Jan 2025</v>
      </c>
      <c r="P54" s="1402">
        <f>IF(M56="","",M56)</f>
        <v>0</v>
      </c>
    </row>
    <row r="55" spans="1:20" s="5" customFormat="1" ht="13.5" customHeight="1" x14ac:dyDescent="0.25">
      <c r="A55" s="1328" t="s">
        <v>754</v>
      </c>
      <c r="B55" s="1328"/>
      <c r="C55" s="1328"/>
      <c r="D55" s="1329"/>
      <c r="E55" s="1329"/>
      <c r="F55" s="1329"/>
      <c r="G55" s="1329"/>
      <c r="H55" s="1329"/>
      <c r="I55" s="1329"/>
      <c r="K55" s="1327" t="s">
        <v>101</v>
      </c>
      <c r="L55" s="1327"/>
      <c r="M55" s="101"/>
      <c r="O55" s="928" t="str">
        <f t="shared" ref="O55:O65" si="7">A78</f>
        <v>Feb 2025</v>
      </c>
      <c r="P55" s="1403">
        <f t="shared" ref="P55:P60" si="8">IF(P54="","",P54)</f>
        <v>0</v>
      </c>
    </row>
    <row r="56" spans="1:20" ht="13.5" customHeight="1" x14ac:dyDescent="0.2">
      <c r="A56" s="1328" t="s">
        <v>12</v>
      </c>
      <c r="B56" s="1328"/>
      <c r="C56" s="1328"/>
      <c r="D56" s="1345"/>
      <c r="E56" s="1345"/>
      <c r="F56" s="1345"/>
      <c r="G56" s="1345"/>
      <c r="H56" s="1345"/>
      <c r="I56" s="1345"/>
      <c r="K56" s="1327" t="s">
        <v>102</v>
      </c>
      <c r="L56" s="1327"/>
      <c r="M56" s="966">
        <f>IF((Grundlagen!$C$60-M8)&gt;(M55-M57),(M55-M57),(Grundlagen!$C$60-M8))</f>
        <v>0</v>
      </c>
      <c r="O56" s="928" t="str">
        <f t="shared" si="7"/>
        <v>Mrz 2025</v>
      </c>
      <c r="P56" s="1403">
        <f t="shared" si="8"/>
        <v>0</v>
      </c>
    </row>
    <row r="57" spans="1:20" ht="13.5" customHeight="1" x14ac:dyDescent="0.2">
      <c r="A57" s="1328" t="s">
        <v>11</v>
      </c>
      <c r="B57" s="1328"/>
      <c r="C57" s="1328"/>
      <c r="D57" s="1345"/>
      <c r="E57" s="1345"/>
      <c r="F57" s="1345"/>
      <c r="G57" s="1345"/>
      <c r="H57" s="1345"/>
      <c r="I57" s="1345"/>
      <c r="J57" s="1313" t="s">
        <v>655</v>
      </c>
      <c r="K57" s="1313"/>
      <c r="L57" s="1313"/>
      <c r="M57" s="123"/>
      <c r="O57" s="928" t="str">
        <f t="shared" si="7"/>
        <v>Apr 2025</v>
      </c>
      <c r="P57" s="1403">
        <f t="shared" si="8"/>
        <v>0</v>
      </c>
    </row>
    <row r="58" spans="1:20" ht="13.5" customHeight="1" x14ac:dyDescent="0.2">
      <c r="A58" s="1328" t="s">
        <v>18</v>
      </c>
      <c r="B58" s="1328"/>
      <c r="C58" s="1328"/>
      <c r="D58" s="1345"/>
      <c r="E58" s="1345"/>
      <c r="F58" s="1345"/>
      <c r="G58" s="1345"/>
      <c r="H58" s="1345"/>
      <c r="I58" s="1345"/>
      <c r="K58" s="1327" t="s">
        <v>94</v>
      </c>
      <c r="L58" s="1327"/>
      <c r="M58" s="15" t="str">
        <f>IF(IF((COUNTIF(B77:B88,"&gt;0"))=0,0,(COUNTIF(B77:B88,"&gt;0")))&gt;Grundlagen!$C$26,Grundlagen!$C$26,IF((COUNTIF(B77:B88,"&gt;0"))=0,"",(COUNTIF(B77:B88,"&gt;0"))))</f>
        <v/>
      </c>
      <c r="O58" s="928" t="str">
        <f t="shared" si="7"/>
        <v>Mai 2025</v>
      </c>
      <c r="P58" s="1403">
        <f t="shared" si="8"/>
        <v>0</v>
      </c>
    </row>
    <row r="59" spans="1:20" ht="13.5" customHeight="1" x14ac:dyDescent="0.2">
      <c r="B59" s="6"/>
      <c r="C59" s="78" t="s">
        <v>147</v>
      </c>
      <c r="D59" s="1324"/>
      <c r="E59" s="1324"/>
      <c r="F59" s="1359" t="s">
        <v>103</v>
      </c>
      <c r="G59" s="1359"/>
      <c r="H59" s="1324"/>
      <c r="I59" s="1324"/>
      <c r="M59" s="102" t="str">
        <f>IF((SUM(F62:F65))=0,"",IF(P66&gt;M55,M55,IF(M55="","",IF(M58="","",P66))))</f>
        <v/>
      </c>
      <c r="O59" s="928" t="str">
        <f t="shared" si="7"/>
        <v>Jun 2025</v>
      </c>
      <c r="P59" s="1403">
        <f t="shared" si="8"/>
        <v>0</v>
      </c>
    </row>
    <row r="60" spans="1:20" ht="13.5" customHeight="1" x14ac:dyDescent="0.2">
      <c r="I60" s="4"/>
      <c r="O60" s="928" t="str">
        <f t="shared" si="7"/>
        <v>Jul 2025</v>
      </c>
      <c r="P60" s="1403">
        <f t="shared" si="8"/>
        <v>0</v>
      </c>
    </row>
    <row r="61" spans="1:20" s="46" customFormat="1" ht="13.5" customHeight="1" x14ac:dyDescent="0.2">
      <c r="A61" s="54" t="s">
        <v>134</v>
      </c>
      <c r="B61" s="1356" t="s">
        <v>135</v>
      </c>
      <c r="C61" s="1356"/>
      <c r="D61" s="55" t="s">
        <v>136</v>
      </c>
      <c r="E61" s="56" t="s">
        <v>137</v>
      </c>
      <c r="F61" s="57" t="str">
        <f>CONCATENATE("Entg. ",N51," h/Wo")</f>
        <v>Entg.  h/Wo</v>
      </c>
      <c r="G61" s="58" t="s">
        <v>138</v>
      </c>
      <c r="H61" s="58"/>
      <c r="I61" s="967" t="s">
        <v>139</v>
      </c>
      <c r="J61" s="56"/>
      <c r="K61" s="56"/>
      <c r="L61" s="56"/>
      <c r="M61" s="56"/>
      <c r="O61" s="928" t="str">
        <f t="shared" si="7"/>
        <v>Aug 2025</v>
      </c>
      <c r="P61" s="1403">
        <f t="shared" ref="P61:P65" si="9">IF(P60="","",P60)</f>
        <v>0</v>
      </c>
      <c r="T61" s="109"/>
    </row>
    <row r="62" spans="1:20" s="46" customFormat="1" ht="13.5" customHeight="1" x14ac:dyDescent="0.25">
      <c r="A62" s="48" t="str">
        <f>A77</f>
        <v>Jan 2025</v>
      </c>
      <c r="B62" s="1357" t="str">
        <f>IF(D51="","",D51)</f>
        <v/>
      </c>
      <c r="C62" s="1358"/>
      <c r="D62" s="132"/>
      <c r="E62" s="132"/>
      <c r="F62" s="71"/>
      <c r="G62" s="50">
        <f>IF(N51="",0,F62/N51/4.348)</f>
        <v>0</v>
      </c>
      <c r="I62" s="47">
        <f>SUM(J62:M62)</f>
        <v>0</v>
      </c>
      <c r="J62" s="124"/>
      <c r="K62" s="124"/>
      <c r="L62" s="124"/>
      <c r="M62" s="124"/>
      <c r="O62" s="928" t="str">
        <f t="shared" si="7"/>
        <v>Sep 2025</v>
      </c>
      <c r="P62" s="1403">
        <f t="shared" si="9"/>
        <v>0</v>
      </c>
      <c r="T62" s="107"/>
    </row>
    <row r="63" spans="1:20" s="46" customFormat="1" ht="13.5" customHeight="1" x14ac:dyDescent="0.25">
      <c r="A63" s="49"/>
      <c r="B63" s="1322"/>
      <c r="C63" s="1323"/>
      <c r="D63" s="132"/>
      <c r="E63" s="132"/>
      <c r="F63" s="71"/>
      <c r="G63" s="50">
        <f>IF(N51="",0,F63/N51/4.348)</f>
        <v>0</v>
      </c>
      <c r="I63" s="47">
        <f>SUM(J63:M63)</f>
        <v>0</v>
      </c>
      <c r="J63" s="124"/>
      <c r="K63" s="124"/>
      <c r="L63" s="124"/>
      <c r="M63" s="124"/>
      <c r="O63" s="928" t="str">
        <f t="shared" si="7"/>
        <v>Okt 2025</v>
      </c>
      <c r="P63" s="1403">
        <f t="shared" si="9"/>
        <v>0</v>
      </c>
      <c r="T63" s="107"/>
    </row>
    <row r="64" spans="1:20" s="46" customFormat="1" ht="13.5" customHeight="1" x14ac:dyDescent="0.25">
      <c r="A64" s="49"/>
      <c r="B64" s="1322"/>
      <c r="C64" s="1323"/>
      <c r="D64" s="132"/>
      <c r="E64" s="132"/>
      <c r="F64" s="72"/>
      <c r="G64" s="50">
        <f>IF(N51="",0,F64/N51/4.348)</f>
        <v>0</v>
      </c>
      <c r="I64" s="47">
        <f>SUM(J64:M64)</f>
        <v>0</v>
      </c>
      <c r="J64" s="124"/>
      <c r="K64" s="124"/>
      <c r="L64" s="124"/>
      <c r="M64" s="124"/>
      <c r="O64" s="928" t="str">
        <f t="shared" si="7"/>
        <v>Nov 2025</v>
      </c>
      <c r="P64" s="1403">
        <f t="shared" si="9"/>
        <v>0</v>
      </c>
      <c r="T64" s="107"/>
    </row>
    <row r="65" spans="1:22" s="46" customFormat="1" ht="13.5" customHeight="1" x14ac:dyDescent="0.25">
      <c r="A65" s="49"/>
      <c r="B65" s="1322" t="str">
        <f>IF(A65="","",B64)</f>
        <v/>
      </c>
      <c r="C65" s="1323"/>
      <c r="D65" s="132"/>
      <c r="E65" s="132"/>
      <c r="F65" s="71"/>
      <c r="G65" s="50">
        <f>IF(N51="",0,F65/N51/4.348)</f>
        <v>0</v>
      </c>
      <c r="I65" s="47">
        <f>SUM(J65:M65)</f>
        <v>0</v>
      </c>
      <c r="J65" s="124"/>
      <c r="K65" s="124"/>
      <c r="L65" s="124"/>
      <c r="M65" s="124"/>
      <c r="O65" s="928" t="str">
        <f t="shared" si="7"/>
        <v>Dez 2025</v>
      </c>
      <c r="P65" s="1403">
        <f t="shared" si="9"/>
        <v>0</v>
      </c>
      <c r="T65" s="107"/>
    </row>
    <row r="66" spans="1:22" s="46" customFormat="1" ht="13.5" customHeight="1" x14ac:dyDescent="0.25">
      <c r="I66" s="930" t="s">
        <v>730</v>
      </c>
      <c r="J66" s="1050"/>
      <c r="K66" s="1050"/>
      <c r="L66" s="1050"/>
      <c r="M66" s="1050"/>
      <c r="O66" s="126" t="s">
        <v>221</v>
      </c>
      <c r="P66" s="127">
        <f>IF(M58="",0,((IF(SUMIF(B77,"&gt;0"),P54,0))+(IF(SUMIF(B78,"&gt;0"),P55,0))+(IF(SUMIF(B79,"&gt;0"),P56,0))+(IF(SUMIF(B80,"&gt;0"),P57,0))+(IF(SUMIF(B81,"&gt;0"),P58,0))+(IF(SUMIF(B82,"&gt;0"),P59,0))+(IF(SUMIF(B83,"&gt;0"),P60,0))+(IF(SUMIF(B84,"&gt;0"),P61,0))+(IF(SUMIF(B85,"&gt;0"),P62,0))+(IF(SUMIF(B86,"&gt;0"),P63,0))+(IF(SUMIF(B87,"&gt;0"),P64,0))+(IF(SUMIF(B88,"&gt;0"),P65,0)))/Grundlagen!$C$26)</f>
        <v>0</v>
      </c>
      <c r="Q66" s="934" t="str">
        <f>CONCATENATE("BBG"," anteilig ",O68)</f>
        <v>BBG anteilig 2025</v>
      </c>
      <c r="R66" s="931" t="s">
        <v>659</v>
      </c>
      <c r="S66" s="931" t="s">
        <v>398</v>
      </c>
      <c r="T66" s="107"/>
    </row>
    <row r="67" spans="1:22" s="46" customFormat="1" ht="13.5" customHeight="1" x14ac:dyDescent="0.2">
      <c r="A67" s="924" t="s">
        <v>732</v>
      </c>
      <c r="D67" s="55" t="s">
        <v>369</v>
      </c>
      <c r="E67" s="56" t="s">
        <v>368</v>
      </c>
      <c r="F67" s="58"/>
      <c r="J67" s="61"/>
      <c r="Q67" s="932" t="s">
        <v>144</v>
      </c>
      <c r="R67" s="140">
        <f>IF(M56=0,R71,IF(M55="",R71,(SUM(R77:R88)/M58)))</f>
        <v>5175</v>
      </c>
      <c r="S67" s="933">
        <f>IF(M56=0,S71,IF(M55="",S71,SUM(R77:R88)))</f>
        <v>0</v>
      </c>
      <c r="T67" s="107"/>
    </row>
    <row r="68" spans="1:22" s="46" customFormat="1" ht="13.5" customHeight="1" x14ac:dyDescent="0.25">
      <c r="A68" s="60"/>
      <c r="B68" s="1314" t="str">
        <f>IF($B$20="","",$B$20)</f>
        <v>Jahressonderzahlung (JSZ)</v>
      </c>
      <c r="C68" s="1315"/>
      <c r="D68" s="926"/>
      <c r="E68" s="1404" t="str">
        <f>IF(A68="","",ROUND((((SUM(B83:B85)+SUM(F83:F85))/3)*D68)/Grundlagen!$C$26*M58,2))</f>
        <v/>
      </c>
      <c r="G68" s="941" t="s">
        <v>733</v>
      </c>
      <c r="H68" s="943"/>
      <c r="I68" s="1316" t="str">
        <f>CONCATENATE(R91,":"," Übergangsbereich von ",R92+0.01," €"," bis ",R93," €")</f>
        <v>2025: Übergangsbereich von 556,01 € bis 2000 €</v>
      </c>
      <c r="J68" s="1317"/>
      <c r="K68" s="1317"/>
      <c r="L68" s="1067"/>
      <c r="M68" s="1067"/>
      <c r="N68" s="1068" t="s">
        <v>736</v>
      </c>
      <c r="O68" s="1069">
        <f>P68+1</f>
        <v>2025</v>
      </c>
      <c r="P68" s="1069" t="s">
        <v>721</v>
      </c>
      <c r="Q68" s="932" t="s">
        <v>145</v>
      </c>
      <c r="R68" s="140">
        <f>IF(M56=0,R72,IF(M55="",R72,(SUM(S77:S88)/M58)))</f>
        <v>7450</v>
      </c>
      <c r="S68" s="933">
        <f>IF(M56=0,S72,IF(M55="",S72,SUM(S77:S88)))</f>
        <v>0</v>
      </c>
      <c r="T68" s="109"/>
    </row>
    <row r="69" spans="1:22" ht="14.25" customHeight="1" x14ac:dyDescent="0.2">
      <c r="A69" s="60"/>
      <c r="B69" s="1314" t="str">
        <f>IF($B$21="","",$B$21)</f>
        <v>Leistungsentgelt (LOB)</v>
      </c>
      <c r="C69" s="1315"/>
      <c r="D69" s="926"/>
      <c r="E69" s="1404" t="str">
        <f>IF(A69="","",ROUND(((B89+F89)*D69)/Grundlagen!$C$26*M58,2))</f>
        <v/>
      </c>
      <c r="G69" s="941" t="str">
        <f>IF(OR(H68="",H68="nein")=TRUE,"","Faktor (F):")</f>
        <v/>
      </c>
      <c r="H69" s="949" t="str">
        <f>IF(OR(H68="",H68="nein")=TRUE,"",IF(H68="","",R95))</f>
        <v/>
      </c>
      <c r="I69" s="1318" t="str">
        <f>IF(OR(H68="",H68="nein")=TRUE,"",IF(H69="","",CONCATENATE(S95*100,"%"," / ","(",R94*100,"%"," Gesamt-SV-Beitragssatz 2024)")))</f>
        <v/>
      </c>
      <c r="J69" s="1319"/>
      <c r="K69" s="1319"/>
      <c r="L69" s="1070"/>
      <c r="M69" s="1070"/>
      <c r="N69" s="1071" t="s">
        <v>144</v>
      </c>
      <c r="O69" s="1072">
        <f>$O$21</f>
        <v>5175</v>
      </c>
      <c r="P69" s="1072">
        <f>$P$21</f>
        <v>5175</v>
      </c>
      <c r="Q69" s="11"/>
      <c r="R69" s="11"/>
      <c r="S69" s="11"/>
      <c r="T69" s="109"/>
    </row>
    <row r="70" spans="1:22" ht="14.25" customHeight="1" x14ac:dyDescent="0.2">
      <c r="C70" s="925" t="s">
        <v>731</v>
      </c>
      <c r="L70" s="1070"/>
      <c r="M70" s="1070"/>
      <c r="N70" s="1071" t="s">
        <v>145</v>
      </c>
      <c r="O70" s="1073">
        <f>$O$22</f>
        <v>7450</v>
      </c>
      <c r="P70" s="1072">
        <f>$P$22</f>
        <v>7450</v>
      </c>
      <c r="Q70" s="934" t="str">
        <f>CONCATENATE("BBG"," ",O68)</f>
        <v>BBG 2025</v>
      </c>
      <c r="R70" s="11"/>
      <c r="S70" s="11"/>
      <c r="T70" s="109"/>
    </row>
    <row r="71" spans="1:22" ht="14.25" customHeight="1" x14ac:dyDescent="0.2">
      <c r="A71" s="53" t="s">
        <v>141</v>
      </c>
      <c r="B71" s="46"/>
      <c r="C71" s="46"/>
      <c r="D71" s="46"/>
      <c r="E71" s="46"/>
      <c r="F71" s="46"/>
      <c r="G71" s="46"/>
      <c r="H71" s="46"/>
      <c r="I71" s="46"/>
      <c r="J71" s="46"/>
      <c r="K71" s="46"/>
      <c r="L71" s="46"/>
      <c r="M71" s="46"/>
      <c r="N71" s="46"/>
      <c r="O71" s="46"/>
      <c r="P71" s="46"/>
      <c r="Q71" s="932" t="s">
        <v>144</v>
      </c>
      <c r="R71" s="141">
        <f>IF($O$21="",0,$O$21)</f>
        <v>5175</v>
      </c>
      <c r="S71" s="933">
        <f>R71*IF(M58="",0,M58)</f>
        <v>0</v>
      </c>
      <c r="T71" s="295"/>
    </row>
    <row r="72" spans="1:22" x14ac:dyDescent="0.2">
      <c r="A72" s="1346"/>
      <c r="B72" s="1348" t="s">
        <v>8</v>
      </c>
      <c r="C72" s="1349"/>
      <c r="D72" s="1349"/>
      <c r="E72" s="1349"/>
      <c r="F72" s="1349"/>
      <c r="G72" s="1350"/>
      <c r="H72" s="1351" t="s">
        <v>113</v>
      </c>
      <c r="I72" s="1352"/>
      <c r="J72" s="1352"/>
      <c r="K72" s="1352"/>
      <c r="L72" s="1352"/>
      <c r="M72" s="1352"/>
      <c r="N72" s="1352"/>
      <c r="O72" s="30"/>
      <c r="P72" s="1330" t="s">
        <v>0</v>
      </c>
      <c r="Q72" s="932" t="s">
        <v>145</v>
      </c>
      <c r="R72" s="141">
        <f>IF($O$22="",0,$O$22)</f>
        <v>7450</v>
      </c>
      <c r="S72" s="933">
        <f>R72*IF(M58="",0,M58)</f>
        <v>0</v>
      </c>
      <c r="T72" s="830"/>
    </row>
    <row r="73" spans="1:22" ht="14.25" customHeight="1" x14ac:dyDescent="0.2">
      <c r="A73" s="1347"/>
      <c r="B73" s="1333" t="s">
        <v>111</v>
      </c>
      <c r="C73" s="1335" t="s">
        <v>743</v>
      </c>
      <c r="D73" s="1337" t="s">
        <v>226</v>
      </c>
      <c r="E73" s="1339" t="s">
        <v>133</v>
      </c>
      <c r="F73" s="921" t="s">
        <v>6</v>
      </c>
      <c r="G73" s="1340" t="s">
        <v>5</v>
      </c>
      <c r="H73" s="1339" t="s">
        <v>119</v>
      </c>
      <c r="I73" s="1339" t="s">
        <v>4</v>
      </c>
      <c r="J73" s="1339" t="s">
        <v>3</v>
      </c>
      <c r="K73" s="1339" t="s">
        <v>2</v>
      </c>
      <c r="L73" s="1339" t="s">
        <v>114</v>
      </c>
      <c r="M73" s="1339" t="s">
        <v>115</v>
      </c>
      <c r="N73" s="1339" t="s">
        <v>116</v>
      </c>
      <c r="O73" s="1338" t="s">
        <v>109</v>
      </c>
      <c r="P73" s="1331"/>
      <c r="Q73" s="456"/>
      <c r="R73" s="11"/>
      <c r="S73" s="11"/>
      <c r="T73" s="621"/>
    </row>
    <row r="74" spans="1:22" x14ac:dyDescent="0.2">
      <c r="A74" s="1347"/>
      <c r="B74" s="1333"/>
      <c r="C74" s="1335"/>
      <c r="D74" s="1338"/>
      <c r="E74" s="1339"/>
      <c r="F74" s="1343" t="str">
        <f>I66</f>
        <v>Zuschläge / Zulagen / o.ä.:</v>
      </c>
      <c r="G74" s="1340"/>
      <c r="H74" s="1342" t="s">
        <v>117</v>
      </c>
      <c r="I74" s="1342"/>
      <c r="J74" s="1342"/>
      <c r="K74" s="1342"/>
      <c r="L74" s="1342"/>
      <c r="M74" s="1342"/>
      <c r="N74" s="1342"/>
      <c r="O74" s="1338"/>
      <c r="P74" s="1331"/>
      <c r="Q74" s="456"/>
      <c r="R74" s="1306" t="str">
        <f>Q66</f>
        <v>BBG anteilig 2025</v>
      </c>
      <c r="S74" s="1306"/>
      <c r="T74" s="829"/>
    </row>
    <row r="75" spans="1:22" ht="14.25" customHeight="1" x14ac:dyDescent="0.2">
      <c r="A75" s="1347"/>
      <c r="B75" s="1333"/>
      <c r="C75" s="1335"/>
      <c r="D75" s="1338"/>
      <c r="E75" s="1339"/>
      <c r="F75" s="1343"/>
      <c r="G75" s="1340"/>
      <c r="H75" s="39" t="str">
        <f>$H$27</f>
        <v>(7,30% + Zusatz)</v>
      </c>
      <c r="I75" s="39" t="str">
        <f>$I$27</f>
        <v xml:space="preserve"> (2024: 9,30%)</v>
      </c>
      <c r="J75" s="39" t="str">
        <f>$J$27</f>
        <v>(2024: 1,30%)</v>
      </c>
      <c r="K75" s="39" t="str">
        <f>$K$27</f>
        <v>(2024: 1,700%)</v>
      </c>
      <c r="L75" s="39"/>
      <c r="M75" s="39"/>
      <c r="N75" s="39" t="str">
        <f>$N$27</f>
        <v>(2024: 0,06%)</v>
      </c>
      <c r="O75" s="1338"/>
      <c r="P75" s="1331"/>
      <c r="Q75" s="456"/>
      <c r="R75" s="1307" t="s">
        <v>659</v>
      </c>
      <c r="S75" s="1307"/>
      <c r="T75" s="829"/>
      <c r="U75" s="1308" t="s">
        <v>1</v>
      </c>
      <c r="V75" s="1308" t="s">
        <v>741</v>
      </c>
    </row>
    <row r="76" spans="1:22" x14ac:dyDescent="0.2">
      <c r="A76" s="1347"/>
      <c r="B76" s="1334"/>
      <c r="C76" s="1336"/>
      <c r="D76" s="45"/>
      <c r="E76" s="45"/>
      <c r="F76" s="1344"/>
      <c r="G76" s="1341"/>
      <c r="H76" s="74"/>
      <c r="I76" s="99">
        <f>$I$28</f>
        <v>0</v>
      </c>
      <c r="J76" s="99">
        <f>$J$28</f>
        <v>0</v>
      </c>
      <c r="K76" s="40">
        <f>$K$28</f>
        <v>0</v>
      </c>
      <c r="L76" s="19"/>
      <c r="M76" s="19"/>
      <c r="N76" s="99">
        <f>$N$28</f>
        <v>0</v>
      </c>
      <c r="O76" s="23"/>
      <c r="P76" s="1332"/>
      <c r="Q76" s="456"/>
      <c r="R76" s="935" t="s">
        <v>144</v>
      </c>
      <c r="S76" s="935" t="s">
        <v>145</v>
      </c>
      <c r="T76" s="829"/>
      <c r="U76" s="1308"/>
      <c r="V76" s="1308"/>
    </row>
    <row r="77" spans="1:22"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 t="shared" ref="P77:P88" si="11">SUM(G77:O77)</f>
        <v>0</v>
      </c>
      <c r="Q77" s="456"/>
      <c r="R77" s="140">
        <f>ROUND(IF(M55="",R71,R71/M55*P54),2)</f>
        <v>5175</v>
      </c>
      <c r="S77" s="140">
        <f>ROUND(IF(M55="",R72,R72/M55*P54),2)</f>
        <v>7450</v>
      </c>
      <c r="U77" s="950">
        <f t="shared" ref="U77:U88" si="12">SUM(B77:F77)</f>
        <v>0</v>
      </c>
      <c r="V77" s="950">
        <f>SUM(B77:F77)</f>
        <v>0</v>
      </c>
    </row>
    <row r="78" spans="1:22"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si="11"/>
        <v>0</v>
      </c>
      <c r="Q78" s="456"/>
      <c r="R78" s="140">
        <f>ROUND(IF(M55="",R71,R71/M55*P55),2)</f>
        <v>5175</v>
      </c>
      <c r="S78" s="140">
        <f>ROUND(IF(M55="",R72,R72/M55*P55),2)</f>
        <v>7450</v>
      </c>
      <c r="U78" s="950">
        <f t="shared" si="12"/>
        <v>0</v>
      </c>
      <c r="V78" s="950">
        <f>SUM(B77:F78)</f>
        <v>0</v>
      </c>
    </row>
    <row r="79" spans="1:22"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56"/>
      <c r="R79" s="140">
        <f>ROUND(IF(M55="",R71,R71/M55*P56),2)</f>
        <v>5175</v>
      </c>
      <c r="S79" s="140">
        <f>ROUND(IF(M55="",R72,R72/M55*P56),2)</f>
        <v>7450</v>
      </c>
      <c r="U79" s="950">
        <f t="shared" si="12"/>
        <v>0</v>
      </c>
      <c r="V79" s="950">
        <f>SUM(B77:F79)</f>
        <v>0</v>
      </c>
    </row>
    <row r="80" spans="1:22"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56"/>
      <c r="R80" s="140">
        <f>ROUND(IF(M55="",R71,R71/M55*P57),2)</f>
        <v>5175</v>
      </c>
      <c r="S80" s="140">
        <f>ROUND(IF(M55="",R72,R72/M55*P57),2)</f>
        <v>7450</v>
      </c>
      <c r="U80" s="950">
        <f t="shared" si="12"/>
        <v>0</v>
      </c>
      <c r="V80" s="950">
        <f>SUM(B77:F80)</f>
        <v>0</v>
      </c>
    </row>
    <row r="81" spans="1:24"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56"/>
      <c r="R81" s="140">
        <f>ROUND(IF(M55="",R71,R71/M55*P58),2)</f>
        <v>5175</v>
      </c>
      <c r="S81" s="140">
        <f>ROUND(IF(M55="",R72,R72/M55*P58),2)</f>
        <v>7450</v>
      </c>
      <c r="U81" s="950">
        <f t="shared" si="12"/>
        <v>0</v>
      </c>
      <c r="V81" s="950">
        <f>SUM(B77:F81)</f>
        <v>0</v>
      </c>
    </row>
    <row r="82" spans="1:24"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56"/>
      <c r="R82" s="140">
        <f>ROUND(IF(M55="",R71,R71/M55*P59),2)</f>
        <v>5175</v>
      </c>
      <c r="S82" s="140">
        <f>ROUND(IF(M55="",R72,R72/M55*P59),2)</f>
        <v>7450</v>
      </c>
      <c r="U82" s="950">
        <f t="shared" si="12"/>
        <v>0</v>
      </c>
      <c r="V82" s="950">
        <f>SUM(B77:F82)</f>
        <v>0</v>
      </c>
    </row>
    <row r="83" spans="1:24"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56"/>
      <c r="R83" s="140">
        <f>ROUND(IF(M55="",R71,R71/M55*P60),2)</f>
        <v>5175</v>
      </c>
      <c r="S83" s="140">
        <f>ROUND(IF(M55="",R72,R72/M55*P60),2)</f>
        <v>7450</v>
      </c>
      <c r="U83" s="950">
        <f t="shared" si="12"/>
        <v>0</v>
      </c>
      <c r="V83" s="950">
        <f>SUM(B77:F83)</f>
        <v>0</v>
      </c>
    </row>
    <row r="84" spans="1:24"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56"/>
      <c r="R84" s="140">
        <f>ROUND(IF(M55="",R71,R71/M55*P61),2)</f>
        <v>5175</v>
      </c>
      <c r="S84" s="140">
        <f>ROUND(IF(M55="",R72,R72/M55*P61),2)</f>
        <v>7450</v>
      </c>
      <c r="U84" s="950">
        <f t="shared" si="12"/>
        <v>0</v>
      </c>
      <c r="V84" s="950">
        <f>SUM(B77:F84)</f>
        <v>0</v>
      </c>
    </row>
    <row r="85" spans="1:24"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56"/>
      <c r="R85" s="140">
        <f>ROUND(IF(M55="",R71,R71/M55*P62),2)</f>
        <v>5175</v>
      </c>
      <c r="S85" s="140">
        <f>ROUND(IF(M55="",R72,R72/M55*P62),2)</f>
        <v>7450</v>
      </c>
      <c r="U85" s="950">
        <f t="shared" si="12"/>
        <v>0</v>
      </c>
      <c r="V85" s="950">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936"/>
      <c r="R86" s="140">
        <f>ROUND(IF(M55="",R71,R71/M55*P63),2)</f>
        <v>5175</v>
      </c>
      <c r="S86" s="140">
        <f>ROUND(IF(M55="",R72,R72/M55*P63),2)</f>
        <v>7450</v>
      </c>
      <c r="U86" s="950">
        <f t="shared" si="12"/>
        <v>0</v>
      </c>
      <c r="V86" s="950">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40">
        <f>ROUND(IF(M55="",R71,R71/M55*P64),2)</f>
        <v>5175</v>
      </c>
      <c r="S87" s="140">
        <f>ROUND(IF(M55="",R72,R72/M55*P64),2)</f>
        <v>7450</v>
      </c>
      <c r="U87" s="950">
        <f t="shared" si="12"/>
        <v>0</v>
      </c>
      <c r="V87" s="950">
        <f>SUM(B77:F87)</f>
        <v>0</v>
      </c>
      <c r="X87" s="1"/>
    </row>
    <row r="88" spans="1:24"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40">
        <f>ROUND(IF(M55="",R71,R71/M55*P65),2)</f>
        <v>5175</v>
      </c>
      <c r="S88" s="140">
        <f>ROUND(IF(M55="",R72,R72/M55*P65),2)</f>
        <v>7450</v>
      </c>
      <c r="U88" s="950">
        <f t="shared" si="12"/>
        <v>0</v>
      </c>
      <c r="V88" s="950">
        <f>SUM(B77:F88)</f>
        <v>0</v>
      </c>
    </row>
    <row r="89" spans="1:24" ht="15" customHeight="1" x14ac:dyDescent="0.2">
      <c r="A89" s="2" t="s">
        <v>1</v>
      </c>
      <c r="B89" s="25">
        <f t="shared" ref="B89" si="13">SUM(B77:B88)</f>
        <v>0</v>
      </c>
      <c r="C89" s="25">
        <f t="shared" ref="C89" si="14">SUM(C77:C88)</f>
        <v>0</v>
      </c>
      <c r="D89" s="25">
        <f t="shared" ref="D89" si="15">SUM(D77:D88)</f>
        <v>0</v>
      </c>
      <c r="E89" s="25">
        <f t="shared" ref="E89" si="16">SUM(E77:E88)</f>
        <v>0</v>
      </c>
      <c r="F89" s="25">
        <f t="shared" ref="F89" si="17">SUM(F77:F88)</f>
        <v>0</v>
      </c>
      <c r="G89" s="25">
        <f t="shared" ref="G89" si="18">SUM(G77:G88)</f>
        <v>0</v>
      </c>
      <c r="H89" s="1309">
        <f>SUM(H77:N88)</f>
        <v>0</v>
      </c>
      <c r="I89" s="1310"/>
      <c r="J89" s="1310"/>
      <c r="K89" s="1310"/>
      <c r="L89" s="1310"/>
      <c r="M89" s="1310"/>
      <c r="N89" s="1311"/>
      <c r="O89" s="25">
        <f>SUM(O77:O88)</f>
        <v>0</v>
      </c>
      <c r="P89" s="25">
        <f>SUM(P77:P88)</f>
        <v>0</v>
      </c>
    </row>
    <row r="90" spans="1:24" ht="12" customHeight="1" x14ac:dyDescent="0.2"/>
    <row r="91" spans="1:24" ht="14.25" customHeight="1" x14ac:dyDescent="0.2">
      <c r="B91" s="906"/>
      <c r="H91" s="905"/>
      <c r="I91" s="62"/>
      <c r="J91" s="914" t="s">
        <v>123</v>
      </c>
      <c r="L91" s="900" t="s">
        <v>124</v>
      </c>
      <c r="M91" s="974" t="str">
        <f>IF(IF(G89=0,"",$M$43)=0,"",IF(G89=0,"",$M$43))</f>
        <v/>
      </c>
      <c r="N91" s="902" t="s">
        <v>125</v>
      </c>
      <c r="O91" s="963" t="str">
        <f>IF(IF(G89=0,"",$O$43)=0,"",IF(G89=0,"",$O$43))</f>
        <v/>
      </c>
      <c r="P91" s="25">
        <f>ROUND(IF(M91="",0,G89*M91*O91/1000),2)</f>
        <v>0</v>
      </c>
      <c r="Q91" s="937"/>
      <c r="R91" s="938">
        <v>2025</v>
      </c>
      <c r="S91" s="939"/>
    </row>
    <row r="92" spans="1:24" ht="14.25" customHeight="1" x14ac:dyDescent="0.2">
      <c r="H92" s="907"/>
      <c r="I92" s="42"/>
      <c r="M92" s="915" t="s">
        <v>129</v>
      </c>
      <c r="N92" s="80" t="s">
        <v>125</v>
      </c>
      <c r="O92" s="75" t="str">
        <f>IF(IF(G89=0,"",$O$44)=0,"",IF(G89=0,"",$O$44))</f>
        <v/>
      </c>
      <c r="P92" s="25">
        <f>ROUND(IF(O92="",0,G89*O92/1000),2)</f>
        <v>0</v>
      </c>
      <c r="Q92" s="942" t="s">
        <v>737</v>
      </c>
      <c r="R92" s="141">
        <f>$R$44</f>
        <v>556</v>
      </c>
      <c r="S92" s="955">
        <f>$S$44</f>
        <v>12.82</v>
      </c>
    </row>
    <row r="93" spans="1:24" ht="14.25" customHeight="1" x14ac:dyDescent="0.2">
      <c r="H93" s="912" t="s">
        <v>126</v>
      </c>
      <c r="I93" s="919" t="s">
        <v>127</v>
      </c>
      <c r="J93" s="975" t="str">
        <f>IF(IF(G89=0,"",$J$45)=0,"",IF(G89=0,"",$J$45))</f>
        <v/>
      </c>
      <c r="K93" s="902" t="s">
        <v>128</v>
      </c>
      <c r="L93" s="964" t="str">
        <f>IF(IF(G89=0,"",$L$45)=0,"",IF(G89=0,"",$L$45))</f>
        <v/>
      </c>
      <c r="M93" s="16"/>
      <c r="N93" s="900" t="s">
        <v>132</v>
      </c>
      <c r="O93" s="965" t="str">
        <f>IF(IF(G89=0,"",$O$45)=0,"",IF(G89=0,"",$O$45))</f>
        <v/>
      </c>
      <c r="P93" s="25">
        <f>ROUND(IF(J93="",0,(J93*L93/O93)/M55*M56),2)</f>
        <v>0</v>
      </c>
      <c r="Q93" s="942" t="s">
        <v>738</v>
      </c>
      <c r="R93" s="140">
        <f>$R$45</f>
        <v>2000</v>
      </c>
      <c r="S93" s="939"/>
    </row>
    <row r="94" spans="1:24" ht="14.25" customHeight="1" x14ac:dyDescent="0.2">
      <c r="D94" s="16"/>
      <c r="I94" s="16"/>
      <c r="J94" s="16"/>
      <c r="K94" s="63"/>
      <c r="L94" s="67"/>
      <c r="M94" s="915" t="s">
        <v>130</v>
      </c>
      <c r="N94" s="80" t="s">
        <v>131</v>
      </c>
      <c r="O94" s="904">
        <f>IF(IF(M59="",0,$O$46)=0,0,IF(M59="",0,$O$46))</f>
        <v>0</v>
      </c>
      <c r="P94" s="21">
        <f>ROUND(IF(G89=0,0,O94/M55*M56),2)</f>
        <v>0</v>
      </c>
      <c r="Q94" s="942" t="s">
        <v>740</v>
      </c>
      <c r="R94" s="956">
        <f>$R$46</f>
        <v>0.40900000000000003</v>
      </c>
    </row>
    <row r="95" spans="1:24" ht="14.25" customHeight="1" x14ac:dyDescent="0.2">
      <c r="A95" s="16"/>
      <c r="B95" s="16"/>
      <c r="I95" s="905"/>
      <c r="J95" s="920" t="s">
        <v>176</v>
      </c>
      <c r="K95" s="1312" t="str">
        <f>IF($K$47="","",$K$47)</f>
        <v/>
      </c>
      <c r="L95" s="1312"/>
      <c r="M95" s="1312"/>
      <c r="N95" s="80" t="s">
        <v>131</v>
      </c>
      <c r="O95" s="904">
        <f>IF(IF(M59="",0,$O$47)=0,0,IF(M59="",0,$O$47))</f>
        <v>0</v>
      </c>
      <c r="P95" s="21">
        <f>ROUND(IF(G89=0,0,O95/M55*M56),2)</f>
        <v>0</v>
      </c>
      <c r="Q95" s="942" t="s">
        <v>739</v>
      </c>
      <c r="R95" s="940">
        <f>$R$47</f>
        <v>0.68459999999999999</v>
      </c>
      <c r="S95" s="957">
        <f>$S$47</f>
        <v>0.28000000000000003</v>
      </c>
    </row>
    <row r="96" spans="1:24" ht="14.25" customHeight="1" x14ac:dyDescent="0.2">
      <c r="A96" s="908"/>
      <c r="B96" s="908"/>
      <c r="C96" s="919"/>
      <c r="D96" s="919"/>
      <c r="I96" s="913"/>
      <c r="J96" s="913"/>
      <c r="K96" s="916"/>
      <c r="L96" s="27"/>
      <c r="M96" s="27"/>
      <c r="N96" s="27"/>
      <c r="O96" s="26" t="s">
        <v>0</v>
      </c>
      <c r="P96" s="25">
        <f>P89+SUM(P91:P95)</f>
        <v>0</v>
      </c>
    </row>
    <row r="97" spans="1:20" s="10" customFormat="1" ht="13.5" customHeight="1" x14ac:dyDescent="0.2">
      <c r="A97" s="1321" t="s">
        <v>17</v>
      </c>
      <c r="B97" s="1321"/>
      <c r="C97" s="1321"/>
      <c r="D97" s="1320" t="str">
        <f>IF($D$1="","",$D$1)</f>
        <v/>
      </c>
      <c r="E97" s="1320"/>
      <c r="F97" s="1320"/>
      <c r="G97" s="1320"/>
      <c r="H97" s="1320"/>
      <c r="I97" s="1320"/>
      <c r="J97" s="1320"/>
      <c r="K97" s="1320"/>
      <c r="L97" s="1320"/>
      <c r="M97" s="1320"/>
      <c r="N97" s="1320"/>
    </row>
    <row r="98" spans="1:20" s="10" customFormat="1" ht="15" customHeight="1" x14ac:dyDescent="0.2">
      <c r="A98" s="1321" t="s">
        <v>16</v>
      </c>
      <c r="B98" s="1321"/>
      <c r="C98" s="1321" t="s">
        <v>14</v>
      </c>
      <c r="D98" s="1320" t="str">
        <f>IF($D$2="","",$D$2)</f>
        <v/>
      </c>
      <c r="E98" s="1320"/>
      <c r="F98" s="1320"/>
      <c r="G98" s="1320"/>
      <c r="H98" s="1320"/>
      <c r="I98" s="1320"/>
      <c r="J98" s="1320"/>
      <c r="K98" s="1320"/>
      <c r="L98" s="1320"/>
      <c r="M98" s="1320"/>
      <c r="N98" s="1320"/>
    </row>
    <row r="99" spans="1:20" s="10" customFormat="1" ht="15" customHeight="1" x14ac:dyDescent="0.2">
      <c r="A99" s="1321" t="s">
        <v>15</v>
      </c>
      <c r="B99" s="1321"/>
      <c r="C99" s="1321" t="s">
        <v>14</v>
      </c>
      <c r="D99" s="1320" t="str">
        <f>IF($D$3="","",$D$3)</f>
        <v/>
      </c>
      <c r="E99" s="1320"/>
      <c r="F99" s="1320"/>
      <c r="G99" s="1320"/>
      <c r="H99" s="1320"/>
      <c r="I99" s="1320"/>
      <c r="J99" s="1320"/>
      <c r="K99" s="1321" t="s">
        <v>100</v>
      </c>
      <c r="L99" s="1321"/>
      <c r="M99" s="1321"/>
      <c r="N99" s="38" t="str">
        <f>IF($N$3="","",$N$3)</f>
        <v/>
      </c>
    </row>
    <row r="100" spans="1:20" s="11" customFormat="1" ht="7.5" customHeight="1" x14ac:dyDescent="0.2">
      <c r="A100" s="1325"/>
      <c r="B100" s="1325"/>
      <c r="C100" s="1325"/>
      <c r="D100" s="1326"/>
      <c r="E100" s="1326"/>
      <c r="F100" s="1326"/>
      <c r="G100" s="1326"/>
      <c r="H100" s="1326"/>
      <c r="I100" s="1326"/>
      <c r="J100" s="1326"/>
      <c r="K100" s="9"/>
      <c r="L100" s="9"/>
      <c r="M100" s="9"/>
      <c r="N100" s="9"/>
      <c r="O100" s="9"/>
      <c r="P100" s="9"/>
    </row>
    <row r="101" spans="1:20" s="13" customFormat="1" ht="13.5" customHeight="1" x14ac:dyDescent="0.2">
      <c r="A101" s="1355" t="s">
        <v>19</v>
      </c>
      <c r="B101" s="1355"/>
      <c r="C101" s="1355"/>
      <c r="D101" s="1355"/>
      <c r="E101" s="1355"/>
      <c r="F101" s="1355"/>
      <c r="G101" s="1355"/>
      <c r="H101" s="1355"/>
      <c r="I101" s="1355"/>
      <c r="J101" s="1355"/>
      <c r="K101" s="7"/>
      <c r="L101" s="7"/>
      <c r="M101" s="7"/>
      <c r="N101" s="52"/>
      <c r="O101" s="814">
        <f>Grundlagen!$C$4</f>
        <v>2025</v>
      </c>
      <c r="P101" s="52" t="s">
        <v>140</v>
      </c>
    </row>
    <row r="102" spans="1:20" s="8" customFormat="1" ht="13.5" customHeight="1" x14ac:dyDescent="0.25">
      <c r="B102" s="29"/>
      <c r="C102" s="29"/>
      <c r="D102" s="3" t="s">
        <v>148</v>
      </c>
      <c r="E102" s="3"/>
      <c r="F102" s="28"/>
      <c r="G102" s="28"/>
      <c r="H102" s="28"/>
      <c r="I102" s="24"/>
      <c r="K102" s="1327" t="s">
        <v>13</v>
      </c>
      <c r="L102" s="1327"/>
      <c r="M102" s="131"/>
      <c r="O102" s="928" t="str">
        <f>A125</f>
        <v>Jan 2025</v>
      </c>
      <c r="P102" s="1402">
        <f>IF(M104="",0,M104)</f>
        <v>0</v>
      </c>
    </row>
    <row r="103" spans="1:20" s="5" customFormat="1" ht="13.5" customHeight="1" x14ac:dyDescent="0.25">
      <c r="A103" s="1328" t="s">
        <v>754</v>
      </c>
      <c r="B103" s="1328"/>
      <c r="C103" s="1328"/>
      <c r="D103" s="1329"/>
      <c r="E103" s="1329"/>
      <c r="F103" s="1329"/>
      <c r="G103" s="1329"/>
      <c r="H103" s="1329"/>
      <c r="I103" s="1329"/>
      <c r="K103" s="1327" t="s">
        <v>101</v>
      </c>
      <c r="L103" s="1327"/>
      <c r="M103" s="101"/>
      <c r="O103" s="928" t="str">
        <f t="shared" ref="O103:O113" si="19">A126</f>
        <v>Feb 2025</v>
      </c>
      <c r="P103" s="1403">
        <f t="shared" ref="P103:P113" si="20">IF(P102="","",P102)</f>
        <v>0</v>
      </c>
    </row>
    <row r="104" spans="1:20" ht="13.5" customHeight="1" x14ac:dyDescent="0.2">
      <c r="A104" s="1328" t="s">
        <v>12</v>
      </c>
      <c r="B104" s="1328"/>
      <c r="C104" s="1328"/>
      <c r="D104" s="1345"/>
      <c r="E104" s="1345"/>
      <c r="F104" s="1345"/>
      <c r="G104" s="1345"/>
      <c r="H104" s="1345"/>
      <c r="I104" s="1345"/>
      <c r="K104" s="1327" t="s">
        <v>102</v>
      </c>
      <c r="L104" s="1327"/>
      <c r="M104" s="123"/>
      <c r="O104" s="928" t="str">
        <f t="shared" si="19"/>
        <v>Mrz 2025</v>
      </c>
      <c r="P104" s="1403">
        <f t="shared" si="20"/>
        <v>0</v>
      </c>
    </row>
    <row r="105" spans="1:20" ht="13.5" customHeight="1" x14ac:dyDescent="0.2">
      <c r="A105" s="1328" t="s">
        <v>11</v>
      </c>
      <c r="B105" s="1328"/>
      <c r="C105" s="1328"/>
      <c r="D105" s="1345"/>
      <c r="E105" s="1345"/>
      <c r="F105" s="1345"/>
      <c r="G105" s="1345"/>
      <c r="H105" s="1345"/>
      <c r="I105" s="1345"/>
      <c r="J105" s="1313" t="s">
        <v>655</v>
      </c>
      <c r="K105" s="1313"/>
      <c r="L105" s="1313"/>
      <c r="M105" s="123"/>
      <c r="O105" s="928" t="str">
        <f t="shared" si="19"/>
        <v>Apr 2025</v>
      </c>
      <c r="P105" s="1403">
        <f t="shared" si="20"/>
        <v>0</v>
      </c>
    </row>
    <row r="106" spans="1:20" ht="13.5" customHeight="1" x14ac:dyDescent="0.2">
      <c r="A106" s="1328" t="s">
        <v>18</v>
      </c>
      <c r="B106" s="1328"/>
      <c r="C106" s="1328"/>
      <c r="D106" s="1345"/>
      <c r="E106" s="1345"/>
      <c r="F106" s="1345"/>
      <c r="G106" s="1345"/>
      <c r="H106" s="1345"/>
      <c r="I106" s="1345"/>
      <c r="K106" s="1327" t="s">
        <v>94</v>
      </c>
      <c r="L106" s="1327"/>
      <c r="M106" s="15" t="str">
        <f>IF(IF((COUNTIF(B125:B136,"&gt;0"))=0,0,(COUNTIF(B125:B136,"&gt;0")))&gt;Grundlagen!$C$26,Grundlagen!$C$26,IF((COUNTIF(B125:B136,"&gt;0"))=0,"",(COUNTIF(B125:B136,"&gt;0"))))</f>
        <v/>
      </c>
      <c r="O106" s="928" t="str">
        <f t="shared" si="19"/>
        <v>Mai 2025</v>
      </c>
      <c r="P106" s="1403">
        <f t="shared" si="20"/>
        <v>0</v>
      </c>
    </row>
    <row r="107" spans="1:20" ht="13.5" customHeight="1" x14ac:dyDescent="0.2">
      <c r="B107" s="6"/>
      <c r="C107" s="946" t="s">
        <v>147</v>
      </c>
      <c r="D107" s="1324"/>
      <c r="E107" s="1324"/>
      <c r="F107" s="1359" t="s">
        <v>103</v>
      </c>
      <c r="G107" s="1359"/>
      <c r="H107" s="1324"/>
      <c r="I107" s="1324"/>
      <c r="M107" s="102" t="str">
        <f>IF((SUM(F110:F113))=0,"",IF(P114&gt;M103,M103,IF(M103="","",IF(M106="","",P114))))</f>
        <v/>
      </c>
      <c r="O107" s="928" t="str">
        <f t="shared" si="19"/>
        <v>Jun 2025</v>
      </c>
      <c r="P107" s="1403">
        <f t="shared" si="20"/>
        <v>0</v>
      </c>
    </row>
    <row r="108" spans="1:20" ht="13.5" customHeight="1" x14ac:dyDescent="0.2">
      <c r="I108" s="4"/>
      <c r="O108" s="928" t="str">
        <f t="shared" si="19"/>
        <v>Jul 2025</v>
      </c>
      <c r="P108" s="1403">
        <f t="shared" si="20"/>
        <v>0</v>
      </c>
    </row>
    <row r="109" spans="1:20" s="46" customFormat="1" ht="13.5" customHeight="1" x14ac:dyDescent="0.2">
      <c r="A109" s="54" t="s">
        <v>134</v>
      </c>
      <c r="B109" s="1356" t="s">
        <v>135</v>
      </c>
      <c r="C109" s="1356"/>
      <c r="D109" s="55" t="s">
        <v>136</v>
      </c>
      <c r="E109" s="56" t="s">
        <v>137</v>
      </c>
      <c r="F109" s="57" t="str">
        <f>CONCATENATE("Entg. ",N99," h/Wo")</f>
        <v>Entg.  h/Wo</v>
      </c>
      <c r="G109" s="58" t="s">
        <v>138</v>
      </c>
      <c r="H109" s="58"/>
      <c r="I109" s="967" t="s">
        <v>139</v>
      </c>
      <c r="J109" s="56"/>
      <c r="K109" s="56"/>
      <c r="L109" s="56"/>
      <c r="M109" s="56"/>
      <c r="O109" s="928" t="str">
        <f t="shared" si="19"/>
        <v>Aug 2025</v>
      </c>
      <c r="P109" s="1403">
        <f t="shared" si="20"/>
        <v>0</v>
      </c>
      <c r="T109" s="109"/>
    </row>
    <row r="110" spans="1:20" s="46" customFormat="1" ht="13.5" customHeight="1" x14ac:dyDescent="0.25">
      <c r="A110" s="48" t="str">
        <f>A125</f>
        <v>Jan 2025</v>
      </c>
      <c r="B110" s="1357" t="str">
        <f>IF(D99="","",D99)</f>
        <v/>
      </c>
      <c r="C110" s="1358"/>
      <c r="D110" s="132"/>
      <c r="E110" s="132"/>
      <c r="F110" s="71"/>
      <c r="G110" s="50">
        <f>IF(N99="",0,F110/N99/4.348)</f>
        <v>0</v>
      </c>
      <c r="I110" s="47">
        <f>SUM(J110:M110)</f>
        <v>0</v>
      </c>
      <c r="J110" s="124"/>
      <c r="K110" s="124"/>
      <c r="L110" s="124"/>
      <c r="M110" s="124"/>
      <c r="O110" s="928" t="str">
        <f t="shared" si="19"/>
        <v>Sep 2025</v>
      </c>
      <c r="P110" s="1403">
        <f t="shared" si="20"/>
        <v>0</v>
      </c>
      <c r="T110" s="107"/>
    </row>
    <row r="111" spans="1:20" s="46" customFormat="1" ht="13.5" customHeight="1" x14ac:dyDescent="0.25">
      <c r="A111" s="49"/>
      <c r="B111" s="1322" t="str">
        <f>IF(A111="","",B110)</f>
        <v/>
      </c>
      <c r="C111" s="1323"/>
      <c r="D111" s="132"/>
      <c r="E111" s="132"/>
      <c r="F111" s="71"/>
      <c r="G111" s="50">
        <f>IF(N99="",0,F111/N99/4.348)</f>
        <v>0</v>
      </c>
      <c r="I111" s="47">
        <f>SUM(J111:M111)</f>
        <v>0</v>
      </c>
      <c r="J111" s="124"/>
      <c r="K111" s="124"/>
      <c r="L111" s="124"/>
      <c r="M111" s="124"/>
      <c r="O111" s="928" t="str">
        <f t="shared" si="19"/>
        <v>Okt 2025</v>
      </c>
      <c r="P111" s="1403">
        <f t="shared" si="20"/>
        <v>0</v>
      </c>
      <c r="T111" s="107"/>
    </row>
    <row r="112" spans="1:20" s="46" customFormat="1" ht="13.5" customHeight="1" x14ac:dyDescent="0.25">
      <c r="A112" s="49"/>
      <c r="B112" s="1322" t="str">
        <f>IF(A112="","",B111)</f>
        <v/>
      </c>
      <c r="C112" s="1323"/>
      <c r="D112" s="132"/>
      <c r="E112" s="132"/>
      <c r="F112" s="72"/>
      <c r="G112" s="50">
        <f>IF(N99="",0,F112/N99/4.348)</f>
        <v>0</v>
      </c>
      <c r="I112" s="47">
        <f>SUM(J112:M112)</f>
        <v>0</v>
      </c>
      <c r="J112" s="124"/>
      <c r="K112" s="124"/>
      <c r="L112" s="124"/>
      <c r="M112" s="124"/>
      <c r="O112" s="928" t="str">
        <f t="shared" si="19"/>
        <v>Nov 2025</v>
      </c>
      <c r="P112" s="1403">
        <f t="shared" si="20"/>
        <v>0</v>
      </c>
      <c r="T112" s="107"/>
    </row>
    <row r="113" spans="1:22" s="46" customFormat="1" ht="13.5" customHeight="1" x14ac:dyDescent="0.25">
      <c r="A113" s="49"/>
      <c r="B113" s="1322" t="str">
        <f>IF(A113="","",B112)</f>
        <v/>
      </c>
      <c r="C113" s="1323"/>
      <c r="D113" s="132"/>
      <c r="E113" s="132"/>
      <c r="F113" s="71"/>
      <c r="G113" s="50">
        <f>IF(N99="",0,F113/N99/4.348)</f>
        <v>0</v>
      </c>
      <c r="I113" s="47">
        <f>SUM(J113:M113)</f>
        <v>0</v>
      </c>
      <c r="J113" s="124"/>
      <c r="K113" s="124"/>
      <c r="L113" s="124"/>
      <c r="M113" s="124"/>
      <c r="O113" s="928" t="str">
        <f t="shared" si="19"/>
        <v>Dez 2025</v>
      </c>
      <c r="P113" s="1403">
        <f t="shared" si="20"/>
        <v>0</v>
      </c>
      <c r="T113" s="107"/>
    </row>
    <row r="114" spans="1:22" s="46" customFormat="1" ht="13.5" customHeight="1" x14ac:dyDescent="0.25">
      <c r="I114" s="930" t="s">
        <v>730</v>
      </c>
      <c r="J114" s="1050"/>
      <c r="K114" s="1050"/>
      <c r="L114" s="1050"/>
      <c r="M114" s="1050"/>
      <c r="O114" s="126" t="s">
        <v>221</v>
      </c>
      <c r="P114" s="127">
        <f>IF(M106="",0,((IF(SUMIF(B125,"&gt;0"),P102,0))+(IF(SUMIF(B126,"&gt;0"),P103,0))+(IF(SUMIF(B127,"&gt;0"),P104,0))+(IF(SUMIF(B128,"&gt;0"),P105,0))+(IF(SUMIF(B129,"&gt;0"),P106,0))+(IF(SUMIF(B130,"&gt;0"),P107,0))+(IF(SUMIF(B131,"&gt;0"),P108,0))+(IF(SUMIF(B132,"&gt;0"),P109,0))+(IF(SUMIF(B133,"&gt;0"),P110,0))+(IF(SUMIF(B134,"&gt;0"),P111,0))+(IF(SUMIF(B135,"&gt;0"),P112,0))+(IF(SUMIF(B136,"&gt;0"),P113,0)))/Grundlagen!$C$26)</f>
        <v>0</v>
      </c>
      <c r="Q114" s="944" t="str">
        <f>CONCATENATE("BBG"," anteilig ",O116)</f>
        <v>BBG anteilig 2025</v>
      </c>
      <c r="R114" s="931" t="s">
        <v>659</v>
      </c>
      <c r="S114" s="931" t="s">
        <v>398</v>
      </c>
      <c r="T114" s="107"/>
    </row>
    <row r="115" spans="1:22" s="46" customFormat="1" ht="13.5" customHeight="1" x14ac:dyDescent="0.2">
      <c r="A115" s="924" t="s">
        <v>732</v>
      </c>
      <c r="D115" s="55" t="s">
        <v>369</v>
      </c>
      <c r="E115" s="56" t="s">
        <v>368</v>
      </c>
      <c r="F115" s="58"/>
      <c r="J115" s="61"/>
      <c r="Q115" s="932" t="s">
        <v>144</v>
      </c>
      <c r="R115" s="140">
        <f>IF(M104=0,R119,IF(M103="",R119,(SUM(R125:R136)/M106)))</f>
        <v>5175</v>
      </c>
      <c r="S115" s="933">
        <f>IF(M104=0,S119,IF(M103="",S119,SUM(R125:R136)))</f>
        <v>0</v>
      </c>
      <c r="T115" s="107"/>
    </row>
    <row r="116" spans="1:22" s="46" customFormat="1" ht="13.5" customHeight="1" x14ac:dyDescent="0.25">
      <c r="A116" s="60"/>
      <c r="B116" s="1314" t="str">
        <f>IF($B$20="","",$B$20)</f>
        <v>Jahressonderzahlung (JSZ)</v>
      </c>
      <c r="C116" s="1315"/>
      <c r="D116" s="926"/>
      <c r="E116" s="1404" t="str">
        <f>IF(A116="","",ROUND((((SUM(B131:B133)+SUM(F131:F133))/3)*D116)/Grundlagen!$C$26*M106,2))</f>
        <v/>
      </c>
      <c r="G116" s="941" t="s">
        <v>733</v>
      </c>
      <c r="H116" s="943"/>
      <c r="I116" s="1316" t="str">
        <f>CONCATENATE(R139,":"," Übergangsbereich von ",R140+0.01," €"," bis ",R141," €")</f>
        <v>2025: Übergangsbereich von 556,01 € bis 2000 €</v>
      </c>
      <c r="J116" s="1317"/>
      <c r="K116" s="1317"/>
      <c r="L116" s="1067"/>
      <c r="M116" s="1067"/>
      <c r="N116" s="1068" t="s">
        <v>736</v>
      </c>
      <c r="O116" s="1069">
        <f>P116+1</f>
        <v>2025</v>
      </c>
      <c r="P116" s="1069" t="s">
        <v>721</v>
      </c>
      <c r="Q116" s="932" t="s">
        <v>145</v>
      </c>
      <c r="R116" s="140">
        <f>IF(M104=0,R120,IF(M103="",R120,(SUM(S125:S136)/M106)))</f>
        <v>7450</v>
      </c>
      <c r="S116" s="933">
        <f>IF(M104=0,S120,IF(M103="",S120,SUM(S125:S136)))</f>
        <v>0</v>
      </c>
      <c r="T116" s="109"/>
    </row>
    <row r="117" spans="1:22" ht="14.25" customHeight="1" x14ac:dyDescent="0.2">
      <c r="A117" s="60"/>
      <c r="B117" s="1314" t="str">
        <f>IF($B$21="","",$B$21)</f>
        <v>Leistungsentgelt (LOB)</v>
      </c>
      <c r="C117" s="1315"/>
      <c r="D117" s="926"/>
      <c r="E117" s="1404" t="str">
        <f>IF(A117="","",ROUND(((B137+F137)*D117)/Grundlagen!$C$26*M106,2))</f>
        <v/>
      </c>
      <c r="G117" s="941" t="str">
        <f>IF(OR(H116="",H116="nein")=TRUE,"","Faktor (F):")</f>
        <v/>
      </c>
      <c r="H117" s="949" t="str">
        <f>IF(OR(H116="",H116="nein")=TRUE,"",IF(H116="","",R143))</f>
        <v/>
      </c>
      <c r="I117" s="1318" t="str">
        <f>IF(OR(H116="",H116="nein")=TRUE,"",IF(H117="","",CONCATENATE(S143*100,"%"," / ","(",R142*100,"%"," Gesamt-SV-Beitragssatz 2024)")))</f>
        <v/>
      </c>
      <c r="J117" s="1319"/>
      <c r="K117" s="1319"/>
      <c r="L117" s="1070"/>
      <c r="M117" s="1070"/>
      <c r="N117" s="1071" t="s">
        <v>144</v>
      </c>
      <c r="O117" s="1072">
        <f>$O$21</f>
        <v>5175</v>
      </c>
      <c r="P117" s="1072">
        <f>$P$21</f>
        <v>5175</v>
      </c>
      <c r="Q117" s="11"/>
      <c r="R117" s="11"/>
      <c r="S117" s="11"/>
      <c r="T117" s="109"/>
    </row>
    <row r="118" spans="1:22" ht="14.25" customHeight="1" x14ac:dyDescent="0.2">
      <c r="C118" s="925" t="s">
        <v>731</v>
      </c>
      <c r="L118" s="1070"/>
      <c r="M118" s="1070"/>
      <c r="N118" s="1071" t="s">
        <v>145</v>
      </c>
      <c r="O118" s="1073">
        <f>$O$22</f>
        <v>7450</v>
      </c>
      <c r="P118" s="1072">
        <f>$P$22</f>
        <v>7450</v>
      </c>
      <c r="Q118" s="944" t="str">
        <f>CONCATENATE("BBG"," ",O116)</f>
        <v>BBG 2025</v>
      </c>
      <c r="R118" s="11"/>
      <c r="S118" s="11"/>
      <c r="T118" s="109"/>
    </row>
    <row r="119" spans="1:22" ht="14.25" customHeight="1" x14ac:dyDescent="0.2">
      <c r="A119" s="53" t="s">
        <v>141</v>
      </c>
      <c r="B119" s="46"/>
      <c r="C119" s="46"/>
      <c r="D119" s="46"/>
      <c r="E119" s="46"/>
      <c r="F119" s="46"/>
      <c r="G119" s="46"/>
      <c r="H119" s="46"/>
      <c r="I119" s="46"/>
      <c r="J119" s="46"/>
      <c r="K119" s="46"/>
      <c r="L119" s="46"/>
      <c r="M119" s="46"/>
      <c r="N119" s="46"/>
      <c r="O119" s="46"/>
      <c r="P119" s="46"/>
      <c r="Q119" s="932" t="s">
        <v>144</v>
      </c>
      <c r="R119" s="141">
        <f>IF($O$21="",0,$O$21)</f>
        <v>5175</v>
      </c>
      <c r="S119" s="933">
        <f>R119*IF(M106="",0,M106)</f>
        <v>0</v>
      </c>
      <c r="T119" s="295"/>
    </row>
    <row r="120" spans="1:22" x14ac:dyDescent="0.2">
      <c r="A120" s="1346"/>
      <c r="B120" s="1348" t="s">
        <v>8</v>
      </c>
      <c r="C120" s="1349"/>
      <c r="D120" s="1349"/>
      <c r="E120" s="1349"/>
      <c r="F120" s="1349"/>
      <c r="G120" s="1350"/>
      <c r="H120" s="1351" t="s">
        <v>113</v>
      </c>
      <c r="I120" s="1352"/>
      <c r="J120" s="1352"/>
      <c r="K120" s="1352"/>
      <c r="L120" s="1352"/>
      <c r="M120" s="1352"/>
      <c r="N120" s="1352"/>
      <c r="O120" s="30"/>
      <c r="P120" s="1330" t="s">
        <v>0</v>
      </c>
      <c r="Q120" s="932" t="s">
        <v>145</v>
      </c>
      <c r="R120" s="141">
        <f>IF($O$22="",0,$O$22)</f>
        <v>7450</v>
      </c>
      <c r="S120" s="933">
        <f>R120*IF(M106="",0,M106)</f>
        <v>0</v>
      </c>
      <c r="T120" s="830"/>
    </row>
    <row r="121" spans="1:22" ht="14.25" customHeight="1" x14ac:dyDescent="0.2">
      <c r="A121" s="1347"/>
      <c r="B121" s="1333" t="s">
        <v>111</v>
      </c>
      <c r="C121" s="1335" t="s">
        <v>743</v>
      </c>
      <c r="D121" s="1337" t="s">
        <v>226</v>
      </c>
      <c r="E121" s="1339" t="s">
        <v>133</v>
      </c>
      <c r="F121" s="948" t="s">
        <v>6</v>
      </c>
      <c r="G121" s="1340" t="s">
        <v>5</v>
      </c>
      <c r="H121" s="1339" t="s">
        <v>119</v>
      </c>
      <c r="I121" s="1339" t="s">
        <v>4</v>
      </c>
      <c r="J121" s="1339" t="s">
        <v>3</v>
      </c>
      <c r="K121" s="1339" t="s">
        <v>2</v>
      </c>
      <c r="L121" s="1339" t="s">
        <v>114</v>
      </c>
      <c r="M121" s="1339" t="s">
        <v>115</v>
      </c>
      <c r="N121" s="1339" t="s">
        <v>116</v>
      </c>
      <c r="O121" s="1338" t="s">
        <v>109</v>
      </c>
      <c r="P121" s="1331"/>
      <c r="Q121" s="456"/>
      <c r="R121" s="11"/>
      <c r="S121" s="11"/>
      <c r="T121" s="621"/>
    </row>
    <row r="122" spans="1:22" x14ac:dyDescent="0.2">
      <c r="A122" s="1347"/>
      <c r="B122" s="1333"/>
      <c r="C122" s="1335"/>
      <c r="D122" s="1338"/>
      <c r="E122" s="1339"/>
      <c r="F122" s="1343" t="str">
        <f>I114</f>
        <v>Zuschläge / Zulagen / o.ä.:</v>
      </c>
      <c r="G122" s="1340"/>
      <c r="H122" s="1342" t="s">
        <v>117</v>
      </c>
      <c r="I122" s="1342"/>
      <c r="J122" s="1342"/>
      <c r="K122" s="1342"/>
      <c r="L122" s="1342"/>
      <c r="M122" s="1342"/>
      <c r="N122" s="1342"/>
      <c r="O122" s="1338"/>
      <c r="P122" s="1331"/>
      <c r="Q122" s="456"/>
      <c r="R122" s="1306" t="str">
        <f>Q114</f>
        <v>BBG anteilig 2025</v>
      </c>
      <c r="S122" s="1306"/>
      <c r="T122" s="829"/>
    </row>
    <row r="123" spans="1:22" ht="14.25" customHeight="1" x14ac:dyDescent="0.2">
      <c r="A123" s="1347"/>
      <c r="B123" s="1333"/>
      <c r="C123" s="1335"/>
      <c r="D123" s="1338"/>
      <c r="E123" s="1339"/>
      <c r="F123" s="1343"/>
      <c r="G123" s="1340"/>
      <c r="H123" s="39" t="str">
        <f>$H$27</f>
        <v>(7,30% + Zusatz)</v>
      </c>
      <c r="I123" s="39" t="str">
        <f>$I$27</f>
        <v xml:space="preserve"> (2024: 9,30%)</v>
      </c>
      <c r="J123" s="39" t="str">
        <f>$J$27</f>
        <v>(2024: 1,30%)</v>
      </c>
      <c r="K123" s="39" t="str">
        <f>$K$27</f>
        <v>(2024: 1,700%)</v>
      </c>
      <c r="L123" s="39"/>
      <c r="M123" s="39"/>
      <c r="N123" s="39" t="str">
        <f>$N$27</f>
        <v>(2024: 0,06%)</v>
      </c>
      <c r="O123" s="1338"/>
      <c r="P123" s="1331"/>
      <c r="Q123" s="456"/>
      <c r="R123" s="1307" t="s">
        <v>659</v>
      </c>
      <c r="S123" s="1307"/>
      <c r="T123" s="829"/>
      <c r="U123" s="1308" t="s">
        <v>1</v>
      </c>
      <c r="V123" s="1308" t="s">
        <v>741</v>
      </c>
    </row>
    <row r="124" spans="1:22" x14ac:dyDescent="0.2">
      <c r="A124" s="1347"/>
      <c r="B124" s="1334"/>
      <c r="C124" s="1336"/>
      <c r="D124" s="45"/>
      <c r="E124" s="45"/>
      <c r="F124" s="1344"/>
      <c r="G124" s="1341"/>
      <c r="H124" s="74"/>
      <c r="I124" s="99">
        <f>$I$28</f>
        <v>0</v>
      </c>
      <c r="J124" s="99">
        <f>$J$28</f>
        <v>0</v>
      </c>
      <c r="K124" s="40">
        <f>$K$28</f>
        <v>0</v>
      </c>
      <c r="L124" s="19"/>
      <c r="M124" s="19"/>
      <c r="N124" s="99">
        <f>$N$28</f>
        <v>0</v>
      </c>
      <c r="O124" s="23"/>
      <c r="P124" s="1332"/>
      <c r="Q124" s="456"/>
      <c r="R124" s="935" t="s">
        <v>144</v>
      </c>
      <c r="S124" s="935" t="s">
        <v>145</v>
      </c>
      <c r="T124" s="829"/>
      <c r="U124" s="1308"/>
      <c r="V124" s="1308"/>
    </row>
    <row r="125" spans="1:22"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1">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 t="shared" ref="P125:P136" si="22">SUM(G125:O125)</f>
        <v>0</v>
      </c>
      <c r="Q125" s="456"/>
      <c r="R125" s="140">
        <f>ROUND(IF(M103="",R119,R119/M103*P102),2)</f>
        <v>5175</v>
      </c>
      <c r="S125" s="140">
        <f>ROUND(IF(M103="",R120,R120/M103*P102),2)</f>
        <v>7450</v>
      </c>
      <c r="U125" s="950">
        <f t="shared" ref="U125:U136" si="23">SUM(B125:F125)</f>
        <v>0</v>
      </c>
      <c r="V125" s="950">
        <f>SUM(B125:F125)</f>
        <v>0</v>
      </c>
    </row>
    <row r="126" spans="1:22"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1"/>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si="22"/>
        <v>0</v>
      </c>
      <c r="Q126" s="456"/>
      <c r="R126" s="140">
        <f>ROUND(IF(M103="",R119,R119/M103*P103),2)</f>
        <v>5175</v>
      </c>
      <c r="S126" s="140">
        <f>ROUND(IF(M103="",R120,R120/M103*P103),2)</f>
        <v>7450</v>
      </c>
      <c r="U126" s="950">
        <f t="shared" si="23"/>
        <v>0</v>
      </c>
      <c r="V126" s="950">
        <f>SUM(B125:F126)</f>
        <v>0</v>
      </c>
    </row>
    <row r="127" spans="1:22"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1"/>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2"/>
        <v>0</v>
      </c>
      <c r="Q127" s="456"/>
      <c r="R127" s="140">
        <f>ROUND(IF(M103="",R119,R119/M103*P104),2)</f>
        <v>5175</v>
      </c>
      <c r="S127" s="140">
        <f>ROUND(IF(M103="",R120,R120/M103*P104),2)</f>
        <v>7450</v>
      </c>
      <c r="U127" s="950">
        <f t="shared" si="23"/>
        <v>0</v>
      </c>
      <c r="V127" s="950">
        <f>SUM(B125:F127)</f>
        <v>0</v>
      </c>
    </row>
    <row r="128" spans="1:22"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1"/>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2"/>
        <v>0</v>
      </c>
      <c r="Q128" s="456"/>
      <c r="R128" s="140">
        <f>ROUND(IF(M103="",R119,R119/M103*P105),2)</f>
        <v>5175</v>
      </c>
      <c r="S128" s="140">
        <f>ROUND(IF(M103="",R120,R120/M103*P105),2)</f>
        <v>7450</v>
      </c>
      <c r="U128" s="950">
        <f t="shared" si="23"/>
        <v>0</v>
      </c>
      <c r="V128" s="950">
        <f>SUM(B125:F128)</f>
        <v>0</v>
      </c>
    </row>
    <row r="129" spans="1:24"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1"/>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2"/>
        <v>0</v>
      </c>
      <c r="Q129" s="456"/>
      <c r="R129" s="140">
        <f>ROUND(IF(M103="",R119,R119/M103*P106),2)</f>
        <v>5175</v>
      </c>
      <c r="S129" s="140">
        <f>ROUND(IF(M103="",R120,R120/M103*P106),2)</f>
        <v>7450</v>
      </c>
      <c r="U129" s="950">
        <f t="shared" si="23"/>
        <v>0</v>
      </c>
      <c r="V129" s="950">
        <f>SUM(B125:F129)</f>
        <v>0</v>
      </c>
    </row>
    <row r="130" spans="1:24"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1"/>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2"/>
        <v>0</v>
      </c>
      <c r="Q130" s="456"/>
      <c r="R130" s="140">
        <f>ROUND(IF(M103="",R119,R119/M103*P107),2)</f>
        <v>5175</v>
      </c>
      <c r="S130" s="140">
        <f>ROUND(IF(M103="",R120,R120/M103*P107),2)</f>
        <v>7450</v>
      </c>
      <c r="U130" s="950">
        <f t="shared" si="23"/>
        <v>0</v>
      </c>
      <c r="V130" s="950">
        <f>SUM(B125:F130)</f>
        <v>0</v>
      </c>
    </row>
    <row r="131" spans="1:24"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1"/>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2"/>
        <v>0</v>
      </c>
      <c r="Q131" s="456"/>
      <c r="R131" s="140">
        <f>ROUND(IF(M103="",R119,R119/M103*P108),2)</f>
        <v>5175</v>
      </c>
      <c r="S131" s="140">
        <f>ROUND(IF(M103="",R120,R120/M103*P108),2)</f>
        <v>7450</v>
      </c>
      <c r="U131" s="950">
        <f t="shared" si="23"/>
        <v>0</v>
      </c>
      <c r="V131" s="950">
        <f>SUM(B125:F131)</f>
        <v>0</v>
      </c>
    </row>
    <row r="132" spans="1:24"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1"/>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2"/>
        <v>0</v>
      </c>
      <c r="Q132" s="456"/>
      <c r="R132" s="140">
        <f>ROUND(IF(M103="",R119,R119/M103*P109),2)</f>
        <v>5175</v>
      </c>
      <c r="S132" s="140">
        <f>ROUND(IF(M103="",R120,R120/M103*P109),2)</f>
        <v>7450</v>
      </c>
      <c r="U132" s="950">
        <f t="shared" si="23"/>
        <v>0</v>
      </c>
      <c r="V132" s="950">
        <f>SUM(B125:F132)</f>
        <v>0</v>
      </c>
    </row>
    <row r="133" spans="1:24"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1"/>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2"/>
        <v>0</v>
      </c>
      <c r="Q133" s="456"/>
      <c r="R133" s="140">
        <f>ROUND(IF(M103="",R119,R119/M103*P110),2)</f>
        <v>5175</v>
      </c>
      <c r="S133" s="140">
        <f>ROUND(IF(M103="",R120,R120/M103*P110),2)</f>
        <v>7450</v>
      </c>
      <c r="U133" s="950">
        <f t="shared" si="23"/>
        <v>0</v>
      </c>
      <c r="V133" s="950">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1"/>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2"/>
        <v>0</v>
      </c>
      <c r="Q134" s="936"/>
      <c r="R134" s="140">
        <f>ROUND(IF(M103="",R119,R119/M103*P111),2)</f>
        <v>5175</v>
      </c>
      <c r="S134" s="140">
        <f>ROUND(IF(M103="",R120,R120/M103*P111),2)</f>
        <v>7450</v>
      </c>
      <c r="U134" s="950">
        <f t="shared" si="23"/>
        <v>0</v>
      </c>
      <c r="V134" s="950">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1"/>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2"/>
        <v>0</v>
      </c>
      <c r="R135" s="140">
        <f>ROUND(IF(M103="",R119,R119/M103*P112),2)</f>
        <v>5175</v>
      </c>
      <c r="S135" s="140">
        <f>ROUND(IF(M103="",R120,R120/M103*P112),2)</f>
        <v>7450</v>
      </c>
      <c r="U135" s="950">
        <f t="shared" si="23"/>
        <v>0</v>
      </c>
      <c r="V135" s="950">
        <f>SUM(B125:F135)</f>
        <v>0</v>
      </c>
      <c r="X135" s="1"/>
    </row>
    <row r="136" spans="1:24"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1"/>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2"/>
        <v>0</v>
      </c>
      <c r="Q136" s="11"/>
      <c r="R136" s="140">
        <f>ROUND(IF(M103="",R119,R119/M103*P113),2)</f>
        <v>5175</v>
      </c>
      <c r="S136" s="140">
        <f>ROUND(IF(M103="",R120,R120/M103*P113),2)</f>
        <v>7450</v>
      </c>
      <c r="U136" s="950">
        <f t="shared" si="23"/>
        <v>0</v>
      </c>
      <c r="V136" s="950">
        <f>SUM(B125:F136)</f>
        <v>0</v>
      </c>
    </row>
    <row r="137" spans="1:24" ht="15" customHeight="1" x14ac:dyDescent="0.2">
      <c r="A137" s="2" t="s">
        <v>1</v>
      </c>
      <c r="B137" s="25">
        <f t="shared" ref="B137:G137" si="24">SUM(B125:B136)</f>
        <v>0</v>
      </c>
      <c r="C137" s="25">
        <f t="shared" si="24"/>
        <v>0</v>
      </c>
      <c r="D137" s="25">
        <f t="shared" si="24"/>
        <v>0</v>
      </c>
      <c r="E137" s="25">
        <f t="shared" si="24"/>
        <v>0</v>
      </c>
      <c r="F137" s="25">
        <f t="shared" si="24"/>
        <v>0</v>
      </c>
      <c r="G137" s="25">
        <f t="shared" si="24"/>
        <v>0</v>
      </c>
      <c r="H137" s="1309">
        <f>SUM(H125:N136)</f>
        <v>0</v>
      </c>
      <c r="I137" s="1310"/>
      <c r="J137" s="1310"/>
      <c r="K137" s="1310"/>
      <c r="L137" s="1310"/>
      <c r="M137" s="1310"/>
      <c r="N137" s="1311"/>
      <c r="O137" s="25">
        <f>SUM(O125:O136)</f>
        <v>0</v>
      </c>
      <c r="P137" s="25">
        <f>SUM(P125:P136)</f>
        <v>0</v>
      </c>
    </row>
    <row r="138" spans="1:24" ht="12" customHeight="1" x14ac:dyDescent="0.2"/>
    <row r="139" spans="1:24" ht="14.25" customHeight="1" x14ac:dyDescent="0.2">
      <c r="B139" s="906"/>
      <c r="H139" s="905"/>
      <c r="I139" s="62"/>
      <c r="J139" s="914" t="s">
        <v>123</v>
      </c>
      <c r="L139" s="900" t="s">
        <v>124</v>
      </c>
      <c r="M139" s="974" t="str">
        <f>IF(IF(G137=0,"",$M$43)=0,"",IF(G137=0,"",$M$43))</f>
        <v/>
      </c>
      <c r="N139" s="902" t="s">
        <v>125</v>
      </c>
      <c r="O139" s="963" t="str">
        <f>IF(IF(G137=0,"",$O$43)=0,"",IF(G137=0,"",$O$43))</f>
        <v/>
      </c>
      <c r="P139" s="25">
        <f>ROUND(IF(M139="",0,G137*M139*O139/1000),2)</f>
        <v>0</v>
      </c>
      <c r="Q139" s="937"/>
      <c r="R139" s="938">
        <v>2025</v>
      </c>
      <c r="S139" s="939"/>
    </row>
    <row r="140" spans="1:24" ht="14.25" customHeight="1" x14ac:dyDescent="0.2">
      <c r="H140" s="907"/>
      <c r="I140" s="42"/>
      <c r="M140" s="915" t="s">
        <v>129</v>
      </c>
      <c r="N140" s="80" t="s">
        <v>125</v>
      </c>
      <c r="O140" s="75" t="str">
        <f>IF(IF(G137=0,"",$O$44)=0,"",IF(G137=0,"",$O$44))</f>
        <v/>
      </c>
      <c r="P140" s="25">
        <f>ROUND(IF(O140="",0,G137*O140/1000),2)</f>
        <v>0</v>
      </c>
      <c r="Q140" s="942" t="s">
        <v>737</v>
      </c>
      <c r="R140" s="141">
        <f>$R$44</f>
        <v>556</v>
      </c>
      <c r="S140" s="955">
        <f>$S$44</f>
        <v>12.82</v>
      </c>
    </row>
    <row r="141" spans="1:24" ht="14.25" customHeight="1" x14ac:dyDescent="0.2">
      <c r="H141" s="912" t="s">
        <v>126</v>
      </c>
      <c r="I141" s="945" t="s">
        <v>127</v>
      </c>
      <c r="J141" s="975" t="str">
        <f>IF(IF(G137=0,"",$J$45)=0,"",IF(G137=0,"",$J$45))</f>
        <v/>
      </c>
      <c r="K141" s="902" t="s">
        <v>128</v>
      </c>
      <c r="L141" s="964" t="str">
        <f>IF(IF(G137=0,"",$L$45)=0,"",IF(G137=0,"",$L$45))</f>
        <v/>
      </c>
      <c r="M141" s="16"/>
      <c r="N141" s="900" t="s">
        <v>132</v>
      </c>
      <c r="O141" s="965" t="str">
        <f>IF(IF(G137=0,"",$O$45)=0,"",IF(G137=0,"",$O$45))</f>
        <v/>
      </c>
      <c r="P141" s="25">
        <f>ROUND(IF(J141="",0,(J141*L141/O141)/M103*M104),2)</f>
        <v>0</v>
      </c>
      <c r="Q141" s="942" t="s">
        <v>738</v>
      </c>
      <c r="R141" s="140">
        <f>$R$45</f>
        <v>2000</v>
      </c>
      <c r="S141" s="939"/>
    </row>
    <row r="142" spans="1:24" ht="14.25" customHeight="1" x14ac:dyDescent="0.2">
      <c r="D142" s="16"/>
      <c r="I142" s="16"/>
      <c r="J142" s="16"/>
      <c r="K142" s="63"/>
      <c r="L142" s="67"/>
      <c r="M142" s="915" t="s">
        <v>130</v>
      </c>
      <c r="N142" s="80" t="s">
        <v>131</v>
      </c>
      <c r="O142" s="904">
        <f>IF(IF(M107="",0,$O$46)=0,0,IF(M107="",0,$O$46))</f>
        <v>0</v>
      </c>
      <c r="P142" s="21">
        <f>ROUND(IF(G137=0,0,O142/M103*M104),2)</f>
        <v>0</v>
      </c>
      <c r="Q142" s="942" t="s">
        <v>740</v>
      </c>
      <c r="R142" s="956">
        <f>$R$46</f>
        <v>0.40900000000000003</v>
      </c>
    </row>
    <row r="143" spans="1:24" ht="14.25" customHeight="1" x14ac:dyDescent="0.2">
      <c r="A143" s="16"/>
      <c r="B143" s="16"/>
      <c r="I143" s="905"/>
      <c r="J143" s="947" t="s">
        <v>176</v>
      </c>
      <c r="K143" s="1312" t="str">
        <f>IF($K$47="","",$K$47)</f>
        <v/>
      </c>
      <c r="L143" s="1312"/>
      <c r="M143" s="1312"/>
      <c r="N143" s="80" t="s">
        <v>131</v>
      </c>
      <c r="O143" s="904">
        <f>IF(IF(M107="",0,$O$47)=0,0,IF(M107="",0,$O$47))</f>
        <v>0</v>
      </c>
      <c r="P143" s="21">
        <f>ROUND(IF(G137=0,0,O143/M103*M104),2)</f>
        <v>0</v>
      </c>
      <c r="Q143" s="942" t="s">
        <v>739</v>
      </c>
      <c r="R143" s="940">
        <f>$R$47</f>
        <v>0.68459999999999999</v>
      </c>
      <c r="S143" s="957">
        <f>$S$47</f>
        <v>0.28000000000000003</v>
      </c>
    </row>
    <row r="144" spans="1:24" ht="14.25" customHeight="1" x14ac:dyDescent="0.2">
      <c r="A144" s="908"/>
      <c r="B144" s="908"/>
      <c r="C144" s="945"/>
      <c r="D144" s="945"/>
      <c r="I144" s="913"/>
      <c r="J144" s="913"/>
      <c r="K144" s="916"/>
      <c r="L144" s="27"/>
      <c r="M144" s="27"/>
      <c r="N144" s="27"/>
      <c r="O144" s="26" t="s">
        <v>0</v>
      </c>
      <c r="P144" s="25">
        <f>P137+SUM(P139:P143)</f>
        <v>0</v>
      </c>
    </row>
  </sheetData>
  <sheetProtection algorithmName="SHA-512" hashValue="JwcSik3anOjqpnoHLXHhM7sNVXgGDA6N7FsxtCNm2nu533lrkYOV/UNuW4BfcC4RP4l/CzjR43hWfIiFPjeC5g==" saltValue="A8oeFyGiC5o5Ot3EgKjdow==" spinCount="100000" sheet="1" objects="1" scenarios="1"/>
  <mergeCells count="178">
    <mergeCell ref="R122:S122"/>
    <mergeCell ref="R123:S123"/>
    <mergeCell ref="U123:U124"/>
    <mergeCell ref="V123:V124"/>
    <mergeCell ref="H137:N137"/>
    <mergeCell ref="K143:M143"/>
    <mergeCell ref="B112:C112"/>
    <mergeCell ref="B116:C116"/>
    <mergeCell ref="I116:K116"/>
    <mergeCell ref="B117:C117"/>
    <mergeCell ref="I117:K117"/>
    <mergeCell ref="A120:A124"/>
    <mergeCell ref="B120:G120"/>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D97:N97"/>
    <mergeCell ref="A98:C98"/>
    <mergeCell ref="D98:N98"/>
    <mergeCell ref="A99:C99"/>
    <mergeCell ref="D99:J99"/>
    <mergeCell ref="K99:M99"/>
    <mergeCell ref="D100:J100"/>
    <mergeCell ref="A101:J101"/>
    <mergeCell ref="A104:C104"/>
    <mergeCell ref="D104:I104"/>
    <mergeCell ref="K104:L104"/>
    <mergeCell ref="A105:C105"/>
    <mergeCell ref="D105:I105"/>
    <mergeCell ref="J105:L105"/>
    <mergeCell ref="A106:C106"/>
    <mergeCell ref="D106:I106"/>
    <mergeCell ref="D107:E107"/>
    <mergeCell ref="B113:C113"/>
    <mergeCell ref="V27:V28"/>
    <mergeCell ref="U27:U28"/>
    <mergeCell ref="K54:L54"/>
    <mergeCell ref="K55:L55"/>
    <mergeCell ref="K58:L58"/>
    <mergeCell ref="F59:G59"/>
    <mergeCell ref="H59:I59"/>
    <mergeCell ref="A51:C51"/>
    <mergeCell ref="B64:C64"/>
    <mergeCell ref="A97:C97"/>
    <mergeCell ref="B61:C61"/>
    <mergeCell ref="B62:C62"/>
    <mergeCell ref="B63:C63"/>
    <mergeCell ref="K102:L102"/>
    <mergeCell ref="A100:C100"/>
    <mergeCell ref="D51:J51"/>
    <mergeCell ref="K51:M51"/>
    <mergeCell ref="I20:K20"/>
    <mergeCell ref="I21:K21"/>
    <mergeCell ref="A24:A28"/>
    <mergeCell ref="B24:G24"/>
    <mergeCell ref="H24:N24"/>
    <mergeCell ref="P24:P28"/>
    <mergeCell ref="B25:B28"/>
    <mergeCell ref="D25:D27"/>
    <mergeCell ref="E25:E27"/>
    <mergeCell ref="G25:G28"/>
    <mergeCell ref="H25:H26"/>
    <mergeCell ref="I25:I26"/>
    <mergeCell ref="J25:J26"/>
    <mergeCell ref="K25:K26"/>
    <mergeCell ref="L25:L26"/>
    <mergeCell ref="M25:M26"/>
    <mergeCell ref="N25:N26"/>
    <mergeCell ref="O25:O27"/>
    <mergeCell ref="F26:F28"/>
    <mergeCell ref="B21:C21"/>
    <mergeCell ref="C25:C28"/>
    <mergeCell ref="N23:P23"/>
    <mergeCell ref="R26:S26"/>
    <mergeCell ref="R27:S27"/>
    <mergeCell ref="B111:C111"/>
    <mergeCell ref="K106:L106"/>
    <mergeCell ref="B109:C109"/>
    <mergeCell ref="B110:C110"/>
    <mergeCell ref="F107:G107"/>
    <mergeCell ref="H107:I107"/>
    <mergeCell ref="K7:L7"/>
    <mergeCell ref="K10:L10"/>
    <mergeCell ref="K8:L8"/>
    <mergeCell ref="K103:L103"/>
    <mergeCell ref="B13:C13"/>
    <mergeCell ref="H11:I11"/>
    <mergeCell ref="B20:C20"/>
    <mergeCell ref="B16:C16"/>
    <mergeCell ref="B17:C17"/>
    <mergeCell ref="F11:G11"/>
    <mergeCell ref="D11:E11"/>
    <mergeCell ref="B14:C14"/>
    <mergeCell ref="B15:C15"/>
    <mergeCell ref="A53:J53"/>
    <mergeCell ref="A103:C103"/>
    <mergeCell ref="D103:I103"/>
    <mergeCell ref="A1:C1"/>
    <mergeCell ref="D1:N1"/>
    <mergeCell ref="A2:C2"/>
    <mergeCell ref="D2:N2"/>
    <mergeCell ref="A3:C3"/>
    <mergeCell ref="A10:C10"/>
    <mergeCell ref="D10:I10"/>
    <mergeCell ref="A4:C4"/>
    <mergeCell ref="D4:J4"/>
    <mergeCell ref="A7:C7"/>
    <mergeCell ref="D7:I7"/>
    <mergeCell ref="K6:L6"/>
    <mergeCell ref="A8:C8"/>
    <mergeCell ref="D8:I8"/>
    <mergeCell ref="A9:C9"/>
    <mergeCell ref="D9:I9"/>
    <mergeCell ref="K3:M3"/>
    <mergeCell ref="D3:J3"/>
    <mergeCell ref="A5:J5"/>
    <mergeCell ref="J9:L9"/>
    <mergeCell ref="D57:I57"/>
    <mergeCell ref="A56:C56"/>
    <mergeCell ref="D56:I56"/>
    <mergeCell ref="A58:C58"/>
    <mergeCell ref="D58:I58"/>
    <mergeCell ref="A57:C57"/>
    <mergeCell ref="A72:A76"/>
    <mergeCell ref="B72:G72"/>
    <mergeCell ref="H72:N72"/>
    <mergeCell ref="P72:P76"/>
    <mergeCell ref="B73:B76"/>
    <mergeCell ref="C73:C76"/>
    <mergeCell ref="D73:D75"/>
    <mergeCell ref="E73:E75"/>
    <mergeCell ref="G73:G76"/>
    <mergeCell ref="H73:H74"/>
    <mergeCell ref="I73:I74"/>
    <mergeCell ref="J73:J74"/>
    <mergeCell ref="K73:K74"/>
    <mergeCell ref="L73:L74"/>
    <mergeCell ref="M73:M74"/>
    <mergeCell ref="N73:N74"/>
    <mergeCell ref="O73:O75"/>
    <mergeCell ref="F74:F76"/>
    <mergeCell ref="R74:S74"/>
    <mergeCell ref="R75:S75"/>
    <mergeCell ref="U75:U76"/>
    <mergeCell ref="V75:V76"/>
    <mergeCell ref="H89:N89"/>
    <mergeCell ref="K95:M95"/>
    <mergeCell ref="J57:L57"/>
    <mergeCell ref="H41:N41"/>
    <mergeCell ref="B68:C68"/>
    <mergeCell ref="I68:K68"/>
    <mergeCell ref="B69:C69"/>
    <mergeCell ref="I69:K69"/>
    <mergeCell ref="D49:N49"/>
    <mergeCell ref="A50:C50"/>
    <mergeCell ref="D50:N50"/>
    <mergeCell ref="K47:M47"/>
    <mergeCell ref="B65:C65"/>
    <mergeCell ref="D59:E59"/>
    <mergeCell ref="A52:C52"/>
    <mergeCell ref="D52:J52"/>
    <mergeCell ref="K56:L56"/>
    <mergeCell ref="A55:C55"/>
    <mergeCell ref="D55:I55"/>
    <mergeCell ref="A49:C49"/>
  </mergeCells>
  <dataValidations count="1">
    <dataValidation type="list" allowBlank="1" showInputMessage="1" showErrorMessage="1" sqref="A63:A65 A20:A21 A68:A69 A15:A17 A111:A113 A116:A11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Leitungstätigkeit&amp;R&amp;G</oddHeader>
    <oddFooter>&amp;L&amp;"Arial,Standard"&amp;7SV - Sozialversicherung; BAV - Betriebliche Altersvorsorge; AG - Arbeitgeber&amp;C&amp;"Arial,Standard"&amp;8Ausfertigung vom &amp;D &amp;T&amp;R&amp;"Arial,Standard"&amp;8&amp;P von &amp;N</oddFooter>
  </headerFooter>
  <rowBreaks count="1" manualBreakCount="1">
    <brk id="48"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Grundlagen!$P$8:$P$9</xm:f>
          </x14:formula1>
          <xm:sqref>H20 H68 H116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3" tint="0.39997558519241921"/>
  </sheetPr>
  <dimension ref="A1:X1680"/>
  <sheetViews>
    <sheetView showGridLines="0" view="pageLayout" zoomScaleNormal="100" workbookViewId="0">
      <selection activeCell="D7" sqref="D7:I7"/>
    </sheetView>
  </sheetViews>
  <sheetFormatPr baseColWidth="10" defaultRowHeight="14.25" x14ac:dyDescent="0.2"/>
  <cols>
    <col min="1" max="1" width="9.42578125" style="14" customWidth="1"/>
    <col min="2" max="2" width="12.7109375" style="14" customWidth="1"/>
    <col min="3" max="3" width="11.42578125" style="14"/>
    <col min="4" max="4" width="10.5703125" style="14" customWidth="1"/>
    <col min="5" max="5" width="11.140625" style="14" customWidth="1"/>
    <col min="6" max="6" width="11.42578125" style="14" customWidth="1"/>
    <col min="7" max="7" width="10.140625" style="14" customWidth="1"/>
    <col min="8" max="8" width="11.5703125" style="14" customWidth="1"/>
    <col min="9" max="12" width="11.42578125" style="14"/>
    <col min="13" max="13" width="10.28515625" style="14" customWidth="1"/>
    <col min="14" max="14" width="11.140625" style="14" customWidth="1"/>
    <col min="15" max="15" width="11.5703125" style="14" customWidth="1"/>
    <col min="16" max="16" width="10.85546875" style="14" customWidth="1"/>
    <col min="17" max="17" width="17.140625" style="14" hidden="1" customWidth="1"/>
    <col min="18" max="24" width="11.42578125" style="14" hidden="1" customWidth="1"/>
    <col min="25" max="16384" width="11.42578125" style="14"/>
  </cols>
  <sheetData>
    <row r="1" spans="1:19" s="10" customFormat="1" ht="13.5" customHeight="1" x14ac:dyDescent="0.2">
      <c r="A1" s="1321" t="s">
        <v>17</v>
      </c>
      <c r="B1" s="1321"/>
      <c r="C1" s="1321"/>
      <c r="D1" s="1320" t="str">
        <f>IF('päd.Personal - Leitung'!$D$1="","",'päd.Personal - Leitung'!$D$1)</f>
        <v/>
      </c>
      <c r="E1" s="1320"/>
      <c r="F1" s="1320"/>
      <c r="G1" s="1320"/>
      <c r="H1" s="1320"/>
      <c r="I1" s="1320"/>
      <c r="J1" s="1320"/>
      <c r="K1" s="1320"/>
      <c r="L1" s="1320"/>
      <c r="M1" s="1320"/>
      <c r="N1" s="1320"/>
    </row>
    <row r="2" spans="1:19" s="10" customFormat="1" ht="15" customHeight="1" x14ac:dyDescent="0.2">
      <c r="A2" s="1321" t="s">
        <v>16</v>
      </c>
      <c r="B2" s="1321"/>
      <c r="C2" s="1321" t="s">
        <v>14</v>
      </c>
      <c r="D2" s="1320" t="str">
        <f>IF('päd.Personal - Leitung'!$D$2="","",'päd.Personal - Leitung'!$D$2)</f>
        <v/>
      </c>
      <c r="E2" s="1320"/>
      <c r="F2" s="1320"/>
      <c r="G2" s="1320"/>
      <c r="H2" s="1320"/>
      <c r="I2" s="1320"/>
      <c r="J2" s="1320"/>
      <c r="K2" s="1320"/>
      <c r="L2" s="1320"/>
      <c r="M2" s="1320"/>
      <c r="N2" s="1320"/>
    </row>
    <row r="3" spans="1:19" s="10" customFormat="1" ht="15" customHeight="1" x14ac:dyDescent="0.2">
      <c r="A3" s="1321" t="s">
        <v>15</v>
      </c>
      <c r="B3" s="1321"/>
      <c r="C3" s="1321" t="s">
        <v>14</v>
      </c>
      <c r="D3" s="1320" t="str">
        <f>IF('päd.Personal - Leitung'!$D$3="","",'päd.Personal - Leitung'!$D$3)</f>
        <v/>
      </c>
      <c r="E3" s="1320"/>
      <c r="F3" s="1320"/>
      <c r="G3" s="1320"/>
      <c r="H3" s="1320"/>
      <c r="I3" s="1320"/>
      <c r="J3" s="1320"/>
      <c r="K3" s="1321" t="s">
        <v>100</v>
      </c>
      <c r="L3" s="1321"/>
      <c r="M3" s="1321"/>
      <c r="N3" s="38" t="str">
        <f>IF('päd.Personal - Leitung'!$N$3="","",'päd.Personal - Leitung'!$N$3)</f>
        <v/>
      </c>
    </row>
    <row r="4" spans="1:19" s="923" customFormat="1" ht="7.5" customHeight="1" x14ac:dyDescent="0.15">
      <c r="A4" s="1353"/>
      <c r="B4" s="1353"/>
      <c r="C4" s="1353"/>
      <c r="D4" s="1354"/>
      <c r="E4" s="1354"/>
      <c r="F4" s="1354"/>
      <c r="G4" s="1354"/>
      <c r="H4" s="1354"/>
      <c r="I4" s="1354"/>
      <c r="J4" s="1354"/>
      <c r="K4" s="922"/>
      <c r="L4" s="922"/>
      <c r="M4" s="922"/>
      <c r="N4" s="922"/>
      <c r="O4" s="922"/>
      <c r="P4" s="922"/>
    </row>
    <row r="5" spans="1:19" s="13" customFormat="1" ht="13.5" customHeight="1" x14ac:dyDescent="0.2">
      <c r="A5" s="1355" t="s">
        <v>151</v>
      </c>
      <c r="B5" s="1355"/>
      <c r="C5" s="1355"/>
      <c r="D5" s="1355"/>
      <c r="E5" s="1355"/>
      <c r="F5" s="1355"/>
      <c r="G5" s="1355"/>
      <c r="H5" s="1355"/>
      <c r="I5" s="1355"/>
      <c r="J5" s="1355"/>
      <c r="K5" s="7"/>
      <c r="L5" s="7"/>
      <c r="M5" s="7"/>
      <c r="N5" s="52"/>
      <c r="O5" s="138">
        <f>'päd.Personal - Leitung'!$O$5</f>
        <v>2025</v>
      </c>
      <c r="P5" s="52" t="s">
        <v>140</v>
      </c>
    </row>
    <row r="6" spans="1:19" s="8" customFormat="1" ht="13.5" customHeight="1" x14ac:dyDescent="0.25">
      <c r="B6" s="29"/>
      <c r="C6" s="29"/>
      <c r="D6" s="3" t="s">
        <v>38</v>
      </c>
      <c r="E6" s="28"/>
      <c r="F6" s="28"/>
      <c r="G6" s="28"/>
      <c r="H6" s="28"/>
      <c r="I6" s="24"/>
      <c r="K6" s="1327" t="s">
        <v>13</v>
      </c>
      <c r="L6" s="1327"/>
      <c r="M6" s="133" t="str">
        <f>IF('päd.Personal - Leitung'!M6="","",'päd.Personal - Leitung'!M6)</f>
        <v/>
      </c>
      <c r="O6" s="928" t="str">
        <f>A29</f>
        <v>Jan 2025</v>
      </c>
      <c r="P6" s="68">
        <f>IF(M8="","",M8)</f>
        <v>0</v>
      </c>
    </row>
    <row r="7" spans="1:19" s="5" customFormat="1" ht="13.5" customHeight="1" x14ac:dyDescent="0.25">
      <c r="A7" s="1328" t="s">
        <v>754</v>
      </c>
      <c r="B7" s="1328"/>
      <c r="C7" s="1328"/>
      <c r="D7" s="1366" t="str">
        <f>IF('päd.Personal - Leitung'!D7="","",'päd.Personal - Leitung'!D7)</f>
        <v/>
      </c>
      <c r="E7" s="1366"/>
      <c r="F7" s="1366"/>
      <c r="G7" s="1366"/>
      <c r="H7" s="1366"/>
      <c r="I7" s="1366"/>
      <c r="K7" s="1327" t="s">
        <v>101</v>
      </c>
      <c r="L7" s="1327"/>
      <c r="M7" s="92" t="str">
        <f>IF('päd.Personal - Leitung'!M7="","",'päd.Personal - Leitung'!M7)</f>
        <v/>
      </c>
      <c r="O7" s="928" t="str">
        <f t="shared" ref="O7:O17" si="0">A30</f>
        <v>Feb 2025</v>
      </c>
      <c r="P7" s="69">
        <f t="shared" ref="P7:P14" si="1">IF(P6="","",P6)</f>
        <v>0</v>
      </c>
    </row>
    <row r="8" spans="1:19" s="1" customFormat="1" ht="13.5" customHeight="1" x14ac:dyDescent="0.2">
      <c r="A8" s="1328" t="s">
        <v>12</v>
      </c>
      <c r="B8" s="1328"/>
      <c r="C8" s="1328"/>
      <c r="D8" s="1366" t="str">
        <f>IF('päd.Personal - Leitung'!D8="","",'päd.Personal - Leitung'!D8)</f>
        <v/>
      </c>
      <c r="E8" s="1366"/>
      <c r="F8" s="1366"/>
      <c r="G8" s="1366"/>
      <c r="H8" s="1366"/>
      <c r="I8" s="1366"/>
      <c r="K8" s="1327" t="s">
        <v>149</v>
      </c>
      <c r="L8" s="1327"/>
      <c r="M8" s="102">
        <f>IF((M9+M10)&gt;M7,0,'päd.Personal - Leitung'!M9-M9-M10)</f>
        <v>0</v>
      </c>
      <c r="O8" s="928" t="str">
        <f t="shared" si="0"/>
        <v>Mrz 2025</v>
      </c>
      <c r="P8" s="69">
        <f t="shared" si="1"/>
        <v>0</v>
      </c>
    </row>
    <row r="9" spans="1:19" s="1" customFormat="1" ht="13.5" customHeight="1" x14ac:dyDescent="0.2">
      <c r="A9" s="1328" t="s">
        <v>11</v>
      </c>
      <c r="B9" s="1328"/>
      <c r="C9" s="1328"/>
      <c r="D9" s="1366" t="str">
        <f>IF('päd.Personal - Leitung'!D9="","",'päd.Personal - Leitung'!D9)</f>
        <v/>
      </c>
      <c r="E9" s="1366"/>
      <c r="F9" s="1366"/>
      <c r="G9" s="1366"/>
      <c r="H9" s="1366"/>
      <c r="I9" s="1366"/>
      <c r="K9" s="1327" t="s">
        <v>150</v>
      </c>
      <c r="L9" s="1327"/>
      <c r="M9" s="91"/>
      <c r="O9" s="928" t="str">
        <f t="shared" si="0"/>
        <v>Apr 2025</v>
      </c>
      <c r="P9" s="69">
        <f t="shared" si="1"/>
        <v>0</v>
      </c>
    </row>
    <row r="10" spans="1:19" s="1" customFormat="1" ht="13.5" customHeight="1" x14ac:dyDescent="0.2">
      <c r="A10" s="1328" t="s">
        <v>18</v>
      </c>
      <c r="B10" s="1328"/>
      <c r="C10" s="1328"/>
      <c r="D10" s="1366" t="str">
        <f>IF('päd.Personal - Leitung'!D10="","",'päd.Personal - Leitung'!D10)</f>
        <v/>
      </c>
      <c r="E10" s="1366"/>
      <c r="F10" s="1366"/>
      <c r="G10" s="1366"/>
      <c r="H10" s="1366"/>
      <c r="I10" s="1366"/>
      <c r="K10" s="1327" t="s">
        <v>222</v>
      </c>
      <c r="L10" s="1327"/>
      <c r="M10" s="101"/>
      <c r="O10" s="928" t="str">
        <f t="shared" si="0"/>
        <v>Mai 2025</v>
      </c>
      <c r="P10" s="69">
        <f t="shared" si="1"/>
        <v>0</v>
      </c>
    </row>
    <row r="11" spans="1:19" s="1" customFormat="1" ht="13.5" customHeight="1" x14ac:dyDescent="0.2">
      <c r="B11" s="6"/>
      <c r="C11" s="90" t="s">
        <v>147</v>
      </c>
      <c r="D11" s="1364" t="str">
        <f>IF('päd.Personal - Leitung'!D11="","",'päd.Personal - Leitung'!D11)</f>
        <v/>
      </c>
      <c r="E11" s="1364"/>
      <c r="F11" s="1359" t="s">
        <v>103</v>
      </c>
      <c r="G11" s="1359"/>
      <c r="H11" s="1365" t="str">
        <f>IF('päd.Personal - Leitung'!H11="","",'päd.Personal - Leitung'!H11)</f>
        <v/>
      </c>
      <c r="I11" s="1365"/>
      <c r="K11" s="1327" t="s">
        <v>94</v>
      </c>
      <c r="L11" s="1327"/>
      <c r="M11" s="15" t="str">
        <f>IF(IF((COUNTIF(B29:B40,"&gt;0"))=0,0,(COUNTIF(B29:B40,"&gt;0")))&gt;Grundlagen!$C$26,Grundlagen!$C$26,IF((COUNTIF(B29:B40,"&gt;0"))=0,"",(COUNTIF(B29:B40,"&gt;0"))))</f>
        <v/>
      </c>
      <c r="O11" s="928" t="str">
        <f t="shared" si="0"/>
        <v>Jun 2025</v>
      </c>
      <c r="P11" s="69">
        <f t="shared" si="1"/>
        <v>0</v>
      </c>
    </row>
    <row r="12" spans="1:19" s="1" customFormat="1" ht="13.5" customHeight="1" x14ac:dyDescent="0.2">
      <c r="I12" s="4"/>
      <c r="M12" s="102" t="str">
        <f>IF((SUM(F14:F17))=0,"",IF(P18&gt;M8,M8,IF(M8="","",IF(M11="","",P18))))</f>
        <v/>
      </c>
      <c r="O12" s="928" t="str">
        <f t="shared" si="0"/>
        <v>Jul 2025</v>
      </c>
      <c r="P12" s="69">
        <f t="shared" si="1"/>
        <v>0</v>
      </c>
    </row>
    <row r="13" spans="1:19" s="46" customFormat="1" ht="13.5" customHeight="1" x14ac:dyDescent="0.2">
      <c r="A13" s="54" t="s">
        <v>134</v>
      </c>
      <c r="B13" s="1356" t="s">
        <v>135</v>
      </c>
      <c r="C13" s="1356"/>
      <c r="D13" s="55" t="s">
        <v>136</v>
      </c>
      <c r="E13" s="56" t="s">
        <v>137</v>
      </c>
      <c r="F13" s="57" t="str">
        <f>CONCATENATE("Entg. ",N3," h/Wo")</f>
        <v>Entg.  h/Wo</v>
      </c>
      <c r="G13" s="58" t="s">
        <v>138</v>
      </c>
      <c r="I13" s="58" t="s">
        <v>139</v>
      </c>
      <c r="K13" s="970"/>
      <c r="L13" s="970"/>
      <c r="M13" s="59"/>
      <c r="N13" s="968"/>
      <c r="O13" s="928" t="str">
        <f t="shared" si="0"/>
        <v>Aug 2025</v>
      </c>
      <c r="P13" s="69">
        <f t="shared" si="1"/>
        <v>0</v>
      </c>
      <c r="Q13" s="85"/>
      <c r="R13" s="85"/>
      <c r="S13" s="85"/>
    </row>
    <row r="14" spans="1:19" s="46" customFormat="1" ht="13.5" customHeight="1" x14ac:dyDescent="0.25">
      <c r="A14" s="48" t="str">
        <f>'päd.Personal - Leitung'!$A$14</f>
        <v>Jan 2025</v>
      </c>
      <c r="B14" s="1357" t="str">
        <f>IF($D$3="","",$D$3)</f>
        <v/>
      </c>
      <c r="C14" s="1358"/>
      <c r="D14" s="134" t="str">
        <f>IF('päd.Personal - Leitung'!D14="","",'päd.Personal - Leitung'!D14)</f>
        <v/>
      </c>
      <c r="E14" s="134" t="str">
        <f>IF('päd.Personal - Leitung'!E14="","",'päd.Personal - Leitung'!E14)</f>
        <v/>
      </c>
      <c r="F14" s="98">
        <f>IF('päd.Personal - Leitung'!F14="",0,'päd.Personal - Leitung'!F14)</f>
        <v>0</v>
      </c>
      <c r="G14" s="50">
        <f>IF(N3="",0,F14/N3/4.348)</f>
        <v>0</v>
      </c>
      <c r="I14" s="125">
        <f>SUM(J14:M14)</f>
        <v>0</v>
      </c>
      <c r="J14" s="125" t="str">
        <f>IF('päd.Personal - Leitung'!J14="","",'päd.Personal - Leitung'!J14)</f>
        <v/>
      </c>
      <c r="K14" s="125" t="str">
        <f>IF('päd.Personal - Leitung'!K14="","",'päd.Personal - Leitung'!K14)</f>
        <v/>
      </c>
      <c r="L14" s="125" t="str">
        <f>IF('päd.Personal - Leitung'!L14="","",'päd.Personal - Leitung'!L14)</f>
        <v/>
      </c>
      <c r="M14" s="125" t="str">
        <f>IF('päd.Personal - Leitung'!M14="","",'päd.Personal - Leitung'!M14)</f>
        <v/>
      </c>
      <c r="N14" s="969"/>
      <c r="O14" s="928" t="str">
        <f t="shared" si="0"/>
        <v>Sep 2025</v>
      </c>
      <c r="P14" s="69">
        <f t="shared" si="1"/>
        <v>0</v>
      </c>
      <c r="Q14" s="85"/>
      <c r="R14" s="85"/>
      <c r="S14" s="85"/>
    </row>
    <row r="15" spans="1:19" s="46" customFormat="1" ht="13.5" customHeight="1" x14ac:dyDescent="0.25">
      <c r="A15" s="48" t="str">
        <f>IF('päd.Personal - Leitung'!A15="","",'päd.Personal - Leitung'!A15)</f>
        <v/>
      </c>
      <c r="B15" s="1357" t="str">
        <f>IF(A15="","",B14)</f>
        <v/>
      </c>
      <c r="C15" s="1358"/>
      <c r="D15" s="134" t="str">
        <f>IF('päd.Personal - Leitung'!D15="","",'päd.Personal - Leitung'!D15)</f>
        <v/>
      </c>
      <c r="E15" s="134" t="str">
        <f>IF('päd.Personal - Leitung'!E15="","",'päd.Personal - Leitung'!E15)</f>
        <v/>
      </c>
      <c r="F15" s="98">
        <f>IF('päd.Personal - Leitung'!F15="",0,'päd.Personal - Leitung'!F15)</f>
        <v>0</v>
      </c>
      <c r="G15" s="50">
        <f>IF(N3="",0,F15/N3/4.348)</f>
        <v>0</v>
      </c>
      <c r="I15" s="125">
        <f t="shared" ref="I15:I17" si="2">SUM(J15:M15)</f>
        <v>0</v>
      </c>
      <c r="J15" s="125" t="str">
        <f>IF('päd.Personal - Leitung'!J15="","",'päd.Personal - Leitung'!J15)</f>
        <v/>
      </c>
      <c r="K15" s="125" t="str">
        <f>IF('päd.Personal - Leitung'!K15="","",'päd.Personal - Leitung'!K15)</f>
        <v/>
      </c>
      <c r="L15" s="125" t="str">
        <f>IF('päd.Personal - Leitung'!L15="","",'päd.Personal - Leitung'!L15)</f>
        <v/>
      </c>
      <c r="M15" s="125" t="str">
        <f>IF('päd.Personal - Leitung'!M15="","",'päd.Personal - Leitung'!M15)</f>
        <v/>
      </c>
      <c r="N15" s="969"/>
      <c r="O15" s="928" t="str">
        <f t="shared" si="0"/>
        <v>Okt 2025</v>
      </c>
      <c r="P15" s="69">
        <f t="shared" ref="P15:P17" si="3">IF(P14="","",P14)</f>
        <v>0</v>
      </c>
      <c r="Q15" s="85"/>
      <c r="R15" s="85"/>
      <c r="S15" s="85"/>
    </row>
    <row r="16" spans="1:19" s="46" customFormat="1" ht="13.5" customHeight="1" x14ac:dyDescent="0.25">
      <c r="A16" s="48" t="str">
        <f>IF('päd.Personal - Leitung'!A16="","",'päd.Personal - Leitung'!A16)</f>
        <v/>
      </c>
      <c r="B16" s="1357" t="str">
        <f>IF(A16="","",B15)</f>
        <v/>
      </c>
      <c r="C16" s="1358"/>
      <c r="D16" s="134" t="str">
        <f>IF('päd.Personal - Leitung'!D16="","",'päd.Personal - Leitung'!D16)</f>
        <v/>
      </c>
      <c r="E16" s="134" t="str">
        <f>IF('päd.Personal - Leitung'!E16="","",'päd.Personal - Leitung'!E16)</f>
        <v/>
      </c>
      <c r="F16" s="98">
        <f>IF('päd.Personal - Leitung'!F16="",0,'päd.Personal - Leitung'!F16)</f>
        <v>0</v>
      </c>
      <c r="G16" s="50">
        <f>IF(N3="",0,F16/N3/4.348)</f>
        <v>0</v>
      </c>
      <c r="I16" s="125">
        <f t="shared" si="2"/>
        <v>0</v>
      </c>
      <c r="J16" s="125" t="str">
        <f>IF('päd.Personal - Leitung'!J16="","",'päd.Personal - Leitung'!J16)</f>
        <v/>
      </c>
      <c r="K16" s="125" t="str">
        <f>IF('päd.Personal - Leitung'!K16="","",'päd.Personal - Leitung'!K16)</f>
        <v/>
      </c>
      <c r="L16" s="125" t="str">
        <f>IF('päd.Personal - Leitung'!L16="","",'päd.Personal - Leitung'!L16)</f>
        <v/>
      </c>
      <c r="M16" s="125" t="str">
        <f>IF('päd.Personal - Leitung'!M16="","",'päd.Personal - Leitung'!M16)</f>
        <v/>
      </c>
      <c r="N16" s="969"/>
      <c r="O16" s="928" t="str">
        <f t="shared" si="0"/>
        <v>Nov 2025</v>
      </c>
      <c r="P16" s="69">
        <f t="shared" si="3"/>
        <v>0</v>
      </c>
      <c r="Q16" s="85"/>
      <c r="R16" s="85"/>
      <c r="S16" s="85"/>
    </row>
    <row r="17" spans="1:22" s="46" customFormat="1" ht="13.5" customHeight="1" x14ac:dyDescent="0.25">
      <c r="A17" s="48" t="str">
        <f>IF('päd.Personal - Leitung'!A17="","",'päd.Personal - Leitung'!A17)</f>
        <v/>
      </c>
      <c r="B17" s="1357" t="str">
        <f>IF(A17="","",B16)</f>
        <v/>
      </c>
      <c r="C17" s="1358"/>
      <c r="D17" s="134" t="str">
        <f>IF('päd.Personal - Leitung'!D17="","",'päd.Personal - Leitung'!D17)</f>
        <v/>
      </c>
      <c r="E17" s="134" t="str">
        <f>IF('päd.Personal - Leitung'!E17="","",'päd.Personal - Leitung'!E17)</f>
        <v/>
      </c>
      <c r="F17" s="98">
        <f>IF('päd.Personal - Leitung'!F17="",0,'päd.Personal - Leitung'!F17)</f>
        <v>0</v>
      </c>
      <c r="G17" s="50">
        <f>IF(N3="",0,F17/N3/4.348)</f>
        <v>0</v>
      </c>
      <c r="I17" s="125">
        <f t="shared" si="2"/>
        <v>0</v>
      </c>
      <c r="J17" s="125" t="str">
        <f>IF('päd.Personal - Leitung'!J17="","",'päd.Personal - Leitung'!J17)</f>
        <v/>
      </c>
      <c r="K17" s="125" t="str">
        <f>IF('päd.Personal - Leitung'!K17="","",'päd.Personal - Leitung'!K17)</f>
        <v/>
      </c>
      <c r="L17" s="125" t="str">
        <f>IF('päd.Personal - Leitung'!L17="","",'päd.Personal - Leitung'!L17)</f>
        <v/>
      </c>
      <c r="M17" s="125" t="str">
        <f>IF('päd.Personal - Leitung'!M17="","",'päd.Personal - Leitung'!M17)</f>
        <v/>
      </c>
      <c r="N17" s="969"/>
      <c r="O17" s="928" t="str">
        <f t="shared" si="0"/>
        <v>Dez 2025</v>
      </c>
      <c r="P17" s="69">
        <f t="shared" si="3"/>
        <v>0</v>
      </c>
      <c r="Q17" s="85"/>
      <c r="R17" s="85"/>
      <c r="S17" s="85"/>
    </row>
    <row r="18" spans="1:22" s="46" customFormat="1" ht="13.5" customHeight="1" x14ac:dyDescent="0.25">
      <c r="B18" s="972"/>
      <c r="C18" s="972"/>
      <c r="E18" s="972"/>
      <c r="F18" s="972"/>
      <c r="I18" s="930" t="s">
        <v>730</v>
      </c>
      <c r="J18" s="1051" t="str">
        <f>IF('päd.Personal - Leitung'!J18="","",'päd.Personal - Leitung'!J18)</f>
        <v/>
      </c>
      <c r="K18" s="1051" t="str">
        <f>IF('päd.Personal - Leitung'!K18="","",'päd.Personal - Leitung'!K18)</f>
        <v/>
      </c>
      <c r="L18" s="1051" t="str">
        <f>IF('päd.Personal - Leitung'!L18="","",'päd.Personal - Leitung'!L18)</f>
        <v/>
      </c>
      <c r="M18" s="1051" t="str">
        <f>IF('päd.Personal - Leitung'!M18="","",'päd.Personal - Leitung'!M18)</f>
        <v/>
      </c>
      <c r="N18" s="971"/>
      <c r="O18" s="126" t="s">
        <v>221</v>
      </c>
      <c r="P18" s="127">
        <f>IF(M11="",0,((IF(SUMIF(B29,"&gt;0"),P6,0))+(IF(SUMIF(B30,"&gt;0"),P7,0))+(IF(SUMIF(B31,"&gt;0"),P8,0))+(IF(SUMIF(B32,"&gt;0"),P9,0))+(IF(SUMIF(B33,"&gt;0"),P10,0))+(IF(SUMIF(B34,"&gt;0"),P11,0))+(IF(SUMIF(B35,"&gt;0"),P12,0))+(IF(SUMIF(B36,"&gt;0"),P13,0))+(IF(SUMIF(B37,"&gt;0"),P14,0))+(IF(SUMIF(B38,"&gt;0"),P15,0))+(IF(SUMIF(B39,"&gt;0"),P16,0))+(IF(SUMIF(B40,"&gt;0"),P17,0)))/Grundlagen!$C$26)</f>
        <v>0</v>
      </c>
      <c r="Q18" s="944" t="str">
        <f>CONCATENATE("BBG"," anteilig ",O20)</f>
        <v>BBG anteilig 2025</v>
      </c>
      <c r="R18" s="931" t="s">
        <v>659</v>
      </c>
      <c r="S18" s="931" t="s">
        <v>398</v>
      </c>
      <c r="T18" s="107"/>
    </row>
    <row r="19" spans="1:22" s="46" customFormat="1" ht="13.5" customHeight="1" x14ac:dyDescent="0.2">
      <c r="A19" s="924" t="s">
        <v>732</v>
      </c>
      <c r="D19" s="55" t="s">
        <v>369</v>
      </c>
      <c r="E19" s="56" t="s">
        <v>368</v>
      </c>
      <c r="F19" s="58"/>
      <c r="J19" s="61"/>
      <c r="Q19" s="932" t="s">
        <v>144</v>
      </c>
      <c r="R19" s="140">
        <f>IF(M8=0,R23,IF(M7="",R23,(SUM(R29:R40)/M11)))</f>
        <v>5175</v>
      </c>
      <c r="S19" s="933">
        <f>IF(M8=0,S23,IF(M7="",S23,SUM(R29:R40)))</f>
        <v>0</v>
      </c>
      <c r="T19" s="107"/>
    </row>
    <row r="20" spans="1:22" s="46" customFormat="1" ht="13.5" customHeight="1" x14ac:dyDescent="0.25">
      <c r="A20" s="77" t="str">
        <f>IF('päd.Personal - Leitung'!$A$20="","",'päd.Personal - Leitung'!$A$20)</f>
        <v/>
      </c>
      <c r="B20" s="1362" t="str">
        <f>IF('päd.Personal - Leitung'!$B$20="","",'päd.Personal - Leitung'!$B$20)</f>
        <v>Jahressonderzahlung (JSZ)</v>
      </c>
      <c r="C20" s="1363"/>
      <c r="D20" s="973" t="str">
        <f>IF('päd.Personal - Leitung'!$D$20="","",'päd.Personal - Leitung'!$D$20)</f>
        <v/>
      </c>
      <c r="E20" s="929" t="str">
        <f>IF(A20="","",ROUND((((SUM(B35:B37)+SUM(F35:F37))/3)*D20)/Grundlagen!$C$26*M11,2))</f>
        <v/>
      </c>
      <c r="G20" s="941" t="s">
        <v>733</v>
      </c>
      <c r="H20" s="943"/>
      <c r="I20" s="1316" t="str">
        <f>CONCATENATE(R43,":"," Übergangsbereich von ",R44+0.01," €"," bis ",R45," €")</f>
        <v>2025: Übergangsbereich von 556,01 € bis 2000 €</v>
      </c>
      <c r="J20" s="1317"/>
      <c r="K20" s="1317"/>
      <c r="L20" s="1067"/>
      <c r="M20" s="1067"/>
      <c r="N20" s="1068" t="s">
        <v>736</v>
      </c>
      <c r="O20" s="1069">
        <f>P20+1</f>
        <v>2025</v>
      </c>
      <c r="P20" s="1069" t="s">
        <v>721</v>
      </c>
      <c r="Q20" s="932" t="s">
        <v>145</v>
      </c>
      <c r="R20" s="140">
        <f>IF(M8=0,R24,IF(M7="",R24,(SUM(S29:S40)/M11)))</f>
        <v>7450</v>
      </c>
      <c r="S20" s="933">
        <f>IF(M8=0,S24,IF(M7="",S24,SUM(S29:S40)))</f>
        <v>0</v>
      </c>
      <c r="T20" s="109"/>
    </row>
    <row r="21" spans="1:22" s="1" customFormat="1" ht="14.25" customHeight="1" x14ac:dyDescent="0.2">
      <c r="A21" s="77" t="str">
        <f>IF('päd.Personal - Leitung'!$A$21="","",'päd.Personal - Leitung'!$A$21)</f>
        <v/>
      </c>
      <c r="B21" s="1362" t="str">
        <f>IF('päd.Personal - Leitung'!$B$21="","",'päd.Personal - Leitung'!$B$21)</f>
        <v>Leistungsentgelt (LOB)</v>
      </c>
      <c r="C21" s="1363"/>
      <c r="D21" s="973" t="str">
        <f>IF('päd.Personal - Leitung'!$D$21="","",'päd.Personal - Leitung'!$D$21)</f>
        <v/>
      </c>
      <c r="E21" s="929" t="str">
        <f>IF(A21="","",ROUND(((B41+F41)*D21)/Grundlagen!$C$26*M11,2))</f>
        <v/>
      </c>
      <c r="G21" s="941" t="str">
        <f>IF(OR(H20="",H20="nein")=TRUE,"","Faktor (F):")</f>
        <v/>
      </c>
      <c r="H21" s="949" t="str">
        <f>IF(OR(H20="",H20="nein")=TRUE,"",IF(H20="","",R47))</f>
        <v/>
      </c>
      <c r="I21" s="1318" t="str">
        <f>IF(OR(H20="",H20="nein")=TRUE,"",IF(H21="","",CONCATENATE(S47*100,"%"," / ","(",R46*100,"%"," Gesamt-SV-Beitragssatz 2024)")))</f>
        <v/>
      </c>
      <c r="J21" s="1319"/>
      <c r="K21" s="1319"/>
      <c r="L21" s="1070"/>
      <c r="M21" s="1070"/>
      <c r="N21" s="1071" t="s">
        <v>144</v>
      </c>
      <c r="O21" s="1072">
        <f>'päd.Personal - Leitung'!$O$21</f>
        <v>5175</v>
      </c>
      <c r="P21" s="1072">
        <f>'päd.Personal - Leitung'!$P$21</f>
        <v>5175</v>
      </c>
      <c r="Q21" s="11"/>
      <c r="R21" s="11"/>
      <c r="S21" s="11"/>
      <c r="T21" s="109"/>
    </row>
    <row r="22" spans="1:22" s="1" customFormat="1" ht="14.25" customHeight="1" x14ac:dyDescent="0.2">
      <c r="C22" s="925" t="s">
        <v>731</v>
      </c>
      <c r="L22" s="1070"/>
      <c r="M22" s="1070"/>
      <c r="N22" s="1071" t="s">
        <v>145</v>
      </c>
      <c r="O22" s="1073">
        <f>'päd.Personal - Leitung'!$O$22</f>
        <v>7450</v>
      </c>
      <c r="P22" s="1073">
        <f>'päd.Personal - Leitung'!$P$22</f>
        <v>7450</v>
      </c>
      <c r="Q22" s="944" t="str">
        <f>CONCATENATE("BBG"," ",O20)</f>
        <v>BBG 2025</v>
      </c>
      <c r="R22" s="11"/>
      <c r="S22" s="11"/>
      <c r="T22" s="109"/>
    </row>
    <row r="23" spans="1:22" s="1" customFormat="1" ht="14.25" customHeight="1" x14ac:dyDescent="0.2">
      <c r="A23" s="53" t="s">
        <v>141</v>
      </c>
      <c r="B23" s="46"/>
      <c r="C23" s="46"/>
      <c r="D23" s="46"/>
      <c r="E23" s="46"/>
      <c r="F23" s="46"/>
      <c r="G23" s="46"/>
      <c r="H23" s="46"/>
      <c r="I23" s="46"/>
      <c r="J23" s="46"/>
      <c r="K23" s="46"/>
      <c r="L23" s="46"/>
      <c r="M23" s="46"/>
      <c r="N23" s="46"/>
      <c r="O23" s="46"/>
      <c r="P23" s="46"/>
      <c r="Q23" s="932" t="s">
        <v>144</v>
      </c>
      <c r="R23" s="141">
        <f>IF($O$21="",0,$O$21)</f>
        <v>5175</v>
      </c>
      <c r="S23" s="933">
        <f>R23*IF(M11="",0,M11)</f>
        <v>0</v>
      </c>
      <c r="T23" s="295"/>
    </row>
    <row r="24" spans="1:22" s="1" customFormat="1" x14ac:dyDescent="0.2">
      <c r="A24" s="1346"/>
      <c r="B24" s="1348" t="s">
        <v>8</v>
      </c>
      <c r="C24" s="1349"/>
      <c r="D24" s="1349"/>
      <c r="E24" s="1349"/>
      <c r="F24" s="1349"/>
      <c r="G24" s="1350"/>
      <c r="H24" s="1351" t="s">
        <v>113</v>
      </c>
      <c r="I24" s="1352"/>
      <c r="J24" s="1352"/>
      <c r="K24" s="1352"/>
      <c r="L24" s="1352"/>
      <c r="M24" s="1352"/>
      <c r="N24" s="1352"/>
      <c r="O24" s="30"/>
      <c r="P24" s="1330" t="s">
        <v>0</v>
      </c>
      <c r="Q24" s="932" t="s">
        <v>145</v>
      </c>
      <c r="R24" s="141">
        <f>IF($O$22="",0,$O$22)</f>
        <v>7450</v>
      </c>
      <c r="S24" s="933">
        <f>R24*IF(M11="",0,M11)</f>
        <v>0</v>
      </c>
      <c r="T24" s="830"/>
    </row>
    <row r="25" spans="1:22" s="1" customFormat="1" ht="14.25" customHeight="1" x14ac:dyDescent="0.2">
      <c r="A25" s="1347"/>
      <c r="B25" s="1333" t="s">
        <v>111</v>
      </c>
      <c r="C25" s="1335" t="s">
        <v>743</v>
      </c>
      <c r="D25" s="1337" t="s">
        <v>226</v>
      </c>
      <c r="E25" s="1339" t="s">
        <v>133</v>
      </c>
      <c r="F25" s="948" t="s">
        <v>6</v>
      </c>
      <c r="G25" s="1340" t="s">
        <v>5</v>
      </c>
      <c r="H25" s="1339" t="s">
        <v>119</v>
      </c>
      <c r="I25" s="1339" t="s">
        <v>4</v>
      </c>
      <c r="J25" s="1339" t="s">
        <v>3</v>
      </c>
      <c r="K25" s="1339" t="s">
        <v>2</v>
      </c>
      <c r="L25" s="1339" t="s">
        <v>114</v>
      </c>
      <c r="M25" s="1339" t="s">
        <v>115</v>
      </c>
      <c r="N25" s="1339" t="s">
        <v>116</v>
      </c>
      <c r="O25" s="1338" t="s">
        <v>109</v>
      </c>
      <c r="P25" s="1331"/>
      <c r="Q25" s="456"/>
      <c r="R25" s="11"/>
      <c r="S25" s="11"/>
      <c r="T25" s="621"/>
    </row>
    <row r="26" spans="1:22" s="1" customFormat="1" x14ac:dyDescent="0.2">
      <c r="A26" s="1347"/>
      <c r="B26" s="1333"/>
      <c r="C26" s="1335"/>
      <c r="D26" s="1338"/>
      <c r="E26" s="1339"/>
      <c r="F26" s="1343" t="str">
        <f>I18</f>
        <v>Zuschläge / Zulagen / o.ä.:</v>
      </c>
      <c r="G26" s="1340"/>
      <c r="H26" s="1342" t="s">
        <v>117</v>
      </c>
      <c r="I26" s="1342"/>
      <c r="J26" s="1342"/>
      <c r="K26" s="1342"/>
      <c r="L26" s="1342"/>
      <c r="M26" s="1342"/>
      <c r="N26" s="1342"/>
      <c r="O26" s="1338"/>
      <c r="P26" s="1331"/>
      <c r="Q26" s="456"/>
      <c r="R26" s="1306" t="str">
        <f>Q18</f>
        <v>BBG anteilig 2025</v>
      </c>
      <c r="S26" s="1306"/>
      <c r="T26" s="829"/>
    </row>
    <row r="27" spans="1:22" s="1" customFormat="1" ht="14.25" customHeight="1" x14ac:dyDescent="0.2">
      <c r="A27" s="1347"/>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c r="Q27" s="456"/>
      <c r="R27" s="1307" t="s">
        <v>659</v>
      </c>
      <c r="S27" s="1307"/>
      <c r="T27" s="829"/>
      <c r="U27" s="1308" t="s">
        <v>1</v>
      </c>
      <c r="V27" s="1308" t="s">
        <v>741</v>
      </c>
    </row>
    <row r="28" spans="1:22" s="1" customFormat="1" x14ac:dyDescent="0.2">
      <c r="A28" s="1347"/>
      <c r="B28" s="1334"/>
      <c r="C28" s="1336"/>
      <c r="D28" s="1045">
        <f>'päd.Personal - Leitung'!$D$28</f>
        <v>0</v>
      </c>
      <c r="E28" s="1045">
        <f>'päd.Personal - Leitung'!$E$28</f>
        <v>0</v>
      </c>
      <c r="F28" s="1344"/>
      <c r="G28" s="1341"/>
      <c r="H28" s="1042">
        <f>'päd.Personal - Leitung'!$H$28</f>
        <v>0</v>
      </c>
      <c r="I28" s="99">
        <f>'päd.Personal - Leitung'!$I$28</f>
        <v>0</v>
      </c>
      <c r="J28" s="99">
        <f>'päd.Personal - Leitung'!$J$28</f>
        <v>0</v>
      </c>
      <c r="K28" s="40">
        <f>'päd.Personal - Leitung'!$K$28</f>
        <v>0</v>
      </c>
      <c r="L28" s="1043">
        <f>'päd.Personal - Leitung'!$L$28</f>
        <v>0</v>
      </c>
      <c r="M28" s="1043">
        <f>'päd.Personal - Leitung'!$M$28</f>
        <v>0</v>
      </c>
      <c r="N28" s="99">
        <f>'päd.Personal - Leitung'!$N$28</f>
        <v>0</v>
      </c>
      <c r="O28" s="1044">
        <f>'päd.Personal - Leitung'!$O$28</f>
        <v>0</v>
      </c>
      <c r="P28" s="1332"/>
      <c r="Q28" s="456"/>
      <c r="R28" s="935" t="s">
        <v>144</v>
      </c>
      <c r="S28" s="935" t="s">
        <v>145</v>
      </c>
      <c r="T28" s="829"/>
      <c r="U28" s="1308"/>
      <c r="V28" s="1308"/>
    </row>
    <row r="29" spans="1:22" s="1" customFormat="1"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4">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56"/>
      <c r="R29" s="140">
        <f>ROUND(IF(M7="",R23,R23/M7*P6),2)</f>
        <v>5175</v>
      </c>
      <c r="S29" s="140">
        <f>ROUND(IF(M7="",R24,R24/M7*P6),2)</f>
        <v>7450</v>
      </c>
      <c r="U29" s="950">
        <f>SUM(B29:F29)</f>
        <v>0</v>
      </c>
      <c r="V29" s="950">
        <f>SUM(B29:F29)</f>
        <v>0</v>
      </c>
    </row>
    <row r="30" spans="1:22" s="1" customFormat="1"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4"/>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5">SUM(G30:O30)</f>
        <v>0</v>
      </c>
      <c r="Q30" s="456"/>
      <c r="R30" s="140">
        <f>ROUND(IF(M7="",R23,R23/M7*P7),2)</f>
        <v>5175</v>
      </c>
      <c r="S30" s="140">
        <f>ROUND(IF(M7="",R24,R24/M7*P7),2)</f>
        <v>7450</v>
      </c>
      <c r="U30" s="950">
        <f t="shared" ref="U30:U40" si="6">SUM(B30:F30)</f>
        <v>0</v>
      </c>
      <c r="V30" s="950">
        <f>SUM(B29:F30)</f>
        <v>0</v>
      </c>
    </row>
    <row r="31" spans="1:22" s="1" customFormat="1"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4"/>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5"/>
        <v>0</v>
      </c>
      <c r="Q31" s="456"/>
      <c r="R31" s="140">
        <f>ROUND(IF(M7="",R23,R23/M7*P8),2)</f>
        <v>5175</v>
      </c>
      <c r="S31" s="140">
        <f>ROUND(IF(M7="",R24,R24/M7*P8),2)</f>
        <v>7450</v>
      </c>
      <c r="U31" s="950">
        <f t="shared" si="6"/>
        <v>0</v>
      </c>
      <c r="V31" s="950">
        <f>SUM(B29:F31)</f>
        <v>0</v>
      </c>
    </row>
    <row r="32" spans="1:22" s="1" customFormat="1"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4"/>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5"/>
        <v>0</v>
      </c>
      <c r="Q32" s="456"/>
      <c r="R32" s="140">
        <f>ROUND(IF(M7="",R23,R23/M7*P9),2)</f>
        <v>5175</v>
      </c>
      <c r="S32" s="140">
        <f>ROUND(IF(M7="",R24,R24/M7*P9),2)</f>
        <v>7450</v>
      </c>
      <c r="U32" s="950">
        <f t="shared" si="6"/>
        <v>0</v>
      </c>
      <c r="V32" s="950">
        <f>SUM(B29:F32)</f>
        <v>0</v>
      </c>
    </row>
    <row r="33" spans="1:24" s="1" customFormat="1"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4"/>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5"/>
        <v>0</v>
      </c>
      <c r="Q33" s="456"/>
      <c r="R33" s="140">
        <f>ROUND(IF(M7="",R23,R23/M7*P10),2)</f>
        <v>5175</v>
      </c>
      <c r="S33" s="140">
        <f>ROUND(IF(M7="",R24,R24/M7*P10),2)</f>
        <v>7450</v>
      </c>
      <c r="U33" s="950">
        <f t="shared" si="6"/>
        <v>0</v>
      </c>
      <c r="V33" s="950">
        <f>SUM(B29:F33)</f>
        <v>0</v>
      </c>
    </row>
    <row r="34" spans="1:24" s="1" customFormat="1"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4"/>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5"/>
        <v>0</v>
      </c>
      <c r="Q34" s="456"/>
      <c r="R34" s="140">
        <f>ROUND(IF(M7="",R23,R23/M7*P11),2)</f>
        <v>5175</v>
      </c>
      <c r="S34" s="140">
        <f>ROUND(IF(M7="",R24,R24/M7*P11),2)</f>
        <v>7450</v>
      </c>
      <c r="U34" s="950">
        <f t="shared" si="6"/>
        <v>0</v>
      </c>
      <c r="V34" s="950">
        <f>SUM(B29:F34)</f>
        <v>0</v>
      </c>
    </row>
    <row r="35" spans="1:24" s="1" customFormat="1"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4"/>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5"/>
        <v>0</v>
      </c>
      <c r="Q35" s="456"/>
      <c r="R35" s="140">
        <f>ROUND(IF(M7="",R23,R23/M7*P12),2)</f>
        <v>5175</v>
      </c>
      <c r="S35" s="140">
        <f>ROUND(IF(M7="",R24,R24/M7*P12),2)</f>
        <v>7450</v>
      </c>
      <c r="U35" s="950">
        <f t="shared" si="6"/>
        <v>0</v>
      </c>
      <c r="V35" s="950">
        <f>SUM(B29:F35)</f>
        <v>0</v>
      </c>
    </row>
    <row r="36" spans="1:24" s="1" customFormat="1"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4"/>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5"/>
        <v>0</v>
      </c>
      <c r="Q36" s="456"/>
      <c r="R36" s="140">
        <f>ROUND(IF(M7="",R23,R23/M7*P13),2)</f>
        <v>5175</v>
      </c>
      <c r="S36" s="140">
        <f>ROUND(IF(M7="",R24,R24/M7*P13),2)</f>
        <v>7450</v>
      </c>
      <c r="U36" s="950">
        <f t="shared" si="6"/>
        <v>0</v>
      </c>
      <c r="V36" s="950">
        <f>SUM(B29:F36)</f>
        <v>0</v>
      </c>
    </row>
    <row r="37" spans="1:24" s="1" customFormat="1"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4"/>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5"/>
        <v>0</v>
      </c>
      <c r="Q37" s="456"/>
      <c r="R37" s="140">
        <f>ROUND(IF(M7="",R23,R23/M7*P14),2)</f>
        <v>5175</v>
      </c>
      <c r="S37" s="140">
        <f>ROUND(IF(M7="",R24,R24/M7*P14),2)</f>
        <v>7450</v>
      </c>
      <c r="U37" s="950">
        <f t="shared" si="6"/>
        <v>0</v>
      </c>
      <c r="V37" s="950">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4"/>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5"/>
        <v>0</v>
      </c>
      <c r="Q38" s="936"/>
      <c r="R38" s="140">
        <f>ROUND(IF(M7="",R23,R23/M7*P15),2)</f>
        <v>5175</v>
      </c>
      <c r="S38" s="140">
        <f>ROUND(IF(M7="",R24,R24/M7*P15),2)</f>
        <v>7450</v>
      </c>
      <c r="U38" s="950">
        <f t="shared" si="6"/>
        <v>0</v>
      </c>
      <c r="V38" s="950">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4"/>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5"/>
        <v>0</v>
      </c>
      <c r="R39" s="140">
        <f>ROUND(IF(M7="",R23,R23/M7*P16),2)</f>
        <v>5175</v>
      </c>
      <c r="S39" s="140">
        <f>ROUND(IF(M7="",R24,R24/M7*P16),2)</f>
        <v>7450</v>
      </c>
      <c r="U39" s="950">
        <f t="shared" si="6"/>
        <v>0</v>
      </c>
      <c r="V39" s="950">
        <f>SUM(B29:F39)</f>
        <v>0</v>
      </c>
      <c r="X39" s="1"/>
    </row>
    <row r="40" spans="1:24" s="1" customFormat="1"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4"/>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5"/>
        <v>0</v>
      </c>
      <c r="Q40" s="11"/>
      <c r="R40" s="140">
        <f>ROUND(IF(M7="",R23,R23/M7*P17),2)</f>
        <v>5175</v>
      </c>
      <c r="S40" s="140">
        <f>ROUND(IF(M7="",R24,R24/M7*P17),2)</f>
        <v>7450</v>
      </c>
      <c r="U40" s="950">
        <f t="shared" si="6"/>
        <v>0</v>
      </c>
      <c r="V40" s="950">
        <f>SUM(B29:F40)</f>
        <v>0</v>
      </c>
    </row>
    <row r="41" spans="1:24" s="1" customFormat="1" ht="15" customHeight="1" x14ac:dyDescent="0.2">
      <c r="A41" s="2" t="s">
        <v>1</v>
      </c>
      <c r="B41" s="25">
        <f t="shared" ref="B41:G41" si="7">SUM(B29:B40)</f>
        <v>0</v>
      </c>
      <c r="C41" s="25">
        <f t="shared" si="7"/>
        <v>0</v>
      </c>
      <c r="D41" s="25">
        <f t="shared" si="7"/>
        <v>0</v>
      </c>
      <c r="E41" s="25">
        <f t="shared" si="7"/>
        <v>0</v>
      </c>
      <c r="F41" s="25">
        <f t="shared" si="7"/>
        <v>0</v>
      </c>
      <c r="G41" s="25">
        <f t="shared" si="7"/>
        <v>0</v>
      </c>
      <c r="H41" s="1309">
        <f>SUM(H29:N40)</f>
        <v>0</v>
      </c>
      <c r="I41" s="1310"/>
      <c r="J41" s="1310"/>
      <c r="K41" s="1310"/>
      <c r="L41" s="1310"/>
      <c r="M41" s="1310"/>
      <c r="N41" s="1311"/>
      <c r="O41" s="25">
        <f>SUM(O29:O40)</f>
        <v>0</v>
      </c>
      <c r="P41" s="25">
        <f>SUM(P29:P40)</f>
        <v>0</v>
      </c>
    </row>
    <row r="42" spans="1:24" s="1" customFormat="1" ht="12" customHeight="1" x14ac:dyDescent="0.2"/>
    <row r="43" spans="1:24" s="1" customFormat="1" ht="14.25" customHeight="1" x14ac:dyDescent="0.2">
      <c r="B43" s="906"/>
      <c r="H43" s="905"/>
      <c r="I43" s="62"/>
      <c r="J43" s="914" t="s">
        <v>123</v>
      </c>
      <c r="L43" s="900" t="s">
        <v>124</v>
      </c>
      <c r="M43" s="974" t="str">
        <f>IF(IF(G41=0,"",'päd.Personal - Leitung'!$M$43)=0,"",IF(G41=0,"",'päd.Personal - Leitung'!$M$43))</f>
        <v/>
      </c>
      <c r="N43" s="902" t="s">
        <v>125</v>
      </c>
      <c r="O43" s="963" t="str">
        <f>IF(IF(G41=0,"",'päd.Personal - Leitung'!$O$43)=0,"",IF(G41=0,"",'päd.Personal - Leitung'!$O$43))</f>
        <v/>
      </c>
      <c r="P43" s="25">
        <f>ROUND(IF(M43="",0,G41*M43*O43/1000),2)</f>
        <v>0</v>
      </c>
      <c r="Q43" s="937"/>
      <c r="R43" s="938">
        <v>2025</v>
      </c>
      <c r="S43" s="939"/>
    </row>
    <row r="44" spans="1:24" s="1" customFormat="1" ht="14.25" customHeight="1" x14ac:dyDescent="0.2">
      <c r="H44" s="907"/>
      <c r="I44" s="42"/>
      <c r="M44" s="915" t="s">
        <v>129</v>
      </c>
      <c r="N44" s="80" t="s">
        <v>125</v>
      </c>
      <c r="O44" s="75" t="str">
        <f>IF(IF(G41=0,"",'päd.Personal - Leitung'!$O$44)=0,"",IF(G41=0,"",'päd.Personal - Leitung'!$O$44))</f>
        <v/>
      </c>
      <c r="P44" s="25">
        <f>ROUND(IF(O44="",0,G41*O44/1000),2)</f>
        <v>0</v>
      </c>
      <c r="Q44" s="942" t="s">
        <v>737</v>
      </c>
      <c r="R44" s="141">
        <f>'päd.Personal - Leitung'!$R$44</f>
        <v>556</v>
      </c>
      <c r="S44" s="955">
        <f>'päd.Personal - Leitung'!$S$44</f>
        <v>12.82</v>
      </c>
    </row>
    <row r="45" spans="1:24" s="1" customFormat="1" ht="14.25" customHeight="1" x14ac:dyDescent="0.2">
      <c r="H45" s="912" t="s">
        <v>126</v>
      </c>
      <c r="I45" s="945" t="s">
        <v>127</v>
      </c>
      <c r="J45" s="975" t="str">
        <f>IF(IF(G41=0,"",'päd.Personal - Leitung'!$J$45)=0,"",IF(G41=0,"",'päd.Personal - Leitung'!$J$45))</f>
        <v/>
      </c>
      <c r="K45" s="902" t="s">
        <v>128</v>
      </c>
      <c r="L45" s="964" t="str">
        <f>IF(IF(G41=0,"",'päd.Personal - Leitung'!$L$45)=0,"",IF(G41=0,"",'päd.Personal - Leitung'!$L$45))</f>
        <v/>
      </c>
      <c r="M45" s="16"/>
      <c r="N45" s="900" t="s">
        <v>132</v>
      </c>
      <c r="O45" s="965" t="str">
        <f>IF(IF(G41=0,"",'päd.Personal - Leitung'!$O$45)=0,"",IF(G41=0,"",'päd.Personal - Leitung'!$O$45))</f>
        <v/>
      </c>
      <c r="P45" s="25">
        <f>ROUND(IF(J45="",0,(J45*L45/O45)/M9*M10),2)</f>
        <v>0</v>
      </c>
      <c r="Q45" s="942" t="s">
        <v>738</v>
      </c>
      <c r="R45" s="140">
        <f>'päd.Personal - Leitung'!$R$45</f>
        <v>2000</v>
      </c>
      <c r="S45" s="939"/>
    </row>
    <row r="46" spans="1:24" s="1" customFormat="1" ht="14.25" customHeight="1" x14ac:dyDescent="0.2">
      <c r="D46" s="16"/>
      <c r="I46" s="16"/>
      <c r="J46" s="16"/>
      <c r="K46" s="63"/>
      <c r="L46" s="67"/>
      <c r="M46" s="915" t="s">
        <v>130</v>
      </c>
      <c r="N46" s="80" t="s">
        <v>131</v>
      </c>
      <c r="O46" s="1046" t="str">
        <f>IF(IF(G41="",0,'päd.Personal - Leitung'!$O$46)=0,"",IF(G41="",0,'päd.Personal - Leitung'!$O$46))</f>
        <v/>
      </c>
      <c r="P46" s="21">
        <f>ROUND(IF(G41=0,0,O46/M7*M8),2)</f>
        <v>0</v>
      </c>
      <c r="Q46" s="942" t="s">
        <v>740</v>
      </c>
      <c r="R46" s="956">
        <f>'päd.Personal - Leitung'!$R$46</f>
        <v>0.40900000000000003</v>
      </c>
    </row>
    <row r="47" spans="1:24" s="1" customFormat="1" ht="14.25" customHeight="1" x14ac:dyDescent="0.2">
      <c r="A47" s="16"/>
      <c r="B47" s="16"/>
      <c r="I47" s="905"/>
      <c r="J47" s="947" t="s">
        <v>176</v>
      </c>
      <c r="K47" s="1367" t="str">
        <f>IF('päd.Personal - Leitung'!$K$47="","",'päd.Personal - Leitung'!$K$47)</f>
        <v/>
      </c>
      <c r="L47" s="1367"/>
      <c r="M47" s="1367"/>
      <c r="N47" s="80" t="s">
        <v>131</v>
      </c>
      <c r="O47" s="1046" t="str">
        <f>IF(IF(G41="",0,'päd.Personal - Leitung'!$O$47)=0,"",IF(G41="",0,'päd.Personal - Leitung'!$O$47))</f>
        <v/>
      </c>
      <c r="P47" s="21">
        <f>ROUND(IF(G41=0,0,O47/M7*M8),2)</f>
        <v>0</v>
      </c>
      <c r="Q47" s="942" t="s">
        <v>739</v>
      </c>
      <c r="R47" s="940">
        <f>'päd.Personal - Leitung'!$R$47</f>
        <v>0.68459999999999999</v>
      </c>
      <c r="S47" s="957">
        <f>'päd.Personal - Leitung'!$S$47</f>
        <v>0.28000000000000003</v>
      </c>
    </row>
    <row r="48" spans="1:24" s="1" customFormat="1" ht="14.25" customHeight="1" x14ac:dyDescent="0.2">
      <c r="A48" s="908"/>
      <c r="B48" s="908"/>
      <c r="C48" s="945"/>
      <c r="D48" s="945"/>
      <c r="I48" s="913"/>
      <c r="J48" s="913"/>
      <c r="K48" s="916"/>
      <c r="L48" s="27"/>
      <c r="M48" s="27"/>
      <c r="N48" s="27"/>
      <c r="O48" s="26" t="s">
        <v>0</v>
      </c>
      <c r="P48" s="25">
        <f>P41+SUM(P43:P47)</f>
        <v>0</v>
      </c>
    </row>
    <row r="49" spans="1:19" s="10" customFormat="1" ht="13.5" customHeight="1" x14ac:dyDescent="0.2">
      <c r="A49" s="1321" t="s">
        <v>17</v>
      </c>
      <c r="B49" s="1321"/>
      <c r="C49" s="1321"/>
      <c r="D49" s="1320" t="str">
        <f>IF('päd.Personal - Leitung'!$D$1="","",'päd.Personal - Leitung'!$D$1)</f>
        <v/>
      </c>
      <c r="E49" s="1320"/>
      <c r="F49" s="1320"/>
      <c r="G49" s="1320"/>
      <c r="H49" s="1320"/>
      <c r="I49" s="1320"/>
      <c r="J49" s="1320"/>
      <c r="K49" s="1320"/>
      <c r="L49" s="1320"/>
      <c r="M49" s="1320"/>
      <c r="N49" s="1320"/>
    </row>
    <row r="50" spans="1:19" s="10" customFormat="1" ht="15" customHeight="1" x14ac:dyDescent="0.2">
      <c r="A50" s="1321" t="s">
        <v>16</v>
      </c>
      <c r="B50" s="1321"/>
      <c r="C50" s="1321" t="s">
        <v>14</v>
      </c>
      <c r="D50" s="1320" t="str">
        <f>IF('päd.Personal - Leitung'!$D$2="","",'päd.Personal - Leitung'!$D$2)</f>
        <v/>
      </c>
      <c r="E50" s="1320"/>
      <c r="F50" s="1320"/>
      <c r="G50" s="1320"/>
      <c r="H50" s="1320"/>
      <c r="I50" s="1320"/>
      <c r="J50" s="1320"/>
      <c r="K50" s="1320"/>
      <c r="L50" s="1320"/>
      <c r="M50" s="1320"/>
      <c r="N50" s="1320"/>
    </row>
    <row r="51" spans="1:19" s="10" customFormat="1" ht="15" customHeight="1" x14ac:dyDescent="0.2">
      <c r="A51" s="1321" t="s">
        <v>15</v>
      </c>
      <c r="B51" s="1321"/>
      <c r="C51" s="1321" t="s">
        <v>14</v>
      </c>
      <c r="D51" s="1320" t="str">
        <f>IF('päd.Personal - Leitung'!$D$3="","",'päd.Personal - Leitung'!$D$3)</f>
        <v/>
      </c>
      <c r="E51" s="1320"/>
      <c r="F51" s="1320"/>
      <c r="G51" s="1320"/>
      <c r="H51" s="1320"/>
      <c r="I51" s="1320"/>
      <c r="J51" s="1320"/>
      <c r="K51" s="1321" t="s">
        <v>100</v>
      </c>
      <c r="L51" s="1321"/>
      <c r="M51" s="1321"/>
      <c r="N51" s="38" t="str">
        <f>IF('päd.Personal - Leitung'!$N$3="","",'päd.Personal - Leitung'!$N$3)</f>
        <v/>
      </c>
    </row>
    <row r="52" spans="1:19" s="923" customFormat="1" ht="7.5" customHeight="1" x14ac:dyDescent="0.15">
      <c r="A52" s="1353"/>
      <c r="B52" s="1353"/>
      <c r="C52" s="1353"/>
      <c r="D52" s="1354"/>
      <c r="E52" s="1354"/>
      <c r="F52" s="1354"/>
      <c r="G52" s="1354"/>
      <c r="H52" s="1354"/>
      <c r="I52" s="1354"/>
      <c r="J52" s="1354"/>
      <c r="K52" s="922"/>
      <c r="L52" s="922"/>
      <c r="M52" s="922"/>
      <c r="N52" s="922"/>
      <c r="O52" s="922"/>
      <c r="P52" s="922"/>
    </row>
    <row r="53" spans="1:19" s="13" customFormat="1" ht="13.5" customHeight="1" x14ac:dyDescent="0.2">
      <c r="A53" s="1355" t="s">
        <v>151</v>
      </c>
      <c r="B53" s="1355"/>
      <c r="C53" s="1355"/>
      <c r="D53" s="1355"/>
      <c r="E53" s="1355"/>
      <c r="F53" s="1355"/>
      <c r="G53" s="1355"/>
      <c r="H53" s="1355"/>
      <c r="I53" s="1355"/>
      <c r="J53" s="1355"/>
      <c r="K53" s="7"/>
      <c r="L53" s="7"/>
      <c r="M53" s="7"/>
      <c r="N53" s="52"/>
      <c r="O53" s="138">
        <f>'päd.Personal - Leitung'!$O$5</f>
        <v>2025</v>
      </c>
      <c r="P53" s="52" t="s">
        <v>140</v>
      </c>
    </row>
    <row r="54" spans="1:19" s="8" customFormat="1" ht="13.5" customHeight="1" x14ac:dyDescent="0.25">
      <c r="B54" s="29"/>
      <c r="C54" s="29"/>
      <c r="D54" s="3" t="s">
        <v>39</v>
      </c>
      <c r="E54" s="28"/>
      <c r="F54" s="28"/>
      <c r="G54" s="28"/>
      <c r="H54" s="28"/>
      <c r="I54" s="24"/>
      <c r="K54" s="1327" t="s">
        <v>13</v>
      </c>
      <c r="L54" s="1327"/>
      <c r="M54" s="131" t="str">
        <f>IF('päd.Personal - Leitung'!M54="","",'päd.Personal - Leitung'!M54)</f>
        <v/>
      </c>
      <c r="O54" s="928" t="str">
        <f>A77</f>
        <v>Jan 2025</v>
      </c>
      <c r="P54" s="68">
        <f>IF(M56="","",M56)</f>
        <v>0</v>
      </c>
    </row>
    <row r="55" spans="1:19" s="5" customFormat="1" ht="13.5" customHeight="1" x14ac:dyDescent="0.25">
      <c r="A55" s="1328" t="s">
        <v>754</v>
      </c>
      <c r="B55" s="1328"/>
      <c r="C55" s="1328"/>
      <c r="D55" s="1345" t="str">
        <f>IF('päd.Personal - Leitung'!D55="","",'päd.Personal - Leitung'!D55)</f>
        <v/>
      </c>
      <c r="E55" s="1345"/>
      <c r="F55" s="1345"/>
      <c r="G55" s="1345"/>
      <c r="H55" s="1345"/>
      <c r="I55" s="1345"/>
      <c r="K55" s="1327" t="s">
        <v>101</v>
      </c>
      <c r="L55" s="1327"/>
      <c r="M55" s="101" t="str">
        <f>IF('päd.Personal - Leitung'!M55="","",'päd.Personal - Leitung'!M55)</f>
        <v/>
      </c>
      <c r="O55" s="928" t="str">
        <f t="shared" ref="O55:O65" si="8">A78</f>
        <v>Feb 2025</v>
      </c>
      <c r="P55" s="69">
        <f t="shared" ref="P55:P62" si="9">IF(P54="","",P54)</f>
        <v>0</v>
      </c>
    </row>
    <row r="56" spans="1:19" s="1" customFormat="1" ht="13.5" customHeight="1" x14ac:dyDescent="0.2">
      <c r="A56" s="1328" t="s">
        <v>12</v>
      </c>
      <c r="B56" s="1328"/>
      <c r="C56" s="1328"/>
      <c r="D56" s="1345" t="str">
        <f>IF('päd.Personal - Leitung'!D56="","",'päd.Personal - Leitung'!D56)</f>
        <v/>
      </c>
      <c r="E56" s="1345"/>
      <c r="F56" s="1345"/>
      <c r="G56" s="1345"/>
      <c r="H56" s="1345"/>
      <c r="I56" s="1345"/>
      <c r="K56" s="1327" t="s">
        <v>149</v>
      </c>
      <c r="L56" s="1327"/>
      <c r="M56" s="101">
        <f>IF((M57+M58)&gt;M55,0,'päd.Personal - Leitung'!M57-M57-M58)</f>
        <v>0</v>
      </c>
      <c r="O56" s="928" t="str">
        <f t="shared" si="8"/>
        <v>Mrz 2025</v>
      </c>
      <c r="P56" s="69">
        <f t="shared" si="9"/>
        <v>0</v>
      </c>
    </row>
    <row r="57" spans="1:19" s="1" customFormat="1" ht="13.5" customHeight="1" x14ac:dyDescent="0.2">
      <c r="A57" s="1328" t="s">
        <v>11</v>
      </c>
      <c r="B57" s="1328"/>
      <c r="C57" s="1328"/>
      <c r="D57" s="1345" t="str">
        <f>IF('päd.Personal - Leitung'!D57="","",'päd.Personal - Leitung'!D57)</f>
        <v/>
      </c>
      <c r="E57" s="1345"/>
      <c r="F57" s="1345"/>
      <c r="G57" s="1345"/>
      <c r="H57" s="1345"/>
      <c r="I57" s="1345"/>
      <c r="K57" s="1327" t="s">
        <v>150</v>
      </c>
      <c r="L57" s="1327"/>
      <c r="M57" s="101"/>
      <c r="O57" s="928" t="str">
        <f t="shared" si="8"/>
        <v>Apr 2025</v>
      </c>
      <c r="P57" s="69">
        <f t="shared" si="9"/>
        <v>0</v>
      </c>
    </row>
    <row r="58" spans="1:19" s="1" customFormat="1" ht="13.5" customHeight="1" x14ac:dyDescent="0.2">
      <c r="A58" s="1328" t="s">
        <v>18</v>
      </c>
      <c r="B58" s="1328"/>
      <c r="C58" s="1328"/>
      <c r="D58" s="1345" t="str">
        <f>IF('päd.Personal - Leitung'!D58="","",'päd.Personal - Leitung'!D58)</f>
        <v/>
      </c>
      <c r="E58" s="1345"/>
      <c r="F58" s="1345"/>
      <c r="G58" s="1345"/>
      <c r="H58" s="1345"/>
      <c r="I58" s="1345"/>
      <c r="K58" s="1327" t="s">
        <v>222</v>
      </c>
      <c r="L58" s="1327"/>
      <c r="M58" s="101"/>
      <c r="O58" s="928" t="str">
        <f t="shared" si="8"/>
        <v>Mai 2025</v>
      </c>
      <c r="P58" s="69">
        <f t="shared" si="9"/>
        <v>0</v>
      </c>
    </row>
    <row r="59" spans="1:19" s="1" customFormat="1" ht="13.5" customHeight="1" x14ac:dyDescent="0.2">
      <c r="B59" s="6"/>
      <c r="C59" s="946" t="s">
        <v>147</v>
      </c>
      <c r="D59" s="1324" t="str">
        <f>IF('päd.Personal - Leitung'!D59="","",'päd.Personal - Leitung'!D59)</f>
        <v/>
      </c>
      <c r="E59" s="1324"/>
      <c r="F59" s="1359" t="s">
        <v>103</v>
      </c>
      <c r="G59" s="1359"/>
      <c r="H59" s="1361" t="str">
        <f>IF('päd.Personal - Leitung'!H59="","",'päd.Personal - Leitung'!H59)</f>
        <v/>
      </c>
      <c r="I59" s="1361"/>
      <c r="K59" s="1327" t="s">
        <v>94</v>
      </c>
      <c r="L59" s="1327"/>
      <c r="M59" s="15" t="str">
        <f>IF(IF((COUNTIF(B77:B88,"&gt;0"))=0,0,(COUNTIF(B77:B88,"&gt;0")))&gt;Grundlagen!$C$26,Grundlagen!$C$26,IF((COUNTIF(B77:B88,"&gt;0"))=0,"",(COUNTIF(B77:B88,"&gt;0"))))</f>
        <v/>
      </c>
      <c r="O59" s="928" t="str">
        <f t="shared" si="8"/>
        <v>Jun 2025</v>
      </c>
      <c r="P59" s="69">
        <f t="shared" si="9"/>
        <v>0</v>
      </c>
    </row>
    <row r="60" spans="1:19" s="1" customFormat="1" ht="13.5" customHeight="1" x14ac:dyDescent="0.2">
      <c r="I60" s="4"/>
      <c r="M60" s="102" t="str">
        <f>IF((SUM(F62:F65))=0,"",IF(P66&gt;M56,M56,IF(M56="","",IF(M59="","",P66))))</f>
        <v/>
      </c>
      <c r="O60" s="928" t="str">
        <f t="shared" si="8"/>
        <v>Jul 2025</v>
      </c>
      <c r="P60" s="69">
        <f t="shared" si="9"/>
        <v>0</v>
      </c>
    </row>
    <row r="61" spans="1:19" s="46" customFormat="1" ht="13.5" customHeight="1" x14ac:dyDescent="0.2">
      <c r="A61" s="54" t="s">
        <v>134</v>
      </c>
      <c r="B61" s="1356" t="s">
        <v>135</v>
      </c>
      <c r="C61" s="1356"/>
      <c r="D61" s="55" t="s">
        <v>136</v>
      </c>
      <c r="E61" s="56" t="s">
        <v>137</v>
      </c>
      <c r="F61" s="57" t="str">
        <f>CONCATENATE("Entg. ",N51," h/Wo")</f>
        <v>Entg.  h/Wo</v>
      </c>
      <c r="G61" s="58" t="s">
        <v>138</v>
      </c>
      <c r="I61" s="58" t="s">
        <v>139</v>
      </c>
      <c r="K61" s="970"/>
      <c r="L61" s="970"/>
      <c r="M61" s="59"/>
      <c r="N61" s="968"/>
      <c r="O61" s="928" t="str">
        <f t="shared" si="8"/>
        <v>Aug 2025</v>
      </c>
      <c r="P61" s="69">
        <f t="shared" si="9"/>
        <v>0</v>
      </c>
      <c r="Q61" s="85"/>
      <c r="R61" s="85"/>
      <c r="S61" s="85"/>
    </row>
    <row r="62" spans="1:19" s="46" customFormat="1" ht="13.5" customHeight="1" x14ac:dyDescent="0.25">
      <c r="A62" s="48" t="str">
        <f>'päd.Personal - Leitung'!$A$14</f>
        <v>Jan 2025</v>
      </c>
      <c r="B62" s="1357" t="str">
        <f>IF($D$3="","",$D$3)</f>
        <v/>
      </c>
      <c r="C62" s="1358"/>
      <c r="D62" s="132" t="str">
        <f>IF('päd.Personal - Leitung'!D62="","",'päd.Personal - Leitung'!D62)</f>
        <v/>
      </c>
      <c r="E62" s="132" t="str">
        <f>IF('päd.Personal - Leitung'!E62="","",'päd.Personal - Leitung'!E62)</f>
        <v/>
      </c>
      <c r="F62" s="71">
        <f>IF('päd.Personal - Leitung'!F62="",0,'päd.Personal - Leitung'!F62)</f>
        <v>0</v>
      </c>
      <c r="G62" s="50">
        <f>IF(N51="",0,F62/N51/4.348)</f>
        <v>0</v>
      </c>
      <c r="I62" s="125">
        <f>SUM(J62:M62)</f>
        <v>0</v>
      </c>
      <c r="J62" s="124" t="str">
        <f>IF('päd.Personal - Leitung'!J62="","",'päd.Personal - Leitung'!J62)</f>
        <v/>
      </c>
      <c r="K62" s="124" t="str">
        <f>IF('päd.Personal - Leitung'!K62="","",'päd.Personal - Leitung'!K62)</f>
        <v/>
      </c>
      <c r="L62" s="124" t="str">
        <f>IF('päd.Personal - Leitung'!L62="","",'päd.Personal - Leitung'!L62)</f>
        <v/>
      </c>
      <c r="M62" s="124" t="str">
        <f>IF('päd.Personal - Leitung'!M62="","",'päd.Personal - Leitung'!M62)</f>
        <v/>
      </c>
      <c r="N62" s="969"/>
      <c r="O62" s="928" t="str">
        <f t="shared" si="8"/>
        <v>Sep 2025</v>
      </c>
      <c r="P62" s="69">
        <f t="shared" si="9"/>
        <v>0</v>
      </c>
      <c r="Q62" s="85"/>
      <c r="R62" s="85"/>
      <c r="S62" s="85"/>
    </row>
    <row r="63" spans="1:19" s="46" customFormat="1" ht="13.5" customHeight="1" x14ac:dyDescent="0.25">
      <c r="A63" s="49"/>
      <c r="B63" s="1322"/>
      <c r="C63" s="1323"/>
      <c r="D63" s="132" t="str">
        <f>IF('päd.Personal - Leitung'!D63="","",'päd.Personal - Leitung'!D63)</f>
        <v/>
      </c>
      <c r="E63" s="132" t="str">
        <f>IF('päd.Personal - Leitung'!E63="","",'päd.Personal - Leitung'!E63)</f>
        <v/>
      </c>
      <c r="F63" s="71">
        <f>IF('päd.Personal - Leitung'!F63="",0,'päd.Personal - Leitung'!F63)</f>
        <v>0</v>
      </c>
      <c r="G63" s="50">
        <f>IF(N51="",0,F63/N51/4.348)</f>
        <v>0</v>
      </c>
      <c r="I63" s="125">
        <f t="shared" ref="I63:I65" si="10">SUM(J63:M63)</f>
        <v>0</v>
      </c>
      <c r="J63" s="124" t="str">
        <f>IF('päd.Personal - Leitung'!J63="","",'päd.Personal - Leitung'!J63)</f>
        <v/>
      </c>
      <c r="K63" s="124" t="str">
        <f>IF('päd.Personal - Leitung'!K63="","",'päd.Personal - Leitung'!K63)</f>
        <v/>
      </c>
      <c r="L63" s="124" t="str">
        <f>IF('päd.Personal - Leitung'!L63="","",'päd.Personal - Leitung'!L63)</f>
        <v/>
      </c>
      <c r="M63" s="124" t="str">
        <f>IF('päd.Personal - Leitung'!M63="","",'päd.Personal - Leitung'!M63)</f>
        <v/>
      </c>
      <c r="N63" s="969"/>
      <c r="O63" s="928" t="str">
        <f t="shared" si="8"/>
        <v>Okt 2025</v>
      </c>
      <c r="P63" s="69">
        <f t="shared" ref="P63:P65" si="11">IF(P62="","",P62)</f>
        <v>0</v>
      </c>
      <c r="Q63" s="85"/>
      <c r="R63" s="85"/>
      <c r="S63" s="85"/>
    </row>
    <row r="64" spans="1:19" s="46" customFormat="1" ht="13.5" customHeight="1" x14ac:dyDescent="0.25">
      <c r="A64" s="49"/>
      <c r="B64" s="1322"/>
      <c r="C64" s="1323"/>
      <c r="D64" s="132" t="str">
        <f>IF('päd.Personal - Leitung'!D64="","",'päd.Personal - Leitung'!D64)</f>
        <v/>
      </c>
      <c r="E64" s="132" t="str">
        <f>IF('päd.Personal - Leitung'!E64="","",'päd.Personal - Leitung'!E64)</f>
        <v/>
      </c>
      <c r="F64" s="71">
        <f>IF('päd.Personal - Leitung'!F64="",0,'päd.Personal - Leitung'!F64)</f>
        <v>0</v>
      </c>
      <c r="G64" s="50">
        <f>IF(N51="",0,F64/N51/4.348)</f>
        <v>0</v>
      </c>
      <c r="I64" s="125">
        <f t="shared" si="10"/>
        <v>0</v>
      </c>
      <c r="J64" s="124" t="str">
        <f>IF('päd.Personal - Leitung'!J64="","",'päd.Personal - Leitung'!J64)</f>
        <v/>
      </c>
      <c r="K64" s="124" t="str">
        <f>IF('päd.Personal - Leitung'!K64="","",'päd.Personal - Leitung'!K64)</f>
        <v/>
      </c>
      <c r="L64" s="124" t="str">
        <f>IF('päd.Personal - Leitung'!L64="","",'päd.Personal - Leitung'!L64)</f>
        <v/>
      </c>
      <c r="M64" s="124" t="str">
        <f>IF('päd.Personal - Leitung'!M64="","",'päd.Personal - Leitung'!M64)</f>
        <v/>
      </c>
      <c r="N64" s="969"/>
      <c r="O64" s="928" t="str">
        <f t="shared" si="8"/>
        <v>Nov 2025</v>
      </c>
      <c r="P64" s="69">
        <f t="shared" si="11"/>
        <v>0</v>
      </c>
      <c r="Q64" s="85"/>
      <c r="R64" s="85"/>
      <c r="S64" s="85"/>
    </row>
    <row r="65" spans="1:22" s="46" customFormat="1" ht="13.5" customHeight="1" x14ac:dyDescent="0.25">
      <c r="A65" s="49"/>
      <c r="B65" s="1322" t="str">
        <f>IF(A65="","",B64)</f>
        <v/>
      </c>
      <c r="C65" s="1323"/>
      <c r="D65" s="132" t="str">
        <f>IF('päd.Personal - Leitung'!D65="","",'päd.Personal - Leitung'!D65)</f>
        <v/>
      </c>
      <c r="E65" s="132" t="str">
        <f>IF('päd.Personal - Leitung'!E65="","",'päd.Personal - Leitung'!E65)</f>
        <v/>
      </c>
      <c r="F65" s="71">
        <f>IF('päd.Personal - Leitung'!F65="",0,'päd.Personal - Leitung'!F65)</f>
        <v>0</v>
      </c>
      <c r="G65" s="50">
        <f>IF(N51="",0,F65/N51/4.348)</f>
        <v>0</v>
      </c>
      <c r="I65" s="125">
        <f t="shared" si="10"/>
        <v>0</v>
      </c>
      <c r="J65" s="124" t="str">
        <f>IF('päd.Personal - Leitung'!J65="","",'päd.Personal - Leitung'!J65)</f>
        <v/>
      </c>
      <c r="K65" s="124" t="str">
        <f>IF('päd.Personal - Leitung'!K65="","",'päd.Personal - Leitung'!K65)</f>
        <v/>
      </c>
      <c r="L65" s="124" t="str">
        <f>IF('päd.Personal - Leitung'!L65="","",'päd.Personal - Leitung'!L65)</f>
        <v/>
      </c>
      <c r="M65" s="124" t="str">
        <f>IF('päd.Personal - Leitung'!M65="","",'päd.Personal - Leitung'!M65)</f>
        <v/>
      </c>
      <c r="N65" s="969"/>
      <c r="O65" s="928" t="str">
        <f t="shared" si="8"/>
        <v>Dez 2025</v>
      </c>
      <c r="P65" s="69">
        <f t="shared" si="11"/>
        <v>0</v>
      </c>
      <c r="Q65" s="85"/>
      <c r="R65" s="85"/>
      <c r="S65" s="85"/>
    </row>
    <row r="66" spans="1:22" s="46" customFormat="1" ht="13.5" customHeight="1" x14ac:dyDescent="0.25">
      <c r="B66" s="972"/>
      <c r="C66" s="972"/>
      <c r="E66" s="972"/>
      <c r="F66" s="972"/>
      <c r="I66" s="930" t="s">
        <v>730</v>
      </c>
      <c r="J66" s="1060" t="str">
        <f>IF('päd.Personal - Leitung'!J66="","",'päd.Personal - Leitung'!J66)</f>
        <v/>
      </c>
      <c r="K66" s="1060" t="str">
        <f>IF('päd.Personal - Leitung'!K66="","",'päd.Personal - Leitung'!K66)</f>
        <v/>
      </c>
      <c r="L66" s="1060" t="str">
        <f>IF('päd.Personal - Leitung'!L66="","",'päd.Personal - Leitung'!L66)</f>
        <v/>
      </c>
      <c r="M66" s="1060" t="str">
        <f>IF('päd.Personal - Leitung'!M66="","",'päd.Personal - Leitung'!M66)</f>
        <v/>
      </c>
      <c r="N66" s="971"/>
      <c r="O66" s="126" t="s">
        <v>221</v>
      </c>
      <c r="P66" s="127">
        <f>IF(M59="",0,((IF(SUMIF(B77,"&gt;0"),P54,0))+(IF(SUMIF(B78,"&gt;0"),P55,0))+(IF(SUMIF(B79,"&gt;0"),P56,0))+(IF(SUMIF(B80,"&gt;0"),P57,0))+(IF(SUMIF(B81,"&gt;0"),P58,0))+(IF(SUMIF(B82,"&gt;0"),P59,0))+(IF(SUMIF(B83,"&gt;0"),P60,0))+(IF(SUMIF(B84,"&gt;0"),P61,0))+(IF(SUMIF(B85,"&gt;0"),P62,0))+(IF(SUMIF(B86,"&gt;0"),P63,0))+(IF(SUMIF(B87,"&gt;0"),P64,0))+(IF(SUMIF(B88,"&gt;0"),P65,0)))/Grundlagen!$C$26)</f>
        <v>0</v>
      </c>
      <c r="Q66" s="944" t="str">
        <f>CONCATENATE("BBG"," anteilig ",O68)</f>
        <v>BBG anteilig 2025</v>
      </c>
      <c r="R66" s="931" t="s">
        <v>659</v>
      </c>
      <c r="S66" s="931" t="s">
        <v>398</v>
      </c>
      <c r="T66" s="107"/>
    </row>
    <row r="67" spans="1:22" s="46" customFormat="1" ht="13.5" customHeight="1" x14ac:dyDescent="0.2">
      <c r="A67" s="924" t="s">
        <v>732</v>
      </c>
      <c r="D67" s="55" t="s">
        <v>369</v>
      </c>
      <c r="E67" s="56" t="s">
        <v>368</v>
      </c>
      <c r="F67" s="58"/>
      <c r="J67" s="61"/>
      <c r="Q67" s="932" t="s">
        <v>144</v>
      </c>
      <c r="R67" s="140">
        <f>IF(M56=0,R71,IF(M55="",R71,(SUM(R77:R88)/M59)))</f>
        <v>5175</v>
      </c>
      <c r="S67" s="933">
        <f>IF(M56=0,S71,IF(M55="",S71,SUM(R77:R88)))</f>
        <v>0</v>
      </c>
      <c r="T67" s="107"/>
    </row>
    <row r="68" spans="1:22" s="46" customFormat="1" ht="13.5" customHeight="1" x14ac:dyDescent="0.25">
      <c r="A68" s="60" t="str">
        <f>IF('päd.Personal - Leitung'!$A$68="","",'päd.Personal - Leitung'!$A$68)</f>
        <v/>
      </c>
      <c r="B68" s="1314" t="str">
        <f>IF($B$20="","",$B$20)</f>
        <v>Jahressonderzahlung (JSZ)</v>
      </c>
      <c r="C68" s="1315"/>
      <c r="D68" s="926" t="str">
        <f>IF('päd.Personal - Leitung'!$D$68="","",'päd.Personal - Leitung'!$D$68)</f>
        <v/>
      </c>
      <c r="E68" s="929" t="str">
        <f>IF(A68="","",ROUND((((SUM(B83:B85)+SUM(F83:F85))/3)*D68)/Grundlagen!$C$26*M59,2))</f>
        <v/>
      </c>
      <c r="G68" s="941" t="s">
        <v>733</v>
      </c>
      <c r="H68" s="943"/>
      <c r="I68" s="1316" t="str">
        <f>CONCATENATE(R91,":"," Übergangsbereich von ",R92+0.01," €"," bis ",R93," €")</f>
        <v>2025: Übergangsbereich von 556,01 € bis 2000 €</v>
      </c>
      <c r="J68" s="1317"/>
      <c r="K68" s="1317"/>
      <c r="L68" s="1067"/>
      <c r="M68" s="1067"/>
      <c r="N68" s="1068" t="s">
        <v>736</v>
      </c>
      <c r="O68" s="1069">
        <f>P68+1</f>
        <v>2025</v>
      </c>
      <c r="P68" s="1069" t="s">
        <v>721</v>
      </c>
      <c r="Q68" s="932" t="s">
        <v>145</v>
      </c>
      <c r="R68" s="140">
        <f>IF(M56=0,R72,IF(M55="",R72,(SUM(S77:S88)/M59)))</f>
        <v>7450</v>
      </c>
      <c r="S68" s="933">
        <f>IF(M56=0,S72,IF(M55="",S72,SUM(S77:S88)))</f>
        <v>0</v>
      </c>
      <c r="T68" s="109"/>
    </row>
    <row r="69" spans="1:22" s="1" customFormat="1" ht="14.25" customHeight="1" x14ac:dyDescent="0.2">
      <c r="A69" s="60" t="str">
        <f>IF('päd.Personal - Leitung'!$A$69="","",'päd.Personal - Leitung'!$A$69)</f>
        <v/>
      </c>
      <c r="B69" s="1314" t="str">
        <f>IF($B$21="","",$B$21)</f>
        <v>Leistungsentgelt (LOB)</v>
      </c>
      <c r="C69" s="1315"/>
      <c r="D69" s="926" t="str">
        <f>IF('päd.Personal - Leitung'!$D$69="","",'päd.Personal - Leitung'!$D$69)</f>
        <v/>
      </c>
      <c r="E69" s="929" t="str">
        <f>IF(A69="","",ROUND(((B89+F89)*D69)/Grundlagen!$C$26*M59,2))</f>
        <v/>
      </c>
      <c r="G69" s="941" t="str">
        <f>IF(OR(H68="",H68="nein")=TRUE,"","Faktor (F):")</f>
        <v/>
      </c>
      <c r="H69" s="949" t="str">
        <f>IF(OR(H68="",H68="nein")=TRUE,"",IF(H68="","",R95))</f>
        <v/>
      </c>
      <c r="I69" s="1318" t="str">
        <f>IF(OR(H68="",H68="nein")=TRUE,"",IF(H69="","",CONCATENATE(S95*100,"%"," / ","(",R94*100,"%"," Gesamt-SV-Beitragssatz 2024)")))</f>
        <v/>
      </c>
      <c r="J69" s="1319"/>
      <c r="K69" s="1319"/>
      <c r="L69" s="1070"/>
      <c r="M69" s="1070"/>
      <c r="N69" s="1071" t="s">
        <v>144</v>
      </c>
      <c r="O69" s="1072">
        <f>'päd.Personal - Leitung'!$O$21</f>
        <v>5175</v>
      </c>
      <c r="P69" s="1072">
        <f>'päd.Personal - Leitung'!$P$21</f>
        <v>5175</v>
      </c>
      <c r="Q69" s="11"/>
      <c r="R69" s="11"/>
      <c r="S69" s="11"/>
      <c r="T69" s="109"/>
    </row>
    <row r="70" spans="1:22" s="1" customFormat="1" ht="14.25" customHeight="1" x14ac:dyDescent="0.2">
      <c r="C70" s="925" t="s">
        <v>731</v>
      </c>
      <c r="L70" s="1070"/>
      <c r="M70" s="1070"/>
      <c r="N70" s="1071" t="s">
        <v>145</v>
      </c>
      <c r="O70" s="1073">
        <f>'päd.Personal - Leitung'!$O$22</f>
        <v>7450</v>
      </c>
      <c r="P70" s="1073">
        <f>'päd.Personal - Leitung'!$P$22</f>
        <v>7450</v>
      </c>
      <c r="Q70" s="944" t="str">
        <f>CONCATENATE("BBG"," ",O68)</f>
        <v>BBG 2025</v>
      </c>
      <c r="R70" s="11"/>
      <c r="S70" s="11"/>
      <c r="T70" s="109"/>
    </row>
    <row r="71" spans="1:22" s="1" customFormat="1" ht="14.25" customHeight="1" x14ac:dyDescent="0.2">
      <c r="A71" s="53" t="s">
        <v>141</v>
      </c>
      <c r="B71" s="46"/>
      <c r="C71" s="46"/>
      <c r="D71" s="46"/>
      <c r="E71" s="46"/>
      <c r="F71" s="46"/>
      <c r="G71" s="46"/>
      <c r="H71" s="46"/>
      <c r="I71" s="46"/>
      <c r="J71" s="46"/>
      <c r="K71" s="46"/>
      <c r="L71" s="46"/>
      <c r="M71" s="46"/>
      <c r="N71" s="46"/>
      <c r="O71" s="46"/>
      <c r="P71" s="46"/>
      <c r="Q71" s="932" t="s">
        <v>144</v>
      </c>
      <c r="R71" s="141">
        <f>IF($O$21="",0,$O$21)</f>
        <v>5175</v>
      </c>
      <c r="S71" s="933">
        <f>R71*IF(M59="",0,M59)</f>
        <v>0</v>
      </c>
      <c r="T71" s="295"/>
    </row>
    <row r="72" spans="1:22" s="1" customFormat="1" x14ac:dyDescent="0.2">
      <c r="A72" s="1346"/>
      <c r="B72" s="1348" t="s">
        <v>8</v>
      </c>
      <c r="C72" s="1349"/>
      <c r="D72" s="1349"/>
      <c r="E72" s="1349"/>
      <c r="F72" s="1349"/>
      <c r="G72" s="1350"/>
      <c r="H72" s="1351" t="s">
        <v>113</v>
      </c>
      <c r="I72" s="1352"/>
      <c r="J72" s="1352"/>
      <c r="K72" s="1352"/>
      <c r="L72" s="1352"/>
      <c r="M72" s="1352"/>
      <c r="N72" s="1352"/>
      <c r="O72" s="30"/>
      <c r="P72" s="1330" t="s">
        <v>0</v>
      </c>
      <c r="Q72" s="932" t="s">
        <v>145</v>
      </c>
      <c r="R72" s="141">
        <f>IF($O$22="",0,$O$22)</f>
        <v>7450</v>
      </c>
      <c r="S72" s="933">
        <f>R72*IF(M59="",0,M59)</f>
        <v>0</v>
      </c>
      <c r="T72" s="830"/>
    </row>
    <row r="73" spans="1:22" s="1" customFormat="1" ht="14.25" customHeight="1" x14ac:dyDescent="0.2">
      <c r="A73" s="1347"/>
      <c r="B73" s="1333" t="s">
        <v>111</v>
      </c>
      <c r="C73" s="1335" t="s">
        <v>743</v>
      </c>
      <c r="D73" s="1337" t="s">
        <v>226</v>
      </c>
      <c r="E73" s="1339" t="s">
        <v>133</v>
      </c>
      <c r="F73" s="948" t="s">
        <v>6</v>
      </c>
      <c r="G73" s="1340" t="s">
        <v>5</v>
      </c>
      <c r="H73" s="1339" t="s">
        <v>119</v>
      </c>
      <c r="I73" s="1339" t="s">
        <v>4</v>
      </c>
      <c r="J73" s="1339" t="s">
        <v>3</v>
      </c>
      <c r="K73" s="1339" t="s">
        <v>2</v>
      </c>
      <c r="L73" s="1339" t="s">
        <v>114</v>
      </c>
      <c r="M73" s="1339" t="s">
        <v>115</v>
      </c>
      <c r="N73" s="1339" t="s">
        <v>116</v>
      </c>
      <c r="O73" s="1338" t="s">
        <v>109</v>
      </c>
      <c r="P73" s="1331"/>
      <c r="Q73" s="456"/>
      <c r="R73" s="11"/>
      <c r="S73" s="11"/>
      <c r="T73" s="621"/>
    </row>
    <row r="74" spans="1:22" s="1" customFormat="1" x14ac:dyDescent="0.2">
      <c r="A74" s="1347"/>
      <c r="B74" s="1333"/>
      <c r="C74" s="1335"/>
      <c r="D74" s="1338"/>
      <c r="E74" s="1339"/>
      <c r="F74" s="1343" t="str">
        <f>I66</f>
        <v>Zuschläge / Zulagen / o.ä.:</v>
      </c>
      <c r="G74" s="1340"/>
      <c r="H74" s="1342" t="s">
        <v>117</v>
      </c>
      <c r="I74" s="1342"/>
      <c r="J74" s="1342"/>
      <c r="K74" s="1342"/>
      <c r="L74" s="1342"/>
      <c r="M74" s="1342"/>
      <c r="N74" s="1342"/>
      <c r="O74" s="1338"/>
      <c r="P74" s="1331"/>
      <c r="Q74" s="456"/>
      <c r="R74" s="1306" t="str">
        <f>Q66</f>
        <v>BBG anteilig 2025</v>
      </c>
      <c r="S74" s="1306"/>
      <c r="T74" s="829"/>
    </row>
    <row r="75" spans="1:22" s="1" customFormat="1" ht="14.25" customHeight="1" x14ac:dyDescent="0.2">
      <c r="A75" s="1347"/>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c r="Q75" s="456"/>
      <c r="R75" s="1307" t="s">
        <v>659</v>
      </c>
      <c r="S75" s="1307"/>
      <c r="T75" s="829"/>
      <c r="U75" s="1308" t="s">
        <v>1</v>
      </c>
      <c r="V75" s="1308" t="s">
        <v>741</v>
      </c>
    </row>
    <row r="76" spans="1:22" s="1" customFormat="1" x14ac:dyDescent="0.2">
      <c r="A76" s="1347"/>
      <c r="B76" s="1334"/>
      <c r="C76" s="1336"/>
      <c r="D76" s="45">
        <f>'päd.Personal - Leitung'!$D$76</f>
        <v>0</v>
      </c>
      <c r="E76" s="45">
        <f>'päd.Personal - Leitung'!$E$76</f>
        <v>0</v>
      </c>
      <c r="F76" s="1344"/>
      <c r="G76" s="1341"/>
      <c r="H76" s="74">
        <f>'päd.Personal - Leitung'!$H$76</f>
        <v>0</v>
      </c>
      <c r="I76" s="99">
        <f>'päd.Personal - Leitung'!$I$28</f>
        <v>0</v>
      </c>
      <c r="J76" s="99">
        <f>'päd.Personal - Leitung'!$J$28</f>
        <v>0</v>
      </c>
      <c r="K76" s="40">
        <f>'päd.Personal - Leitung'!$K$28</f>
        <v>0</v>
      </c>
      <c r="L76" s="19">
        <f>'päd.Personal - Leitung'!$L$76</f>
        <v>0</v>
      </c>
      <c r="M76" s="19">
        <f>'päd.Personal - Leitung'!$M$76</f>
        <v>0</v>
      </c>
      <c r="N76" s="99">
        <f>'päd.Personal - Leitung'!$N$28</f>
        <v>0</v>
      </c>
      <c r="O76" s="23">
        <f>'päd.Personal - Leitung'!$O$76</f>
        <v>0</v>
      </c>
      <c r="P76" s="1332"/>
      <c r="Q76" s="456"/>
      <c r="R76" s="935" t="s">
        <v>144</v>
      </c>
      <c r="S76" s="935" t="s">
        <v>145</v>
      </c>
      <c r="T76" s="829"/>
      <c r="U76" s="1308"/>
      <c r="V76" s="1308"/>
    </row>
    <row r="77" spans="1:22" s="1" customFormat="1"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2">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56"/>
      <c r="R77" s="140">
        <f>ROUND(IF(M55="",R71,R71/M55*P54),2)</f>
        <v>5175</v>
      </c>
      <c r="S77" s="140">
        <f>ROUND(IF(M55="",R72,R72/M55*P54),2)</f>
        <v>7450</v>
      </c>
      <c r="U77" s="950">
        <f>SUM(B77:F77)</f>
        <v>0</v>
      </c>
      <c r="V77" s="950">
        <f>SUM(B77:F77)</f>
        <v>0</v>
      </c>
    </row>
    <row r="78" spans="1:22" s="1" customFormat="1"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2"/>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3">SUM(G78:O78)</f>
        <v>0</v>
      </c>
      <c r="Q78" s="456"/>
      <c r="R78" s="140">
        <f>ROUND(IF(M55="",R71,R71/M55*P55),2)</f>
        <v>5175</v>
      </c>
      <c r="S78" s="140">
        <f>ROUND(IF(M55="",R72,R72/M55*P55),2)</f>
        <v>7450</v>
      </c>
      <c r="U78" s="950">
        <f t="shared" ref="U78:U88" si="14">SUM(B78:F78)</f>
        <v>0</v>
      </c>
      <c r="V78" s="950">
        <f>SUM(B77:F78)</f>
        <v>0</v>
      </c>
    </row>
    <row r="79" spans="1:22" s="1" customFormat="1"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2"/>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3"/>
        <v>0</v>
      </c>
      <c r="Q79" s="456"/>
      <c r="R79" s="140">
        <f>ROUND(IF(M55="",R71,R71/M55*P56),2)</f>
        <v>5175</v>
      </c>
      <c r="S79" s="140">
        <f>ROUND(IF(M55="",R72,R72/M55*P56),2)</f>
        <v>7450</v>
      </c>
      <c r="U79" s="950">
        <f t="shared" si="14"/>
        <v>0</v>
      </c>
      <c r="V79" s="950">
        <f>SUM(B77:F79)</f>
        <v>0</v>
      </c>
    </row>
    <row r="80" spans="1:22" s="1" customFormat="1"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2"/>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3"/>
        <v>0</v>
      </c>
      <c r="Q80" s="456"/>
      <c r="R80" s="140">
        <f>ROUND(IF(M55="",R71,R71/M55*P57),2)</f>
        <v>5175</v>
      </c>
      <c r="S80" s="140">
        <f>ROUND(IF(M55="",R72,R72/M55*P57),2)</f>
        <v>7450</v>
      </c>
      <c r="U80" s="950">
        <f t="shared" si="14"/>
        <v>0</v>
      </c>
      <c r="V80" s="950">
        <f>SUM(B77:F80)</f>
        <v>0</v>
      </c>
    </row>
    <row r="81" spans="1:24" s="1" customFormat="1"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2"/>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3"/>
        <v>0</v>
      </c>
      <c r="Q81" s="456"/>
      <c r="R81" s="140">
        <f>ROUND(IF(M55="",R71,R71/M55*P58),2)</f>
        <v>5175</v>
      </c>
      <c r="S81" s="140">
        <f>ROUND(IF(M55="",R72,R72/M55*P58),2)</f>
        <v>7450</v>
      </c>
      <c r="U81" s="950">
        <f t="shared" si="14"/>
        <v>0</v>
      </c>
      <c r="V81" s="950">
        <f>SUM(B77:F81)</f>
        <v>0</v>
      </c>
    </row>
    <row r="82" spans="1:24" s="1" customFormat="1"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2"/>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3"/>
        <v>0</v>
      </c>
      <c r="Q82" s="456"/>
      <c r="R82" s="140">
        <f>ROUND(IF(M55="",R71,R71/M55*P59),2)</f>
        <v>5175</v>
      </c>
      <c r="S82" s="140">
        <f>ROUND(IF(M55="",R72,R72/M55*P59),2)</f>
        <v>7450</v>
      </c>
      <c r="U82" s="950">
        <f t="shared" si="14"/>
        <v>0</v>
      </c>
      <c r="V82" s="950">
        <f>SUM(B77:F82)</f>
        <v>0</v>
      </c>
    </row>
    <row r="83" spans="1:24" s="1" customFormat="1"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2"/>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3"/>
        <v>0</v>
      </c>
      <c r="Q83" s="456"/>
      <c r="R83" s="140">
        <f>ROUND(IF(M55="",R71,R71/M55*P60),2)</f>
        <v>5175</v>
      </c>
      <c r="S83" s="140">
        <f>ROUND(IF(M55="",R72,R72/M55*P60),2)</f>
        <v>7450</v>
      </c>
      <c r="U83" s="950">
        <f t="shared" si="14"/>
        <v>0</v>
      </c>
      <c r="V83" s="950">
        <f>SUM(B77:F83)</f>
        <v>0</v>
      </c>
    </row>
    <row r="84" spans="1:24" s="1" customFormat="1"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2"/>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3"/>
        <v>0</v>
      </c>
      <c r="Q84" s="456"/>
      <c r="R84" s="140">
        <f>ROUND(IF(M55="",R71,R71/M55*P61),2)</f>
        <v>5175</v>
      </c>
      <c r="S84" s="140">
        <f>ROUND(IF(M55="",R72,R72/M55*P61),2)</f>
        <v>7450</v>
      </c>
      <c r="U84" s="950">
        <f t="shared" si="14"/>
        <v>0</v>
      </c>
      <c r="V84" s="950">
        <f>SUM(B77:F84)</f>
        <v>0</v>
      </c>
    </row>
    <row r="85" spans="1:24" s="1" customFormat="1"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2"/>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3"/>
        <v>0</v>
      </c>
      <c r="Q85" s="456"/>
      <c r="R85" s="140">
        <f>ROUND(IF(M55="",R71,R71/M55*P62),2)</f>
        <v>5175</v>
      </c>
      <c r="S85" s="140">
        <f>ROUND(IF(M55="",R72,R72/M55*P62),2)</f>
        <v>7450</v>
      </c>
      <c r="U85" s="950">
        <f t="shared" si="14"/>
        <v>0</v>
      </c>
      <c r="V85" s="950">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2"/>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3"/>
        <v>0</v>
      </c>
      <c r="Q86" s="936"/>
      <c r="R86" s="140">
        <f>ROUND(IF(M55="",R71,R71/M55*P63),2)</f>
        <v>5175</v>
      </c>
      <c r="S86" s="140">
        <f>ROUND(IF(M55="",R72,R72/M55*P63),2)</f>
        <v>7450</v>
      </c>
      <c r="U86" s="950">
        <f t="shared" si="14"/>
        <v>0</v>
      </c>
      <c r="V86" s="950">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2"/>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3"/>
        <v>0</v>
      </c>
      <c r="R87" s="140">
        <f>ROUND(IF(M55="",R71,R71/M55*P64),2)</f>
        <v>5175</v>
      </c>
      <c r="S87" s="140">
        <f>ROUND(IF(M55="",R72,R72/M55*P64),2)</f>
        <v>7450</v>
      </c>
      <c r="U87" s="950">
        <f t="shared" si="14"/>
        <v>0</v>
      </c>
      <c r="V87" s="950">
        <f>SUM(B77:F87)</f>
        <v>0</v>
      </c>
      <c r="X87" s="1"/>
    </row>
    <row r="88" spans="1:24" s="1" customFormat="1"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2"/>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3"/>
        <v>0</v>
      </c>
      <c r="Q88" s="11"/>
      <c r="R88" s="140">
        <f>ROUND(IF(M55="",R71,R71/M55*P65),2)</f>
        <v>5175</v>
      </c>
      <c r="S88" s="140">
        <f>ROUND(IF(M55="",R72,R72/M55*P65),2)</f>
        <v>7450</v>
      </c>
      <c r="U88" s="950">
        <f t="shared" si="14"/>
        <v>0</v>
      </c>
      <c r="V88" s="950">
        <f>SUM(B77:F88)</f>
        <v>0</v>
      </c>
    </row>
    <row r="89" spans="1:24" s="1" customFormat="1" ht="15" customHeight="1" x14ac:dyDescent="0.2">
      <c r="A89" s="2" t="s">
        <v>1</v>
      </c>
      <c r="B89" s="25">
        <f t="shared" ref="B89:G89" si="15">SUM(B77:B88)</f>
        <v>0</v>
      </c>
      <c r="C89" s="25">
        <f t="shared" si="15"/>
        <v>0</v>
      </c>
      <c r="D89" s="25">
        <f t="shared" si="15"/>
        <v>0</v>
      </c>
      <c r="E89" s="25">
        <f t="shared" si="15"/>
        <v>0</v>
      </c>
      <c r="F89" s="25">
        <f t="shared" si="15"/>
        <v>0</v>
      </c>
      <c r="G89" s="25">
        <f t="shared" si="15"/>
        <v>0</v>
      </c>
      <c r="H89" s="1309">
        <f>SUM(H77:N88)</f>
        <v>0</v>
      </c>
      <c r="I89" s="1310"/>
      <c r="J89" s="1310"/>
      <c r="K89" s="1310"/>
      <c r="L89" s="1310"/>
      <c r="M89" s="1310"/>
      <c r="N89" s="1311"/>
      <c r="O89" s="25">
        <f>SUM(O77:O88)</f>
        <v>0</v>
      </c>
      <c r="P89" s="25">
        <f>SUM(P77:P88)</f>
        <v>0</v>
      </c>
    </row>
    <row r="90" spans="1:24" s="1" customFormat="1" ht="12" customHeight="1" x14ac:dyDescent="0.2"/>
    <row r="91" spans="1:24" s="1" customFormat="1" ht="14.25" customHeight="1" x14ac:dyDescent="0.2">
      <c r="B91" s="906"/>
      <c r="H91" s="905"/>
      <c r="I91" s="62"/>
      <c r="J91" s="914" t="s">
        <v>123</v>
      </c>
      <c r="L91" s="900" t="s">
        <v>124</v>
      </c>
      <c r="M91" s="974" t="str">
        <f>IF(IF(G89=0,"",'päd.Personal - Leitung'!$M$43)=0,"",IF(G89=0,"",'päd.Personal - Leitung'!$M$43))</f>
        <v/>
      </c>
      <c r="N91" s="902" t="s">
        <v>125</v>
      </c>
      <c r="O91" s="963" t="str">
        <f>IF(IF(G89=0,"",'päd.Personal - Leitung'!$O$43)=0,"",IF(G89=0,"",'päd.Personal - Leitung'!$O$43))</f>
        <v/>
      </c>
      <c r="P91" s="25">
        <f>ROUND(IF(M91="",0,G89*M91*O91/1000),2)</f>
        <v>0</v>
      </c>
      <c r="Q91" s="937"/>
      <c r="R91" s="938">
        <v>2025</v>
      </c>
      <c r="S91" s="939"/>
    </row>
    <row r="92" spans="1:24" s="1" customFormat="1" ht="14.25" customHeight="1" x14ac:dyDescent="0.2">
      <c r="H92" s="907"/>
      <c r="I92" s="42"/>
      <c r="M92" s="915" t="s">
        <v>129</v>
      </c>
      <c r="N92" s="80" t="s">
        <v>125</v>
      </c>
      <c r="O92" s="75" t="str">
        <f>IF(IF(G89=0,"",'päd.Personal - Leitung'!$O$44)=0,"",IF(G89=0,"",'päd.Personal - Leitung'!$O$44))</f>
        <v/>
      </c>
      <c r="P92" s="25">
        <f>ROUND(IF(O92="",0,G89*O92/1000),2)</f>
        <v>0</v>
      </c>
      <c r="Q92" s="942" t="s">
        <v>737</v>
      </c>
      <c r="R92" s="141">
        <f>'päd.Personal - Leitung'!$R$44</f>
        <v>556</v>
      </c>
      <c r="S92" s="955">
        <f>'päd.Personal - Leitung'!$S$44</f>
        <v>12.82</v>
      </c>
    </row>
    <row r="93" spans="1:24" s="1" customFormat="1" ht="14.25" customHeight="1" x14ac:dyDescent="0.2">
      <c r="H93" s="912" t="s">
        <v>126</v>
      </c>
      <c r="I93" s="945" t="s">
        <v>127</v>
      </c>
      <c r="J93" s="975" t="str">
        <f>IF(IF(G89=0,"",'päd.Personal - Leitung'!$J$45)=0,"",IF(G89=0,"",'päd.Personal - Leitung'!$J$45))</f>
        <v/>
      </c>
      <c r="K93" s="902" t="s">
        <v>128</v>
      </c>
      <c r="L93" s="964" t="str">
        <f>IF(IF(G89=0,"",'päd.Personal - Leitung'!$L$45)=0,"",IF(G89=0,"",'päd.Personal - Leitung'!$L$45))</f>
        <v/>
      </c>
      <c r="M93" s="16"/>
      <c r="N93" s="900" t="s">
        <v>132</v>
      </c>
      <c r="O93" s="965" t="str">
        <f>IF(IF(G89=0,"",'päd.Personal - Leitung'!$O$45)=0,"",IF(G89=0,"",'päd.Personal - Leitung'!$O$45))</f>
        <v/>
      </c>
      <c r="P93" s="25">
        <f>ROUND(IF(J93="",0,(J93*L93/O93)/M57*M58),2)</f>
        <v>0</v>
      </c>
      <c r="Q93" s="942" t="s">
        <v>738</v>
      </c>
      <c r="R93" s="140">
        <f>'päd.Personal - Leitung'!$R$45</f>
        <v>2000</v>
      </c>
      <c r="S93" s="939"/>
    </row>
    <row r="94" spans="1:24" s="1" customFormat="1" ht="14.25" customHeight="1" x14ac:dyDescent="0.2">
      <c r="D94" s="16"/>
      <c r="I94" s="16"/>
      <c r="J94" s="16"/>
      <c r="K94" s="63"/>
      <c r="L94" s="67"/>
      <c r="M94" s="915" t="s">
        <v>130</v>
      </c>
      <c r="N94" s="80" t="s">
        <v>131</v>
      </c>
      <c r="O94" s="904">
        <f>IF(IF(G89="",0,'päd.Personal - Leitung'!$O$94)=0,0,IF(G89="",0,'päd.Personal - Leitung'!$O$94))</f>
        <v>0</v>
      </c>
      <c r="P94" s="21">
        <f>ROUND(IF(G89=0,0,O94/M55*M56),2)</f>
        <v>0</v>
      </c>
      <c r="Q94" s="942" t="s">
        <v>740</v>
      </c>
      <c r="R94" s="956">
        <f>'päd.Personal - Leitung'!$R$46</f>
        <v>0.40900000000000003</v>
      </c>
    </row>
    <row r="95" spans="1:24" s="1" customFormat="1" ht="14.25" customHeight="1" x14ac:dyDescent="0.2">
      <c r="A95" s="16"/>
      <c r="B95" s="16"/>
      <c r="I95" s="905"/>
      <c r="J95" s="947" t="s">
        <v>176</v>
      </c>
      <c r="K95" s="1312" t="str">
        <f>IF('päd.Personal - Leitung'!$K$95="","",'päd.Personal - Leitung'!$K$95)</f>
        <v/>
      </c>
      <c r="L95" s="1312"/>
      <c r="M95" s="1312"/>
      <c r="N95" s="80" t="s">
        <v>131</v>
      </c>
      <c r="O95" s="904">
        <f>IF(IF(G89="",0,'päd.Personal - Leitung'!$O$95)=0,0,IF(G89="",0,'päd.Personal - Leitung'!$O$95))</f>
        <v>0</v>
      </c>
      <c r="P95" s="21">
        <f>ROUND(IF(G89=0,0,O95/M55*M56),2)</f>
        <v>0</v>
      </c>
      <c r="Q95" s="942" t="s">
        <v>739</v>
      </c>
      <c r="R95" s="940">
        <f>'päd.Personal - Leitung'!$R$47</f>
        <v>0.68459999999999999</v>
      </c>
      <c r="S95" s="957">
        <f>'päd.Personal - Leitung'!$S$47</f>
        <v>0.28000000000000003</v>
      </c>
    </row>
    <row r="96" spans="1:24" s="1" customFormat="1" ht="14.25" customHeight="1" x14ac:dyDescent="0.2">
      <c r="A96" s="908"/>
      <c r="B96" s="908"/>
      <c r="C96" s="945"/>
      <c r="D96" s="945"/>
      <c r="I96" s="913"/>
      <c r="J96" s="913"/>
      <c r="K96" s="916"/>
      <c r="L96" s="27"/>
      <c r="M96" s="27"/>
      <c r="N96" s="27"/>
      <c r="O96" s="26" t="s">
        <v>0</v>
      </c>
      <c r="P96" s="25">
        <f>P89+SUM(P91:P95)</f>
        <v>0</v>
      </c>
    </row>
    <row r="97" spans="1:19" s="10" customFormat="1" ht="13.5" customHeight="1" x14ac:dyDescent="0.2">
      <c r="A97" s="1321" t="s">
        <v>17</v>
      </c>
      <c r="B97" s="1321"/>
      <c r="C97" s="1321"/>
      <c r="D97" s="1320" t="str">
        <f>IF('päd.Personal - Leitung'!$D$1="","",'päd.Personal - Leitung'!$D$1)</f>
        <v/>
      </c>
      <c r="E97" s="1320"/>
      <c r="F97" s="1320"/>
      <c r="G97" s="1320"/>
      <c r="H97" s="1320"/>
      <c r="I97" s="1320"/>
      <c r="J97" s="1320"/>
      <c r="K97" s="1320"/>
      <c r="L97" s="1320"/>
      <c r="M97" s="1320"/>
      <c r="N97" s="1320"/>
    </row>
    <row r="98" spans="1:19" s="10" customFormat="1" ht="15" customHeight="1" x14ac:dyDescent="0.2">
      <c r="A98" s="1321" t="s">
        <v>16</v>
      </c>
      <c r="B98" s="1321"/>
      <c r="C98" s="1321" t="s">
        <v>14</v>
      </c>
      <c r="D98" s="1320" t="str">
        <f>IF('päd.Personal - Leitung'!$D$2="","",'päd.Personal - Leitung'!$D$2)</f>
        <v/>
      </c>
      <c r="E98" s="1320"/>
      <c r="F98" s="1320"/>
      <c r="G98" s="1320"/>
      <c r="H98" s="1320"/>
      <c r="I98" s="1320"/>
      <c r="J98" s="1320"/>
      <c r="K98" s="1320"/>
      <c r="L98" s="1320"/>
      <c r="M98" s="1320"/>
      <c r="N98" s="1320"/>
    </row>
    <row r="99" spans="1:19" s="10" customFormat="1" ht="15" customHeight="1" x14ac:dyDescent="0.2">
      <c r="A99" s="1321" t="s">
        <v>15</v>
      </c>
      <c r="B99" s="1321"/>
      <c r="C99" s="1321" t="s">
        <v>14</v>
      </c>
      <c r="D99" s="1320" t="str">
        <f>IF('päd.Personal - Leitung'!$D$3="","",'päd.Personal - Leitung'!$D$3)</f>
        <v/>
      </c>
      <c r="E99" s="1320"/>
      <c r="F99" s="1320"/>
      <c r="G99" s="1320"/>
      <c r="H99" s="1320"/>
      <c r="I99" s="1320"/>
      <c r="J99" s="1320"/>
      <c r="K99" s="1321" t="s">
        <v>100</v>
      </c>
      <c r="L99" s="1321"/>
      <c r="M99" s="1321"/>
      <c r="N99" s="38" t="str">
        <f>IF('päd.Personal - Leitung'!$N$3="","",'päd.Personal - Leitung'!$N$3)</f>
        <v/>
      </c>
    </row>
    <row r="100" spans="1:19" s="923" customFormat="1" ht="7.5" customHeight="1" x14ac:dyDescent="0.15">
      <c r="A100" s="1353"/>
      <c r="B100" s="1353"/>
      <c r="C100" s="1353"/>
      <c r="D100" s="1354"/>
      <c r="E100" s="1354"/>
      <c r="F100" s="1354"/>
      <c r="G100" s="1354"/>
      <c r="H100" s="1354"/>
      <c r="I100" s="1354"/>
      <c r="J100" s="1354"/>
      <c r="K100" s="922"/>
      <c r="L100" s="922"/>
      <c r="M100" s="922"/>
      <c r="N100" s="922"/>
      <c r="O100" s="922"/>
      <c r="P100" s="922"/>
    </row>
    <row r="101" spans="1:19" s="13" customFormat="1" ht="13.5" customHeight="1" x14ac:dyDescent="0.2">
      <c r="A101" s="1355" t="s">
        <v>151</v>
      </c>
      <c r="B101" s="1355"/>
      <c r="C101" s="1355"/>
      <c r="D101" s="1355"/>
      <c r="E101" s="1355"/>
      <c r="F101" s="1355"/>
      <c r="G101" s="1355"/>
      <c r="H101" s="1355"/>
      <c r="I101" s="1355"/>
      <c r="J101" s="1355"/>
      <c r="K101" s="7"/>
      <c r="L101" s="7"/>
      <c r="M101" s="7"/>
      <c r="N101" s="52"/>
      <c r="O101" s="138">
        <f>'päd.Personal - Leitung'!$O$5</f>
        <v>2025</v>
      </c>
      <c r="P101" s="52" t="s">
        <v>140</v>
      </c>
    </row>
    <row r="102" spans="1:19" s="8" customFormat="1" ht="13.5" customHeight="1" x14ac:dyDescent="0.25">
      <c r="B102" s="29"/>
      <c r="C102" s="29"/>
      <c r="D102" s="3" t="s">
        <v>40</v>
      </c>
      <c r="E102" s="28"/>
      <c r="F102" s="28"/>
      <c r="G102" s="28"/>
      <c r="H102" s="28"/>
      <c r="I102" s="24"/>
      <c r="K102" s="1327" t="s">
        <v>13</v>
      </c>
      <c r="L102" s="1327"/>
      <c r="M102" s="131" t="str">
        <f>IF('päd.Personal - Leitung'!M102="","",'päd.Personal - Leitung'!M102)</f>
        <v/>
      </c>
      <c r="O102" s="928" t="str">
        <f>A125</f>
        <v>Jan 2025</v>
      </c>
      <c r="P102" s="1402">
        <f>IF(M104="","",M104)</f>
        <v>0</v>
      </c>
    </row>
    <row r="103" spans="1:19" s="5" customFormat="1" ht="13.5" customHeight="1" x14ac:dyDescent="0.25">
      <c r="A103" s="1328" t="s">
        <v>754</v>
      </c>
      <c r="B103" s="1328"/>
      <c r="C103" s="1328"/>
      <c r="D103" s="1345" t="str">
        <f>IF('päd.Personal - Leitung'!D103="","",'päd.Personal - Leitung'!D103)</f>
        <v/>
      </c>
      <c r="E103" s="1345"/>
      <c r="F103" s="1345"/>
      <c r="G103" s="1345"/>
      <c r="H103" s="1345"/>
      <c r="I103" s="1345"/>
      <c r="K103" s="1327" t="s">
        <v>101</v>
      </c>
      <c r="L103" s="1327"/>
      <c r="M103" s="101" t="str">
        <f>IF('päd.Personal - Leitung'!M103="","",'päd.Personal - Leitung'!M103)</f>
        <v/>
      </c>
      <c r="O103" s="928" t="str">
        <f t="shared" ref="O103:O113" si="16">A126</f>
        <v>Feb 2025</v>
      </c>
      <c r="P103" s="1403">
        <f t="shared" ref="P103:P110" si="17">IF(P102="","",P102)</f>
        <v>0</v>
      </c>
    </row>
    <row r="104" spans="1:19" s="1" customFormat="1" ht="13.5" customHeight="1" x14ac:dyDescent="0.2">
      <c r="A104" s="1328" t="s">
        <v>12</v>
      </c>
      <c r="B104" s="1328"/>
      <c r="C104" s="1328"/>
      <c r="D104" s="1345" t="str">
        <f>IF('päd.Personal - Leitung'!D104="","",'päd.Personal - Leitung'!D104)</f>
        <v/>
      </c>
      <c r="E104" s="1345"/>
      <c r="F104" s="1345"/>
      <c r="G104" s="1345"/>
      <c r="H104" s="1345"/>
      <c r="I104" s="1345"/>
      <c r="K104" s="1327" t="s">
        <v>149</v>
      </c>
      <c r="L104" s="1327"/>
      <c r="M104" s="101">
        <f>IF((M105+M106)&gt;M103,0,'päd.Personal - Leitung'!M105-M105-M106)</f>
        <v>0</v>
      </c>
      <c r="O104" s="928" t="str">
        <f t="shared" si="16"/>
        <v>Mrz 2025</v>
      </c>
      <c r="P104" s="1403">
        <f t="shared" si="17"/>
        <v>0</v>
      </c>
    </row>
    <row r="105" spans="1:19" s="1" customFormat="1" ht="13.5" customHeight="1" x14ac:dyDescent="0.2">
      <c r="A105" s="1328" t="s">
        <v>11</v>
      </c>
      <c r="B105" s="1328"/>
      <c r="C105" s="1328"/>
      <c r="D105" s="1345" t="str">
        <f>IF('päd.Personal - Leitung'!D105="","",'päd.Personal - Leitung'!D105)</f>
        <v/>
      </c>
      <c r="E105" s="1345"/>
      <c r="F105" s="1345"/>
      <c r="G105" s="1345"/>
      <c r="H105" s="1345"/>
      <c r="I105" s="1345"/>
      <c r="K105" s="1327" t="s">
        <v>150</v>
      </c>
      <c r="L105" s="1327"/>
      <c r="M105" s="101"/>
      <c r="O105" s="928" t="str">
        <f t="shared" si="16"/>
        <v>Apr 2025</v>
      </c>
      <c r="P105" s="1403">
        <f t="shared" si="17"/>
        <v>0</v>
      </c>
    </row>
    <row r="106" spans="1:19" s="1" customFormat="1" ht="13.5" customHeight="1" x14ac:dyDescent="0.2">
      <c r="A106" s="1328" t="s">
        <v>18</v>
      </c>
      <c r="B106" s="1328"/>
      <c r="C106" s="1328"/>
      <c r="D106" s="1345" t="str">
        <f>IF('päd.Personal - Leitung'!D106="","",'päd.Personal - Leitung'!D106)</f>
        <v/>
      </c>
      <c r="E106" s="1345"/>
      <c r="F106" s="1345"/>
      <c r="G106" s="1345"/>
      <c r="H106" s="1345"/>
      <c r="I106" s="1345"/>
      <c r="K106" s="1327" t="s">
        <v>222</v>
      </c>
      <c r="L106" s="1327"/>
      <c r="M106" s="101"/>
      <c r="O106" s="928" t="str">
        <f t="shared" si="16"/>
        <v>Mai 2025</v>
      </c>
      <c r="P106" s="1403">
        <f t="shared" si="17"/>
        <v>0</v>
      </c>
    </row>
    <row r="107" spans="1:19" s="1" customFormat="1" ht="13.5" customHeight="1" x14ac:dyDescent="0.2">
      <c r="B107" s="6"/>
      <c r="C107" s="946" t="s">
        <v>147</v>
      </c>
      <c r="D107" s="1324" t="str">
        <f>IF('päd.Personal - Leitung'!D107="","",'päd.Personal - Leitung'!D107)</f>
        <v/>
      </c>
      <c r="E107" s="1324"/>
      <c r="F107" s="1359" t="s">
        <v>103</v>
      </c>
      <c r="G107" s="1359"/>
      <c r="H107" s="1361" t="str">
        <f>IF('päd.Personal - Leitung'!H107="","",'päd.Personal - Leitung'!H107)</f>
        <v/>
      </c>
      <c r="I107" s="1361"/>
      <c r="K107" s="1327" t="s">
        <v>94</v>
      </c>
      <c r="L107" s="1327"/>
      <c r="M107" s="15" t="str">
        <f>IF(IF((COUNTIF(B125:B136,"&gt;0"))=0,0,(COUNTIF(B125:B136,"&gt;0")))&gt;Grundlagen!$C$26,Grundlagen!$C$26,IF((COUNTIF(B125:B136,"&gt;0"))=0,"",(COUNTIF(B125:B136,"&gt;0"))))</f>
        <v/>
      </c>
      <c r="O107" s="928" t="str">
        <f t="shared" si="16"/>
        <v>Jun 2025</v>
      </c>
      <c r="P107" s="1403">
        <f t="shared" si="17"/>
        <v>0</v>
      </c>
    </row>
    <row r="108" spans="1:19" s="1" customFormat="1" ht="13.5" customHeight="1" x14ac:dyDescent="0.2">
      <c r="I108" s="4"/>
      <c r="M108" s="102" t="str">
        <f>IF((SUM(F110:F113))=0,"",IF(P114&gt;M104,M104,IF(M104="","",IF(M107="","",P114))))</f>
        <v/>
      </c>
      <c r="O108" s="928" t="str">
        <f t="shared" si="16"/>
        <v>Jul 2025</v>
      </c>
      <c r="P108" s="1403">
        <f t="shared" si="17"/>
        <v>0</v>
      </c>
    </row>
    <row r="109" spans="1:19" s="46" customFormat="1" ht="13.5" customHeight="1" x14ac:dyDescent="0.2">
      <c r="A109" s="54" t="s">
        <v>134</v>
      </c>
      <c r="B109" s="1356" t="s">
        <v>135</v>
      </c>
      <c r="C109" s="1356"/>
      <c r="D109" s="55" t="s">
        <v>136</v>
      </c>
      <c r="E109" s="56" t="s">
        <v>137</v>
      </c>
      <c r="F109" s="57" t="str">
        <f>CONCATENATE("Entg. ",N99," h/Wo")</f>
        <v>Entg.  h/Wo</v>
      </c>
      <c r="G109" s="58" t="s">
        <v>138</v>
      </c>
      <c r="I109" s="58" t="s">
        <v>139</v>
      </c>
      <c r="K109" s="970"/>
      <c r="L109" s="970"/>
      <c r="M109" s="59"/>
      <c r="N109" s="968"/>
      <c r="O109" s="928" t="str">
        <f t="shared" si="16"/>
        <v>Aug 2025</v>
      </c>
      <c r="P109" s="1403">
        <f t="shared" si="17"/>
        <v>0</v>
      </c>
      <c r="Q109" s="85"/>
      <c r="R109" s="85"/>
      <c r="S109" s="85"/>
    </row>
    <row r="110" spans="1:19" s="46" customFormat="1" ht="13.5" customHeight="1" x14ac:dyDescent="0.25">
      <c r="A110" s="48" t="str">
        <f>'päd.Personal - Leitung'!$A$14</f>
        <v>Jan 2025</v>
      </c>
      <c r="B110" s="1357" t="str">
        <f>IF($D$3="","",$D$3)</f>
        <v/>
      </c>
      <c r="C110" s="1358"/>
      <c r="D110" s="132" t="str">
        <f>IF('päd.Personal - Leitung'!D110="","",'päd.Personal - Leitung'!D110)</f>
        <v/>
      </c>
      <c r="E110" s="132" t="str">
        <f>IF('päd.Personal - Leitung'!E110="","",'päd.Personal - Leitung'!E110)</f>
        <v/>
      </c>
      <c r="F110" s="71">
        <f>IF('päd.Personal - Leitung'!F110="",0,'päd.Personal - Leitung'!F110)</f>
        <v>0</v>
      </c>
      <c r="G110" s="50">
        <f>IF(N99="",0,F110/N99/4.348)</f>
        <v>0</v>
      </c>
      <c r="I110" s="125">
        <f>SUM(J110:M110)</f>
        <v>0</v>
      </c>
      <c r="J110" s="124" t="str">
        <f>IF('päd.Personal - Leitung'!J110="","",'päd.Personal - Leitung'!J110)</f>
        <v/>
      </c>
      <c r="K110" s="124" t="str">
        <f>IF('päd.Personal - Leitung'!K110="","",'päd.Personal - Leitung'!K110)</f>
        <v/>
      </c>
      <c r="L110" s="124" t="str">
        <f>IF('päd.Personal - Leitung'!L110="","",'päd.Personal - Leitung'!L110)</f>
        <v/>
      </c>
      <c r="M110" s="124" t="str">
        <f>IF('päd.Personal - Leitung'!M110="","",'päd.Personal - Leitung'!M110)</f>
        <v/>
      </c>
      <c r="N110" s="969"/>
      <c r="O110" s="928" t="str">
        <f t="shared" si="16"/>
        <v>Sep 2025</v>
      </c>
      <c r="P110" s="1403">
        <f t="shared" si="17"/>
        <v>0</v>
      </c>
      <c r="Q110" s="85"/>
      <c r="R110" s="85"/>
      <c r="S110" s="85"/>
    </row>
    <row r="111" spans="1:19" s="46" customFormat="1" ht="13.5" customHeight="1" x14ac:dyDescent="0.25">
      <c r="A111" s="49"/>
      <c r="B111" s="1322" t="str">
        <f>IF(A111="","",B110)</f>
        <v/>
      </c>
      <c r="C111" s="1323"/>
      <c r="D111" s="132" t="str">
        <f>IF('päd.Personal - Leitung'!D111="","",'päd.Personal - Leitung'!D111)</f>
        <v/>
      </c>
      <c r="E111" s="132" t="str">
        <f>IF('päd.Personal - Leitung'!E111="","",'päd.Personal - Leitung'!E111)</f>
        <v/>
      </c>
      <c r="F111" s="71">
        <f>IF('päd.Personal - Leitung'!F111="",0,'päd.Personal - Leitung'!F111)</f>
        <v>0</v>
      </c>
      <c r="G111" s="50">
        <f>IF(N99="",0,F111/N99/4.348)</f>
        <v>0</v>
      </c>
      <c r="I111" s="125">
        <f t="shared" ref="I111:I113" si="18">SUM(J111:M111)</f>
        <v>0</v>
      </c>
      <c r="J111" s="124" t="str">
        <f>IF('päd.Personal - Leitung'!J111="","",'päd.Personal - Leitung'!J111)</f>
        <v/>
      </c>
      <c r="K111" s="124" t="str">
        <f>IF('päd.Personal - Leitung'!K111="","",'päd.Personal - Leitung'!K111)</f>
        <v/>
      </c>
      <c r="L111" s="124" t="str">
        <f>IF('päd.Personal - Leitung'!L111="","",'päd.Personal - Leitung'!L111)</f>
        <v/>
      </c>
      <c r="M111" s="124" t="str">
        <f>IF('päd.Personal - Leitung'!M111="","",'päd.Personal - Leitung'!M111)</f>
        <v/>
      </c>
      <c r="N111" s="969"/>
      <c r="O111" s="928" t="str">
        <f t="shared" si="16"/>
        <v>Okt 2025</v>
      </c>
      <c r="P111" s="1403">
        <f t="shared" ref="P111:P113" si="19">IF(P110="","",P110)</f>
        <v>0</v>
      </c>
      <c r="Q111" s="85"/>
      <c r="R111" s="85"/>
      <c r="S111" s="85"/>
    </row>
    <row r="112" spans="1:19" s="46" customFormat="1" ht="13.5" customHeight="1" x14ac:dyDescent="0.25">
      <c r="A112" s="49"/>
      <c r="B112" s="1322" t="str">
        <f>IF(A112="","",B111)</f>
        <v/>
      </c>
      <c r="C112" s="1323"/>
      <c r="D112" s="132" t="str">
        <f>IF('päd.Personal - Leitung'!D112="","",'päd.Personal - Leitung'!D112)</f>
        <v/>
      </c>
      <c r="E112" s="132" t="str">
        <f>IF('päd.Personal - Leitung'!E112="","",'päd.Personal - Leitung'!E112)</f>
        <v/>
      </c>
      <c r="F112" s="71">
        <f>IF('päd.Personal - Leitung'!F112="",0,'päd.Personal - Leitung'!F112)</f>
        <v>0</v>
      </c>
      <c r="G112" s="50">
        <f>IF(N99="",0,F112/N99/4.348)</f>
        <v>0</v>
      </c>
      <c r="I112" s="125">
        <f t="shared" si="18"/>
        <v>0</v>
      </c>
      <c r="J112" s="124" t="str">
        <f>IF('päd.Personal - Leitung'!J112="","",'päd.Personal - Leitung'!J112)</f>
        <v/>
      </c>
      <c r="K112" s="124" t="str">
        <f>IF('päd.Personal - Leitung'!K112="","",'päd.Personal - Leitung'!K112)</f>
        <v/>
      </c>
      <c r="L112" s="124" t="str">
        <f>IF('päd.Personal - Leitung'!L112="","",'päd.Personal - Leitung'!L112)</f>
        <v/>
      </c>
      <c r="M112" s="124" t="str">
        <f>IF('päd.Personal - Leitung'!M112="","",'päd.Personal - Leitung'!M112)</f>
        <v/>
      </c>
      <c r="N112" s="969"/>
      <c r="O112" s="928" t="str">
        <f t="shared" si="16"/>
        <v>Nov 2025</v>
      </c>
      <c r="P112" s="1403">
        <f t="shared" si="19"/>
        <v>0</v>
      </c>
      <c r="Q112" s="85"/>
      <c r="R112" s="85"/>
      <c r="S112" s="85"/>
    </row>
    <row r="113" spans="1:22" s="46" customFormat="1" ht="13.5" customHeight="1" x14ac:dyDescent="0.25">
      <c r="A113" s="49"/>
      <c r="B113" s="1322" t="str">
        <f>IF(A113="","",B112)</f>
        <v/>
      </c>
      <c r="C113" s="1323"/>
      <c r="D113" s="132" t="str">
        <f>IF('päd.Personal - Leitung'!D113="","",'päd.Personal - Leitung'!D113)</f>
        <v/>
      </c>
      <c r="E113" s="132" t="str">
        <f>IF('päd.Personal - Leitung'!E113="","",'päd.Personal - Leitung'!E113)</f>
        <v/>
      </c>
      <c r="F113" s="71">
        <f>IF('päd.Personal - Leitung'!F113="",0,'päd.Personal - Leitung'!F113)</f>
        <v>0</v>
      </c>
      <c r="G113" s="50">
        <f>IF(N99="",0,F113/N99/4.348)</f>
        <v>0</v>
      </c>
      <c r="I113" s="125">
        <f t="shared" si="18"/>
        <v>0</v>
      </c>
      <c r="J113" s="124" t="str">
        <f>IF('päd.Personal - Leitung'!J113="","",'päd.Personal - Leitung'!J113)</f>
        <v/>
      </c>
      <c r="K113" s="124" t="str">
        <f>IF('päd.Personal - Leitung'!K113="","",'päd.Personal - Leitung'!K113)</f>
        <v/>
      </c>
      <c r="L113" s="124" t="str">
        <f>IF('päd.Personal - Leitung'!L113="","",'päd.Personal - Leitung'!L113)</f>
        <v/>
      </c>
      <c r="M113" s="124" t="str">
        <f>IF('päd.Personal - Leitung'!M113="","",'päd.Personal - Leitung'!M113)</f>
        <v/>
      </c>
      <c r="N113" s="969"/>
      <c r="O113" s="928" t="str">
        <f t="shared" si="16"/>
        <v>Dez 2025</v>
      </c>
      <c r="P113" s="1403">
        <f t="shared" si="19"/>
        <v>0</v>
      </c>
      <c r="Q113" s="85"/>
      <c r="R113" s="85"/>
      <c r="S113" s="85"/>
    </row>
    <row r="114" spans="1:22" s="46" customFormat="1" ht="13.5" customHeight="1" x14ac:dyDescent="0.25">
      <c r="B114" s="972"/>
      <c r="C114" s="972"/>
      <c r="E114" s="972"/>
      <c r="F114" s="972"/>
      <c r="I114" s="930" t="s">
        <v>730</v>
      </c>
      <c r="J114" s="1060" t="str">
        <f>IF('päd.Personal - Leitung'!J114="","",'päd.Personal - Leitung'!J114)</f>
        <v/>
      </c>
      <c r="K114" s="1060" t="str">
        <f>IF('päd.Personal - Leitung'!K114="","",'päd.Personal - Leitung'!K114)</f>
        <v/>
      </c>
      <c r="L114" s="1060" t="str">
        <f>IF('päd.Personal - Leitung'!L114="","",'päd.Personal - Leitung'!L114)</f>
        <v/>
      </c>
      <c r="M114" s="1060" t="str">
        <f>IF('päd.Personal - Leitung'!M114="","",'päd.Personal - Leitung'!M114)</f>
        <v/>
      </c>
      <c r="N114" s="971"/>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c r="Q114" s="944" t="str">
        <f>CONCATENATE("BBG"," anteilig ",O116)</f>
        <v>BBG anteilig 2025</v>
      </c>
      <c r="R114" s="931" t="s">
        <v>659</v>
      </c>
      <c r="S114" s="931" t="s">
        <v>398</v>
      </c>
      <c r="T114" s="107"/>
    </row>
    <row r="115" spans="1:22" s="46" customFormat="1" ht="13.5" customHeight="1" x14ac:dyDescent="0.2">
      <c r="A115" s="924" t="s">
        <v>732</v>
      </c>
      <c r="D115" s="55" t="s">
        <v>369</v>
      </c>
      <c r="E115" s="56" t="s">
        <v>368</v>
      </c>
      <c r="F115" s="58"/>
      <c r="J115" s="61"/>
      <c r="Q115" s="932" t="s">
        <v>144</v>
      </c>
      <c r="R115" s="140">
        <f>IF(M104=0,R119,IF(M103="",R119,(SUM(R125:R136)/M107)))</f>
        <v>5175</v>
      </c>
      <c r="S115" s="933">
        <f>IF(M104=0,S119,IF(M103="",S119,SUM(R125:R136)))</f>
        <v>0</v>
      </c>
      <c r="T115" s="107"/>
    </row>
    <row r="116" spans="1:22" s="46" customFormat="1" ht="13.5" customHeight="1" x14ac:dyDescent="0.25">
      <c r="A116" s="60" t="str">
        <f>IF('päd.Personal - Leitung'!$A$116="","",'päd.Personal - Leitung'!$A$116)</f>
        <v/>
      </c>
      <c r="B116" s="1314" t="str">
        <f>IF($B$20="","",$B$20)</f>
        <v>Jahressonderzahlung (JSZ)</v>
      </c>
      <c r="C116" s="1315"/>
      <c r="D116" s="926" t="str">
        <f>IF('päd.Personal - Leitung'!$D$116="","",'päd.Personal - Leitung'!$D$116)</f>
        <v/>
      </c>
      <c r="E116" s="929" t="str">
        <f>IF(A116="","",ROUND((((SUM(B131:B133)+SUM(F131:F133))/3)*D116)/Grundlagen!$C$26*M107,2))</f>
        <v/>
      </c>
      <c r="G116" s="941" t="s">
        <v>733</v>
      </c>
      <c r="H116" s="943"/>
      <c r="I116" s="1316" t="str">
        <f>CONCATENATE(R139,":"," Übergangsbereich von ",R140+0.01," €"," bis ",R141," €")</f>
        <v>2025: Übergangsbereich von 556,01 € bis 2000 €</v>
      </c>
      <c r="J116" s="1317"/>
      <c r="K116" s="1317"/>
      <c r="L116" s="1067"/>
      <c r="M116" s="1067"/>
      <c r="N116" s="1068" t="s">
        <v>736</v>
      </c>
      <c r="O116" s="1069">
        <f>P116+1</f>
        <v>2025</v>
      </c>
      <c r="P116" s="1069" t="s">
        <v>721</v>
      </c>
      <c r="Q116" s="932" t="s">
        <v>145</v>
      </c>
      <c r="R116" s="140">
        <f>IF(M104=0,R120,IF(M103="",R120,(SUM(S125:S136)/M107)))</f>
        <v>7450</v>
      </c>
      <c r="S116" s="933">
        <f>IF(M104=0,S120,IF(M103="",S120,SUM(S125:S136)))</f>
        <v>0</v>
      </c>
      <c r="T116" s="109"/>
    </row>
    <row r="117" spans="1:22" s="1" customFormat="1" ht="14.25" customHeight="1" x14ac:dyDescent="0.2">
      <c r="A117" s="60" t="str">
        <f>IF('päd.Personal - Leitung'!$A$117="","",'päd.Personal - Leitung'!$A$117)</f>
        <v/>
      </c>
      <c r="B117" s="1314" t="str">
        <f>IF($B$21="","",$B$21)</f>
        <v>Leistungsentgelt (LOB)</v>
      </c>
      <c r="C117" s="1315"/>
      <c r="D117" s="926" t="str">
        <f>IF('päd.Personal - Leitung'!$D$117="","",'päd.Personal - Leitung'!$D$117)</f>
        <v/>
      </c>
      <c r="E117" s="929" t="str">
        <f>IF(A117="","",ROUND(((B137+F137)*D117)/Grundlagen!$C$26*M107,2))</f>
        <v/>
      </c>
      <c r="G117" s="941" t="str">
        <f>IF(OR(H116="",H116="nein")=TRUE,"","Faktor (F):")</f>
        <v/>
      </c>
      <c r="H117" s="949" t="str">
        <f>IF(OR(H116="",H116="nein")=TRUE,"",IF(H116="","",R143))</f>
        <v/>
      </c>
      <c r="I117" s="1318" t="str">
        <f>IF(OR(H116="",H116="nein")=TRUE,"",IF(H117="","",CONCATENATE(S143*100,"%"," / ","(",R142*100,"%"," Gesamt-SV-Beitragssatz 2024)")))</f>
        <v/>
      </c>
      <c r="J117" s="1319"/>
      <c r="K117" s="1319"/>
      <c r="L117" s="1070"/>
      <c r="M117" s="1070"/>
      <c r="N117" s="1071" t="s">
        <v>144</v>
      </c>
      <c r="O117" s="1072">
        <f>'päd.Personal - Leitung'!$O$21</f>
        <v>5175</v>
      </c>
      <c r="P117" s="1072">
        <f>'päd.Personal - Leitung'!$P$21</f>
        <v>5175</v>
      </c>
      <c r="Q117" s="11"/>
      <c r="R117" s="11"/>
      <c r="S117" s="11"/>
      <c r="T117" s="109"/>
    </row>
    <row r="118" spans="1:22" s="1" customFormat="1" ht="14.25" customHeight="1" x14ac:dyDescent="0.2">
      <c r="C118" s="925" t="s">
        <v>731</v>
      </c>
      <c r="L118" s="1070"/>
      <c r="M118" s="1070"/>
      <c r="N118" s="1071" t="s">
        <v>145</v>
      </c>
      <c r="O118" s="1073">
        <f>'päd.Personal - Leitung'!$O$22</f>
        <v>7450</v>
      </c>
      <c r="P118" s="1073">
        <f>'päd.Personal - Leitung'!$P$22</f>
        <v>7450</v>
      </c>
      <c r="Q118" s="944" t="str">
        <f>CONCATENATE("BBG"," ",O116)</f>
        <v>BBG 2025</v>
      </c>
      <c r="R118" s="11"/>
      <c r="S118" s="11"/>
      <c r="T118" s="109"/>
    </row>
    <row r="119" spans="1:22" s="1" customFormat="1" ht="14.25" customHeight="1" x14ac:dyDescent="0.2">
      <c r="A119" s="53" t="s">
        <v>141</v>
      </c>
      <c r="B119" s="46"/>
      <c r="C119" s="46"/>
      <c r="D119" s="46"/>
      <c r="E119" s="46"/>
      <c r="F119" s="46"/>
      <c r="G119" s="46"/>
      <c r="H119" s="46"/>
      <c r="I119" s="46"/>
      <c r="J119" s="46"/>
      <c r="K119" s="46"/>
      <c r="L119" s="46"/>
      <c r="M119" s="46"/>
      <c r="N119" s="46"/>
      <c r="O119" s="46"/>
      <c r="P119" s="46"/>
      <c r="Q119" s="932" t="s">
        <v>144</v>
      </c>
      <c r="R119" s="141">
        <f>IF($O$21="",0,$O$21)</f>
        <v>5175</v>
      </c>
      <c r="S119" s="933">
        <f>R119*IF(M107="",0,M107)</f>
        <v>0</v>
      </c>
      <c r="T119" s="295"/>
    </row>
    <row r="120" spans="1:22" s="1" customFormat="1" x14ac:dyDescent="0.2">
      <c r="A120" s="1346"/>
      <c r="B120" s="1348" t="s">
        <v>8</v>
      </c>
      <c r="C120" s="1349"/>
      <c r="D120" s="1349"/>
      <c r="E120" s="1349"/>
      <c r="F120" s="1349"/>
      <c r="G120" s="1350"/>
      <c r="H120" s="1351" t="s">
        <v>113</v>
      </c>
      <c r="I120" s="1352"/>
      <c r="J120" s="1352"/>
      <c r="K120" s="1352"/>
      <c r="L120" s="1352"/>
      <c r="M120" s="1352"/>
      <c r="N120" s="1352"/>
      <c r="O120" s="30"/>
      <c r="P120" s="1330" t="s">
        <v>0</v>
      </c>
      <c r="Q120" s="932" t="s">
        <v>145</v>
      </c>
      <c r="R120" s="141">
        <f>IF($O$22="",0,$O$22)</f>
        <v>7450</v>
      </c>
      <c r="S120" s="933">
        <f>R120*IF(M107="",0,M107)</f>
        <v>0</v>
      </c>
      <c r="T120" s="830"/>
    </row>
    <row r="121" spans="1:22" s="1" customFormat="1" ht="14.25" customHeight="1" x14ac:dyDescent="0.2">
      <c r="A121" s="1347"/>
      <c r="B121" s="1333" t="s">
        <v>111</v>
      </c>
      <c r="C121" s="1335" t="s">
        <v>743</v>
      </c>
      <c r="D121" s="1337" t="s">
        <v>226</v>
      </c>
      <c r="E121" s="1339" t="s">
        <v>133</v>
      </c>
      <c r="F121" s="948" t="s">
        <v>6</v>
      </c>
      <c r="G121" s="1340" t="s">
        <v>5</v>
      </c>
      <c r="H121" s="1339" t="s">
        <v>119</v>
      </c>
      <c r="I121" s="1339" t="s">
        <v>4</v>
      </c>
      <c r="J121" s="1339" t="s">
        <v>3</v>
      </c>
      <c r="K121" s="1339" t="s">
        <v>2</v>
      </c>
      <c r="L121" s="1339" t="s">
        <v>114</v>
      </c>
      <c r="M121" s="1339" t="s">
        <v>115</v>
      </c>
      <c r="N121" s="1339" t="s">
        <v>116</v>
      </c>
      <c r="O121" s="1338" t="s">
        <v>109</v>
      </c>
      <c r="P121" s="1331"/>
      <c r="Q121" s="456"/>
      <c r="R121" s="11"/>
      <c r="S121" s="11"/>
      <c r="T121" s="621"/>
    </row>
    <row r="122" spans="1:22" s="1" customFormat="1" x14ac:dyDescent="0.2">
      <c r="A122" s="1347"/>
      <c r="B122" s="1333"/>
      <c r="C122" s="1335"/>
      <c r="D122" s="1338"/>
      <c r="E122" s="1339"/>
      <c r="F122" s="1343" t="str">
        <f>I114</f>
        <v>Zuschläge / Zulagen / o.ä.:</v>
      </c>
      <c r="G122" s="1340"/>
      <c r="H122" s="1342" t="s">
        <v>117</v>
      </c>
      <c r="I122" s="1342"/>
      <c r="J122" s="1342"/>
      <c r="K122" s="1342"/>
      <c r="L122" s="1342"/>
      <c r="M122" s="1342"/>
      <c r="N122" s="1342"/>
      <c r="O122" s="1338"/>
      <c r="P122" s="1331"/>
      <c r="Q122" s="456"/>
      <c r="R122" s="1306" t="str">
        <f>Q114</f>
        <v>BBG anteilig 2025</v>
      </c>
      <c r="S122" s="1306"/>
      <c r="T122" s="829"/>
    </row>
    <row r="123" spans="1:22" s="1" customFormat="1" ht="14.25" customHeight="1" x14ac:dyDescent="0.2">
      <c r="A123" s="1347"/>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c r="Q123" s="456"/>
      <c r="R123" s="1307" t="s">
        <v>659</v>
      </c>
      <c r="S123" s="1307"/>
      <c r="T123" s="829"/>
      <c r="U123" s="1308" t="s">
        <v>1</v>
      </c>
      <c r="V123" s="1308" t="s">
        <v>741</v>
      </c>
    </row>
    <row r="124" spans="1:22" s="1" customFormat="1" x14ac:dyDescent="0.2">
      <c r="A124" s="1347"/>
      <c r="B124" s="1334"/>
      <c r="C124" s="1336"/>
      <c r="D124" s="45" t="str">
        <f>IF('päd.Personal - Leitung'!$D$124=0,"",'päd.Personal - Leitung'!$D$124)</f>
        <v/>
      </c>
      <c r="E124" s="45" t="str">
        <f>IF('päd.Personal - Leitung'!$E$124=0,"",'päd.Personal - Leitung'!$E$124)</f>
        <v/>
      </c>
      <c r="F124" s="1344"/>
      <c r="G124" s="1341"/>
      <c r="H124" s="74">
        <f>'päd.Personal - Leitung'!$H$124</f>
        <v>0</v>
      </c>
      <c r="I124" s="99">
        <f>'päd.Personal - Leitung'!$I$28</f>
        <v>0</v>
      </c>
      <c r="J124" s="99">
        <f>'päd.Personal - Leitung'!$J$28</f>
        <v>0</v>
      </c>
      <c r="K124" s="40">
        <f>'päd.Personal - Leitung'!$K$28</f>
        <v>0</v>
      </c>
      <c r="L124" s="19">
        <f>'päd.Personal - Leitung'!$L$124</f>
        <v>0</v>
      </c>
      <c r="M124" s="19">
        <f>'päd.Personal - Leitung'!$M$124</f>
        <v>0</v>
      </c>
      <c r="N124" s="99">
        <f>'päd.Personal - Leitung'!$N$28</f>
        <v>0</v>
      </c>
      <c r="O124" s="23">
        <f>'päd.Personal - Leitung'!$O$124</f>
        <v>0</v>
      </c>
      <c r="P124" s="1332"/>
      <c r="Q124" s="456"/>
      <c r="R124" s="935" t="s">
        <v>144</v>
      </c>
      <c r="S124" s="935" t="s">
        <v>145</v>
      </c>
      <c r="T124" s="829"/>
      <c r="U124" s="1308"/>
      <c r="V124" s="1308"/>
    </row>
    <row r="125" spans="1:22" s="1" customFormat="1"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0">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56"/>
      <c r="R125" s="140">
        <f>ROUND(IF(M103="",R119,R119/M103*P102),2)</f>
        <v>5175</v>
      </c>
      <c r="S125" s="140">
        <f>ROUND(IF(M103="",R120,R120/M103*P102),2)</f>
        <v>7450</v>
      </c>
      <c r="U125" s="950">
        <f>SUM(B125:F125)</f>
        <v>0</v>
      </c>
      <c r="V125" s="950">
        <f>SUM(B125:F125)</f>
        <v>0</v>
      </c>
    </row>
    <row r="126" spans="1:22" s="1" customFormat="1"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0"/>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21">SUM(G126:O126)</f>
        <v>0</v>
      </c>
      <c r="Q126" s="456"/>
      <c r="R126" s="140">
        <f>ROUND(IF(M103="",R119,R119/M103*P103),2)</f>
        <v>5175</v>
      </c>
      <c r="S126" s="140">
        <f>ROUND(IF(M103="",R120,R120/M103*P103),2)</f>
        <v>7450</v>
      </c>
      <c r="U126" s="950">
        <f t="shared" ref="U126:U136" si="22">SUM(B126:F126)</f>
        <v>0</v>
      </c>
      <c r="V126" s="950">
        <f>SUM(B125:F126)</f>
        <v>0</v>
      </c>
    </row>
    <row r="127" spans="1:22" s="1" customFormat="1"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0"/>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1"/>
        <v>0</v>
      </c>
      <c r="Q127" s="456"/>
      <c r="R127" s="140">
        <f>ROUND(IF(M103="",R119,R119/M103*P104),2)</f>
        <v>5175</v>
      </c>
      <c r="S127" s="140">
        <f>ROUND(IF(M103="",R120,R120/M103*P104),2)</f>
        <v>7450</v>
      </c>
      <c r="U127" s="950">
        <f t="shared" si="22"/>
        <v>0</v>
      </c>
      <c r="V127" s="950">
        <f>SUM(B125:F127)</f>
        <v>0</v>
      </c>
    </row>
    <row r="128" spans="1:22" s="1" customFormat="1"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0"/>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1"/>
        <v>0</v>
      </c>
      <c r="Q128" s="456"/>
      <c r="R128" s="140">
        <f>ROUND(IF(M103="",R119,R119/M103*P105),2)</f>
        <v>5175</v>
      </c>
      <c r="S128" s="140">
        <f>ROUND(IF(M103="",R120,R120/M103*P105),2)</f>
        <v>7450</v>
      </c>
      <c r="U128" s="950">
        <f t="shared" si="22"/>
        <v>0</v>
      </c>
      <c r="V128" s="950">
        <f>SUM(B125:F128)</f>
        <v>0</v>
      </c>
    </row>
    <row r="129" spans="1:24" s="1" customFormat="1"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0"/>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1"/>
        <v>0</v>
      </c>
      <c r="Q129" s="456"/>
      <c r="R129" s="140">
        <f>ROUND(IF(M103="",R119,R119/M103*P106),2)</f>
        <v>5175</v>
      </c>
      <c r="S129" s="140">
        <f>ROUND(IF(M103="",R120,R120/M103*P106),2)</f>
        <v>7450</v>
      </c>
      <c r="U129" s="950">
        <f t="shared" si="22"/>
        <v>0</v>
      </c>
      <c r="V129" s="950">
        <f>SUM(B125:F129)</f>
        <v>0</v>
      </c>
    </row>
    <row r="130" spans="1:24" s="1" customFormat="1"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0"/>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1"/>
        <v>0</v>
      </c>
      <c r="Q130" s="456"/>
      <c r="R130" s="140">
        <f>ROUND(IF(M103="",R119,R119/M103*P107),2)</f>
        <v>5175</v>
      </c>
      <c r="S130" s="140">
        <f>ROUND(IF(M103="",R120,R120/M103*P107),2)</f>
        <v>7450</v>
      </c>
      <c r="U130" s="950">
        <f t="shared" si="22"/>
        <v>0</v>
      </c>
      <c r="V130" s="950">
        <f>SUM(B125:F130)</f>
        <v>0</v>
      </c>
    </row>
    <row r="131" spans="1:24" s="1" customFormat="1"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0"/>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1"/>
        <v>0</v>
      </c>
      <c r="Q131" s="456"/>
      <c r="R131" s="140">
        <f>ROUND(IF(M103="",R119,R119/M103*P108),2)</f>
        <v>5175</v>
      </c>
      <c r="S131" s="140">
        <f>ROUND(IF(M103="",R120,R120/M103*P108),2)</f>
        <v>7450</v>
      </c>
      <c r="U131" s="950">
        <f t="shared" si="22"/>
        <v>0</v>
      </c>
      <c r="V131" s="950">
        <f>SUM(B125:F131)</f>
        <v>0</v>
      </c>
    </row>
    <row r="132" spans="1:24" s="1" customFormat="1"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0"/>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1"/>
        <v>0</v>
      </c>
      <c r="Q132" s="456"/>
      <c r="R132" s="140">
        <f>ROUND(IF(M103="",R119,R119/M103*P109),2)</f>
        <v>5175</v>
      </c>
      <c r="S132" s="140">
        <f>ROUND(IF(M103="",R120,R120/M103*P109),2)</f>
        <v>7450</v>
      </c>
      <c r="U132" s="950">
        <f t="shared" si="22"/>
        <v>0</v>
      </c>
      <c r="V132" s="950">
        <f>SUM(B125:F132)</f>
        <v>0</v>
      </c>
    </row>
    <row r="133" spans="1:24" s="1" customFormat="1"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0"/>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1"/>
        <v>0</v>
      </c>
      <c r="Q133" s="456"/>
      <c r="R133" s="140">
        <f>ROUND(IF(M103="",R119,R119/M103*P110),2)</f>
        <v>5175</v>
      </c>
      <c r="S133" s="140">
        <f>ROUND(IF(M103="",R120,R120/M103*P110),2)</f>
        <v>7450</v>
      </c>
      <c r="U133" s="950">
        <f t="shared" si="22"/>
        <v>0</v>
      </c>
      <c r="V133" s="950">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0"/>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1"/>
        <v>0</v>
      </c>
      <c r="Q134" s="936"/>
      <c r="R134" s="140">
        <f>ROUND(IF(M103="",R119,R119/M103*P111),2)</f>
        <v>5175</v>
      </c>
      <c r="S134" s="140">
        <f>ROUND(IF(M103="",R120,R120/M103*P111),2)</f>
        <v>7450</v>
      </c>
      <c r="U134" s="950">
        <f t="shared" si="22"/>
        <v>0</v>
      </c>
      <c r="V134" s="950">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0"/>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1"/>
        <v>0</v>
      </c>
      <c r="R135" s="140">
        <f>ROUND(IF(M103="",R119,R119/M103*P112),2)</f>
        <v>5175</v>
      </c>
      <c r="S135" s="140">
        <f>ROUND(IF(M103="",R120,R120/M103*P112),2)</f>
        <v>7450</v>
      </c>
      <c r="U135" s="950">
        <f t="shared" si="22"/>
        <v>0</v>
      </c>
      <c r="V135" s="950">
        <f>SUM(B125:F135)</f>
        <v>0</v>
      </c>
      <c r="X135" s="1"/>
    </row>
    <row r="136" spans="1:24" s="1" customFormat="1"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0"/>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1"/>
        <v>0</v>
      </c>
      <c r="Q136" s="11"/>
      <c r="R136" s="140">
        <f>ROUND(IF(M103="",R119,R119/M103*P113),2)</f>
        <v>5175</v>
      </c>
      <c r="S136" s="140">
        <f>ROUND(IF(M103="",R120,R120/M103*P113),2)</f>
        <v>7450</v>
      </c>
      <c r="U136" s="950">
        <f t="shared" si="22"/>
        <v>0</v>
      </c>
      <c r="V136" s="950">
        <f>SUM(B125:F136)</f>
        <v>0</v>
      </c>
    </row>
    <row r="137" spans="1:24" s="1" customFormat="1" ht="15" customHeight="1" x14ac:dyDescent="0.2">
      <c r="A137" s="2" t="s">
        <v>1</v>
      </c>
      <c r="B137" s="25">
        <f t="shared" ref="B137:G137" si="23">SUM(B125:B136)</f>
        <v>0</v>
      </c>
      <c r="C137" s="25">
        <f t="shared" si="23"/>
        <v>0</v>
      </c>
      <c r="D137" s="25">
        <f t="shared" si="23"/>
        <v>0</v>
      </c>
      <c r="E137" s="25">
        <f t="shared" si="23"/>
        <v>0</v>
      </c>
      <c r="F137" s="25">
        <f t="shared" si="23"/>
        <v>0</v>
      </c>
      <c r="G137" s="25">
        <f t="shared" si="23"/>
        <v>0</v>
      </c>
      <c r="H137" s="1309">
        <f>SUM(H125:N136)</f>
        <v>0</v>
      </c>
      <c r="I137" s="1310"/>
      <c r="J137" s="1310"/>
      <c r="K137" s="1310"/>
      <c r="L137" s="1310"/>
      <c r="M137" s="1310"/>
      <c r="N137" s="1311"/>
      <c r="O137" s="25">
        <f>SUM(O125:O136)</f>
        <v>0</v>
      </c>
      <c r="P137" s="25">
        <f>SUM(P125:P136)</f>
        <v>0</v>
      </c>
    </row>
    <row r="138" spans="1:24" s="1" customFormat="1" ht="12" customHeight="1" x14ac:dyDescent="0.2"/>
    <row r="139" spans="1:24" s="1" customFormat="1" ht="14.25" customHeight="1" x14ac:dyDescent="0.2">
      <c r="B139" s="906"/>
      <c r="H139" s="905"/>
      <c r="I139" s="62"/>
      <c r="J139" s="914" t="s">
        <v>123</v>
      </c>
      <c r="L139" s="900" t="s">
        <v>124</v>
      </c>
      <c r="M139" s="974" t="str">
        <f>IF(IF(G137=0,"",'päd.Personal - Leitung'!$M$43)=0,"",IF(G137=0,"",'päd.Personal - Leitung'!$M$43))</f>
        <v/>
      </c>
      <c r="N139" s="902" t="s">
        <v>125</v>
      </c>
      <c r="O139" s="963" t="str">
        <f>IF(IF(G137=0,"",'päd.Personal - Leitung'!$O$43)=0,"",IF(G137=0,"",'päd.Personal - Leitung'!$O$43))</f>
        <v/>
      </c>
      <c r="P139" s="25">
        <f>ROUND(IF(M139="",0,G137*M139*O139/1000),2)</f>
        <v>0</v>
      </c>
      <c r="Q139" s="937"/>
      <c r="R139" s="938">
        <v>2025</v>
      </c>
      <c r="S139" s="939"/>
    </row>
    <row r="140" spans="1:24" s="1" customFormat="1" ht="14.25" customHeight="1" x14ac:dyDescent="0.2">
      <c r="H140" s="907"/>
      <c r="I140" s="42"/>
      <c r="M140" s="915" t="s">
        <v>129</v>
      </c>
      <c r="N140" s="80" t="s">
        <v>125</v>
      </c>
      <c r="O140" s="75" t="str">
        <f>IF(IF(G137=0,"",'päd.Personal - Leitung'!$O$44)=0,"",IF(G137=0,"",'päd.Personal - Leitung'!$O$44))</f>
        <v/>
      </c>
      <c r="P140" s="25">
        <f>ROUND(IF(O140="",0,G137*O140/1000),2)</f>
        <v>0</v>
      </c>
      <c r="Q140" s="942" t="s">
        <v>737</v>
      </c>
      <c r="R140" s="141">
        <f>'päd.Personal - Leitung'!$R$44</f>
        <v>556</v>
      </c>
      <c r="S140" s="955">
        <f>'päd.Personal - Leitung'!$S$44</f>
        <v>12.82</v>
      </c>
    </row>
    <row r="141" spans="1:24" s="1" customFormat="1" ht="14.25" customHeight="1" x14ac:dyDescent="0.2">
      <c r="H141" s="912" t="s">
        <v>126</v>
      </c>
      <c r="I141" s="945" t="s">
        <v>127</v>
      </c>
      <c r="J141" s="975" t="str">
        <f>IF(IF(G137=0,"",'päd.Personal - Leitung'!$J$45)=0,"",IF(G137=0,"",'päd.Personal - Leitung'!$J$45))</f>
        <v/>
      </c>
      <c r="K141" s="902" t="s">
        <v>128</v>
      </c>
      <c r="L141" s="964" t="str">
        <f>IF(IF(G137=0,"",'päd.Personal - Leitung'!$L$45)=0,"",IF(G137=0,"",'päd.Personal - Leitung'!$L$45))</f>
        <v/>
      </c>
      <c r="M141" s="16"/>
      <c r="N141" s="900" t="s">
        <v>132</v>
      </c>
      <c r="O141" s="965" t="str">
        <f>IF(IF(G137=0,"",'päd.Personal - Leitung'!$O$45)=0,"",IF(G137=0,"",'päd.Personal - Leitung'!$O$45))</f>
        <v/>
      </c>
      <c r="P141" s="25">
        <f>ROUND(IF(J141="",0,(J141*L141/O141)/M105*M106),2)</f>
        <v>0</v>
      </c>
      <c r="Q141" s="942" t="s">
        <v>738</v>
      </c>
      <c r="R141" s="140">
        <f>'päd.Personal - Leitung'!$R$45</f>
        <v>2000</v>
      </c>
      <c r="S141" s="939"/>
    </row>
    <row r="142" spans="1:24" s="1" customFormat="1" ht="14.25" customHeight="1" x14ac:dyDescent="0.2">
      <c r="D142" s="16"/>
      <c r="I142" s="16"/>
      <c r="J142" s="16"/>
      <c r="K142" s="63"/>
      <c r="L142" s="67"/>
      <c r="M142" s="915" t="s">
        <v>130</v>
      </c>
      <c r="N142" s="80" t="s">
        <v>131</v>
      </c>
      <c r="O142" s="904">
        <f>IF(IF(G137="",0,'päd.Personal - Leitung'!$O$94)=0,0,IF(G137="",0,'päd.Personal - Leitung'!$O$94))</f>
        <v>0</v>
      </c>
      <c r="P142" s="21">
        <f>ROUND(IF(G137=0,0,O142/M103*M104),2)</f>
        <v>0</v>
      </c>
      <c r="Q142" s="942" t="s">
        <v>740</v>
      </c>
      <c r="R142" s="956">
        <f>'päd.Personal - Leitung'!$R$46</f>
        <v>0.40900000000000003</v>
      </c>
    </row>
    <row r="143" spans="1:24" s="1" customFormat="1" ht="14.25" customHeight="1" x14ac:dyDescent="0.2">
      <c r="A143" s="16"/>
      <c r="B143" s="16"/>
      <c r="I143" s="905"/>
      <c r="J143" s="947" t="s">
        <v>176</v>
      </c>
      <c r="K143" s="1312" t="str">
        <f>IF('päd.Personal - Leitung'!$K$143="","",'päd.Personal - Leitung'!$K$143)</f>
        <v/>
      </c>
      <c r="L143" s="1312"/>
      <c r="M143" s="1312"/>
      <c r="N143" s="80" t="s">
        <v>131</v>
      </c>
      <c r="O143" s="904">
        <f>IF(IF(G137="",0,'päd.Personal - Leitung'!$O$95)=0,0,IF(G137="",0,'päd.Personal - Leitung'!$O$95))</f>
        <v>0</v>
      </c>
      <c r="P143" s="21">
        <f>ROUND(IF(G137=0,0,O143/M103*M104),2)</f>
        <v>0</v>
      </c>
      <c r="Q143" s="942" t="s">
        <v>739</v>
      </c>
      <c r="R143" s="940">
        <f>'päd.Personal - Leitung'!$R$47</f>
        <v>0.68459999999999999</v>
      </c>
      <c r="S143" s="957">
        <f>'päd.Personal - Leitung'!$S$47</f>
        <v>0.28000000000000003</v>
      </c>
    </row>
    <row r="144" spans="1:24" s="1" customFormat="1" ht="14.25" customHeight="1" x14ac:dyDescent="0.2">
      <c r="A144" s="908"/>
      <c r="B144" s="908"/>
      <c r="C144" s="945"/>
      <c r="D144" s="945"/>
      <c r="I144" s="913"/>
      <c r="J144" s="913"/>
      <c r="K144" s="916"/>
      <c r="L144" s="27"/>
      <c r="M144" s="27"/>
      <c r="N144" s="27"/>
      <c r="O144" s="26" t="s">
        <v>0</v>
      </c>
      <c r="P144" s="25">
        <f>P137+SUM(P139:P143)</f>
        <v>0</v>
      </c>
    </row>
    <row r="145" spans="1:19" s="10" customFormat="1" ht="13.5" customHeight="1" x14ac:dyDescent="0.2">
      <c r="A145" s="1321" t="s">
        <v>17</v>
      </c>
      <c r="B145" s="1321"/>
      <c r="C145" s="1321"/>
      <c r="D145" s="1320" t="str">
        <f>IF('päd.Personal - Leitung'!$D$1="","",'päd.Personal - Leitung'!$D$1)</f>
        <v/>
      </c>
      <c r="E145" s="1320"/>
      <c r="F145" s="1320"/>
      <c r="G145" s="1320"/>
      <c r="H145" s="1320"/>
      <c r="I145" s="1320"/>
      <c r="J145" s="1320"/>
      <c r="K145" s="1320"/>
      <c r="L145" s="1320"/>
      <c r="M145" s="1320"/>
      <c r="N145" s="1320"/>
    </row>
    <row r="146" spans="1:19" s="10" customFormat="1" ht="15" customHeight="1" x14ac:dyDescent="0.2">
      <c r="A146" s="1321" t="s">
        <v>16</v>
      </c>
      <c r="B146" s="1321"/>
      <c r="C146" s="1321" t="s">
        <v>14</v>
      </c>
      <c r="D146" s="1320" t="str">
        <f>IF('päd.Personal - Leitung'!$D$2="","",'päd.Personal - Leitung'!$D$2)</f>
        <v/>
      </c>
      <c r="E146" s="1320"/>
      <c r="F146" s="1320"/>
      <c r="G146" s="1320"/>
      <c r="H146" s="1320"/>
      <c r="I146" s="1320"/>
      <c r="J146" s="1320"/>
      <c r="K146" s="1320"/>
      <c r="L146" s="1320"/>
      <c r="M146" s="1320"/>
      <c r="N146" s="1320"/>
    </row>
    <row r="147" spans="1:19" s="10" customFormat="1" ht="15" customHeight="1" x14ac:dyDescent="0.2">
      <c r="A147" s="1321" t="s">
        <v>15</v>
      </c>
      <c r="B147" s="1321"/>
      <c r="C147" s="1321" t="s">
        <v>14</v>
      </c>
      <c r="D147" s="1320" t="str">
        <f>IF('päd.Personal - Leitung'!$D$3="","",'päd.Personal - Leitung'!$D$3)</f>
        <v/>
      </c>
      <c r="E147" s="1320"/>
      <c r="F147" s="1320"/>
      <c r="G147" s="1320"/>
      <c r="H147" s="1320"/>
      <c r="I147" s="1320"/>
      <c r="J147" s="1320"/>
      <c r="K147" s="1321" t="s">
        <v>100</v>
      </c>
      <c r="L147" s="1321"/>
      <c r="M147" s="1321"/>
      <c r="N147" s="38" t="str">
        <f>IF('päd.Personal - Leitung'!$N$3="","",'päd.Personal - Leitung'!$N$3)</f>
        <v/>
      </c>
    </row>
    <row r="148" spans="1:19" s="923" customFormat="1" ht="7.5" customHeight="1" x14ac:dyDescent="0.15">
      <c r="A148" s="1353"/>
      <c r="B148" s="1353"/>
      <c r="C148" s="1353"/>
      <c r="D148" s="1354"/>
      <c r="E148" s="1354"/>
      <c r="F148" s="1354"/>
      <c r="G148" s="1354"/>
      <c r="H148" s="1354"/>
      <c r="I148" s="1354"/>
      <c r="J148" s="1354"/>
      <c r="K148" s="922"/>
      <c r="L148" s="922"/>
      <c r="M148" s="922"/>
      <c r="N148" s="922"/>
      <c r="O148" s="922"/>
      <c r="P148" s="922"/>
    </row>
    <row r="149" spans="1:19" s="13" customFormat="1" ht="13.5" customHeight="1" x14ac:dyDescent="0.2">
      <c r="A149" s="1355" t="s">
        <v>151</v>
      </c>
      <c r="B149" s="1355"/>
      <c r="C149" s="1355"/>
      <c r="D149" s="1355"/>
      <c r="E149" s="1355"/>
      <c r="F149" s="1355"/>
      <c r="G149" s="1355"/>
      <c r="H149" s="1355"/>
      <c r="I149" s="1355"/>
      <c r="J149" s="1355"/>
      <c r="K149" s="7"/>
      <c r="L149" s="7"/>
      <c r="M149" s="7"/>
      <c r="N149" s="52"/>
      <c r="O149" s="138">
        <f>'päd.Personal - Leitung'!$O$5</f>
        <v>2025</v>
      </c>
      <c r="P149" s="52" t="s">
        <v>140</v>
      </c>
    </row>
    <row r="150" spans="1:19" s="8" customFormat="1" ht="13.5" customHeight="1" x14ac:dyDescent="0.25">
      <c r="B150" s="29"/>
      <c r="C150" s="29"/>
      <c r="D150" s="3" t="s">
        <v>152</v>
      </c>
      <c r="E150" s="28"/>
      <c r="F150" s="28"/>
      <c r="G150" s="28"/>
      <c r="H150" s="28"/>
      <c r="I150" s="24"/>
      <c r="K150" s="1327" t="s">
        <v>13</v>
      </c>
      <c r="L150" s="1327"/>
      <c r="M150" s="131"/>
      <c r="O150" s="928" t="str">
        <f>A173</f>
        <v>Jan 2025</v>
      </c>
      <c r="P150" s="1402">
        <f>IF(M152="","",M152)</f>
        <v>0</v>
      </c>
    </row>
    <row r="151" spans="1:19" s="5" customFormat="1" ht="13.5" customHeight="1" x14ac:dyDescent="0.25">
      <c r="A151" s="1328" t="s">
        <v>754</v>
      </c>
      <c r="B151" s="1328"/>
      <c r="C151" s="1328"/>
      <c r="D151" s="1345"/>
      <c r="E151" s="1345"/>
      <c r="F151" s="1345"/>
      <c r="G151" s="1345"/>
      <c r="H151" s="1345"/>
      <c r="I151" s="1345"/>
      <c r="K151" s="1327" t="s">
        <v>101</v>
      </c>
      <c r="L151" s="1327"/>
      <c r="M151" s="101"/>
      <c r="O151" s="928" t="str">
        <f t="shared" ref="O151:O161" si="24">A174</f>
        <v>Feb 2025</v>
      </c>
      <c r="P151" s="1403">
        <f t="shared" ref="P151:P158" si="25">IF(P150="","",P150)</f>
        <v>0</v>
      </c>
    </row>
    <row r="152" spans="1:19" s="1" customFormat="1" ht="13.5" customHeight="1" x14ac:dyDescent="0.2">
      <c r="A152" s="1328" t="s">
        <v>12</v>
      </c>
      <c r="B152" s="1328"/>
      <c r="C152" s="1328"/>
      <c r="D152" s="1345"/>
      <c r="E152" s="1345"/>
      <c r="F152" s="1345"/>
      <c r="G152" s="1345"/>
      <c r="H152" s="1345"/>
      <c r="I152" s="1345"/>
      <c r="K152" s="1327" t="s">
        <v>149</v>
      </c>
      <c r="L152" s="1327"/>
      <c r="M152" s="101">
        <f>IF((M153+M154)&gt;M151,0,M151-M153-M154)</f>
        <v>0</v>
      </c>
      <c r="O152" s="928" t="str">
        <f t="shared" si="24"/>
        <v>Mrz 2025</v>
      </c>
      <c r="P152" s="1403">
        <f t="shared" si="25"/>
        <v>0</v>
      </c>
    </row>
    <row r="153" spans="1:19" s="1" customFormat="1" ht="13.5" customHeight="1" x14ac:dyDescent="0.2">
      <c r="A153" s="1328" t="s">
        <v>11</v>
      </c>
      <c r="B153" s="1328"/>
      <c r="C153" s="1328"/>
      <c r="D153" s="1345"/>
      <c r="E153" s="1345"/>
      <c r="F153" s="1345"/>
      <c r="G153" s="1345"/>
      <c r="H153" s="1345"/>
      <c r="I153" s="1345"/>
      <c r="K153" s="1327" t="s">
        <v>150</v>
      </c>
      <c r="L153" s="1327"/>
      <c r="M153" s="101"/>
      <c r="O153" s="928" t="str">
        <f t="shared" si="24"/>
        <v>Apr 2025</v>
      </c>
      <c r="P153" s="1403">
        <f t="shared" si="25"/>
        <v>0</v>
      </c>
    </row>
    <row r="154" spans="1:19" s="1" customFormat="1" ht="13.5" customHeight="1" x14ac:dyDescent="0.2">
      <c r="A154" s="1328" t="s">
        <v>18</v>
      </c>
      <c r="B154" s="1328"/>
      <c r="C154" s="1328"/>
      <c r="D154" s="1345"/>
      <c r="E154" s="1345"/>
      <c r="F154" s="1345"/>
      <c r="G154" s="1345"/>
      <c r="H154" s="1345"/>
      <c r="I154" s="1345"/>
      <c r="K154" s="1327" t="s">
        <v>222</v>
      </c>
      <c r="L154" s="1327"/>
      <c r="M154" s="101"/>
      <c r="O154" s="928" t="str">
        <f t="shared" si="24"/>
        <v>Mai 2025</v>
      </c>
      <c r="P154" s="1403">
        <f t="shared" si="25"/>
        <v>0</v>
      </c>
    </row>
    <row r="155" spans="1:19" s="1" customFormat="1" ht="13.5" customHeight="1" x14ac:dyDescent="0.2">
      <c r="B155" s="6"/>
      <c r="C155" s="1029" t="s">
        <v>147</v>
      </c>
      <c r="D155" s="1324"/>
      <c r="E155" s="1324"/>
      <c r="F155" s="1359" t="s">
        <v>103</v>
      </c>
      <c r="G155" s="1359"/>
      <c r="H155" s="1361"/>
      <c r="I155" s="1361"/>
      <c r="K155" s="1327" t="s">
        <v>94</v>
      </c>
      <c r="L155" s="1327"/>
      <c r="M155" s="15" t="str">
        <f>IF(IF((COUNTIF(B173:B184,"&gt;0"))=0,0,(COUNTIF(B173:B184,"&gt;0")))&gt;Grundlagen!$C$26,Grundlagen!$C$26,IF((COUNTIF(B173:B184,"&gt;0"))=0,"",(COUNTIF(B173:B184,"&gt;0"))))</f>
        <v/>
      </c>
      <c r="O155" s="928" t="str">
        <f t="shared" si="24"/>
        <v>Jun 2025</v>
      </c>
      <c r="P155" s="1403">
        <f t="shared" si="25"/>
        <v>0</v>
      </c>
    </row>
    <row r="156" spans="1:19" s="1" customFormat="1" ht="13.5" customHeight="1" x14ac:dyDescent="0.2">
      <c r="I156" s="4"/>
      <c r="M156" s="102" t="str">
        <f>IF((SUM(F158:F161))=0,"",IF(P162&gt;M152,M152,IF(M152="","",IF(M155="","",P162))))</f>
        <v/>
      </c>
      <c r="O156" s="928" t="str">
        <f t="shared" si="24"/>
        <v>Jul 2025</v>
      </c>
      <c r="P156" s="1403">
        <f t="shared" si="25"/>
        <v>0</v>
      </c>
    </row>
    <row r="157" spans="1:19" s="46" customFormat="1" ht="13.5" customHeight="1" x14ac:dyDescent="0.2">
      <c r="A157" s="54" t="s">
        <v>134</v>
      </c>
      <c r="B157" s="1356" t="s">
        <v>135</v>
      </c>
      <c r="C157" s="1356"/>
      <c r="D157" s="55" t="s">
        <v>136</v>
      </c>
      <c r="E157" s="56" t="s">
        <v>137</v>
      </c>
      <c r="F157" s="57" t="str">
        <f>CONCATENATE("Entg. ",N147," h/Wo")</f>
        <v>Entg.  h/Wo</v>
      </c>
      <c r="G157" s="58" t="s">
        <v>138</v>
      </c>
      <c r="I157" s="58" t="s">
        <v>139</v>
      </c>
      <c r="K157" s="970"/>
      <c r="L157" s="970"/>
      <c r="M157" s="59"/>
      <c r="N157" s="968"/>
      <c r="O157" s="928" t="str">
        <f t="shared" si="24"/>
        <v>Aug 2025</v>
      </c>
      <c r="P157" s="1403">
        <f t="shared" si="25"/>
        <v>0</v>
      </c>
      <c r="Q157" s="85"/>
      <c r="R157" s="85"/>
      <c r="S157" s="85"/>
    </row>
    <row r="158" spans="1:19" s="46" customFormat="1" ht="13.5" customHeight="1" x14ac:dyDescent="0.25">
      <c r="A158" s="48" t="str">
        <f>'päd.Personal - Leitung'!$A$14</f>
        <v>Jan 2025</v>
      </c>
      <c r="B158" s="1357" t="str">
        <f>IF($D$3="","",$D$3)</f>
        <v/>
      </c>
      <c r="C158" s="1358"/>
      <c r="D158" s="132"/>
      <c r="E158" s="132"/>
      <c r="F158" s="71"/>
      <c r="G158" s="50">
        <f>IF(N147="",0,F158/N147/4.348)</f>
        <v>0</v>
      </c>
      <c r="I158" s="125">
        <f>SUM(J158:M158)</f>
        <v>0</v>
      </c>
      <c r="J158" s="124"/>
      <c r="K158" s="124"/>
      <c r="L158" s="124"/>
      <c r="M158" s="124"/>
      <c r="N158" s="969"/>
      <c r="O158" s="928" t="str">
        <f t="shared" si="24"/>
        <v>Sep 2025</v>
      </c>
      <c r="P158" s="1403">
        <f t="shared" si="25"/>
        <v>0</v>
      </c>
      <c r="Q158" s="85"/>
      <c r="R158" s="85"/>
      <c r="S158" s="85"/>
    </row>
    <row r="159" spans="1:19" s="46" customFormat="1" ht="13.5" customHeight="1" x14ac:dyDescent="0.25">
      <c r="A159" s="49"/>
      <c r="B159" s="1322" t="str">
        <f>IF(A159="","",B158)</f>
        <v/>
      </c>
      <c r="C159" s="1323"/>
      <c r="D159" s="132"/>
      <c r="E159" s="132"/>
      <c r="F159" s="71"/>
      <c r="G159" s="50">
        <f>IF(N147="",0,F159/N147/4.348)</f>
        <v>0</v>
      </c>
      <c r="I159" s="125">
        <f t="shared" ref="I159:I161" si="26">SUM(J159:M159)</f>
        <v>0</v>
      </c>
      <c r="J159" s="124"/>
      <c r="K159" s="124"/>
      <c r="L159" s="124"/>
      <c r="M159" s="124"/>
      <c r="N159" s="969"/>
      <c r="O159" s="928" t="str">
        <f t="shared" si="24"/>
        <v>Okt 2025</v>
      </c>
      <c r="P159" s="1403">
        <f t="shared" ref="P159:P161" si="27">IF(P158="","",P158)</f>
        <v>0</v>
      </c>
      <c r="Q159" s="85"/>
      <c r="R159" s="85"/>
      <c r="S159" s="85"/>
    </row>
    <row r="160" spans="1:19" s="46" customFormat="1" ht="13.5" customHeight="1" x14ac:dyDescent="0.25">
      <c r="A160" s="49"/>
      <c r="B160" s="1322" t="str">
        <f>IF(A160="","",B159)</f>
        <v/>
      </c>
      <c r="C160" s="1323"/>
      <c r="D160" s="132"/>
      <c r="E160" s="132"/>
      <c r="F160" s="71"/>
      <c r="G160" s="50">
        <f>IF(N147="",0,F160/N147/4.348)</f>
        <v>0</v>
      </c>
      <c r="I160" s="125">
        <f t="shared" si="26"/>
        <v>0</v>
      </c>
      <c r="J160" s="124"/>
      <c r="K160" s="124"/>
      <c r="L160" s="124"/>
      <c r="M160" s="124"/>
      <c r="N160" s="969"/>
      <c r="O160" s="928" t="str">
        <f t="shared" si="24"/>
        <v>Nov 2025</v>
      </c>
      <c r="P160" s="1403">
        <f t="shared" si="27"/>
        <v>0</v>
      </c>
      <c r="Q160" s="85"/>
      <c r="R160" s="85"/>
      <c r="S160" s="85"/>
    </row>
    <row r="161" spans="1:22" s="46" customFormat="1" ht="13.5" customHeight="1" x14ac:dyDescent="0.25">
      <c r="A161" s="49"/>
      <c r="B161" s="1322" t="str">
        <f>IF(A161="","",B160)</f>
        <v/>
      </c>
      <c r="C161" s="1323"/>
      <c r="D161" s="132"/>
      <c r="E161" s="132"/>
      <c r="F161" s="71"/>
      <c r="G161" s="50">
        <f>IF(N147="",0,F161/N147/4.348)</f>
        <v>0</v>
      </c>
      <c r="I161" s="125">
        <f t="shared" si="26"/>
        <v>0</v>
      </c>
      <c r="J161" s="124"/>
      <c r="K161" s="124"/>
      <c r="L161" s="124"/>
      <c r="M161" s="124"/>
      <c r="N161" s="969"/>
      <c r="O161" s="928" t="str">
        <f t="shared" si="24"/>
        <v>Dez 2025</v>
      </c>
      <c r="P161" s="1403">
        <f t="shared" si="27"/>
        <v>0</v>
      </c>
      <c r="Q161" s="85"/>
      <c r="R161" s="85"/>
      <c r="S161" s="85"/>
    </row>
    <row r="162" spans="1:22" s="46" customFormat="1" ht="13.5" customHeight="1" x14ac:dyDescent="0.25">
      <c r="B162" s="972"/>
      <c r="C162" s="972"/>
      <c r="E162" s="972"/>
      <c r="F162" s="972"/>
      <c r="I162" s="930" t="s">
        <v>730</v>
      </c>
      <c r="J162" s="1060"/>
      <c r="K162" s="1060"/>
      <c r="L162" s="1060"/>
      <c r="M162" s="1060"/>
      <c r="N162" s="971"/>
      <c r="O162" s="126" t="s">
        <v>221</v>
      </c>
      <c r="P162" s="127">
        <f>IF(M155="",0,((IF(SUMIF(B173,"&gt;0"),P150,0))+(IF(SUMIF(B174,"&gt;0"),P151,0))+(IF(SUMIF(B175,"&gt;0"),P152,0))+(IF(SUMIF(B176,"&gt;0"),P153,0))+(IF(SUMIF(B177,"&gt;0"),P154,0))+(IF(SUMIF(B178,"&gt;0"),P155,0))+(IF(SUMIF(B179,"&gt;0"),P156,0))+(IF(SUMIF(B180,"&gt;0"),P157,0))+(IF(SUMIF(B181,"&gt;0"),P158,0))+(IF(SUMIF(B182,"&gt;0"),P159,0))+(IF(SUMIF(B183,"&gt;0"),P160,0))+(IF(SUMIF(B184,"&gt;0"),P161,0)))/Grundlagen!$C$26)</f>
        <v>0</v>
      </c>
      <c r="Q162" s="944" t="str">
        <f>CONCATENATE("BBG"," anteilig ",O164)</f>
        <v>BBG anteilig 2025</v>
      </c>
      <c r="R162" s="931" t="s">
        <v>659</v>
      </c>
      <c r="S162" s="931" t="s">
        <v>398</v>
      </c>
      <c r="T162" s="107"/>
    </row>
    <row r="163" spans="1:22" s="46" customFormat="1" ht="13.5" customHeight="1" x14ac:dyDescent="0.2">
      <c r="A163" s="924" t="s">
        <v>732</v>
      </c>
      <c r="D163" s="55" t="s">
        <v>369</v>
      </c>
      <c r="E163" s="56" t="s">
        <v>368</v>
      </c>
      <c r="F163" s="58"/>
      <c r="J163" s="61"/>
      <c r="Q163" s="932" t="s">
        <v>144</v>
      </c>
      <c r="R163" s="140">
        <f>IF(M152=0,R167,IF(M151="",R167,(SUM(R173:R184)/M155)))</f>
        <v>5175</v>
      </c>
      <c r="S163" s="933">
        <f>IF(M152=0,S167,IF(M151="",S167,SUM(R173:R184)))</f>
        <v>0</v>
      </c>
      <c r="T163" s="107"/>
    </row>
    <row r="164" spans="1:22" s="46" customFormat="1" ht="13.5" customHeight="1" x14ac:dyDescent="0.25">
      <c r="A164" s="60"/>
      <c r="B164" s="1314" t="str">
        <f>IF($B$20="","",$B$20)</f>
        <v>Jahressonderzahlung (JSZ)</v>
      </c>
      <c r="C164" s="1315"/>
      <c r="D164" s="926"/>
      <c r="E164" s="929" t="str">
        <f>IF(A164="","",ROUND((((SUM(B179:B181)+SUM(F179:F181))/3)*D164)/Grundlagen!$C$26*M155,2))</f>
        <v/>
      </c>
      <c r="G164" s="941" t="s">
        <v>733</v>
      </c>
      <c r="H164" s="943"/>
      <c r="I164" s="1316" t="str">
        <f>CONCATENATE(R187,":"," Übergangsbereich von ",R188+0.01," €"," bis ",R189," €")</f>
        <v>2025: Übergangsbereich von 556,01 € bis 2000 €</v>
      </c>
      <c r="J164" s="1317"/>
      <c r="K164" s="1317"/>
      <c r="L164" s="1067"/>
      <c r="M164" s="1067"/>
      <c r="N164" s="1068" t="s">
        <v>736</v>
      </c>
      <c r="O164" s="1069">
        <f>P164+1</f>
        <v>2025</v>
      </c>
      <c r="P164" s="1069" t="s">
        <v>721</v>
      </c>
      <c r="Q164" s="932" t="s">
        <v>145</v>
      </c>
      <c r="R164" s="140">
        <f>IF(M152=0,R168,IF(M151="",R168,(SUM(S173:S184)/M155)))</f>
        <v>7450</v>
      </c>
      <c r="S164" s="933">
        <f>IF(M152=0,S168,IF(M151="",S168,SUM(S173:S184)))</f>
        <v>0</v>
      </c>
      <c r="T164" s="109"/>
    </row>
    <row r="165" spans="1:22" s="1" customFormat="1" ht="14.25" customHeight="1" x14ac:dyDescent="0.2">
      <c r="A165" s="60"/>
      <c r="B165" s="1314" t="str">
        <f>IF($B$21="","",$B$21)</f>
        <v>Leistungsentgelt (LOB)</v>
      </c>
      <c r="C165" s="1315"/>
      <c r="D165" s="926"/>
      <c r="E165" s="929" t="str">
        <f>IF(A165="","",ROUND(((B185+F185)*D165)/Grundlagen!$C$26*M155,2))</f>
        <v/>
      </c>
      <c r="G165" s="941" t="str">
        <f>IF(OR(H164="",H164="nein")=TRUE,"","Faktor (F):")</f>
        <v/>
      </c>
      <c r="H165" s="949" t="str">
        <f>IF(OR(H164="",H164="nein")=TRUE,"",IF(H164="","",R191))</f>
        <v/>
      </c>
      <c r="I165" s="1318" t="str">
        <f>IF(OR(H164="",H164="nein")=TRUE,"",IF(H165="","",CONCATENATE(S191*100,"%"," / ","(",R190*100,"%"," Gesamt-SV-Beitragssatz 2024)")))</f>
        <v/>
      </c>
      <c r="J165" s="1319"/>
      <c r="K165" s="1319"/>
      <c r="L165" s="1070"/>
      <c r="M165" s="1070"/>
      <c r="N165" s="1071" t="s">
        <v>144</v>
      </c>
      <c r="O165" s="1072">
        <f>'päd.Personal - Leitung'!$O$21</f>
        <v>5175</v>
      </c>
      <c r="P165" s="1072">
        <f>'päd.Personal - Leitung'!$P$21</f>
        <v>5175</v>
      </c>
      <c r="Q165" s="11"/>
      <c r="R165" s="11"/>
      <c r="S165" s="11"/>
      <c r="T165" s="109"/>
    </row>
    <row r="166" spans="1:22" s="1" customFormat="1" ht="14.25" customHeight="1" x14ac:dyDescent="0.2">
      <c r="C166" s="925" t="s">
        <v>731</v>
      </c>
      <c r="L166" s="1070"/>
      <c r="M166" s="1070"/>
      <c r="N166" s="1071" t="s">
        <v>145</v>
      </c>
      <c r="O166" s="1073">
        <f>'päd.Personal - Leitung'!$O$22</f>
        <v>7450</v>
      </c>
      <c r="P166" s="1073">
        <f>'päd.Personal - Leitung'!$P$22</f>
        <v>7450</v>
      </c>
      <c r="Q166" s="944" t="str">
        <f>CONCATENATE("BBG"," ",O164)</f>
        <v>BBG 2025</v>
      </c>
      <c r="R166" s="11"/>
      <c r="S166" s="11"/>
      <c r="T166" s="109"/>
    </row>
    <row r="167" spans="1:22" s="1" customFormat="1" ht="14.25" customHeight="1" x14ac:dyDescent="0.2">
      <c r="A167" s="53" t="s">
        <v>141</v>
      </c>
      <c r="B167" s="46"/>
      <c r="C167" s="46"/>
      <c r="D167" s="46"/>
      <c r="E167" s="46"/>
      <c r="F167" s="46"/>
      <c r="G167" s="46"/>
      <c r="H167" s="46"/>
      <c r="I167" s="46"/>
      <c r="J167" s="46"/>
      <c r="K167" s="46"/>
      <c r="L167" s="46"/>
      <c r="M167" s="46"/>
      <c r="N167" s="46"/>
      <c r="O167" s="46"/>
      <c r="P167" s="46"/>
      <c r="Q167" s="932" t="s">
        <v>144</v>
      </c>
      <c r="R167" s="141">
        <f>IF($O$21="",0,$O$21)</f>
        <v>5175</v>
      </c>
      <c r="S167" s="933">
        <f>R167*IF(M155="",0,M155)</f>
        <v>0</v>
      </c>
      <c r="T167" s="295"/>
    </row>
    <row r="168" spans="1:22" s="1" customFormat="1" ht="14.25" customHeight="1" x14ac:dyDescent="0.2">
      <c r="A168" s="1346"/>
      <c r="B168" s="1348" t="s">
        <v>8</v>
      </c>
      <c r="C168" s="1349"/>
      <c r="D168" s="1349"/>
      <c r="E168" s="1349"/>
      <c r="F168" s="1349"/>
      <c r="G168" s="1350"/>
      <c r="H168" s="1351" t="s">
        <v>113</v>
      </c>
      <c r="I168" s="1352"/>
      <c r="J168" s="1352"/>
      <c r="K168" s="1352"/>
      <c r="L168" s="1352"/>
      <c r="M168" s="1352"/>
      <c r="N168" s="1352"/>
      <c r="O168" s="30"/>
      <c r="P168" s="1330" t="s">
        <v>0</v>
      </c>
      <c r="Q168" s="932" t="s">
        <v>145</v>
      </c>
      <c r="R168" s="141">
        <f>IF($O$22="",0,$O$22)</f>
        <v>7450</v>
      </c>
      <c r="S168" s="933">
        <f>R168*IF(M155="",0,M155)</f>
        <v>0</v>
      </c>
      <c r="T168" s="830"/>
    </row>
    <row r="169" spans="1:22" s="1" customFormat="1" ht="14.25" customHeight="1" x14ac:dyDescent="0.2">
      <c r="A169" s="1347"/>
      <c r="B169" s="1333" t="s">
        <v>111</v>
      </c>
      <c r="C169" s="1335" t="s">
        <v>743</v>
      </c>
      <c r="D169" s="1337" t="s">
        <v>226</v>
      </c>
      <c r="E169" s="1339" t="s">
        <v>133</v>
      </c>
      <c r="F169" s="1030" t="s">
        <v>6</v>
      </c>
      <c r="G169" s="1340" t="s">
        <v>5</v>
      </c>
      <c r="H169" s="1339" t="s">
        <v>119</v>
      </c>
      <c r="I169" s="1339" t="s">
        <v>4</v>
      </c>
      <c r="J169" s="1339" t="s">
        <v>3</v>
      </c>
      <c r="K169" s="1339" t="s">
        <v>2</v>
      </c>
      <c r="L169" s="1339" t="s">
        <v>114</v>
      </c>
      <c r="M169" s="1339" t="s">
        <v>115</v>
      </c>
      <c r="N169" s="1339" t="s">
        <v>116</v>
      </c>
      <c r="O169" s="1338" t="s">
        <v>109</v>
      </c>
      <c r="P169" s="1331"/>
      <c r="Q169" s="456"/>
      <c r="R169" s="11"/>
      <c r="S169" s="11"/>
      <c r="T169" s="621"/>
    </row>
    <row r="170" spans="1:22" s="1" customFormat="1" ht="14.25" customHeight="1" x14ac:dyDescent="0.2">
      <c r="A170" s="1347"/>
      <c r="B170" s="1333"/>
      <c r="C170" s="1335"/>
      <c r="D170" s="1338"/>
      <c r="E170" s="1339"/>
      <c r="F170" s="1343" t="str">
        <f>I162</f>
        <v>Zuschläge / Zulagen / o.ä.:</v>
      </c>
      <c r="G170" s="1340"/>
      <c r="H170" s="1342" t="s">
        <v>117</v>
      </c>
      <c r="I170" s="1342"/>
      <c r="J170" s="1342"/>
      <c r="K170" s="1342"/>
      <c r="L170" s="1342"/>
      <c r="M170" s="1342"/>
      <c r="N170" s="1342"/>
      <c r="O170" s="1338"/>
      <c r="P170" s="1331"/>
      <c r="Q170" s="456"/>
      <c r="R170" s="1306" t="str">
        <f>Q162</f>
        <v>BBG anteilig 2025</v>
      </c>
      <c r="S170" s="1306"/>
      <c r="T170" s="829"/>
    </row>
    <row r="171" spans="1:22" s="1" customFormat="1" ht="14.25" customHeight="1" x14ac:dyDescent="0.2">
      <c r="A171" s="1347"/>
      <c r="B171" s="1333"/>
      <c r="C171" s="1335"/>
      <c r="D171" s="1338"/>
      <c r="E171" s="1339"/>
      <c r="F171" s="1343"/>
      <c r="G171" s="1340"/>
      <c r="H171" s="39" t="str">
        <f>'päd.Personal - Leitung'!$H$27</f>
        <v>(7,30% + Zusatz)</v>
      </c>
      <c r="I171" s="39" t="str">
        <f>'päd.Personal - Leitung'!$I$27</f>
        <v xml:space="preserve"> (2024: 9,30%)</v>
      </c>
      <c r="J171" s="39" t="str">
        <f>'päd.Personal - Leitung'!$J$27</f>
        <v>(2024: 1,30%)</v>
      </c>
      <c r="K171" s="39" t="str">
        <f>'päd.Personal - Leitung'!$K$27</f>
        <v>(2024: 1,700%)</v>
      </c>
      <c r="L171" s="39"/>
      <c r="M171" s="39"/>
      <c r="N171" s="39" t="str">
        <f>'päd.Personal - Leitung'!$N$27</f>
        <v>(2024: 0,06%)</v>
      </c>
      <c r="O171" s="1338"/>
      <c r="P171" s="1331"/>
      <c r="Q171" s="456"/>
      <c r="R171" s="1307" t="s">
        <v>659</v>
      </c>
      <c r="S171" s="1307"/>
      <c r="T171" s="829"/>
      <c r="U171" s="1308" t="s">
        <v>1</v>
      </c>
      <c r="V171" s="1308" t="s">
        <v>741</v>
      </c>
    </row>
    <row r="172" spans="1:22" s="1" customFormat="1" x14ac:dyDescent="0.2">
      <c r="A172" s="1347"/>
      <c r="B172" s="1334"/>
      <c r="C172" s="1336"/>
      <c r="D172" s="45"/>
      <c r="E172" s="45"/>
      <c r="F172" s="1344"/>
      <c r="G172" s="1341"/>
      <c r="H172" s="74"/>
      <c r="I172" s="99">
        <f>'päd.Personal - Leitung'!$I$28</f>
        <v>0</v>
      </c>
      <c r="J172" s="99">
        <f>'päd.Personal - Leitung'!$J$28</f>
        <v>0</v>
      </c>
      <c r="K172" s="40">
        <f>'päd.Personal - Leitung'!$K$28</f>
        <v>0</v>
      </c>
      <c r="L172" s="19"/>
      <c r="M172" s="19"/>
      <c r="N172" s="99">
        <f>'päd.Personal - Leitung'!$N$28</f>
        <v>0</v>
      </c>
      <c r="O172" s="23"/>
      <c r="P172" s="1332"/>
      <c r="Q172" s="456"/>
      <c r="R172" s="935" t="s">
        <v>144</v>
      </c>
      <c r="S172" s="935" t="s">
        <v>145</v>
      </c>
      <c r="T172" s="829"/>
      <c r="U172" s="1308"/>
      <c r="V172" s="1308"/>
    </row>
    <row r="173" spans="1:22" s="1" customFormat="1" x14ac:dyDescent="0.2">
      <c r="A173" s="76" t="str">
        <f>CONCATENATE("Jan ",O149)</f>
        <v>Jan 2025</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8">SUM(B173+C173+E173+F173)</f>
        <v>0</v>
      </c>
      <c r="H173" s="64">
        <f>IF(B173=0,0,IF(AND(H164="ja",((U173)&lt;R189)),ROUND(((R191*R188+((R189/(R189-R188))-(R188/(R189-R188))*R191)*((U173)-R188))*(H172*2))-(((R189/(R189-R188))*((U173)-R188))*H172),2),ROUND(IF((U173)&gt;R173,R173*H172,U173*H172),2)))</f>
        <v>0</v>
      </c>
      <c r="I173" s="64">
        <f>IF(B173=0,0,IF(AND(H164="ja",((U173)&lt;R189)),ROUND(((R191*R188+((R189/(R189-R188))-(R188/(R189-R188))*R191)*((U173)-R188))*(I172*2))-(((R189/(R189-R188))*((U173)-R188))*I172),2),ROUND(IF((U173)&gt;S173,S173*I172,U173*I172),2)))</f>
        <v>0</v>
      </c>
      <c r="J173" s="64">
        <f>IF(B173=0,0,IF(AND(H164="ja",((U173)&lt;R189)),ROUND(((R191*R188+((R189/(R189-R188))-(R188/(R189-R188))*R191)*((U173)-R188))*(J172*2))-(((R189/(R189-R188))*((U173)-R188))*J172),2),ROUND(IF((U173)&gt;S173,S173*J172,U173*J172),2)))</f>
        <v>0</v>
      </c>
      <c r="K173" s="64">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64">
        <f>IF(B173=0,0,IF(AND(H164="ja",((U173)&lt;R189)),ROUND(((R191*R188+((R189/(R189-R188))-(R188/(R189-R188))*R191)*((U173)-R188))*(N172)),2),ROUND(IF((SUM(B173:F173))&gt;S173,S173*N172,SUM(B173:F173)*N172),2)))</f>
        <v>0</v>
      </c>
      <c r="O173" s="21">
        <f>ROUND(SUM(B173+C173+F173)*O172,2)</f>
        <v>0</v>
      </c>
      <c r="P173" s="25">
        <f>SUM(G173:O173)</f>
        <v>0</v>
      </c>
      <c r="Q173" s="456"/>
      <c r="R173" s="140">
        <f>ROUND(IF(M151="",R167,R167/M151*P150),2)</f>
        <v>5175</v>
      </c>
      <c r="S173" s="140">
        <f>ROUND(IF(M151="",R168,R168/M151*P150),2)</f>
        <v>7450</v>
      </c>
      <c r="U173" s="950">
        <f>SUM(B173:F173)</f>
        <v>0</v>
      </c>
      <c r="V173" s="950">
        <f>SUM(B173:F173)</f>
        <v>0</v>
      </c>
    </row>
    <row r="174" spans="1:22" s="1" customFormat="1" x14ac:dyDescent="0.2">
      <c r="A174" s="76" t="str">
        <f>CONCATENATE("Feb ",O149)</f>
        <v>Feb 2025</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8"/>
        <v>0</v>
      </c>
      <c r="H174" s="64">
        <f>IF(B174=0,0,IF(AND(H164="ja",((U174)&lt;R189)),ROUND(((R191*R188+((R189/(R189-R188))-(R188/(R189-R188))*R191)*((U174)-R188))*(H172*2))-(((R189/(R189-R188))*((U174)-R188))*H172),2),ROUND(IF(U173&lt;(R173),IF((V174)&gt;(SUM(R173:R174)),(((SUM(R173:R174))-(V174-C173))*H172)+((U174-C173)*H172),U174*H172),IF(V174&gt;(SUM(R173:R174)),R174*H172,U174*H172)),2)))</f>
        <v>0</v>
      </c>
      <c r="I174" s="64">
        <f>IF(B174=0,0,IF(AND(H164="ja",((U174)&lt;R189)),ROUND(((R191*R188+((R189/(R189-R188))-(R188/(R189-R188))*R191)*((U174)-R188))*(I172*2))-(((R189/(R189-R188))*((U174)-R188))*I172),2),ROUND(IF(U173&lt;(S173),IF((V174)&gt;(SUM(S173:S174)),(((SUM(S173:S174))-(V174-C173))*I172)+((U174-C173)*I172),U174*I172),IF(V174&gt;(SUM(S173:S174)),S174*I172,U174*I172)),2)))</f>
        <v>0</v>
      </c>
      <c r="J174" s="64">
        <f>IF(B174=0,0,IF(AND(H164="ja",((U174)&lt;R189)),ROUND(((R191*R188+((R189/(R189-R188))-(R188/(R189-R188))*R191)*((U174)-R188))*(J172*2))-(((R189/(R189-R188))*((U174)-R188))*J172),2),ROUND(IF(U173&lt;(S173),IF((V174)&gt;(SUM(S173:S174)),(((SUM(S173:S174))-(V174-C173))*J172)+((U174-C173)*J172),U174*J172),IF(V174&gt;(SUM(S173:S174)),S174*J172,U174*J172)),2)))</f>
        <v>0</v>
      </c>
      <c r="K174" s="64">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64">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9">SUM(G174:O174)</f>
        <v>0</v>
      </c>
      <c r="Q174" s="456"/>
      <c r="R174" s="140">
        <f>ROUND(IF(M151="",R167,R167/M151*P151),2)</f>
        <v>5175</v>
      </c>
      <c r="S174" s="140">
        <f>ROUND(IF(M151="",R168,R168/M151*P151),2)</f>
        <v>7450</v>
      </c>
      <c r="U174" s="950">
        <f t="shared" ref="U174:U184" si="30">SUM(B174:F174)</f>
        <v>0</v>
      </c>
      <c r="V174" s="950">
        <f>SUM(B173:F174)</f>
        <v>0</v>
      </c>
    </row>
    <row r="175" spans="1:22" s="1" customFormat="1" x14ac:dyDescent="0.2">
      <c r="A175" s="76" t="str">
        <f>CONCATENATE("Mrz ",O149)</f>
        <v>Mrz 2025</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8"/>
        <v>0</v>
      </c>
      <c r="H175" s="64">
        <f>IF(B175=0,0,IF(AND(H164="ja",((U175)&lt;R189)),ROUND(((R191*R188+((R189/(R189-R188))-(R188/(R189-R188))*R191)*((U175)-R188))*(H172*2))-(((R189/(R189-R188))*((U175)-R188))*H172),2),ROUND(IF(V174&lt;(SUM(R173:R174)),IF((V175)&gt;(SUM(R173:R175)),(((SUM(R173:R175))-(V175-C174))*H172)+((U175-C174)*H172),U175*H172),IF(V175&gt;(SUM(R173:R175)),R175*H172,U175*H172)),2)))</f>
        <v>0</v>
      </c>
      <c r="I175" s="64">
        <f>IF(B175=0,0,IF(AND(H164="ja",((U175)&lt;R189)),ROUND(((R191*R188+((R189/(R189-R188))-(R188/(R189-R188))*R191)*((U175)-R188))*(I172*2))-(((R189/(R189-R188))*((U175)-R188))*I172),2),ROUND(IF(V174&lt;(SUM(S173:S174)),IF((V175)&gt;(SUM(S173:S175)),(((SUM(S173:S175))-(V175-C174))*I172)+((U175-C174)*I172),U175*I172),IF(V175&gt;(SUM(S173:S175)),S175*I172,U175*I172)),2)))</f>
        <v>0</v>
      </c>
      <c r="J175" s="64">
        <f>IF(B175=0,0,IF(AND(H164="ja",((U175)&lt;R189)),ROUND(((R191*R188+((R189/(R189-R188))-(R188/(R189-R188))*R191)*((U175)-R188))*(J172*2))-(((R189/(R189-R188))*((U175)-R188))*J172),2),ROUND(IF(V174&lt;(SUM(S173:S174)),IF((V175)&gt;(SUM(S173:S175)),(((SUM(S173:S175))-(V175-C174))*J172)+((U175-C174)*J172),U175*J172),IF(V175&gt;(SUM(S173:S175)),S175*J172,U175*J172)),2)))</f>
        <v>0</v>
      </c>
      <c r="K175" s="64">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64">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9"/>
        <v>0</v>
      </c>
      <c r="Q175" s="456"/>
      <c r="R175" s="140">
        <f>ROUND(IF(M151="",R167,R167/M151*P152),2)</f>
        <v>5175</v>
      </c>
      <c r="S175" s="140">
        <f>ROUND(IF(M151="",R168,R168/M151*P152),2)</f>
        <v>7450</v>
      </c>
      <c r="U175" s="950">
        <f t="shared" si="30"/>
        <v>0</v>
      </c>
      <c r="V175" s="950">
        <f>SUM(B173:F175)</f>
        <v>0</v>
      </c>
    </row>
    <row r="176" spans="1:22" s="1" customFormat="1" x14ac:dyDescent="0.2">
      <c r="A176" s="76" t="str">
        <f>CONCATENATE("Apr ",O149)</f>
        <v>Apr 2025</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8"/>
        <v>0</v>
      </c>
      <c r="H176" s="64">
        <f>IF(B176=0,0,IF(AND(H164="ja",((U176)&lt;R189)),ROUND(((R191*R188+((R189/(R189-R188))-(R188/(R189-R188))*R191)*((U176)-R188))*(H172*2))-(((R189/(R189-R188))*((U176)-R188))*H172),2),ROUND(IF(V175&lt;(SUM(R173:R175)),IF((V176)&gt;(SUM(R173:R176)),(((SUM(R173:R176))-(V176-C175))*H172)+((U176-C175)*H172),U176*H172),IF(V176&gt;(SUM(R173:R176)),R176*H172,U176*H172)),2)))</f>
        <v>0</v>
      </c>
      <c r="I176" s="64">
        <f>IF(B176=0,0,IF(AND(H164="ja",((U176)&lt;R189)),ROUND(((R191*R188+((R189/(R189-R188))-(R188/(R189-R188))*R191)*((U176)-R188))*(I172*2))-(((R189/(R189-R188))*((U176)-R188))*I172),2),ROUND(IF(V175&lt;(SUM(S173:S175)),IF((V176)&gt;(SUM(S173:S176)),(((SUM(S173:S176))-(V176-C175))*I172)+((U176-C175)*I172),U176*I172),IF(V176&gt;(SUM(S173:S176)),S176*I172,U176*I172)),2)))</f>
        <v>0</v>
      </c>
      <c r="J176" s="64">
        <f>IF(B176=0,0,IF(AND(H164="ja",((U176)&lt;R189)),ROUND(((R191*R188+((R189/(R189-R188))-(R188/(R189-R188))*R191)*((U176)-R188))*(J172*2))-(((R189/(R189-R188))*((U176)-R188))*J172),2),ROUND(IF(U175&lt;(SUM(S173:S175)),IF((V176)&gt;(SUM(S173:S176)),(((SUM(S173:S176))-(V176-C175))*J172)+((U176-C175)*J172),U176*J172),IF(V176&gt;(SUM(S173:S176)),S176*J172,U176*J172)),2)))</f>
        <v>0</v>
      </c>
      <c r="K176" s="64">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64">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9"/>
        <v>0</v>
      </c>
      <c r="Q176" s="456"/>
      <c r="R176" s="140">
        <f>ROUND(IF(M151="",R167,R167/M151*P153),2)</f>
        <v>5175</v>
      </c>
      <c r="S176" s="140">
        <f>ROUND(IF(M151="",R168,R168/M151*P153),2)</f>
        <v>7450</v>
      </c>
      <c r="U176" s="950">
        <f t="shared" si="30"/>
        <v>0</v>
      </c>
      <c r="V176" s="950">
        <f>SUM(B173:F176)</f>
        <v>0</v>
      </c>
    </row>
    <row r="177" spans="1:24" s="1" customFormat="1" x14ac:dyDescent="0.2">
      <c r="A177" s="76" t="str">
        <f>CONCATENATE("Mai ",O149)</f>
        <v>Mai 2025</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8"/>
        <v>0</v>
      </c>
      <c r="H177" s="64">
        <f>IF(B177=0,0,IF(AND(H164="ja",((U177)&lt;R189)),ROUND(((R191*R188+((R189/(R189-R188))-(R188/(R189-R188))*R191)*((U177)-R188))*(H172*2))-(((R189/(R189-R188))*((U177)-R188))*H172),2),ROUND(IF(V176&lt;(SUM(R173:R176)),IF((V177)&gt;(SUM(R173:R177)),(((SUM(R173:R177))-(V177-C176))*H172)+((U177-C176)*H172),U177*H172),IF(V177&gt;(SUM(R173:R177)),R177*H172,U177*H172)),2)))</f>
        <v>0</v>
      </c>
      <c r="I177" s="64">
        <f>IF(B177=0,0,IF(AND(H164="ja",((U177)&lt;R189)),ROUND(((R191*R188+((R189/(R189-R188))-(R188/(R189-R188))*R191)*((U177)-R188))*(I172*2))-(((R189/(R189-R188))*((U177)-R188))*I172),2),ROUND(IF(V176&lt;(SUM(S173:S176)),IF((V177)&gt;(SUM(S173:S177)),(((SUM(S173:S177))-(V177-C176))*I172)+((U177-C176)*I172),U177*I172),IF(V177&gt;(SUM(S173:S177)),S177*I172,U177*I172)),2)))</f>
        <v>0</v>
      </c>
      <c r="J177" s="64">
        <f>IF(B177=0,0,IF(AND(H164="ja",((U177)&lt;R189)),ROUND(((R191*R188+((R189/(R189-R188))-(R188/(R189-R188))*R191)*((U177)-R188))*(J172*2))-(((R189/(R189-R188))*((U177)-R188))*J172),2),ROUND(IF(V176&lt;(SUM(S173:S176)),IF((V177)&gt;(SUM(S173:S177)),(((SUM(S173:S177))-(V177-C176))*J172)+((U177-C176)*J172),U177*J172),IF(V177&gt;(SUM(S173:S177)),S177*J172,U177*J172)),2)))</f>
        <v>0</v>
      </c>
      <c r="K177" s="64">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64">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9"/>
        <v>0</v>
      </c>
      <c r="Q177" s="456"/>
      <c r="R177" s="140">
        <f>ROUND(IF(M151="",R167,R167/M151*P154),2)</f>
        <v>5175</v>
      </c>
      <c r="S177" s="140">
        <f>ROUND(IF(M151="",R168,R168/M151*P154),2)</f>
        <v>7450</v>
      </c>
      <c r="U177" s="950">
        <f t="shared" si="30"/>
        <v>0</v>
      </c>
      <c r="V177" s="950">
        <f>SUM(B173:F177)</f>
        <v>0</v>
      </c>
    </row>
    <row r="178" spans="1:24" s="1" customFormat="1" x14ac:dyDescent="0.2">
      <c r="A178" s="76" t="str">
        <f>CONCATENATE("Jun ",O149)</f>
        <v>Jun 2025</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8"/>
        <v>0</v>
      </c>
      <c r="H178" s="64">
        <f>IF(B178=0,0,IF(AND(H164="ja",((U178)&lt;R189)),ROUND(((R191*R188+((R189/(R189-R188))-(R188/(R189-R188))*R191)*((U178)-R188))*(H172*2))-(((R189/(R189-R188))*((U178)-R188))*H172),2),ROUND(IF(V177&lt;(SUM(R173:R177)),IF((V178)&gt;(SUM(R173:R178)),(((SUM(R173:R178))-(V178-C177))*H172)+((U178-C177)*H172),U178*H172),IF(V178&gt;(SUM(R173:R178)),R178*H172,U178*H172)),2)))</f>
        <v>0</v>
      </c>
      <c r="I178" s="64">
        <f>IF(B178=0,0,IF(AND(H164="ja",((U178)&lt;R189)),ROUND(((R191*R188+((R189/(R189-R188))-(R188/(R189-R188))*R191)*((U178)-R188))*(I172*2))-(((R189/(R189-R188))*((U178)-R188))*I172),2),ROUND(IF(V177&lt;(SUM(S173:S177)),IF((V178)&gt;(SUM(S173:S178)),(((SUM(S173:S178))-(V178-C177))*I172)+((U178-C177)*I172),U178*I172),IF(V178&gt;(SUM(S173:S178)),S178*I172,U178*I172)),2)))</f>
        <v>0</v>
      </c>
      <c r="J178" s="64">
        <f>IF(B178=0,0,IF(AND(H164="ja",((U178)&lt;R189)),ROUND(((R191*R188+((R189/(R189-R188))-(R188/(R189-R188))*R191)*((U178)-R188))*(J172*2))-(((R189/(R189-R188))*((U178)-R188))*J172),2),ROUND(IF(V177&lt;(SUM(S173:S177)),IF((V178)&gt;(SUM(S173:S178)),(((SUM(S173:S178))-(V178-C177))*J172)+((U178-C177)*J172),U178*J172),IF(V178&gt;(SUM(S173:S178)),S178*J172,U178*J172)),2)))</f>
        <v>0</v>
      </c>
      <c r="K178" s="64">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64">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9"/>
        <v>0</v>
      </c>
      <c r="Q178" s="456"/>
      <c r="R178" s="140">
        <f>ROUND(IF(M151="",R167,R167/M151*P155),2)</f>
        <v>5175</v>
      </c>
      <c r="S178" s="140">
        <f>ROUND(IF(M151="",R168,R168/M151*P155),2)</f>
        <v>7450</v>
      </c>
      <c r="U178" s="950">
        <f t="shared" si="30"/>
        <v>0</v>
      </c>
      <c r="V178" s="950">
        <f>SUM(B173:F178)</f>
        <v>0</v>
      </c>
    </row>
    <row r="179" spans="1:24" s="1" customFormat="1" x14ac:dyDescent="0.2">
      <c r="A179" s="76" t="str">
        <f>CONCATENATE("Jul ",O149)</f>
        <v>Jul 2025</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8"/>
        <v>0</v>
      </c>
      <c r="H179" s="64">
        <f>IF(B179=0,0,IF(AND(H164="ja",((U179)&lt;R189)),ROUND(((R191*R188+((R189/(R189-R188))-(R188/(R189-R188))*R191)*((U179)-R188))*(H172*2))-(((R189/(R189-R188))*((U179)-R188))*H172),2),ROUND(IF(V178&lt;(SUM(R173:R178)),IF((V179)&gt;(SUM(R173:R179)),(((SUM(R173:R179))-(V179-C178))*H172)+((U179-C178)*H172),U179*H172),IF(V179&gt;(SUM(R173:R179)),R179*H172,U179*H172)),2)))</f>
        <v>0</v>
      </c>
      <c r="I179" s="64">
        <f>IF(B179=0,0,IF(AND(H164="ja",((U179)&lt;R189)),ROUND(((R191*R188+((R189/(R189-R188))-(R188/(R189-R188))*R191)*((U179)-R188))*(I172*2))-(((R189/(R189-R188))*((U179)-R188))*I172),2),ROUND(IF(V178&lt;(SUM(S173:S178)),IF((V179)&gt;(SUM(S173:S179)),(((SUM(S173:S179))-(V179-C178))*I172)+((U179-C178)*I172),U179*I172),IF(V179&gt;(SUM(S173:S179)),S179*I172,U179*I172)),2)))</f>
        <v>0</v>
      </c>
      <c r="J179" s="64">
        <f>IF(B179=0,0,IF(AND(H164="ja",((U179)&lt;R189)),ROUND(((R191*R188+((R189/(R189-R188))-(R188/(R189-R188))*R191)*((U179)-R188))*(J172*2))-(((R189/(R189-R188))*((U179)-R188))*J172),2),ROUND(IF(V178&lt;(SUM(S173:S178)),IF((V179)&gt;(SUM(S173:S179)),(((SUM(S173:S179))-(V179-C178))*J172)+((U179-C178)*J172),U179*J172),IF(V179&gt;(SUM(S173:S179)),S179*J172,U179*J172)),2)))</f>
        <v>0</v>
      </c>
      <c r="K179" s="64">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64">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9"/>
        <v>0</v>
      </c>
      <c r="Q179" s="456"/>
      <c r="R179" s="140">
        <f>ROUND(IF(M151="",R167,R167/M151*P156),2)</f>
        <v>5175</v>
      </c>
      <c r="S179" s="140">
        <f>ROUND(IF(M151="",R168,R168/M151*P156),2)</f>
        <v>7450</v>
      </c>
      <c r="U179" s="950">
        <f t="shared" si="30"/>
        <v>0</v>
      </c>
      <c r="V179" s="950">
        <f>SUM(B173:F179)</f>
        <v>0</v>
      </c>
    </row>
    <row r="180" spans="1:24" s="1" customFormat="1" x14ac:dyDescent="0.2">
      <c r="A180" s="76" t="str">
        <f>CONCATENATE("Aug ",O149)</f>
        <v>Aug 2025</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8"/>
        <v>0</v>
      </c>
      <c r="H180" s="64">
        <f>IF(B180=0,0,IF(AND(H164="ja",((U180)&lt;R189)),ROUND(((R191*R188+((R189/(R189-R188))-(R188/(R189-R188))*R191)*((U180)-R188))*(H172*2))-(((R189/(R189-R188))*((U180)-R188))*H172),2),ROUND(IF(V179&lt;(SUM(R173:R179)),IF((V180)&gt;(SUM(R173:R180)),(((SUM(R173:R180))-(V180-C179))*H172)+((U180-C179)*H172),U180*H172),IF(V180&gt;(SUM(R173:R180)),R180*H172,U180*H172)),2)))</f>
        <v>0</v>
      </c>
      <c r="I180" s="64">
        <f>IF(B180=0,0,IF(AND(H164="ja",((U180)&lt;R189)),ROUND(((R191*R188+((R189/(R189-R188))-(R188/(R189-R188))*R191)*((U180)-R188))*(I172*2))-(((R189/(R189-R188))*((U180)-R188))*I172),2),ROUND(IF(V179&lt;(SUM(S173:S179)),IF((V180)&gt;(SUM(S173:S180)),(((SUM(S173:S180))-(V180-C179))*I172)+((U180-C179)*I172),U180*I172),IF(V180&gt;(SUM(S173:S180)),S180*I172,U180*I172)),2)))</f>
        <v>0</v>
      </c>
      <c r="J180" s="64">
        <f>IF(B180=0,0,IF(AND(H164="ja",((U180)&lt;R189)),ROUND(((R191*R188+((R189/(R189-R188))-(R188/(R189-R188))*R191)*((U180)-R188))*(J172*2))-(((R189/(R189-R188))*((U180)-R188))*J172),2),ROUND(IF(V179&lt;(SUM(S173:S179)),IF((V180)&gt;(SUM(S173:S180)),(((SUM(S173:S180))-(V180-C179))*J172)+((U180-C179)*J172),U180*J172),IF(V180&gt;(SUM(S173:S180)),S180*J172,U180*J172)),2)))</f>
        <v>0</v>
      </c>
      <c r="K180" s="64">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64">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9"/>
        <v>0</v>
      </c>
      <c r="Q180" s="456"/>
      <c r="R180" s="140">
        <f>ROUND(IF(M151="",R167,R167/M151*P157),2)</f>
        <v>5175</v>
      </c>
      <c r="S180" s="140">
        <f>ROUND(IF(M151="",R168,R168/M151*P157),2)</f>
        <v>7450</v>
      </c>
      <c r="U180" s="950">
        <f t="shared" si="30"/>
        <v>0</v>
      </c>
      <c r="V180" s="950">
        <f>SUM(B173:F180)</f>
        <v>0</v>
      </c>
    </row>
    <row r="181" spans="1:24" s="1" customFormat="1" x14ac:dyDescent="0.2">
      <c r="A181" s="76" t="str">
        <f>CONCATENATE("Sep ",O149)</f>
        <v>Sep 2025</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8"/>
        <v>0</v>
      </c>
      <c r="H181" s="64">
        <f>IF(B181=0,0,IF(AND(H164="ja",((U181)&lt;R189)),ROUND(((R191*R188+((R189/(R189-R188))-(R188/(R189-R188))*R191)*((U181)-R188))*(H172*2))-(((R189/(R189-R188))*((U181)-R188))*H172),2),ROUND(IF(V180&lt;(SUM(R173:R180)),IF((V181)&gt;(SUM(R173:R181)),(((SUM(R173:R181))-(V181-C180))*H172)+((U181-C180)*H172),U181*H172),IF(V181&gt;(SUM(R173:R181)),R181*H172,U181*H172)),2)))</f>
        <v>0</v>
      </c>
      <c r="I181" s="64">
        <f>IF(B181=0,0,IF(AND(H164="ja",((U181)&lt;R189)),ROUND(((R191*R188+((R189/(R189-R188))-(R188/(R189-R188))*R191)*((U181)-R188))*(I172*2))-(((R189/(R189-R188))*((U181)-R188))*I172),2),ROUND(IF(V180&lt;(SUM(S173:S180)),IF((V181)&gt;(SUM(S173:S181)),(((SUM(S173:S181))-(V181-C180))*I172)+((U181-C180)*I172),U181*I172),IF(V181&gt;(SUM(S173:S181)),S181*I172,U181*I172)),2)))</f>
        <v>0</v>
      </c>
      <c r="J181" s="64">
        <f>IF(B181=0,0,IF(AND(H164="ja",((U181)&lt;R189)),ROUND(((R191*R188+((R189/(R189-R188))-(R188/(R189-R188))*R191)*((U181)-R188))*(J172*2))-(((R189/(R189-R188))*((U181)-R188))*J172),2),ROUND(IF(V180&lt;(SUM(S173:S180)),IF((V181)&gt;(SUM(S173:S181)),(((SUM(S173:S181))-(V181-C180))*J172)+((U181-C180)*J172),U181*J172),IF(V181&gt;(SUM(S173:S181)),S181*J172,U181*J172)),2)))</f>
        <v>0</v>
      </c>
      <c r="K181" s="64">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64">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9"/>
        <v>0</v>
      </c>
      <c r="Q181" s="456"/>
      <c r="R181" s="140">
        <f>ROUND(IF(M151="",R167,R167/M151*P158),2)</f>
        <v>5175</v>
      </c>
      <c r="S181" s="140">
        <f>ROUND(IF(M151="",R168,R168/M151*P158),2)</f>
        <v>7450</v>
      </c>
      <c r="U181" s="950">
        <f t="shared" si="30"/>
        <v>0</v>
      </c>
      <c r="V181" s="950">
        <f>SUM(B173:F181)</f>
        <v>0</v>
      </c>
    </row>
    <row r="182" spans="1:24" s="12" customFormat="1" ht="15" x14ac:dyDescent="0.25">
      <c r="A182" s="76" t="str">
        <f>CONCATENATE("Okt ",O149)</f>
        <v>Okt 2025</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8"/>
        <v>0</v>
      </c>
      <c r="H182" s="64">
        <f>IF(B182=0,0,IF(AND(H164="ja",((U182)&lt;R189)),ROUND(((R191*R188+((R189/(R189-R188))-(R188/(R189-R188))*R191)*((U182)-R188))*(H172*2))-(((R189/(R189-R188))*((U182)-R188))*H172),2),ROUND(IF(V181&lt;(SUM(R173:R181)),IF((V182)&gt;(SUM(R173:R182)),(((SUM(R173:R182))-(V182-C181))*H172)+((U182-C181)*H172),U182*H172),IF(V182&gt;(SUM(R173:R182)),R182*H172,U182*H172)),2)))</f>
        <v>0</v>
      </c>
      <c r="I182" s="64">
        <f>IF(B182=0,0,IF(AND(H164="ja",((U182)&lt;R189)),ROUND(((R191*R188+((R189/(R189-R188))-(R188/(R189-R188))*R191)*((U182)-R188))*(I172*2))-(((R189/(R189-R188))*((U182)-R188))*I172),2),ROUND(IF(V181&lt;(SUM(S173:S181)),IF((V182)&gt;(SUM(S173:S182)),(((SUM(S173:S182))-(V182-C181))*I172)+((U182-C181)*I172),U182*I172),IF(V182&gt;(SUM(S173:S182)),S182*I172,U182*I172)),2)))</f>
        <v>0</v>
      </c>
      <c r="J182" s="64">
        <f>IF(B182=0,0,IF(AND(H164="ja",((U182)&lt;R189)),ROUND(((R191*R188+((R189/(R189-R188))-(R188/(R189-R188))*R191)*((U182)-R188))*(J172*2))-(((R189/(R189-R188))*((U182)-R188))*J172),2),ROUND(IF(V181&lt;(SUM(S173:S181)),IF((V182)&gt;(SUM(S173:S182)),(((SUM(S173:S182))-(V182-C181))*J172)+((U182-C181)*J172),U182*J172),IF(V182&gt;(SUM(S173:S182)),S182*J172,U182*J172)),2)))</f>
        <v>0</v>
      </c>
      <c r="K182" s="64">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64">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9"/>
        <v>0</v>
      </c>
      <c r="Q182" s="936"/>
      <c r="R182" s="140">
        <f>ROUND(IF(M151="",R167,R167/M151*P159),2)</f>
        <v>5175</v>
      </c>
      <c r="S182" s="140">
        <f>ROUND(IF(M151="",R168,R168/M151*P159),2)</f>
        <v>7450</v>
      </c>
      <c r="U182" s="950">
        <f t="shared" si="30"/>
        <v>0</v>
      </c>
      <c r="V182" s="950">
        <f>SUM(B173:F182)</f>
        <v>0</v>
      </c>
      <c r="X182" s="1"/>
    </row>
    <row r="183" spans="1:24" s="11" customFormat="1" x14ac:dyDescent="0.2">
      <c r="A183" s="76" t="str">
        <f>CONCATENATE("Nov ",O149)</f>
        <v>Nov 2025</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8"/>
        <v>0</v>
      </c>
      <c r="H183" s="64">
        <f>IF(B183=0,0,IF(AND(H164="ja",((U183)&lt;R189)),ROUND(((R191*R188+((R189/(R189-R188))-(R188/(R189-R188))*R191)*((U183)-R188))*(H172*2))-(((R189/(R189-R188))*((U183)-R188))*H172),2),ROUND(IF(V182&lt;(SUM(R173:R182)),IF((V183)&gt;(SUM(R173:R183)),(((SUM(R173:R183))-(V183-C182))*H172)+((U183-C182)*H172),U183*H172),IF(V183&gt;(SUM(R173:R183)),R183*H172,U183*H172)),2)))</f>
        <v>0</v>
      </c>
      <c r="I183" s="64">
        <f>IF(B183=0,0,IF(AND(H164="ja",((U183)&lt;R189)),ROUND(((R191*R188+((R189/(R189-R188))-(R188/(R189-R188))*R191)*((U183)-R188))*(I172*2))-(((R189/(R189-R188))*((U183)-R188))*I172),2),ROUND(IF(V182&lt;(SUM(S173:S182)),IF((V183)&gt;(SUM(S173:S183)),(((SUM(S173:S183))-(V183-C182))*I172)+((U183-C182)*I172),U183*I172),IF(V183&gt;(SUM(S173:S183)),S183*I172,U183*I172)),2)))</f>
        <v>0</v>
      </c>
      <c r="J183" s="64">
        <f>IF(B183=0,0,IF(AND(H164="ja",((U183)&lt;R189)),ROUND(((R191*R188+((R189/(R189-R188))-(R188/(R189-R188))*R191)*((U183)-R188))*(J172*2))-(((R189/(R189-R188))*((U183)-R188))*J172),2),ROUND(IF(V182&lt;(SUM(S173:S182)),IF((V183)&gt;(SUM(S173:S183)),(((SUM(S173:S183))-(V183-C182))*J172)+((U183-C182)*J172),U183*J172),IF(V183&gt;(SUM(S173:S183)),S183*J172,U183*J172)),2)))</f>
        <v>0</v>
      </c>
      <c r="K183" s="64">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64">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9"/>
        <v>0</v>
      </c>
      <c r="R183" s="140">
        <f>ROUND(IF(M151="",R167,R167/M151*P160),2)</f>
        <v>5175</v>
      </c>
      <c r="S183" s="140">
        <f>ROUND(IF(M151="",R168,R168/M151*P160),2)</f>
        <v>7450</v>
      </c>
      <c r="U183" s="950">
        <f t="shared" si="30"/>
        <v>0</v>
      </c>
      <c r="V183" s="950">
        <f>SUM(B173:F183)</f>
        <v>0</v>
      </c>
      <c r="X183" s="1"/>
    </row>
    <row r="184" spans="1:24" s="1" customFormat="1" ht="14.25" customHeight="1" x14ac:dyDescent="0.2">
      <c r="A184" s="76" t="str">
        <f>CONCATENATE("Dez ",O149)</f>
        <v>Dez 2025</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8"/>
        <v>0</v>
      </c>
      <c r="H184" s="64">
        <f>IF(B184=0,0,IF(AND(H164="ja",((U184)&lt;R189)),ROUND(((R191*R188+((R189/(R189-R188))-(R188/(R189-R188))*R191)*((U184)-R188))*(H172*2))-(((R189/(R189-R188))*((U184)-R188))*H172),2),ROUND(IF(V183&lt;(SUM(R173:R183)),IF((V184)&gt;(SUM(R173:R184)),(((SUM(R173:R184))-(V184-C183))*H172)+((U184-C183)*H172),U184*H172),IF(V184&gt;(SUM(R173:R184)),R184*H172,U184*H172)),2)))</f>
        <v>0</v>
      </c>
      <c r="I184" s="64">
        <f>IF(B184=0,0,IF(AND(H164="ja",((U184)&lt;R189)),ROUND(((R191*R188+((R189/(R189-R188))-(R188/(R189-R188))*R191)*((U184)-R188))*(I172*2))-(((R189/(R189-R188))*((U184)-R188))*I172),2),ROUND(IF(V183&lt;(SUM(S173:S183)),IF((V184)&gt;(SUM(S173:S184)),(((SUM(S173:S184))-(V184-C183))*I172)+((U184-C183)*I172),U184*I172),IF(V184&gt;(SUM(S173:S184)),S184*I172,U184*I172)),2)))</f>
        <v>0</v>
      </c>
      <c r="J184" s="64">
        <f>IF(B184=0,0,IF(AND(H164="ja",((U184)&lt;R189)),ROUND(((R191*R188+((R189/(R189-R188))-(R188/(R189-R188))*R191)*((U184)-R188))*(J172*2))-(((R189/(R189-R188))*((U184)-R188))*J172),2),ROUND(IF(V183&lt;(SUM(S173:S183)),IF((V184)&gt;(SUM(S173:S184)),(((SUM(S173:S184))-(V184-C183))*J172)+((U184-C183)*J172),U184*J172),IF(V184&gt;(SUM(S173:S184)),S184*J172,U184*J172)),2)))</f>
        <v>0</v>
      </c>
      <c r="K184" s="64">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64">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9"/>
        <v>0</v>
      </c>
      <c r="Q184" s="11"/>
      <c r="R184" s="140">
        <f>ROUND(IF(M151="",R167,R167/M151*P161),2)</f>
        <v>5175</v>
      </c>
      <c r="S184" s="140">
        <f>ROUND(IF(M151="",R168,R168/M151*P161),2)</f>
        <v>7450</v>
      </c>
      <c r="U184" s="950">
        <f t="shared" si="30"/>
        <v>0</v>
      </c>
      <c r="V184" s="950">
        <f>SUM(B173:F184)</f>
        <v>0</v>
      </c>
    </row>
    <row r="185" spans="1:24" s="1" customFormat="1" ht="15" customHeight="1" x14ac:dyDescent="0.2">
      <c r="A185" s="2" t="s">
        <v>1</v>
      </c>
      <c r="B185" s="25">
        <f t="shared" ref="B185:G185" si="31">SUM(B173:B184)</f>
        <v>0</v>
      </c>
      <c r="C185" s="25">
        <f t="shared" si="31"/>
        <v>0</v>
      </c>
      <c r="D185" s="25">
        <f t="shared" si="31"/>
        <v>0</v>
      </c>
      <c r="E185" s="25">
        <f t="shared" si="31"/>
        <v>0</v>
      </c>
      <c r="F185" s="25">
        <f t="shared" si="31"/>
        <v>0</v>
      </c>
      <c r="G185" s="25">
        <f t="shared" si="31"/>
        <v>0</v>
      </c>
      <c r="H185" s="1309">
        <f>SUM(H173:N184)</f>
        <v>0</v>
      </c>
      <c r="I185" s="1310"/>
      <c r="J185" s="1310"/>
      <c r="K185" s="1310"/>
      <c r="L185" s="1310"/>
      <c r="M185" s="1310"/>
      <c r="N185" s="1311"/>
      <c r="O185" s="25">
        <f>SUM(O173:O184)</f>
        <v>0</v>
      </c>
      <c r="P185" s="25">
        <f>SUM(P173:P184)</f>
        <v>0</v>
      </c>
    </row>
    <row r="186" spans="1:24" s="1" customFormat="1" ht="12" customHeight="1" x14ac:dyDescent="0.2"/>
    <row r="187" spans="1:24" s="1" customFormat="1" ht="14.25" customHeight="1" x14ac:dyDescent="0.2">
      <c r="B187" s="906"/>
      <c r="H187" s="905"/>
      <c r="I187" s="62"/>
      <c r="J187" s="914" t="s">
        <v>123</v>
      </c>
      <c r="L187" s="900" t="s">
        <v>124</v>
      </c>
      <c r="M187" s="974" t="str">
        <f>IF(IF(G185=0,"",'päd.Personal - Leitung'!$M$43)=0,"",IF(G185=0,"",'päd.Personal - Leitung'!$M$43))</f>
        <v/>
      </c>
      <c r="N187" s="902" t="s">
        <v>125</v>
      </c>
      <c r="O187" s="963" t="str">
        <f>IF(IF(G185=0,"",'päd.Personal - Leitung'!$O$43)=0,"",IF(G185=0,"",'päd.Personal - Leitung'!$O$43))</f>
        <v/>
      </c>
      <c r="P187" s="25">
        <f>ROUND(IF(M187="",0,G185*M187*O187/1000),2)</f>
        <v>0</v>
      </c>
      <c r="Q187" s="937"/>
      <c r="R187" s="938">
        <v>2025</v>
      </c>
      <c r="S187" s="939"/>
    </row>
    <row r="188" spans="1:24" s="1" customFormat="1" ht="14.25" customHeight="1" x14ac:dyDescent="0.2">
      <c r="H188" s="907"/>
      <c r="I188" s="42"/>
      <c r="M188" s="915" t="s">
        <v>129</v>
      </c>
      <c r="N188" s="80" t="s">
        <v>125</v>
      </c>
      <c r="O188" s="75" t="str">
        <f>IF(IF(G185=0,"",'päd.Personal - Leitung'!$O$44)=0,"",IF(G185=0,"",'päd.Personal - Leitung'!$O$44))</f>
        <v/>
      </c>
      <c r="P188" s="25">
        <f>ROUND(IF(O188="",0,G185*O188/1000),2)</f>
        <v>0</v>
      </c>
      <c r="Q188" s="942" t="s">
        <v>737</v>
      </c>
      <c r="R188" s="141">
        <f>'päd.Personal - Leitung'!$R$44</f>
        <v>556</v>
      </c>
      <c r="S188" s="955">
        <f>'päd.Personal - Leitung'!$S$44</f>
        <v>12.82</v>
      </c>
    </row>
    <row r="189" spans="1:24" s="1" customFormat="1" ht="14.25" customHeight="1" x14ac:dyDescent="0.2">
      <c r="H189" s="912" t="s">
        <v>126</v>
      </c>
      <c r="I189" s="1013" t="s">
        <v>127</v>
      </c>
      <c r="J189" s="975" t="str">
        <f>IF(IF(G185=0,"",'päd.Personal - Leitung'!$J$45)=0,"",IF(G185=0,"",'päd.Personal - Leitung'!$J$45))</f>
        <v/>
      </c>
      <c r="K189" s="902" t="s">
        <v>128</v>
      </c>
      <c r="L189" s="964" t="str">
        <f>IF(IF(G185=0,"",'päd.Personal - Leitung'!$L$45)=0,"",IF(G185=0,"",'päd.Personal - Leitung'!$L$45))</f>
        <v/>
      </c>
      <c r="M189" s="16"/>
      <c r="N189" s="900" t="s">
        <v>132</v>
      </c>
      <c r="O189" s="965" t="str">
        <f>IF(IF(G185=0,"",'päd.Personal - Leitung'!$O$45)=0,"",IF(G185=0,"",'päd.Personal - Leitung'!$O$45))</f>
        <v/>
      </c>
      <c r="P189" s="25">
        <f>ROUND(IF(J189="",0,(J189*L189/O189)/M153*M154),2)</f>
        <v>0</v>
      </c>
      <c r="Q189" s="942" t="s">
        <v>738</v>
      </c>
      <c r="R189" s="140">
        <f>'päd.Personal - Leitung'!$R$45</f>
        <v>2000</v>
      </c>
      <c r="S189" s="939"/>
    </row>
    <row r="190" spans="1:24" s="1" customFormat="1" ht="14.25" customHeight="1" x14ac:dyDescent="0.2">
      <c r="D190" s="16"/>
      <c r="I190" s="16"/>
      <c r="J190" s="16"/>
      <c r="K190" s="63"/>
      <c r="L190" s="67"/>
      <c r="M190" s="915" t="s">
        <v>130</v>
      </c>
      <c r="N190" s="80" t="s">
        <v>131</v>
      </c>
      <c r="O190" s="904">
        <f>IF(IF(G185="",0,'päd.Personal - Leitung'!$O$94)=0,0,IF(G185="",0,'päd.Personal - Leitung'!$O$94))</f>
        <v>0</v>
      </c>
      <c r="P190" s="21">
        <f>ROUND(IF(G185=0,0,O190/M151*M152),2)</f>
        <v>0</v>
      </c>
      <c r="Q190" s="942" t="s">
        <v>740</v>
      </c>
      <c r="R190" s="956">
        <f>'päd.Personal - Leitung'!$R$46</f>
        <v>0.40900000000000003</v>
      </c>
    </row>
    <row r="191" spans="1:24" s="1" customFormat="1" ht="14.25" customHeight="1" x14ac:dyDescent="0.2">
      <c r="A191" s="16"/>
      <c r="B191" s="16"/>
      <c r="I191" s="905"/>
      <c r="J191" s="961" t="s">
        <v>176</v>
      </c>
      <c r="K191" s="1312" t="str">
        <f>IF($K$47="","",$K$47)</f>
        <v/>
      </c>
      <c r="L191" s="1312"/>
      <c r="M191" s="1312"/>
      <c r="N191" s="80" t="s">
        <v>131</v>
      </c>
      <c r="O191" s="904">
        <f>IF(IF(G185="",0,'päd.Personal - Leitung'!$O$95)=0,0,IF(G185="",0,'päd.Personal - Leitung'!$O$95))</f>
        <v>0</v>
      </c>
      <c r="P191" s="21">
        <f>ROUND(IF(G185=0,0,O191/M151*M152),2)</f>
        <v>0</v>
      </c>
      <c r="Q191" s="942" t="s">
        <v>739</v>
      </c>
      <c r="R191" s="940">
        <f>'päd.Personal - Leitung'!$R$47</f>
        <v>0.68459999999999999</v>
      </c>
      <c r="S191" s="957">
        <f>'päd.Personal - Leitung'!$S$47</f>
        <v>0.28000000000000003</v>
      </c>
    </row>
    <row r="192" spans="1:24" s="1" customFormat="1" ht="14.25" customHeight="1" x14ac:dyDescent="0.2">
      <c r="A192" s="908"/>
      <c r="B192" s="908"/>
      <c r="C192" s="1013"/>
      <c r="D192" s="1013"/>
      <c r="I192" s="913"/>
      <c r="J192" s="913"/>
      <c r="K192" s="916"/>
      <c r="L192" s="27"/>
      <c r="M192" s="27"/>
      <c r="N192" s="27"/>
      <c r="O192" s="26" t="s">
        <v>0</v>
      </c>
      <c r="P192" s="25">
        <f>P185+SUM(P187:P191)</f>
        <v>0</v>
      </c>
    </row>
    <row r="193" spans="1:19" s="10" customFormat="1" ht="13.5" customHeight="1" x14ac:dyDescent="0.2">
      <c r="A193" s="1321" t="s">
        <v>17</v>
      </c>
      <c r="B193" s="1321"/>
      <c r="C193" s="1321"/>
      <c r="D193" s="1320" t="str">
        <f>IF('päd.Personal - Leitung'!$D$1="","",'päd.Personal - Leitung'!$D$1)</f>
        <v/>
      </c>
      <c r="E193" s="1320"/>
      <c r="F193" s="1320"/>
      <c r="G193" s="1320"/>
      <c r="H193" s="1320"/>
      <c r="I193" s="1320"/>
      <c r="J193" s="1320"/>
      <c r="K193" s="1320"/>
      <c r="L193" s="1320"/>
      <c r="M193" s="1320"/>
      <c r="N193" s="1320"/>
    </row>
    <row r="194" spans="1:19" s="10" customFormat="1" ht="15" customHeight="1" x14ac:dyDescent="0.2">
      <c r="A194" s="1321" t="s">
        <v>16</v>
      </c>
      <c r="B194" s="1321"/>
      <c r="C194" s="1321" t="s">
        <v>14</v>
      </c>
      <c r="D194" s="1320" t="str">
        <f>IF('päd.Personal - Leitung'!$D$2="","",'päd.Personal - Leitung'!$D$2)</f>
        <v/>
      </c>
      <c r="E194" s="1320"/>
      <c r="F194" s="1320"/>
      <c r="G194" s="1320"/>
      <c r="H194" s="1320"/>
      <c r="I194" s="1320"/>
      <c r="J194" s="1320"/>
      <c r="K194" s="1320"/>
      <c r="L194" s="1320"/>
      <c r="M194" s="1320"/>
      <c r="N194" s="1320"/>
    </row>
    <row r="195" spans="1:19" s="10" customFormat="1" ht="15" customHeight="1" x14ac:dyDescent="0.2">
      <c r="A195" s="1321" t="s">
        <v>15</v>
      </c>
      <c r="B195" s="1321"/>
      <c r="C195" s="1321" t="s">
        <v>14</v>
      </c>
      <c r="D195" s="1320" t="str">
        <f>IF('päd.Personal - Leitung'!$D$3="","",'päd.Personal - Leitung'!$D$3)</f>
        <v/>
      </c>
      <c r="E195" s="1320"/>
      <c r="F195" s="1320"/>
      <c r="G195" s="1320"/>
      <c r="H195" s="1320"/>
      <c r="I195" s="1320"/>
      <c r="J195" s="1320"/>
      <c r="K195" s="1321" t="s">
        <v>100</v>
      </c>
      <c r="L195" s="1321"/>
      <c r="M195" s="1321"/>
      <c r="N195" s="38" t="str">
        <f>IF('päd.Personal - Leitung'!$N$3="","",'päd.Personal - Leitung'!$N$3)</f>
        <v/>
      </c>
    </row>
    <row r="196" spans="1:19" s="923" customFormat="1" ht="7.5" customHeight="1" x14ac:dyDescent="0.15">
      <c r="A196" s="1353"/>
      <c r="B196" s="1353"/>
      <c r="C196" s="1353"/>
      <c r="D196" s="1354"/>
      <c r="E196" s="1354"/>
      <c r="F196" s="1354"/>
      <c r="G196" s="1354"/>
      <c r="H196" s="1354"/>
      <c r="I196" s="1354"/>
      <c r="J196" s="1354"/>
      <c r="K196" s="922"/>
      <c r="L196" s="922"/>
      <c r="M196" s="922"/>
      <c r="N196" s="922"/>
      <c r="O196" s="922"/>
      <c r="P196" s="922"/>
    </row>
    <row r="197" spans="1:19" s="13" customFormat="1" ht="13.5" customHeight="1" x14ac:dyDescent="0.2">
      <c r="A197" s="1355" t="s">
        <v>151</v>
      </c>
      <c r="B197" s="1355"/>
      <c r="C197" s="1355"/>
      <c r="D197" s="1355"/>
      <c r="E197" s="1355"/>
      <c r="F197" s="1355"/>
      <c r="G197" s="1355"/>
      <c r="H197" s="1355"/>
      <c r="I197" s="1355"/>
      <c r="J197" s="1355"/>
      <c r="K197" s="7"/>
      <c r="L197" s="7"/>
      <c r="M197" s="7"/>
      <c r="N197" s="52"/>
      <c r="O197" s="138">
        <f>'päd.Personal - Leitung'!$O$5</f>
        <v>2025</v>
      </c>
      <c r="P197" s="52" t="s">
        <v>140</v>
      </c>
    </row>
    <row r="198" spans="1:19" s="8" customFormat="1" ht="13.5" customHeight="1" x14ac:dyDescent="0.25">
      <c r="B198" s="29"/>
      <c r="C198" s="29"/>
      <c r="D198" s="3" t="s">
        <v>41</v>
      </c>
      <c r="E198" s="28"/>
      <c r="F198" s="28"/>
      <c r="G198" s="28"/>
      <c r="H198" s="28"/>
      <c r="I198" s="24"/>
      <c r="K198" s="1327" t="s">
        <v>13</v>
      </c>
      <c r="L198" s="1327"/>
      <c r="M198" s="131"/>
      <c r="O198" s="928" t="str">
        <f>A221</f>
        <v>Jan 2025</v>
      </c>
      <c r="P198" s="1402">
        <f>IF(M200="","",M200)</f>
        <v>0</v>
      </c>
    </row>
    <row r="199" spans="1:19" s="5" customFormat="1" ht="13.5" customHeight="1" x14ac:dyDescent="0.25">
      <c r="A199" s="1328" t="s">
        <v>754</v>
      </c>
      <c r="B199" s="1328"/>
      <c r="C199" s="1328"/>
      <c r="D199" s="1345"/>
      <c r="E199" s="1345"/>
      <c r="F199" s="1345"/>
      <c r="G199" s="1345"/>
      <c r="H199" s="1345"/>
      <c r="I199" s="1345"/>
      <c r="K199" s="1327" t="s">
        <v>101</v>
      </c>
      <c r="L199" s="1327"/>
      <c r="M199" s="101"/>
      <c r="O199" s="928" t="str">
        <f t="shared" ref="O199:O209" si="32">A222</f>
        <v>Feb 2025</v>
      </c>
      <c r="P199" s="1403">
        <f t="shared" ref="P199:P206" si="33">IF(P198="","",P198)</f>
        <v>0</v>
      </c>
    </row>
    <row r="200" spans="1:19" s="1" customFormat="1" ht="13.5" customHeight="1" x14ac:dyDescent="0.2">
      <c r="A200" s="1328" t="s">
        <v>12</v>
      </c>
      <c r="B200" s="1328"/>
      <c r="C200" s="1328"/>
      <c r="D200" s="1345"/>
      <c r="E200" s="1345"/>
      <c r="F200" s="1345"/>
      <c r="G200" s="1345"/>
      <c r="H200" s="1345"/>
      <c r="I200" s="1345"/>
      <c r="K200" s="1327" t="s">
        <v>149</v>
      </c>
      <c r="L200" s="1327"/>
      <c r="M200" s="101">
        <f>IF((M201+M202)&gt;M199,0,M199-M201-M202)</f>
        <v>0</v>
      </c>
      <c r="O200" s="928" t="str">
        <f t="shared" si="32"/>
        <v>Mrz 2025</v>
      </c>
      <c r="P200" s="1403">
        <f t="shared" si="33"/>
        <v>0</v>
      </c>
    </row>
    <row r="201" spans="1:19" s="1" customFormat="1" ht="13.5" customHeight="1" x14ac:dyDescent="0.2">
      <c r="A201" s="1328" t="s">
        <v>11</v>
      </c>
      <c r="B201" s="1328"/>
      <c r="C201" s="1328"/>
      <c r="D201" s="1345"/>
      <c r="E201" s="1345"/>
      <c r="F201" s="1345"/>
      <c r="G201" s="1345"/>
      <c r="H201" s="1345"/>
      <c r="I201" s="1345"/>
      <c r="K201" s="1327" t="s">
        <v>150</v>
      </c>
      <c r="L201" s="1327"/>
      <c r="M201" s="101"/>
      <c r="O201" s="928" t="str">
        <f t="shared" si="32"/>
        <v>Apr 2025</v>
      </c>
      <c r="P201" s="1403">
        <f t="shared" si="33"/>
        <v>0</v>
      </c>
    </row>
    <row r="202" spans="1:19" s="1" customFormat="1" ht="13.5" customHeight="1" x14ac:dyDescent="0.2">
      <c r="A202" s="1328" t="s">
        <v>18</v>
      </c>
      <c r="B202" s="1328"/>
      <c r="C202" s="1328"/>
      <c r="D202" s="1345"/>
      <c r="E202" s="1345"/>
      <c r="F202" s="1345"/>
      <c r="G202" s="1345"/>
      <c r="H202" s="1345"/>
      <c r="I202" s="1345"/>
      <c r="K202" s="1327" t="s">
        <v>222</v>
      </c>
      <c r="L202" s="1327"/>
      <c r="M202" s="101"/>
      <c r="O202" s="928" t="str">
        <f t="shared" si="32"/>
        <v>Mai 2025</v>
      </c>
      <c r="P202" s="1403">
        <f t="shared" si="33"/>
        <v>0</v>
      </c>
    </row>
    <row r="203" spans="1:19" s="1" customFormat="1" ht="13.5" customHeight="1" x14ac:dyDescent="0.2">
      <c r="B203" s="6"/>
      <c r="C203" s="1029" t="s">
        <v>147</v>
      </c>
      <c r="D203" s="1324"/>
      <c r="E203" s="1324"/>
      <c r="F203" s="1359" t="s">
        <v>103</v>
      </c>
      <c r="G203" s="1359"/>
      <c r="H203" s="1361"/>
      <c r="I203" s="1361"/>
      <c r="K203" s="1327" t="s">
        <v>94</v>
      </c>
      <c r="L203" s="1327"/>
      <c r="M203" s="15" t="str">
        <f>IF(IF((COUNTIF(B221:B232,"&gt;0"))=0,0,(COUNTIF(B221:B232,"&gt;0")))&gt;Grundlagen!$C$26,Grundlagen!$C$26,IF((COUNTIF(B221:B232,"&gt;0"))=0,"",(COUNTIF(B221:B232,"&gt;0"))))</f>
        <v/>
      </c>
      <c r="O203" s="928" t="str">
        <f t="shared" si="32"/>
        <v>Jun 2025</v>
      </c>
      <c r="P203" s="1403">
        <f t="shared" si="33"/>
        <v>0</v>
      </c>
    </row>
    <row r="204" spans="1:19" s="1" customFormat="1" ht="13.5" customHeight="1" x14ac:dyDescent="0.2">
      <c r="I204" s="4"/>
      <c r="M204" s="102" t="str">
        <f>IF((SUM(F206:F209))=0,"",IF(P210&gt;M200,M200,IF(M200="","",IF(M203="","",P210))))</f>
        <v/>
      </c>
      <c r="O204" s="928" t="str">
        <f t="shared" si="32"/>
        <v>Jul 2025</v>
      </c>
      <c r="P204" s="1403">
        <f t="shared" si="33"/>
        <v>0</v>
      </c>
    </row>
    <row r="205" spans="1:19" s="46" customFormat="1" ht="13.5" customHeight="1" x14ac:dyDescent="0.2">
      <c r="A205" s="54" t="s">
        <v>134</v>
      </c>
      <c r="B205" s="1356" t="s">
        <v>135</v>
      </c>
      <c r="C205" s="1356"/>
      <c r="D205" s="55" t="s">
        <v>136</v>
      </c>
      <c r="E205" s="56" t="s">
        <v>137</v>
      </c>
      <c r="F205" s="57" t="str">
        <f>CONCATENATE("Entg. ",N195," h/Wo")</f>
        <v>Entg.  h/Wo</v>
      </c>
      <c r="G205" s="58" t="s">
        <v>138</v>
      </c>
      <c r="I205" s="58" t="s">
        <v>139</v>
      </c>
      <c r="K205" s="970"/>
      <c r="L205" s="970"/>
      <c r="M205" s="59"/>
      <c r="N205" s="968"/>
      <c r="O205" s="928" t="str">
        <f t="shared" si="32"/>
        <v>Aug 2025</v>
      </c>
      <c r="P205" s="1403">
        <f t="shared" si="33"/>
        <v>0</v>
      </c>
      <c r="Q205" s="85"/>
      <c r="R205" s="85"/>
      <c r="S205" s="85"/>
    </row>
    <row r="206" spans="1:19" s="46" customFormat="1" ht="13.5" customHeight="1" x14ac:dyDescent="0.25">
      <c r="A206" s="48" t="str">
        <f>'päd.Personal - Leitung'!$A$14</f>
        <v>Jan 2025</v>
      </c>
      <c r="B206" s="1357" t="str">
        <f>IF($D$3="","",$D$3)</f>
        <v/>
      </c>
      <c r="C206" s="1358"/>
      <c r="D206" s="132"/>
      <c r="E206" s="132"/>
      <c r="F206" s="71"/>
      <c r="G206" s="50">
        <f>IF(N195="",0,F206/N195/4.348)</f>
        <v>0</v>
      </c>
      <c r="I206" s="125">
        <f>SUM(J206:M206)</f>
        <v>0</v>
      </c>
      <c r="J206" s="124"/>
      <c r="K206" s="124"/>
      <c r="L206" s="124"/>
      <c r="M206" s="124"/>
      <c r="N206" s="969"/>
      <c r="O206" s="928" t="str">
        <f t="shared" si="32"/>
        <v>Sep 2025</v>
      </c>
      <c r="P206" s="1403">
        <f t="shared" si="33"/>
        <v>0</v>
      </c>
      <c r="Q206" s="85"/>
      <c r="R206" s="85"/>
      <c r="S206" s="85"/>
    </row>
    <row r="207" spans="1:19" s="46" customFormat="1" ht="13.5" customHeight="1" x14ac:dyDescent="0.25">
      <c r="A207" s="49"/>
      <c r="B207" s="1322" t="str">
        <f>IF(A207="","",B206)</f>
        <v/>
      </c>
      <c r="C207" s="1323"/>
      <c r="D207" s="132"/>
      <c r="E207" s="132"/>
      <c r="F207" s="71"/>
      <c r="G207" s="50">
        <f>IF(N195="",0,F207/N195/4.348)</f>
        <v>0</v>
      </c>
      <c r="I207" s="125">
        <f t="shared" ref="I207:I209" si="34">SUM(J207:M207)</f>
        <v>0</v>
      </c>
      <c r="J207" s="124"/>
      <c r="K207" s="124"/>
      <c r="L207" s="124"/>
      <c r="M207" s="124"/>
      <c r="N207" s="969"/>
      <c r="O207" s="928" t="str">
        <f t="shared" si="32"/>
        <v>Okt 2025</v>
      </c>
      <c r="P207" s="1403">
        <f t="shared" ref="P207:P209" si="35">IF(P206="","",P206)</f>
        <v>0</v>
      </c>
      <c r="Q207" s="85"/>
      <c r="R207" s="85"/>
      <c r="S207" s="85"/>
    </row>
    <row r="208" spans="1:19" s="46" customFormat="1" ht="13.5" customHeight="1" x14ac:dyDescent="0.25">
      <c r="A208" s="49"/>
      <c r="B208" s="1322" t="str">
        <f>IF(A208="","",B207)</f>
        <v/>
      </c>
      <c r="C208" s="1323"/>
      <c r="D208" s="132"/>
      <c r="E208" s="132"/>
      <c r="F208" s="71"/>
      <c r="G208" s="50">
        <f>IF(N195="",0,F208/N195/4.348)</f>
        <v>0</v>
      </c>
      <c r="I208" s="125">
        <f t="shared" si="34"/>
        <v>0</v>
      </c>
      <c r="J208" s="124"/>
      <c r="K208" s="124"/>
      <c r="L208" s="124"/>
      <c r="M208" s="124"/>
      <c r="N208" s="969"/>
      <c r="O208" s="928" t="str">
        <f t="shared" si="32"/>
        <v>Nov 2025</v>
      </c>
      <c r="P208" s="1403">
        <f t="shared" si="35"/>
        <v>0</v>
      </c>
      <c r="Q208" s="85"/>
      <c r="R208" s="85"/>
      <c r="S208" s="85"/>
    </row>
    <row r="209" spans="1:22" s="46" customFormat="1" ht="13.5" customHeight="1" x14ac:dyDescent="0.25">
      <c r="A209" s="49"/>
      <c r="B209" s="1322" t="str">
        <f>IF(A209="","",B208)</f>
        <v/>
      </c>
      <c r="C209" s="1323"/>
      <c r="D209" s="132"/>
      <c r="E209" s="132"/>
      <c r="F209" s="71"/>
      <c r="G209" s="50">
        <f>IF(N195="",0,F209/N195/4.348)</f>
        <v>0</v>
      </c>
      <c r="I209" s="125">
        <f t="shared" si="34"/>
        <v>0</v>
      </c>
      <c r="J209" s="124"/>
      <c r="K209" s="124"/>
      <c r="L209" s="124"/>
      <c r="M209" s="124"/>
      <c r="N209" s="969"/>
      <c r="O209" s="928" t="str">
        <f t="shared" si="32"/>
        <v>Dez 2025</v>
      </c>
      <c r="P209" s="1403">
        <f t="shared" si="35"/>
        <v>0</v>
      </c>
      <c r="Q209" s="85"/>
      <c r="R209" s="85"/>
      <c r="S209" s="85"/>
    </row>
    <row r="210" spans="1:22" s="46" customFormat="1" ht="13.5" customHeight="1" x14ac:dyDescent="0.25">
      <c r="B210" s="972"/>
      <c r="C210" s="972"/>
      <c r="E210" s="972"/>
      <c r="F210" s="972"/>
      <c r="I210" s="930" t="s">
        <v>730</v>
      </c>
      <c r="J210" s="1060"/>
      <c r="K210" s="1060"/>
      <c r="L210" s="1060"/>
      <c r="M210" s="1060"/>
      <c r="N210" s="971"/>
      <c r="O210" s="126" t="s">
        <v>221</v>
      </c>
      <c r="P210" s="127">
        <f>IF(M203="",0,((IF(SUMIF(B221,"&gt;0"),P198,0))+(IF(SUMIF(B222,"&gt;0"),P199,0))+(IF(SUMIF(B223,"&gt;0"),P200,0))+(IF(SUMIF(B224,"&gt;0"),P201,0))+(IF(SUMIF(B225,"&gt;0"),P202,0))+(IF(SUMIF(B226,"&gt;0"),P203,0))+(IF(SUMIF(B227,"&gt;0"),P204,0))+(IF(SUMIF(B228,"&gt;0"),P205,0))+(IF(SUMIF(B229,"&gt;0"),P206,0))+(IF(SUMIF(B230,"&gt;0"),P207,0))+(IF(SUMIF(B231,"&gt;0"),P208,0))+(IF(SUMIF(B232,"&gt;0"),P209,0)))/Grundlagen!$C$26)</f>
        <v>0</v>
      </c>
      <c r="Q210" s="944" t="str">
        <f>CONCATENATE("BBG"," anteilig ",O212)</f>
        <v>BBG anteilig 2025</v>
      </c>
      <c r="R210" s="931" t="s">
        <v>659</v>
      </c>
      <c r="S210" s="931" t="s">
        <v>398</v>
      </c>
      <c r="T210" s="107"/>
    </row>
    <row r="211" spans="1:22" s="46" customFormat="1" ht="13.5" customHeight="1" x14ac:dyDescent="0.2">
      <c r="A211" s="924" t="s">
        <v>732</v>
      </c>
      <c r="D211" s="55" t="s">
        <v>369</v>
      </c>
      <c r="E211" s="56" t="s">
        <v>368</v>
      </c>
      <c r="F211" s="58"/>
      <c r="J211" s="61"/>
      <c r="Q211" s="932" t="s">
        <v>144</v>
      </c>
      <c r="R211" s="140">
        <f>IF(M200=0,R215,IF(M199="",R215,(SUM(R221:R232)/M203)))</f>
        <v>5175</v>
      </c>
      <c r="S211" s="933">
        <f>IF(M200=0,S215,IF(M199="",S215,SUM(R221:R232)))</f>
        <v>0</v>
      </c>
      <c r="T211" s="107"/>
    </row>
    <row r="212" spans="1:22" s="46" customFormat="1" ht="13.5" customHeight="1" x14ac:dyDescent="0.25">
      <c r="A212" s="60"/>
      <c r="B212" s="1314" t="str">
        <f>IF($B$20="","",$B$20)</f>
        <v>Jahressonderzahlung (JSZ)</v>
      </c>
      <c r="C212" s="1315"/>
      <c r="D212" s="926"/>
      <c r="E212" s="929" t="str">
        <f>IF(A212="","",ROUND((((SUM(B227:B229)+SUM(F227:F229))/3)*D212)/Grundlagen!$C$26*M203,2))</f>
        <v/>
      </c>
      <c r="G212" s="941" t="s">
        <v>733</v>
      </c>
      <c r="H212" s="943"/>
      <c r="I212" s="1316" t="str">
        <f>CONCATENATE(R235,":"," Übergangsbereich von ",R236+0.01," €"," bis ",R237," €")</f>
        <v>2025: Übergangsbereich von 556,01 € bis 2000 €</v>
      </c>
      <c r="J212" s="1317"/>
      <c r="K212" s="1317"/>
      <c r="L212" s="1067"/>
      <c r="M212" s="1067"/>
      <c r="N212" s="1068" t="s">
        <v>736</v>
      </c>
      <c r="O212" s="1069">
        <f>P212+1</f>
        <v>2025</v>
      </c>
      <c r="P212" s="1069" t="s">
        <v>721</v>
      </c>
      <c r="Q212" s="932" t="s">
        <v>145</v>
      </c>
      <c r="R212" s="140">
        <f>IF(M200=0,R216,IF(M199="",R216,(SUM(S221:S232)/M203)))</f>
        <v>7450</v>
      </c>
      <c r="S212" s="933">
        <f>IF(M200=0,S216,IF(M199="",S216,SUM(S221:S232)))</f>
        <v>0</v>
      </c>
      <c r="T212" s="109"/>
    </row>
    <row r="213" spans="1:22" s="1" customFormat="1" ht="14.25" customHeight="1" x14ac:dyDescent="0.2">
      <c r="A213" s="60"/>
      <c r="B213" s="1314" t="str">
        <f>IF($B$21="","",$B$21)</f>
        <v>Leistungsentgelt (LOB)</v>
      </c>
      <c r="C213" s="1315"/>
      <c r="D213" s="926"/>
      <c r="E213" s="929" t="str">
        <f>IF(A213="","",ROUND(((B233+F233)*D213)/Grundlagen!$C$26*M203,2))</f>
        <v/>
      </c>
      <c r="G213" s="941" t="str">
        <f>IF(OR(H212="",H212="nein")=TRUE,"","Faktor (F):")</f>
        <v/>
      </c>
      <c r="H213" s="949" t="str">
        <f>IF(OR(H212="",H212="nein")=TRUE,"",IF(H212="","",R239))</f>
        <v/>
      </c>
      <c r="I213" s="1318" t="str">
        <f>IF(OR(H212="",H212="nein")=TRUE,"",IF(H213="","",CONCATENATE(S239*100,"%"," / ","(",R238*100,"%"," Gesamt-SV-Beitragssatz 2024)")))</f>
        <v/>
      </c>
      <c r="J213" s="1319"/>
      <c r="K213" s="1319"/>
      <c r="L213" s="1070"/>
      <c r="M213" s="1070"/>
      <c r="N213" s="1071" t="s">
        <v>144</v>
      </c>
      <c r="O213" s="1072">
        <f>'päd.Personal - Leitung'!$O$21</f>
        <v>5175</v>
      </c>
      <c r="P213" s="1072">
        <f>'päd.Personal - Leitung'!$P$21</f>
        <v>5175</v>
      </c>
      <c r="Q213" s="11"/>
      <c r="R213" s="11"/>
      <c r="S213" s="11"/>
      <c r="T213" s="109"/>
    </row>
    <row r="214" spans="1:22" s="1" customFormat="1" ht="14.25" customHeight="1" x14ac:dyDescent="0.2">
      <c r="C214" s="925" t="s">
        <v>731</v>
      </c>
      <c r="L214" s="1070"/>
      <c r="M214" s="1070"/>
      <c r="N214" s="1071" t="s">
        <v>145</v>
      </c>
      <c r="O214" s="1073">
        <f>'päd.Personal - Leitung'!$O$22</f>
        <v>7450</v>
      </c>
      <c r="P214" s="1073">
        <f>'päd.Personal - Leitung'!$P$22</f>
        <v>7450</v>
      </c>
      <c r="Q214" s="944" t="str">
        <f>CONCATENATE("BBG"," ",O212)</f>
        <v>BBG 2025</v>
      </c>
      <c r="R214" s="11"/>
      <c r="S214" s="11"/>
      <c r="T214" s="109"/>
    </row>
    <row r="215" spans="1:22" s="1" customFormat="1" ht="14.25" customHeight="1" x14ac:dyDescent="0.2">
      <c r="A215" s="53" t="s">
        <v>141</v>
      </c>
      <c r="B215" s="46"/>
      <c r="C215" s="46"/>
      <c r="D215" s="46"/>
      <c r="E215" s="46"/>
      <c r="F215" s="46"/>
      <c r="G215" s="46"/>
      <c r="H215" s="46"/>
      <c r="I215" s="46"/>
      <c r="J215" s="46"/>
      <c r="K215" s="46"/>
      <c r="L215" s="46"/>
      <c r="M215" s="46"/>
      <c r="N215" s="46"/>
      <c r="O215" s="46"/>
      <c r="P215" s="46"/>
      <c r="Q215" s="932" t="s">
        <v>144</v>
      </c>
      <c r="R215" s="141">
        <f>IF($O$21="",0,$O$21)</f>
        <v>5175</v>
      </c>
      <c r="S215" s="933">
        <f>R215*IF(M203="",0,M203)</f>
        <v>0</v>
      </c>
      <c r="T215" s="295"/>
    </row>
    <row r="216" spans="1:22" s="1" customFormat="1" ht="14.25" customHeight="1" x14ac:dyDescent="0.2">
      <c r="A216" s="1346"/>
      <c r="B216" s="1348" t="s">
        <v>8</v>
      </c>
      <c r="C216" s="1349"/>
      <c r="D216" s="1349"/>
      <c r="E216" s="1349"/>
      <c r="F216" s="1349"/>
      <c r="G216" s="1350"/>
      <c r="H216" s="1351" t="s">
        <v>113</v>
      </c>
      <c r="I216" s="1352"/>
      <c r="J216" s="1352"/>
      <c r="K216" s="1352"/>
      <c r="L216" s="1352"/>
      <c r="M216" s="1352"/>
      <c r="N216" s="1352"/>
      <c r="O216" s="30"/>
      <c r="P216" s="1330" t="s">
        <v>0</v>
      </c>
      <c r="Q216" s="932" t="s">
        <v>145</v>
      </c>
      <c r="R216" s="141">
        <f>IF($O$22="",0,$O$22)</f>
        <v>7450</v>
      </c>
      <c r="S216" s="933">
        <f>R216*IF(M203="",0,M203)</f>
        <v>0</v>
      </c>
      <c r="T216" s="830"/>
    </row>
    <row r="217" spans="1:22" s="1" customFormat="1" ht="14.25" customHeight="1" x14ac:dyDescent="0.2">
      <c r="A217" s="1347"/>
      <c r="B217" s="1333" t="s">
        <v>111</v>
      </c>
      <c r="C217" s="1335" t="s">
        <v>743</v>
      </c>
      <c r="D217" s="1337" t="s">
        <v>226</v>
      </c>
      <c r="E217" s="1339" t="s">
        <v>133</v>
      </c>
      <c r="F217" s="1030" t="s">
        <v>6</v>
      </c>
      <c r="G217" s="1340" t="s">
        <v>5</v>
      </c>
      <c r="H217" s="1339" t="s">
        <v>119</v>
      </c>
      <c r="I217" s="1339" t="s">
        <v>4</v>
      </c>
      <c r="J217" s="1339" t="s">
        <v>3</v>
      </c>
      <c r="K217" s="1339" t="s">
        <v>2</v>
      </c>
      <c r="L217" s="1339" t="s">
        <v>114</v>
      </c>
      <c r="M217" s="1339" t="s">
        <v>115</v>
      </c>
      <c r="N217" s="1339" t="s">
        <v>116</v>
      </c>
      <c r="O217" s="1338" t="s">
        <v>109</v>
      </c>
      <c r="P217" s="1331"/>
      <c r="Q217" s="456"/>
      <c r="R217" s="11"/>
      <c r="S217" s="11"/>
      <c r="T217" s="621"/>
    </row>
    <row r="218" spans="1:22" s="1" customFormat="1" ht="14.25" customHeight="1" x14ac:dyDescent="0.2">
      <c r="A218" s="1347"/>
      <c r="B218" s="1333"/>
      <c r="C218" s="1335"/>
      <c r="D218" s="1338"/>
      <c r="E218" s="1339"/>
      <c r="F218" s="1343" t="str">
        <f>I210</f>
        <v>Zuschläge / Zulagen / o.ä.:</v>
      </c>
      <c r="G218" s="1340"/>
      <c r="H218" s="1342" t="s">
        <v>117</v>
      </c>
      <c r="I218" s="1342"/>
      <c r="J218" s="1342"/>
      <c r="K218" s="1342"/>
      <c r="L218" s="1342"/>
      <c r="M218" s="1342"/>
      <c r="N218" s="1342"/>
      <c r="O218" s="1338"/>
      <c r="P218" s="1331"/>
      <c r="Q218" s="456"/>
      <c r="R218" s="1306" t="str">
        <f>Q210</f>
        <v>BBG anteilig 2025</v>
      </c>
      <c r="S218" s="1306"/>
      <c r="T218" s="829"/>
    </row>
    <row r="219" spans="1:22" s="1" customFormat="1" ht="14.25" customHeight="1" x14ac:dyDescent="0.2">
      <c r="A219" s="1347"/>
      <c r="B219" s="1333"/>
      <c r="C219" s="1335"/>
      <c r="D219" s="1338"/>
      <c r="E219" s="1339"/>
      <c r="F219" s="1343"/>
      <c r="G219" s="1340"/>
      <c r="H219" s="39" t="str">
        <f>'päd.Personal - Leitung'!$H$27</f>
        <v>(7,30% + Zusatz)</v>
      </c>
      <c r="I219" s="39" t="str">
        <f>'päd.Personal - Leitung'!$I$27</f>
        <v xml:space="preserve"> (2024: 9,30%)</v>
      </c>
      <c r="J219" s="39" t="str">
        <f>'päd.Personal - Leitung'!$J$27</f>
        <v>(2024: 1,30%)</v>
      </c>
      <c r="K219" s="39" t="str">
        <f>'päd.Personal - Leitung'!$K$27</f>
        <v>(2024: 1,700%)</v>
      </c>
      <c r="L219" s="39"/>
      <c r="M219" s="39"/>
      <c r="N219" s="39" t="str">
        <f>'päd.Personal - Leitung'!$N$27</f>
        <v>(2024: 0,06%)</v>
      </c>
      <c r="O219" s="1338"/>
      <c r="P219" s="1331"/>
      <c r="Q219" s="456"/>
      <c r="R219" s="1307" t="s">
        <v>659</v>
      </c>
      <c r="S219" s="1307"/>
      <c r="T219" s="829"/>
      <c r="U219" s="1308" t="s">
        <v>1</v>
      </c>
      <c r="V219" s="1308" t="s">
        <v>741</v>
      </c>
    </row>
    <row r="220" spans="1:22" s="1" customFormat="1" x14ac:dyDescent="0.2">
      <c r="A220" s="1347"/>
      <c r="B220" s="1334"/>
      <c r="C220" s="1336"/>
      <c r="D220" s="45"/>
      <c r="E220" s="45"/>
      <c r="F220" s="1344"/>
      <c r="G220" s="1341"/>
      <c r="H220" s="74"/>
      <c r="I220" s="99">
        <f>'päd.Personal - Leitung'!$I$28</f>
        <v>0</v>
      </c>
      <c r="J220" s="99">
        <f>'päd.Personal - Leitung'!$J$28</f>
        <v>0</v>
      </c>
      <c r="K220" s="40">
        <f>'päd.Personal - Leitung'!$K$28</f>
        <v>0</v>
      </c>
      <c r="L220" s="19"/>
      <c r="M220" s="19"/>
      <c r="N220" s="99">
        <f>'päd.Personal - Leitung'!$N$28</f>
        <v>0</v>
      </c>
      <c r="O220" s="23"/>
      <c r="P220" s="1332"/>
      <c r="Q220" s="456"/>
      <c r="R220" s="935" t="s">
        <v>144</v>
      </c>
      <c r="S220" s="935" t="s">
        <v>145</v>
      </c>
      <c r="T220" s="829"/>
      <c r="U220" s="1308"/>
      <c r="V220" s="1308"/>
    </row>
    <row r="221" spans="1:22" s="1" customFormat="1" x14ac:dyDescent="0.2">
      <c r="A221" s="76" t="str">
        <f>CONCATENATE("Jan ",O197)</f>
        <v>Jan 2025</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6">SUM(B221+C221+E221+F221)</f>
        <v>0</v>
      </c>
      <c r="H221" s="64">
        <f>IF(B221=0,0,IF(AND(H212="ja",((U221)&lt;R237)),ROUND(((R239*R236+((R237/(R237-R236))-(R236/(R237-R236))*R239)*((U221)-R236))*(H220*2))-(((R237/(R237-R236))*((U221)-R236))*H220),2),ROUND(IF((U221)&gt;R221,R221*H220,U221*H220),2)))</f>
        <v>0</v>
      </c>
      <c r="I221" s="64">
        <f>IF(B221=0,0,IF(AND(H212="ja",((U221)&lt;R237)),ROUND(((R239*R236+((R237/(R237-R236))-(R236/(R237-R236))*R239)*((U221)-R236))*(I220*2))-(((R237/(R237-R236))*((U221)-R236))*I220),2),ROUND(IF((U221)&gt;S221,S221*I220,U221*I220),2)))</f>
        <v>0</v>
      </c>
      <c r="J221" s="64">
        <f>IF(B221=0,0,IF(AND(H212="ja",((U221)&lt;R237)),ROUND(((R239*R236+((R237/(R237-R236))-(R236/(R237-R236))*R239)*((U221)-R236))*(J220*2))-(((R237/(R237-R236))*((U221)-R236))*J220),2),ROUND(IF((U221)&gt;S221,S221*J220,U221*J220),2)))</f>
        <v>0</v>
      </c>
      <c r="K221" s="64">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64">
        <f>IF(B221=0,0,IF(AND(H212="ja",((U221)&lt;R237)),ROUND(((R239*R236+((R237/(R237-R236))-(R236/(R237-R236))*R239)*((U221)-R236))*(N220)),2),ROUND(IF((SUM(B221:F221))&gt;S221,S221*N220,SUM(B221:F221)*N220),2)))</f>
        <v>0</v>
      </c>
      <c r="O221" s="21">
        <f>ROUND(SUM(B221+C221+F221)*O220,2)</f>
        <v>0</v>
      </c>
      <c r="P221" s="25">
        <f>SUM(G221:O221)</f>
        <v>0</v>
      </c>
      <c r="Q221" s="456"/>
      <c r="R221" s="140">
        <f>ROUND(IF(M199="",R215,R215/M199*P198),2)</f>
        <v>5175</v>
      </c>
      <c r="S221" s="140">
        <f>ROUND(IF(M199="",R216,R216/M199*P198),2)</f>
        <v>7450</v>
      </c>
      <c r="U221" s="950">
        <f>SUM(B221:F221)</f>
        <v>0</v>
      </c>
      <c r="V221" s="950">
        <f>SUM(B221:F221)</f>
        <v>0</v>
      </c>
    </row>
    <row r="222" spans="1:22" s="1" customFormat="1" x14ac:dyDescent="0.2">
      <c r="A222" s="76" t="str">
        <f>CONCATENATE("Feb ",O197)</f>
        <v>Feb 2025</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6"/>
        <v>0</v>
      </c>
      <c r="H222" s="64">
        <f>IF(B222=0,0,IF(AND(H212="ja",((U222)&lt;R237)),ROUND(((R239*R236+((R237/(R237-R236))-(R236/(R237-R236))*R239)*((U222)-R236))*(H220*2))-(((R237/(R237-R236))*((U222)-R236))*H220),2),ROUND(IF(U221&lt;(R221),IF((V222)&gt;(SUM(R221:R222)),(((SUM(R221:R222))-(V222-C221))*H220)+((U222-C221)*H220),U222*H220),IF(V222&gt;(SUM(R221:R222)),R222*H220,U222*H220)),2)))</f>
        <v>0</v>
      </c>
      <c r="I222" s="64">
        <f>IF(B222=0,0,IF(AND(H212="ja",((U222)&lt;R237)),ROUND(((R239*R236+((R237/(R237-R236))-(R236/(R237-R236))*R239)*((U222)-R236))*(I220*2))-(((R237/(R237-R236))*((U222)-R236))*I220),2),ROUND(IF(U221&lt;(S221),IF((V222)&gt;(SUM(S221:S222)),(((SUM(S221:S222))-(V222-C221))*I220)+((U222-C221)*I220),U222*I220),IF(V222&gt;(SUM(S221:S222)),S222*I220,U222*I220)),2)))</f>
        <v>0</v>
      </c>
      <c r="J222" s="64">
        <f>IF(B222=0,0,IF(AND(H212="ja",((U222)&lt;R237)),ROUND(((R239*R236+((R237/(R237-R236))-(R236/(R237-R236))*R239)*((U222)-R236))*(J220*2))-(((R237/(R237-R236))*((U222)-R236))*J220),2),ROUND(IF(U221&lt;(S221),IF((V222)&gt;(SUM(S221:S222)),(((SUM(S221:S222))-(V222-C221))*J220)+((U222-C221)*J220),U222*J220),IF(V222&gt;(SUM(S221:S222)),S222*J220,U222*J220)),2)))</f>
        <v>0</v>
      </c>
      <c r="K222" s="64">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64">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7">SUM(G222:O222)</f>
        <v>0</v>
      </c>
      <c r="Q222" s="456"/>
      <c r="R222" s="140">
        <f>ROUND(IF(M199="",R215,R215/M199*P199),2)</f>
        <v>5175</v>
      </c>
      <c r="S222" s="140">
        <f>ROUND(IF(M199="",R216,R216/M199*P199),2)</f>
        <v>7450</v>
      </c>
      <c r="U222" s="950">
        <f t="shared" ref="U222:U232" si="38">SUM(B222:F222)</f>
        <v>0</v>
      </c>
      <c r="V222" s="950">
        <f>SUM(B221:F222)</f>
        <v>0</v>
      </c>
    </row>
    <row r="223" spans="1:22" s="1" customFormat="1" x14ac:dyDescent="0.2">
      <c r="A223" s="76" t="str">
        <f>CONCATENATE("Mrz ",O197)</f>
        <v>Mrz 2025</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6"/>
        <v>0</v>
      </c>
      <c r="H223" s="64">
        <f>IF(B223=0,0,IF(AND(H212="ja",((U223)&lt;R237)),ROUND(((R239*R236+((R237/(R237-R236))-(R236/(R237-R236))*R239)*((U223)-R236))*(H220*2))-(((R237/(R237-R236))*((U223)-R236))*H220),2),ROUND(IF(V222&lt;(SUM(R221:R222)),IF((V223)&gt;(SUM(R221:R223)),(((SUM(R221:R223))-(V223-C222))*H220)+((U223-C222)*H220),U223*H220),IF(V223&gt;(SUM(R221:R223)),R223*H220,U223*H220)),2)))</f>
        <v>0</v>
      </c>
      <c r="I223" s="64">
        <f>IF(B223=0,0,IF(AND(H212="ja",((U223)&lt;R237)),ROUND(((R239*R236+((R237/(R237-R236))-(R236/(R237-R236))*R239)*((U223)-R236))*(I220*2))-(((R237/(R237-R236))*((U223)-R236))*I220),2),ROUND(IF(V222&lt;(SUM(S221:S222)),IF((V223)&gt;(SUM(S221:S223)),(((SUM(S221:S223))-(V223-C222))*I220)+((U223-C222)*I220),U223*I220),IF(V223&gt;(SUM(S221:S223)),S223*I220,U223*I220)),2)))</f>
        <v>0</v>
      </c>
      <c r="J223" s="64">
        <f>IF(B223=0,0,IF(AND(H212="ja",((U223)&lt;R237)),ROUND(((R239*R236+((R237/(R237-R236))-(R236/(R237-R236))*R239)*((U223)-R236))*(J220*2))-(((R237/(R237-R236))*((U223)-R236))*J220),2),ROUND(IF(V222&lt;(SUM(S221:S222)),IF((V223)&gt;(SUM(S221:S223)),(((SUM(S221:S223))-(V223-C222))*J220)+((U223-C222)*J220),U223*J220),IF(V223&gt;(SUM(S221:S223)),S223*J220,U223*J220)),2)))</f>
        <v>0</v>
      </c>
      <c r="K223" s="64">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64">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7"/>
        <v>0</v>
      </c>
      <c r="Q223" s="456"/>
      <c r="R223" s="140">
        <f>ROUND(IF(M199="",R215,R215/M199*P200),2)</f>
        <v>5175</v>
      </c>
      <c r="S223" s="140">
        <f>ROUND(IF(M199="",R216,R216/M199*P200),2)</f>
        <v>7450</v>
      </c>
      <c r="U223" s="950">
        <f t="shared" si="38"/>
        <v>0</v>
      </c>
      <c r="V223" s="950">
        <f>SUM(B221:F223)</f>
        <v>0</v>
      </c>
    </row>
    <row r="224" spans="1:22" s="1" customFormat="1" x14ac:dyDescent="0.2">
      <c r="A224" s="76" t="str">
        <f>CONCATENATE("Apr ",O197)</f>
        <v>Apr 2025</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6"/>
        <v>0</v>
      </c>
      <c r="H224" s="64">
        <f>IF(B224=0,0,IF(AND(H212="ja",((U224)&lt;R237)),ROUND(((R239*R236+((R237/(R237-R236))-(R236/(R237-R236))*R239)*((U224)-R236))*(H220*2))-(((R237/(R237-R236))*((U224)-R236))*H220),2),ROUND(IF(V223&lt;(SUM(R221:R223)),IF((V224)&gt;(SUM(R221:R224)),(((SUM(R221:R224))-(V224-C223))*H220)+((U224-C223)*H220),U224*H220),IF(V224&gt;(SUM(R221:R224)),R224*H220,U224*H220)),2)))</f>
        <v>0</v>
      </c>
      <c r="I224" s="64">
        <f>IF(B224=0,0,IF(AND(H212="ja",((U224)&lt;R237)),ROUND(((R239*R236+((R237/(R237-R236))-(R236/(R237-R236))*R239)*((U224)-R236))*(I220*2))-(((R237/(R237-R236))*((U224)-R236))*I220),2),ROUND(IF(V223&lt;(SUM(S221:S223)),IF((V224)&gt;(SUM(S221:S224)),(((SUM(S221:S224))-(V224-C223))*I220)+((U224-C223)*I220),U224*I220),IF(V224&gt;(SUM(S221:S224)),S224*I220,U224*I220)),2)))</f>
        <v>0</v>
      </c>
      <c r="J224" s="64">
        <f>IF(B224=0,0,IF(AND(H212="ja",((U224)&lt;R237)),ROUND(((R239*R236+((R237/(R237-R236))-(R236/(R237-R236))*R239)*((U224)-R236))*(J220*2))-(((R237/(R237-R236))*((U224)-R236))*J220),2),ROUND(IF(U223&lt;(SUM(S221:S223)),IF((V224)&gt;(SUM(S221:S224)),(((SUM(S221:S224))-(V224-C223))*J220)+((U224-C223)*J220),U224*J220),IF(V224&gt;(SUM(S221:S224)),S224*J220,U224*J220)),2)))</f>
        <v>0</v>
      </c>
      <c r="K224" s="64">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64">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7"/>
        <v>0</v>
      </c>
      <c r="Q224" s="456"/>
      <c r="R224" s="140">
        <f>ROUND(IF(M199="",R215,R215/M199*P201),2)</f>
        <v>5175</v>
      </c>
      <c r="S224" s="140">
        <f>ROUND(IF(M199="",R216,R216/M199*P201),2)</f>
        <v>7450</v>
      </c>
      <c r="U224" s="950">
        <f t="shared" si="38"/>
        <v>0</v>
      </c>
      <c r="V224" s="950">
        <f>SUM(B221:F224)</f>
        <v>0</v>
      </c>
    </row>
    <row r="225" spans="1:24" s="1" customFormat="1" x14ac:dyDescent="0.2">
      <c r="A225" s="76" t="str">
        <f>CONCATENATE("Mai ",O197)</f>
        <v>Mai 2025</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6"/>
        <v>0</v>
      </c>
      <c r="H225" s="64">
        <f>IF(B225=0,0,IF(AND(H212="ja",((U225)&lt;R237)),ROUND(((R239*R236+((R237/(R237-R236))-(R236/(R237-R236))*R239)*((U225)-R236))*(H220*2))-(((R237/(R237-R236))*((U225)-R236))*H220),2),ROUND(IF(V224&lt;(SUM(R221:R224)),IF((V225)&gt;(SUM(R221:R225)),(((SUM(R221:R225))-(V225-C224))*H220)+((U225-C224)*H220),U225*H220),IF(V225&gt;(SUM(R221:R225)),R225*H220,U225*H220)),2)))</f>
        <v>0</v>
      </c>
      <c r="I225" s="64">
        <f>IF(B225=0,0,IF(AND(H212="ja",((U225)&lt;R237)),ROUND(((R239*R236+((R237/(R237-R236))-(R236/(R237-R236))*R239)*((U225)-R236))*(I220*2))-(((R237/(R237-R236))*((U225)-R236))*I220),2),ROUND(IF(V224&lt;(SUM(S221:S224)),IF((V225)&gt;(SUM(S221:S225)),(((SUM(S221:S225))-(V225-C224))*I220)+((U225-C224)*I220),U225*I220),IF(V225&gt;(SUM(S221:S225)),S225*I220,U225*I220)),2)))</f>
        <v>0</v>
      </c>
      <c r="J225" s="64">
        <f>IF(B225=0,0,IF(AND(H212="ja",((U225)&lt;R237)),ROUND(((R239*R236+((R237/(R237-R236))-(R236/(R237-R236))*R239)*((U225)-R236))*(J220*2))-(((R237/(R237-R236))*((U225)-R236))*J220),2),ROUND(IF(V224&lt;(SUM(S221:S224)),IF((V225)&gt;(SUM(S221:S225)),(((SUM(S221:S225))-(V225-C224))*J220)+((U225-C224)*J220),U225*J220),IF(V225&gt;(SUM(S221:S225)),S225*J220,U225*J220)),2)))</f>
        <v>0</v>
      </c>
      <c r="K225" s="64">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64">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7"/>
        <v>0</v>
      </c>
      <c r="Q225" s="456"/>
      <c r="R225" s="140">
        <f>ROUND(IF(M199="",R215,R215/M199*P202),2)</f>
        <v>5175</v>
      </c>
      <c r="S225" s="140">
        <f>ROUND(IF(M199="",R216,R216/M199*P202),2)</f>
        <v>7450</v>
      </c>
      <c r="U225" s="950">
        <f t="shared" si="38"/>
        <v>0</v>
      </c>
      <c r="V225" s="950">
        <f>SUM(B221:F225)</f>
        <v>0</v>
      </c>
    </row>
    <row r="226" spans="1:24" s="1" customFormat="1" x14ac:dyDescent="0.2">
      <c r="A226" s="76" t="str">
        <f>CONCATENATE("Jun ",O197)</f>
        <v>Jun 2025</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6"/>
        <v>0</v>
      </c>
      <c r="H226" s="64">
        <f>IF(B226=0,0,IF(AND(H212="ja",((U226)&lt;R237)),ROUND(((R239*R236+((R237/(R237-R236))-(R236/(R237-R236))*R239)*((U226)-R236))*(H220*2))-(((R237/(R237-R236))*((U226)-R236))*H220),2),ROUND(IF(V225&lt;(SUM(R221:R225)),IF((V226)&gt;(SUM(R221:R226)),(((SUM(R221:R226))-(V226-C225))*H220)+((U226-C225)*H220),U226*H220),IF(V226&gt;(SUM(R221:R226)),R226*H220,U226*H220)),2)))</f>
        <v>0</v>
      </c>
      <c r="I226" s="64">
        <f>IF(B226=0,0,IF(AND(H212="ja",((U226)&lt;R237)),ROUND(((R239*R236+((R237/(R237-R236))-(R236/(R237-R236))*R239)*((U226)-R236))*(I220*2))-(((R237/(R237-R236))*((U226)-R236))*I220),2),ROUND(IF(V225&lt;(SUM(S221:S225)),IF((V226)&gt;(SUM(S221:S226)),(((SUM(S221:S226))-(V226-C225))*I220)+((U226-C225)*I220),U226*I220),IF(V226&gt;(SUM(S221:S226)),S226*I220,U226*I220)),2)))</f>
        <v>0</v>
      </c>
      <c r="J226" s="64">
        <f>IF(B226=0,0,IF(AND(H212="ja",((U226)&lt;R237)),ROUND(((R239*R236+((R237/(R237-R236))-(R236/(R237-R236))*R239)*((U226)-R236))*(J220*2))-(((R237/(R237-R236))*((U226)-R236))*J220),2),ROUND(IF(V225&lt;(SUM(S221:S225)),IF((V226)&gt;(SUM(S221:S226)),(((SUM(S221:S226))-(V226-C225))*J220)+((U226-C225)*J220),U226*J220),IF(V226&gt;(SUM(S221:S226)),S226*J220,U226*J220)),2)))</f>
        <v>0</v>
      </c>
      <c r="K226" s="64">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64">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7"/>
        <v>0</v>
      </c>
      <c r="Q226" s="456"/>
      <c r="R226" s="140">
        <f>ROUND(IF(M199="",R215,R215/M199*P203),2)</f>
        <v>5175</v>
      </c>
      <c r="S226" s="140">
        <f>ROUND(IF(M199="",R216,R216/M199*P203),2)</f>
        <v>7450</v>
      </c>
      <c r="U226" s="950">
        <f t="shared" si="38"/>
        <v>0</v>
      </c>
      <c r="V226" s="950">
        <f>SUM(B221:F226)</f>
        <v>0</v>
      </c>
    </row>
    <row r="227" spans="1:24" s="1" customFormat="1" x14ac:dyDescent="0.2">
      <c r="A227" s="76" t="str">
        <f>CONCATENATE("Jul ",O197)</f>
        <v>Jul 2025</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6"/>
        <v>0</v>
      </c>
      <c r="H227" s="64">
        <f>IF(B227=0,0,IF(AND(H212="ja",((U227)&lt;R237)),ROUND(((R239*R236+((R237/(R237-R236))-(R236/(R237-R236))*R239)*((U227)-R236))*(H220*2))-(((R237/(R237-R236))*((U227)-R236))*H220),2),ROUND(IF(V226&lt;(SUM(R221:R226)),IF((V227)&gt;(SUM(R221:R227)),(((SUM(R221:R227))-(V227-C226))*H220)+((U227-C226)*H220),U227*H220),IF(V227&gt;(SUM(R221:R227)),R227*H220,U227*H220)),2)))</f>
        <v>0</v>
      </c>
      <c r="I227" s="64">
        <f>IF(B227=0,0,IF(AND(H212="ja",((U227)&lt;R237)),ROUND(((R239*R236+((R237/(R237-R236))-(R236/(R237-R236))*R239)*((U227)-R236))*(I220*2))-(((R237/(R237-R236))*((U227)-R236))*I220),2),ROUND(IF(V226&lt;(SUM(S221:S226)),IF((V227)&gt;(SUM(S221:S227)),(((SUM(S221:S227))-(V227-C226))*I220)+((U227-C226)*I220),U227*I220),IF(V227&gt;(SUM(S221:S227)),S227*I220,U227*I220)),2)))</f>
        <v>0</v>
      </c>
      <c r="J227" s="64">
        <f>IF(B227=0,0,IF(AND(H212="ja",((U227)&lt;R237)),ROUND(((R239*R236+((R237/(R237-R236))-(R236/(R237-R236))*R239)*((U227)-R236))*(J220*2))-(((R237/(R237-R236))*((U227)-R236))*J220),2),ROUND(IF(V226&lt;(SUM(S221:S226)),IF((V227)&gt;(SUM(S221:S227)),(((SUM(S221:S227))-(V227-C226))*J220)+((U227-C226)*J220),U227*J220),IF(V227&gt;(SUM(S221:S227)),S227*J220,U227*J220)),2)))</f>
        <v>0</v>
      </c>
      <c r="K227" s="64">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64">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7"/>
        <v>0</v>
      </c>
      <c r="Q227" s="456"/>
      <c r="R227" s="140">
        <f>ROUND(IF(M199="",R215,R215/M199*P204),2)</f>
        <v>5175</v>
      </c>
      <c r="S227" s="140">
        <f>ROUND(IF(M199="",R216,R216/M199*P204),2)</f>
        <v>7450</v>
      </c>
      <c r="U227" s="950">
        <f t="shared" si="38"/>
        <v>0</v>
      </c>
      <c r="V227" s="950">
        <f>SUM(B221:F227)</f>
        <v>0</v>
      </c>
    </row>
    <row r="228" spans="1:24" s="1" customFormat="1" x14ac:dyDescent="0.2">
      <c r="A228" s="76" t="str">
        <f>CONCATENATE("Aug ",O197)</f>
        <v>Aug 2025</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6"/>
        <v>0</v>
      </c>
      <c r="H228" s="64">
        <f>IF(B228=0,0,IF(AND(H212="ja",((U228)&lt;R237)),ROUND(((R239*R236+((R237/(R237-R236))-(R236/(R237-R236))*R239)*((U228)-R236))*(H220*2))-(((R237/(R237-R236))*((U228)-R236))*H220),2),ROUND(IF(V227&lt;(SUM(R221:R227)),IF((V228)&gt;(SUM(R221:R228)),(((SUM(R221:R228))-(V228-C227))*H220)+((U228-C227)*H220),U228*H220),IF(V228&gt;(SUM(R221:R228)),R228*H220,U228*H220)),2)))</f>
        <v>0</v>
      </c>
      <c r="I228" s="64">
        <f>IF(B228=0,0,IF(AND(H212="ja",((U228)&lt;R237)),ROUND(((R239*R236+((R237/(R237-R236))-(R236/(R237-R236))*R239)*((U228)-R236))*(I220*2))-(((R237/(R237-R236))*((U228)-R236))*I220),2),ROUND(IF(V227&lt;(SUM(S221:S227)),IF((V228)&gt;(SUM(S221:S228)),(((SUM(S221:S228))-(V228-C227))*I220)+((U228-C227)*I220),U228*I220),IF(V228&gt;(SUM(S221:S228)),S228*I220,U228*I220)),2)))</f>
        <v>0</v>
      </c>
      <c r="J228" s="64">
        <f>IF(B228=0,0,IF(AND(H212="ja",((U228)&lt;R237)),ROUND(((R239*R236+((R237/(R237-R236))-(R236/(R237-R236))*R239)*((U228)-R236))*(J220*2))-(((R237/(R237-R236))*((U228)-R236))*J220),2),ROUND(IF(V227&lt;(SUM(S221:S227)),IF((V228)&gt;(SUM(S221:S228)),(((SUM(S221:S228))-(V228-C227))*J220)+((U228-C227)*J220),U228*J220),IF(V228&gt;(SUM(S221:S228)),S228*J220,U228*J220)),2)))</f>
        <v>0</v>
      </c>
      <c r="K228" s="64">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64">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7"/>
        <v>0</v>
      </c>
      <c r="Q228" s="456"/>
      <c r="R228" s="140">
        <f>ROUND(IF(M199="",R215,R215/M199*P205),2)</f>
        <v>5175</v>
      </c>
      <c r="S228" s="140">
        <f>ROUND(IF(M199="",R216,R216/M199*P205),2)</f>
        <v>7450</v>
      </c>
      <c r="U228" s="950">
        <f t="shared" si="38"/>
        <v>0</v>
      </c>
      <c r="V228" s="950">
        <f>SUM(B221:F228)</f>
        <v>0</v>
      </c>
    </row>
    <row r="229" spans="1:24" s="1" customFormat="1" x14ac:dyDescent="0.2">
      <c r="A229" s="76" t="str">
        <f>CONCATENATE("Sep ",O197)</f>
        <v>Sep 2025</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6"/>
        <v>0</v>
      </c>
      <c r="H229" s="64">
        <f>IF(B229=0,0,IF(AND(H212="ja",((U229)&lt;R237)),ROUND(((R239*R236+((R237/(R237-R236))-(R236/(R237-R236))*R239)*((U229)-R236))*(H220*2))-(((R237/(R237-R236))*((U229)-R236))*H220),2),ROUND(IF(V228&lt;(SUM(R221:R228)),IF((V229)&gt;(SUM(R221:R229)),(((SUM(R221:R229))-(V229-C228))*H220)+((U229-C228)*H220),U229*H220),IF(V229&gt;(SUM(R221:R229)),R229*H220,U229*H220)),2)))</f>
        <v>0</v>
      </c>
      <c r="I229" s="64">
        <f>IF(B229=0,0,IF(AND(H212="ja",((U229)&lt;R237)),ROUND(((R239*R236+((R237/(R237-R236))-(R236/(R237-R236))*R239)*((U229)-R236))*(I220*2))-(((R237/(R237-R236))*((U229)-R236))*I220),2),ROUND(IF(V228&lt;(SUM(S221:S228)),IF((V229)&gt;(SUM(S221:S229)),(((SUM(S221:S229))-(V229-C228))*I220)+((U229-C228)*I220),U229*I220),IF(V229&gt;(SUM(S221:S229)),S229*I220,U229*I220)),2)))</f>
        <v>0</v>
      </c>
      <c r="J229" s="64">
        <f>IF(B229=0,0,IF(AND(H212="ja",((U229)&lt;R237)),ROUND(((R239*R236+((R237/(R237-R236))-(R236/(R237-R236))*R239)*((U229)-R236))*(J220*2))-(((R237/(R237-R236))*((U229)-R236))*J220),2),ROUND(IF(V228&lt;(SUM(S221:S228)),IF((V229)&gt;(SUM(S221:S229)),(((SUM(S221:S229))-(V229-C228))*J220)+((U229-C228)*J220),U229*J220),IF(V229&gt;(SUM(S221:S229)),S229*J220,U229*J220)),2)))</f>
        <v>0</v>
      </c>
      <c r="K229" s="64">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64">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7"/>
        <v>0</v>
      </c>
      <c r="Q229" s="456"/>
      <c r="R229" s="140">
        <f>ROUND(IF(M199="",R215,R215/M199*P206),2)</f>
        <v>5175</v>
      </c>
      <c r="S229" s="140">
        <f>ROUND(IF(M199="",R216,R216/M199*P206),2)</f>
        <v>7450</v>
      </c>
      <c r="U229" s="950">
        <f t="shared" si="38"/>
        <v>0</v>
      </c>
      <c r="V229" s="950">
        <f>SUM(B221:F229)</f>
        <v>0</v>
      </c>
    </row>
    <row r="230" spans="1:24" s="12" customFormat="1" ht="15" x14ac:dyDescent="0.25">
      <c r="A230" s="76" t="str">
        <f>CONCATENATE("Okt ",O197)</f>
        <v>Okt 2025</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6"/>
        <v>0</v>
      </c>
      <c r="H230" s="64">
        <f>IF(B230=0,0,IF(AND(H212="ja",((U230)&lt;R237)),ROUND(((R239*R236+((R237/(R237-R236))-(R236/(R237-R236))*R239)*((U230)-R236))*(H220*2))-(((R237/(R237-R236))*((U230)-R236))*H220),2),ROUND(IF(V229&lt;(SUM(R221:R229)),IF((V230)&gt;(SUM(R221:R230)),(((SUM(R221:R230))-(V230-C229))*H220)+((U230-C229)*H220),U230*H220),IF(V230&gt;(SUM(R221:R230)),R230*H220,U230*H220)),2)))</f>
        <v>0</v>
      </c>
      <c r="I230" s="64">
        <f>IF(B230=0,0,IF(AND(H212="ja",((U230)&lt;R237)),ROUND(((R239*R236+((R237/(R237-R236))-(R236/(R237-R236))*R239)*((U230)-R236))*(I220*2))-(((R237/(R237-R236))*((U230)-R236))*I220),2),ROUND(IF(V229&lt;(SUM(S221:S229)),IF((V230)&gt;(SUM(S221:S230)),(((SUM(S221:S230))-(V230-C229))*I220)+((U230-C229)*I220),U230*I220),IF(V230&gt;(SUM(S221:S230)),S230*I220,U230*I220)),2)))</f>
        <v>0</v>
      </c>
      <c r="J230" s="64">
        <f>IF(B230=0,0,IF(AND(H212="ja",((U230)&lt;R237)),ROUND(((R239*R236+((R237/(R237-R236))-(R236/(R237-R236))*R239)*((U230)-R236))*(J220*2))-(((R237/(R237-R236))*((U230)-R236))*J220),2),ROUND(IF(V229&lt;(SUM(S221:S229)),IF((V230)&gt;(SUM(S221:S230)),(((SUM(S221:S230))-(V230-C229))*J220)+((U230-C229)*J220),U230*J220),IF(V230&gt;(SUM(S221:S230)),S230*J220,U230*J220)),2)))</f>
        <v>0</v>
      </c>
      <c r="K230" s="64">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64">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7"/>
        <v>0</v>
      </c>
      <c r="Q230" s="936"/>
      <c r="R230" s="140">
        <f>ROUND(IF(M199="",R215,R215/M199*P207),2)</f>
        <v>5175</v>
      </c>
      <c r="S230" s="140">
        <f>ROUND(IF(M199="",R216,R216/M199*P207),2)</f>
        <v>7450</v>
      </c>
      <c r="U230" s="950">
        <f t="shared" si="38"/>
        <v>0</v>
      </c>
      <c r="V230" s="950">
        <f>SUM(B221:F230)</f>
        <v>0</v>
      </c>
      <c r="X230" s="1"/>
    </row>
    <row r="231" spans="1:24" s="11" customFormat="1" x14ac:dyDescent="0.2">
      <c r="A231" s="76" t="str">
        <f>CONCATENATE("Nov ",O197)</f>
        <v>Nov 2025</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6"/>
        <v>0</v>
      </c>
      <c r="H231" s="64">
        <f>IF(B231=0,0,IF(AND(H212="ja",((U231)&lt;R237)),ROUND(((R239*R236+((R237/(R237-R236))-(R236/(R237-R236))*R239)*((U231)-R236))*(H220*2))-(((R237/(R237-R236))*((U231)-R236))*H220),2),ROUND(IF(V230&lt;(SUM(R221:R230)),IF((V231)&gt;(SUM(R221:R231)),(((SUM(R221:R231))-(V231-C230))*H220)+((U231-C230)*H220),U231*H220),IF(V231&gt;(SUM(R221:R231)),R231*H220,U231*H220)),2)))</f>
        <v>0</v>
      </c>
      <c r="I231" s="64">
        <f>IF(B231=0,0,IF(AND(H212="ja",((U231)&lt;R237)),ROUND(((R239*R236+((R237/(R237-R236))-(R236/(R237-R236))*R239)*((U231)-R236))*(I220*2))-(((R237/(R237-R236))*((U231)-R236))*I220),2),ROUND(IF(V230&lt;(SUM(S221:S230)),IF((V231)&gt;(SUM(S221:S231)),(((SUM(S221:S231))-(V231-C230))*I220)+((U231-C230)*I220),U231*I220),IF(V231&gt;(SUM(S221:S231)),S231*I220,U231*I220)),2)))</f>
        <v>0</v>
      </c>
      <c r="J231" s="64">
        <f>IF(B231=0,0,IF(AND(H212="ja",((U231)&lt;R237)),ROUND(((R239*R236+((R237/(R237-R236))-(R236/(R237-R236))*R239)*((U231)-R236))*(J220*2))-(((R237/(R237-R236))*((U231)-R236))*J220),2),ROUND(IF(V230&lt;(SUM(S221:S230)),IF((V231)&gt;(SUM(S221:S231)),(((SUM(S221:S231))-(V231-C230))*J220)+((U231-C230)*J220),U231*J220),IF(V231&gt;(SUM(S221:S231)),S231*J220,U231*J220)),2)))</f>
        <v>0</v>
      </c>
      <c r="K231" s="64">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64">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7"/>
        <v>0</v>
      </c>
      <c r="R231" s="140">
        <f>ROUND(IF(M199="",R215,R215/M199*P208),2)</f>
        <v>5175</v>
      </c>
      <c r="S231" s="140">
        <f>ROUND(IF(M199="",R216,R216/M199*P208),2)</f>
        <v>7450</v>
      </c>
      <c r="U231" s="950">
        <f t="shared" si="38"/>
        <v>0</v>
      </c>
      <c r="V231" s="950">
        <f>SUM(B221:F231)</f>
        <v>0</v>
      </c>
      <c r="X231" s="1"/>
    </row>
    <row r="232" spans="1:24" s="1" customFormat="1" ht="14.25" customHeight="1" x14ac:dyDescent="0.2">
      <c r="A232" s="76" t="str">
        <f>CONCATENATE("Dez ",O197)</f>
        <v>Dez 2025</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6"/>
        <v>0</v>
      </c>
      <c r="H232" s="64">
        <f>IF(B232=0,0,IF(AND(H212="ja",((U232)&lt;R237)),ROUND(((R239*R236+((R237/(R237-R236))-(R236/(R237-R236))*R239)*((U232)-R236))*(H220*2))-(((R237/(R237-R236))*((U232)-R236))*H220),2),ROUND(IF(V231&lt;(SUM(R221:R231)),IF((V232)&gt;(SUM(R221:R232)),(((SUM(R221:R232))-(V232-C231))*H220)+((U232-C231)*H220),U232*H220),IF(V232&gt;(SUM(R221:R232)),R232*H220,U232*H220)),2)))</f>
        <v>0</v>
      </c>
      <c r="I232" s="64">
        <f>IF(B232=0,0,IF(AND(H212="ja",((U232)&lt;R237)),ROUND(((R239*R236+((R237/(R237-R236))-(R236/(R237-R236))*R239)*((U232)-R236))*(I220*2))-(((R237/(R237-R236))*((U232)-R236))*I220),2),ROUND(IF(V231&lt;(SUM(S221:S231)),IF((V232)&gt;(SUM(S221:S232)),(((SUM(S221:S232))-(V232-C231))*I220)+((U232-C231)*I220),U232*I220),IF(V232&gt;(SUM(S221:S232)),S232*I220,U232*I220)),2)))</f>
        <v>0</v>
      </c>
      <c r="J232" s="64">
        <f>IF(B232=0,0,IF(AND(H212="ja",((U232)&lt;R237)),ROUND(((R239*R236+((R237/(R237-R236))-(R236/(R237-R236))*R239)*((U232)-R236))*(J220*2))-(((R237/(R237-R236))*((U232)-R236))*J220),2),ROUND(IF(V231&lt;(SUM(S221:S231)),IF((V232)&gt;(SUM(S221:S232)),(((SUM(S221:S232))-(V232-C231))*J220)+((U232-C231)*J220),U232*J220),IF(V232&gt;(SUM(S221:S232)),S232*J220,U232*J220)),2)))</f>
        <v>0</v>
      </c>
      <c r="K232" s="64">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64">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7"/>
        <v>0</v>
      </c>
      <c r="Q232" s="11"/>
      <c r="R232" s="140">
        <f>ROUND(IF(M199="",R215,R215/M199*P209),2)</f>
        <v>5175</v>
      </c>
      <c r="S232" s="140">
        <f>ROUND(IF(M199="",R216,R216/M199*P209),2)</f>
        <v>7450</v>
      </c>
      <c r="U232" s="950">
        <f t="shared" si="38"/>
        <v>0</v>
      </c>
      <c r="V232" s="950">
        <f>SUM(B221:F232)</f>
        <v>0</v>
      </c>
    </row>
    <row r="233" spans="1:24" s="1" customFormat="1" ht="15" customHeight="1" x14ac:dyDescent="0.2">
      <c r="A233" s="2" t="s">
        <v>1</v>
      </c>
      <c r="B233" s="25">
        <f t="shared" ref="B233:G233" si="39">SUM(B221:B232)</f>
        <v>0</v>
      </c>
      <c r="C233" s="25">
        <f t="shared" si="39"/>
        <v>0</v>
      </c>
      <c r="D233" s="25">
        <f t="shared" si="39"/>
        <v>0</v>
      </c>
      <c r="E233" s="25">
        <f t="shared" si="39"/>
        <v>0</v>
      </c>
      <c r="F233" s="25">
        <f t="shared" si="39"/>
        <v>0</v>
      </c>
      <c r="G233" s="25">
        <f t="shared" si="39"/>
        <v>0</v>
      </c>
      <c r="H233" s="1309">
        <f>SUM(H221:N232)</f>
        <v>0</v>
      </c>
      <c r="I233" s="1310"/>
      <c r="J233" s="1310"/>
      <c r="K233" s="1310"/>
      <c r="L233" s="1310"/>
      <c r="M233" s="1310"/>
      <c r="N233" s="1311"/>
      <c r="O233" s="25">
        <f>SUM(O221:O232)</f>
        <v>0</v>
      </c>
      <c r="P233" s="25">
        <f>SUM(P221:P232)</f>
        <v>0</v>
      </c>
    </row>
    <row r="234" spans="1:24" s="1" customFormat="1" ht="12" customHeight="1" x14ac:dyDescent="0.2"/>
    <row r="235" spans="1:24" s="1" customFormat="1" ht="14.25" customHeight="1" x14ac:dyDescent="0.2">
      <c r="B235" s="906"/>
      <c r="H235" s="905"/>
      <c r="I235" s="62"/>
      <c r="J235" s="914" t="s">
        <v>123</v>
      </c>
      <c r="L235" s="900" t="s">
        <v>124</v>
      </c>
      <c r="M235" s="974" t="str">
        <f>IF(IF(G233=0,"",'päd.Personal - Leitung'!$M$43)=0,"",IF(G233=0,"",'päd.Personal - Leitung'!$M$43))</f>
        <v/>
      </c>
      <c r="N235" s="902" t="s">
        <v>125</v>
      </c>
      <c r="O235" s="963" t="str">
        <f>IF(IF(G233=0,"",'päd.Personal - Leitung'!$O$43)=0,"",IF(G233=0,"",'päd.Personal - Leitung'!$O$43))</f>
        <v/>
      </c>
      <c r="P235" s="25">
        <f>ROUND(IF(M235="",0,G233*M235*O235/1000),2)</f>
        <v>0</v>
      </c>
      <c r="Q235" s="937"/>
      <c r="R235" s="938">
        <v>2025</v>
      </c>
      <c r="S235" s="939"/>
    </row>
    <row r="236" spans="1:24" s="1" customFormat="1" ht="14.25" customHeight="1" x14ac:dyDescent="0.2">
      <c r="H236" s="907"/>
      <c r="I236" s="42"/>
      <c r="M236" s="915" t="s">
        <v>129</v>
      </c>
      <c r="N236" s="80" t="s">
        <v>125</v>
      </c>
      <c r="O236" s="75" t="str">
        <f>IF(IF(G233=0,"",'päd.Personal - Leitung'!$O$44)=0,"",IF(G233=0,"",'päd.Personal - Leitung'!$O$44))</f>
        <v/>
      </c>
      <c r="P236" s="25">
        <f>ROUND(IF(O236="",0,G233*O236/1000),2)</f>
        <v>0</v>
      </c>
      <c r="Q236" s="942" t="s">
        <v>737</v>
      </c>
      <c r="R236" s="141">
        <f>'päd.Personal - Leitung'!$R$44</f>
        <v>556</v>
      </c>
      <c r="S236" s="955">
        <f>'päd.Personal - Leitung'!$S$44</f>
        <v>12.82</v>
      </c>
    </row>
    <row r="237" spans="1:24" s="1" customFormat="1" ht="14.25" customHeight="1" x14ac:dyDescent="0.2">
      <c r="H237" s="912" t="s">
        <v>126</v>
      </c>
      <c r="I237" s="1013" t="s">
        <v>127</v>
      </c>
      <c r="J237" s="975" t="str">
        <f>IF(IF(G233=0,"",'päd.Personal - Leitung'!$J$45)=0,"",IF(G233=0,"",'päd.Personal - Leitung'!$J$45))</f>
        <v/>
      </c>
      <c r="K237" s="902" t="s">
        <v>128</v>
      </c>
      <c r="L237" s="964" t="str">
        <f>IF(IF(G233=0,"",'päd.Personal - Leitung'!$L$45)=0,"",IF(G233=0,"",'päd.Personal - Leitung'!$L$45))</f>
        <v/>
      </c>
      <c r="M237" s="16"/>
      <c r="N237" s="900" t="s">
        <v>132</v>
      </c>
      <c r="O237" s="965" t="str">
        <f>IF(IF(G233=0,"",'päd.Personal - Leitung'!$O$45)=0,"",IF(G233=0,"",'päd.Personal - Leitung'!$O$45))</f>
        <v/>
      </c>
      <c r="P237" s="25">
        <f>ROUND(IF(J237="",0,(J237*L237/O237)/M201*M202),2)</f>
        <v>0</v>
      </c>
      <c r="Q237" s="942" t="s">
        <v>738</v>
      </c>
      <c r="R237" s="140">
        <f>'päd.Personal - Leitung'!$R$45</f>
        <v>2000</v>
      </c>
      <c r="S237" s="939"/>
    </row>
    <row r="238" spans="1:24" s="1" customFormat="1" ht="14.25" customHeight="1" x14ac:dyDescent="0.2">
      <c r="D238" s="16"/>
      <c r="I238" s="16"/>
      <c r="J238" s="16"/>
      <c r="K238" s="63"/>
      <c r="L238" s="67"/>
      <c r="M238" s="915" t="s">
        <v>130</v>
      </c>
      <c r="N238" s="80" t="s">
        <v>131</v>
      </c>
      <c r="O238" s="904">
        <f>IF(IF(G233="",0,'päd.Personal - Leitung'!$O$94)=0,0,IF(G233="",0,'päd.Personal - Leitung'!$O$94))</f>
        <v>0</v>
      </c>
      <c r="P238" s="21">
        <f>ROUND(IF(G233=0,0,O238/M199*M200),2)</f>
        <v>0</v>
      </c>
      <c r="Q238" s="942" t="s">
        <v>740</v>
      </c>
      <c r="R238" s="956">
        <f>'päd.Personal - Leitung'!$R$46</f>
        <v>0.40900000000000003</v>
      </c>
    </row>
    <row r="239" spans="1:24" s="1" customFormat="1" ht="14.25" customHeight="1" x14ac:dyDescent="0.2">
      <c r="A239" s="16"/>
      <c r="B239" s="16"/>
      <c r="I239" s="905"/>
      <c r="J239" s="961" t="s">
        <v>176</v>
      </c>
      <c r="K239" s="1312" t="str">
        <f>IF($K$47="","",$K$47)</f>
        <v/>
      </c>
      <c r="L239" s="1312"/>
      <c r="M239" s="1312"/>
      <c r="N239" s="80" t="s">
        <v>131</v>
      </c>
      <c r="O239" s="904">
        <f>IF(IF(G233="",0,'päd.Personal - Leitung'!$O$95)=0,0,IF(G233="",0,'päd.Personal - Leitung'!$O$95))</f>
        <v>0</v>
      </c>
      <c r="P239" s="21">
        <f>ROUND(IF(G233=0,0,O239/M199*M200),2)</f>
        <v>0</v>
      </c>
      <c r="Q239" s="942" t="s">
        <v>739</v>
      </c>
      <c r="R239" s="940">
        <f>'päd.Personal - Leitung'!$R$47</f>
        <v>0.68459999999999999</v>
      </c>
      <c r="S239" s="957">
        <f>'päd.Personal - Leitung'!$S$47</f>
        <v>0.28000000000000003</v>
      </c>
    </row>
    <row r="240" spans="1:24" s="1" customFormat="1" ht="14.25" customHeight="1" x14ac:dyDescent="0.2">
      <c r="A240" s="908"/>
      <c r="B240" s="908"/>
      <c r="C240" s="1013"/>
      <c r="D240" s="1013"/>
      <c r="I240" s="913"/>
      <c r="J240" s="913"/>
      <c r="K240" s="916"/>
      <c r="L240" s="27"/>
      <c r="M240" s="27"/>
      <c r="N240" s="27"/>
      <c r="O240" s="26" t="s">
        <v>0</v>
      </c>
      <c r="P240" s="25">
        <f>P233+SUM(P235:P239)</f>
        <v>0</v>
      </c>
    </row>
    <row r="241" spans="1:19" s="10" customFormat="1" ht="13.5" customHeight="1" x14ac:dyDescent="0.2">
      <c r="A241" s="1321" t="s">
        <v>17</v>
      </c>
      <c r="B241" s="1321"/>
      <c r="C241" s="1321"/>
      <c r="D241" s="1320" t="str">
        <f>IF('päd.Personal - Leitung'!$D$1="","",'päd.Personal - Leitung'!$D$1)</f>
        <v/>
      </c>
      <c r="E241" s="1320"/>
      <c r="F241" s="1320"/>
      <c r="G241" s="1320"/>
      <c r="H241" s="1320"/>
      <c r="I241" s="1320"/>
      <c r="J241" s="1320"/>
      <c r="K241" s="1320"/>
      <c r="L241" s="1320"/>
      <c r="M241" s="1320"/>
      <c r="N241" s="1320"/>
    </row>
    <row r="242" spans="1:19" s="10" customFormat="1" ht="15" customHeight="1" x14ac:dyDescent="0.2">
      <c r="A242" s="1321" t="s">
        <v>16</v>
      </c>
      <c r="B242" s="1321"/>
      <c r="C242" s="1321" t="s">
        <v>14</v>
      </c>
      <c r="D242" s="1320" t="str">
        <f>IF('päd.Personal - Leitung'!$D$2="","",'päd.Personal - Leitung'!$D$2)</f>
        <v/>
      </c>
      <c r="E242" s="1320"/>
      <c r="F242" s="1320"/>
      <c r="G242" s="1320"/>
      <c r="H242" s="1320"/>
      <c r="I242" s="1320"/>
      <c r="J242" s="1320"/>
      <c r="K242" s="1320"/>
      <c r="L242" s="1320"/>
      <c r="M242" s="1320"/>
      <c r="N242" s="1320"/>
    </row>
    <row r="243" spans="1:19" s="10" customFormat="1" ht="15" customHeight="1" x14ac:dyDescent="0.2">
      <c r="A243" s="1321" t="s">
        <v>15</v>
      </c>
      <c r="B243" s="1321"/>
      <c r="C243" s="1321" t="s">
        <v>14</v>
      </c>
      <c r="D243" s="1320" t="str">
        <f>IF('päd.Personal - Leitung'!$D$3="","",'päd.Personal - Leitung'!$D$3)</f>
        <v/>
      </c>
      <c r="E243" s="1320"/>
      <c r="F243" s="1320"/>
      <c r="G243" s="1320"/>
      <c r="H243" s="1320"/>
      <c r="I243" s="1320"/>
      <c r="J243" s="1320"/>
      <c r="K243" s="1321" t="s">
        <v>100</v>
      </c>
      <c r="L243" s="1321"/>
      <c r="M243" s="1321"/>
      <c r="N243" s="38" t="str">
        <f>IF('päd.Personal - Leitung'!$N$3="","",'päd.Personal - Leitung'!$N$3)</f>
        <v/>
      </c>
    </row>
    <row r="244" spans="1:19" s="923" customFormat="1" ht="7.5" customHeight="1" x14ac:dyDescent="0.15">
      <c r="A244" s="1353"/>
      <c r="B244" s="1353"/>
      <c r="C244" s="1353"/>
      <c r="D244" s="1354"/>
      <c r="E244" s="1354"/>
      <c r="F244" s="1354"/>
      <c r="G244" s="1354"/>
      <c r="H244" s="1354"/>
      <c r="I244" s="1354"/>
      <c r="J244" s="1354"/>
      <c r="K244" s="922"/>
      <c r="L244" s="922"/>
      <c r="M244" s="922"/>
      <c r="N244" s="922"/>
      <c r="O244" s="922"/>
      <c r="P244" s="922"/>
    </row>
    <row r="245" spans="1:19" s="13" customFormat="1" ht="13.5" customHeight="1" x14ac:dyDescent="0.2">
      <c r="A245" s="1355" t="s">
        <v>151</v>
      </c>
      <c r="B245" s="1355"/>
      <c r="C245" s="1355"/>
      <c r="D245" s="1355"/>
      <c r="E245" s="1355"/>
      <c r="F245" s="1355"/>
      <c r="G245" s="1355"/>
      <c r="H245" s="1355"/>
      <c r="I245" s="1355"/>
      <c r="J245" s="1355"/>
      <c r="K245" s="7"/>
      <c r="L245" s="7"/>
      <c r="M245" s="7"/>
      <c r="N245" s="52"/>
      <c r="O245" s="138">
        <f>'päd.Personal - Leitung'!$O$5</f>
        <v>2025</v>
      </c>
      <c r="P245" s="52" t="s">
        <v>140</v>
      </c>
    </row>
    <row r="246" spans="1:19" s="8" customFormat="1" ht="13.5" customHeight="1" x14ac:dyDescent="0.25">
      <c r="B246" s="29"/>
      <c r="C246" s="29"/>
      <c r="D246" s="3" t="s">
        <v>153</v>
      </c>
      <c r="E246" s="28"/>
      <c r="F246" s="28"/>
      <c r="G246" s="28"/>
      <c r="H246" s="28"/>
      <c r="I246" s="24"/>
      <c r="K246" s="1327" t="s">
        <v>13</v>
      </c>
      <c r="L246" s="1327"/>
      <c r="M246" s="131"/>
      <c r="O246" s="928" t="str">
        <f>A269</f>
        <v>Jan 2025</v>
      </c>
      <c r="P246" s="1402">
        <f>IF(M248="","",M248)</f>
        <v>0</v>
      </c>
    </row>
    <row r="247" spans="1:19" s="5" customFormat="1" ht="13.5" customHeight="1" x14ac:dyDescent="0.25">
      <c r="A247" s="1328" t="s">
        <v>754</v>
      </c>
      <c r="B247" s="1328"/>
      <c r="C247" s="1328"/>
      <c r="D247" s="1345"/>
      <c r="E247" s="1345"/>
      <c r="F247" s="1345"/>
      <c r="G247" s="1345"/>
      <c r="H247" s="1345"/>
      <c r="I247" s="1345"/>
      <c r="K247" s="1327" t="s">
        <v>101</v>
      </c>
      <c r="L247" s="1327"/>
      <c r="M247" s="101"/>
      <c r="O247" s="928" t="str">
        <f t="shared" ref="O247:O257" si="40">A270</f>
        <v>Feb 2025</v>
      </c>
      <c r="P247" s="1403">
        <f t="shared" ref="P247:P254" si="41">IF(P246="","",P246)</f>
        <v>0</v>
      </c>
    </row>
    <row r="248" spans="1:19" s="1" customFormat="1" ht="13.5" customHeight="1" x14ac:dyDescent="0.2">
      <c r="A248" s="1328" t="s">
        <v>12</v>
      </c>
      <c r="B248" s="1328"/>
      <c r="C248" s="1328"/>
      <c r="D248" s="1345"/>
      <c r="E248" s="1345"/>
      <c r="F248" s="1345"/>
      <c r="G248" s="1345"/>
      <c r="H248" s="1345"/>
      <c r="I248" s="1345"/>
      <c r="K248" s="1327" t="s">
        <v>149</v>
      </c>
      <c r="L248" s="1327"/>
      <c r="M248" s="101">
        <f>IF((M249+M250)&gt;M247,0,M247-M249-M250)</f>
        <v>0</v>
      </c>
      <c r="O248" s="928" t="str">
        <f t="shared" si="40"/>
        <v>Mrz 2025</v>
      </c>
      <c r="P248" s="1403">
        <f t="shared" si="41"/>
        <v>0</v>
      </c>
    </row>
    <row r="249" spans="1:19" s="1" customFormat="1" ht="13.5" customHeight="1" x14ac:dyDescent="0.2">
      <c r="A249" s="1328" t="s">
        <v>11</v>
      </c>
      <c r="B249" s="1328"/>
      <c r="C249" s="1328"/>
      <c r="D249" s="1345"/>
      <c r="E249" s="1345"/>
      <c r="F249" s="1345"/>
      <c r="G249" s="1345"/>
      <c r="H249" s="1345"/>
      <c r="I249" s="1345"/>
      <c r="K249" s="1327" t="s">
        <v>150</v>
      </c>
      <c r="L249" s="1327"/>
      <c r="M249" s="101"/>
      <c r="O249" s="928" t="str">
        <f t="shared" si="40"/>
        <v>Apr 2025</v>
      </c>
      <c r="P249" s="1403">
        <f t="shared" si="41"/>
        <v>0</v>
      </c>
    </row>
    <row r="250" spans="1:19" s="1" customFormat="1" ht="13.5" customHeight="1" x14ac:dyDescent="0.2">
      <c r="A250" s="1328" t="s">
        <v>18</v>
      </c>
      <c r="B250" s="1328"/>
      <c r="C250" s="1328"/>
      <c r="D250" s="1345"/>
      <c r="E250" s="1345"/>
      <c r="F250" s="1345"/>
      <c r="G250" s="1345"/>
      <c r="H250" s="1345"/>
      <c r="I250" s="1345"/>
      <c r="K250" s="1327" t="s">
        <v>222</v>
      </c>
      <c r="L250" s="1327"/>
      <c r="M250" s="101"/>
      <c r="O250" s="928" t="str">
        <f t="shared" si="40"/>
        <v>Mai 2025</v>
      </c>
      <c r="P250" s="1403">
        <f t="shared" si="41"/>
        <v>0</v>
      </c>
    </row>
    <row r="251" spans="1:19" s="1" customFormat="1" ht="13.5" customHeight="1" x14ac:dyDescent="0.2">
      <c r="B251" s="6"/>
      <c r="C251" s="1029" t="s">
        <v>147</v>
      </c>
      <c r="D251" s="1324"/>
      <c r="E251" s="1324"/>
      <c r="F251" s="1359" t="s">
        <v>103</v>
      </c>
      <c r="G251" s="1359"/>
      <c r="H251" s="1361"/>
      <c r="I251" s="1361"/>
      <c r="K251" s="1327" t="s">
        <v>94</v>
      </c>
      <c r="L251" s="1327"/>
      <c r="M251" s="15" t="str">
        <f>IF(IF((COUNTIF(B269:B280,"&gt;0"))=0,0,(COUNTIF(B269:B280,"&gt;0")))&gt;Grundlagen!$C$26,Grundlagen!$C$26,IF((COUNTIF(B269:B280,"&gt;0"))=0,"",(COUNTIF(B269:B280,"&gt;0"))))</f>
        <v/>
      </c>
      <c r="O251" s="928" t="str">
        <f t="shared" si="40"/>
        <v>Jun 2025</v>
      </c>
      <c r="P251" s="1403">
        <f t="shared" si="41"/>
        <v>0</v>
      </c>
    </row>
    <row r="252" spans="1:19" s="1" customFormat="1" ht="13.5" customHeight="1" x14ac:dyDescent="0.2">
      <c r="I252" s="4"/>
      <c r="M252" s="102" t="str">
        <f>IF((SUM(F254:F257))=0,"",IF(P258&gt;M248,M248,IF(M248="","",IF(M251="","",P258))))</f>
        <v/>
      </c>
      <c r="O252" s="928" t="str">
        <f t="shared" si="40"/>
        <v>Jul 2025</v>
      </c>
      <c r="P252" s="1403">
        <f t="shared" si="41"/>
        <v>0</v>
      </c>
    </row>
    <row r="253" spans="1:19" s="46" customFormat="1" ht="13.5" customHeight="1" x14ac:dyDescent="0.2">
      <c r="A253" s="54" t="s">
        <v>134</v>
      </c>
      <c r="B253" s="1356" t="s">
        <v>135</v>
      </c>
      <c r="C253" s="1356"/>
      <c r="D253" s="55" t="s">
        <v>136</v>
      </c>
      <c r="E253" s="56" t="s">
        <v>137</v>
      </c>
      <c r="F253" s="57" t="str">
        <f>CONCATENATE("Entg. ",N243," h/Wo")</f>
        <v>Entg.  h/Wo</v>
      </c>
      <c r="G253" s="58" t="s">
        <v>138</v>
      </c>
      <c r="I253" s="58" t="s">
        <v>139</v>
      </c>
      <c r="K253" s="970"/>
      <c r="L253" s="970"/>
      <c r="M253" s="59"/>
      <c r="N253" s="968"/>
      <c r="O253" s="928" t="str">
        <f t="shared" si="40"/>
        <v>Aug 2025</v>
      </c>
      <c r="P253" s="1403">
        <f t="shared" si="41"/>
        <v>0</v>
      </c>
      <c r="Q253" s="85"/>
      <c r="R253" s="85"/>
      <c r="S253" s="85"/>
    </row>
    <row r="254" spans="1:19" s="46" customFormat="1" ht="13.5" customHeight="1" x14ac:dyDescent="0.25">
      <c r="A254" s="48" t="str">
        <f>'päd.Personal - Leitung'!$A$14</f>
        <v>Jan 2025</v>
      </c>
      <c r="B254" s="1357" t="str">
        <f>IF($D$3="","",$D$3)</f>
        <v/>
      </c>
      <c r="C254" s="1358"/>
      <c r="D254" s="132"/>
      <c r="E254" s="132"/>
      <c r="F254" s="71"/>
      <c r="G254" s="50">
        <f>IF(N243="",0,F254/N243/4.348)</f>
        <v>0</v>
      </c>
      <c r="I254" s="125">
        <f>SUM(J254:M254)</f>
        <v>0</v>
      </c>
      <c r="J254" s="124"/>
      <c r="K254" s="124"/>
      <c r="L254" s="124"/>
      <c r="M254" s="124"/>
      <c r="N254" s="969"/>
      <c r="O254" s="928" t="str">
        <f t="shared" si="40"/>
        <v>Sep 2025</v>
      </c>
      <c r="P254" s="1403">
        <f t="shared" si="41"/>
        <v>0</v>
      </c>
      <c r="Q254" s="85"/>
      <c r="R254" s="85"/>
      <c r="S254" s="85"/>
    </row>
    <row r="255" spans="1:19" s="46" customFormat="1" ht="13.5" customHeight="1" x14ac:dyDescent="0.25">
      <c r="A255" s="49"/>
      <c r="B255" s="1322" t="str">
        <f>IF(A255="","",B254)</f>
        <v/>
      </c>
      <c r="C255" s="1323"/>
      <c r="D255" s="132"/>
      <c r="E255" s="132"/>
      <c r="F255" s="71"/>
      <c r="G255" s="50">
        <f>IF(N243="",0,F255/N243/4.348)</f>
        <v>0</v>
      </c>
      <c r="I255" s="125">
        <f t="shared" ref="I255:I257" si="42">SUM(J255:M255)</f>
        <v>0</v>
      </c>
      <c r="J255" s="124"/>
      <c r="K255" s="124"/>
      <c r="L255" s="124"/>
      <c r="M255" s="124"/>
      <c r="N255" s="969"/>
      <c r="O255" s="928" t="str">
        <f t="shared" si="40"/>
        <v>Okt 2025</v>
      </c>
      <c r="P255" s="1403">
        <f t="shared" ref="P255:P257" si="43">IF(P254="","",P254)</f>
        <v>0</v>
      </c>
      <c r="Q255" s="85"/>
      <c r="R255" s="85"/>
      <c r="S255" s="85"/>
    </row>
    <row r="256" spans="1:19" s="46" customFormat="1" ht="13.5" customHeight="1" x14ac:dyDescent="0.25">
      <c r="A256" s="49"/>
      <c r="B256" s="1322" t="str">
        <f>IF(A256="","",B255)</f>
        <v/>
      </c>
      <c r="C256" s="1323"/>
      <c r="D256" s="132"/>
      <c r="E256" s="132"/>
      <c r="F256" s="71"/>
      <c r="G256" s="50">
        <f>IF(N243="",0,F256/N243/4.348)</f>
        <v>0</v>
      </c>
      <c r="I256" s="125">
        <f t="shared" si="42"/>
        <v>0</v>
      </c>
      <c r="J256" s="124"/>
      <c r="K256" s="124"/>
      <c r="L256" s="124"/>
      <c r="M256" s="124"/>
      <c r="N256" s="969"/>
      <c r="O256" s="928" t="str">
        <f t="shared" si="40"/>
        <v>Nov 2025</v>
      </c>
      <c r="P256" s="1403">
        <f t="shared" si="43"/>
        <v>0</v>
      </c>
      <c r="Q256" s="85"/>
      <c r="R256" s="85"/>
      <c r="S256" s="85"/>
    </row>
    <row r="257" spans="1:22" s="46" customFormat="1" ht="13.5" customHeight="1" x14ac:dyDescent="0.25">
      <c r="A257" s="49"/>
      <c r="B257" s="1322" t="str">
        <f>IF(A257="","",B256)</f>
        <v/>
      </c>
      <c r="C257" s="1323"/>
      <c r="D257" s="132"/>
      <c r="E257" s="132"/>
      <c r="F257" s="71"/>
      <c r="G257" s="50">
        <f>IF(N243="",0,F257/N243/4.348)</f>
        <v>0</v>
      </c>
      <c r="I257" s="125">
        <f t="shared" si="42"/>
        <v>0</v>
      </c>
      <c r="J257" s="124"/>
      <c r="K257" s="124"/>
      <c r="L257" s="124"/>
      <c r="M257" s="124"/>
      <c r="N257" s="969"/>
      <c r="O257" s="928" t="str">
        <f t="shared" si="40"/>
        <v>Dez 2025</v>
      </c>
      <c r="P257" s="1403">
        <f t="shared" si="43"/>
        <v>0</v>
      </c>
      <c r="Q257" s="85"/>
      <c r="R257" s="85"/>
      <c r="S257" s="85"/>
    </row>
    <row r="258" spans="1:22" s="46" customFormat="1" ht="13.5" customHeight="1" x14ac:dyDescent="0.25">
      <c r="B258" s="972"/>
      <c r="C258" s="972"/>
      <c r="E258" s="972"/>
      <c r="F258" s="972"/>
      <c r="I258" s="930" t="s">
        <v>730</v>
      </c>
      <c r="J258" s="1060"/>
      <c r="K258" s="1060"/>
      <c r="L258" s="1060"/>
      <c r="M258" s="1060"/>
      <c r="N258" s="971"/>
      <c r="O258" s="126" t="s">
        <v>221</v>
      </c>
      <c r="P258" s="127">
        <f>IF(M251="",0,((IF(SUMIF(B269,"&gt;0"),P246,0))+(IF(SUMIF(B270,"&gt;0"),P247,0))+(IF(SUMIF(B271,"&gt;0"),P248,0))+(IF(SUMIF(B272,"&gt;0"),P249,0))+(IF(SUMIF(B273,"&gt;0"),P250,0))+(IF(SUMIF(B274,"&gt;0"),P251,0))+(IF(SUMIF(B275,"&gt;0"),P252,0))+(IF(SUMIF(B276,"&gt;0"),P253,0))+(IF(SUMIF(B277,"&gt;0"),P254,0))+(IF(SUMIF(B278,"&gt;0"),P255,0))+(IF(SUMIF(B279,"&gt;0"),P256,0))+(IF(SUMIF(B280,"&gt;0"),P257,0)))/Grundlagen!$C$26)</f>
        <v>0</v>
      </c>
      <c r="Q258" s="944" t="str">
        <f>CONCATENATE("BBG"," anteilig ",O260)</f>
        <v>BBG anteilig 2025</v>
      </c>
      <c r="R258" s="931" t="s">
        <v>659</v>
      </c>
      <c r="S258" s="931" t="s">
        <v>398</v>
      </c>
      <c r="T258" s="107"/>
    </row>
    <row r="259" spans="1:22" s="46" customFormat="1" ht="13.5" customHeight="1" x14ac:dyDescent="0.2">
      <c r="A259" s="924" t="s">
        <v>732</v>
      </c>
      <c r="D259" s="55" t="s">
        <v>369</v>
      </c>
      <c r="E259" s="56" t="s">
        <v>368</v>
      </c>
      <c r="F259" s="58"/>
      <c r="J259" s="61"/>
      <c r="Q259" s="932" t="s">
        <v>144</v>
      </c>
      <c r="R259" s="140">
        <f>IF(M248=0,R263,IF(M247="",R263,(SUM(R269:R280)/M251)))</f>
        <v>5175</v>
      </c>
      <c r="S259" s="933">
        <f>IF(M248=0,S263,IF(M247="",S263,SUM(R269:R280)))</f>
        <v>0</v>
      </c>
      <c r="T259" s="107"/>
    </row>
    <row r="260" spans="1:22" s="46" customFormat="1" ht="13.5" customHeight="1" x14ac:dyDescent="0.25">
      <c r="A260" s="60"/>
      <c r="B260" s="1314" t="str">
        <f>IF($B$20="","",$B$20)</f>
        <v>Jahressonderzahlung (JSZ)</v>
      </c>
      <c r="C260" s="1315"/>
      <c r="D260" s="926"/>
      <c r="E260" s="929" t="str">
        <f>IF(A260="","",ROUND((((SUM(B275:B277)+SUM(F275:F277))/3)*D260)/Grundlagen!$C$26*M251,2))</f>
        <v/>
      </c>
      <c r="G260" s="941" t="s">
        <v>733</v>
      </c>
      <c r="H260" s="943"/>
      <c r="I260" s="1316" t="str">
        <f>CONCATENATE(R283,":"," Übergangsbereich von ",R284+0.01," €"," bis ",R285," €")</f>
        <v>2025: Übergangsbereich von 556,01 € bis 2000 €</v>
      </c>
      <c r="J260" s="1317"/>
      <c r="K260" s="1317"/>
      <c r="L260" s="1067"/>
      <c r="M260" s="1067"/>
      <c r="N260" s="1068" t="s">
        <v>736</v>
      </c>
      <c r="O260" s="1069">
        <f>P260+1</f>
        <v>2025</v>
      </c>
      <c r="P260" s="1069" t="s">
        <v>721</v>
      </c>
      <c r="Q260" s="932" t="s">
        <v>145</v>
      </c>
      <c r="R260" s="140">
        <f>IF(M248=0,R264,IF(M247="",R264,(SUM(S269:S280)/M251)))</f>
        <v>7450</v>
      </c>
      <c r="S260" s="933">
        <f>IF(M248=0,S264,IF(M247="",S264,SUM(S269:S280)))</f>
        <v>0</v>
      </c>
      <c r="T260" s="109"/>
    </row>
    <row r="261" spans="1:22" s="1" customFormat="1" ht="14.25" customHeight="1" x14ac:dyDescent="0.2">
      <c r="A261" s="60"/>
      <c r="B261" s="1314" t="str">
        <f>IF($B$21="","",$B$21)</f>
        <v>Leistungsentgelt (LOB)</v>
      </c>
      <c r="C261" s="1315"/>
      <c r="D261" s="926"/>
      <c r="E261" s="929" t="str">
        <f>IF(A261="","",ROUND(((B281+F281)*D261)/Grundlagen!$C$26*M251,2))</f>
        <v/>
      </c>
      <c r="G261" s="941" t="str">
        <f>IF(OR(H260="",H260="nein")=TRUE,"","Faktor (F):")</f>
        <v/>
      </c>
      <c r="H261" s="949" t="str">
        <f>IF(OR(H260="",H260="nein")=TRUE,"",IF(H260="","",R287))</f>
        <v/>
      </c>
      <c r="I261" s="1318" t="str">
        <f>IF(OR(H260="",H260="nein")=TRUE,"",IF(H261="","",CONCATENATE(S287*100,"%"," / ","(",R286*100,"%"," Gesamt-SV-Beitragssatz 2024)")))</f>
        <v/>
      </c>
      <c r="J261" s="1319"/>
      <c r="K261" s="1319"/>
      <c r="L261" s="1070"/>
      <c r="M261" s="1070"/>
      <c r="N261" s="1071" t="s">
        <v>144</v>
      </c>
      <c r="O261" s="1072">
        <f>'päd.Personal - Leitung'!$O$21</f>
        <v>5175</v>
      </c>
      <c r="P261" s="1072">
        <f>'päd.Personal - Leitung'!$P$21</f>
        <v>5175</v>
      </c>
      <c r="Q261" s="11"/>
      <c r="R261" s="11"/>
      <c r="S261" s="11"/>
      <c r="T261" s="109"/>
    </row>
    <row r="262" spans="1:22" s="1" customFormat="1" ht="14.25" customHeight="1" x14ac:dyDescent="0.2">
      <c r="C262" s="925" t="s">
        <v>731</v>
      </c>
      <c r="L262" s="1070"/>
      <c r="M262" s="1070"/>
      <c r="N262" s="1071" t="s">
        <v>145</v>
      </c>
      <c r="O262" s="1073">
        <f>'päd.Personal - Leitung'!$O$22</f>
        <v>7450</v>
      </c>
      <c r="P262" s="1073">
        <f>'päd.Personal - Leitung'!$P$22</f>
        <v>7450</v>
      </c>
      <c r="Q262" s="944" t="str">
        <f>CONCATENATE("BBG"," ",O260)</f>
        <v>BBG 2025</v>
      </c>
      <c r="R262" s="11"/>
      <c r="S262" s="11"/>
      <c r="T262" s="109"/>
    </row>
    <row r="263" spans="1:22" s="1" customFormat="1" ht="14.25" customHeight="1" x14ac:dyDescent="0.2">
      <c r="A263" s="53" t="s">
        <v>141</v>
      </c>
      <c r="B263" s="46"/>
      <c r="C263" s="46"/>
      <c r="D263" s="46"/>
      <c r="E263" s="46"/>
      <c r="F263" s="46"/>
      <c r="G263" s="46"/>
      <c r="H263" s="46"/>
      <c r="I263" s="46"/>
      <c r="J263" s="46"/>
      <c r="K263" s="46"/>
      <c r="L263" s="46"/>
      <c r="M263" s="46"/>
      <c r="N263" s="46"/>
      <c r="O263" s="46"/>
      <c r="P263" s="46"/>
      <c r="Q263" s="932" t="s">
        <v>144</v>
      </c>
      <c r="R263" s="141">
        <f>IF($O$21="",0,$O$21)</f>
        <v>5175</v>
      </c>
      <c r="S263" s="933">
        <f>R263*IF(M251="",0,M251)</f>
        <v>0</v>
      </c>
      <c r="T263" s="295"/>
    </row>
    <row r="264" spans="1:22" s="1" customFormat="1" ht="14.25" customHeight="1" x14ac:dyDescent="0.2">
      <c r="A264" s="1346"/>
      <c r="B264" s="1348" t="s">
        <v>8</v>
      </c>
      <c r="C264" s="1349"/>
      <c r="D264" s="1349"/>
      <c r="E264" s="1349"/>
      <c r="F264" s="1349"/>
      <c r="G264" s="1350"/>
      <c r="H264" s="1351" t="s">
        <v>113</v>
      </c>
      <c r="I264" s="1352"/>
      <c r="J264" s="1352"/>
      <c r="K264" s="1352"/>
      <c r="L264" s="1352"/>
      <c r="M264" s="1352"/>
      <c r="N264" s="1352"/>
      <c r="O264" s="30"/>
      <c r="P264" s="1330" t="s">
        <v>0</v>
      </c>
      <c r="Q264" s="932" t="s">
        <v>145</v>
      </c>
      <c r="R264" s="141">
        <f>IF($O$22="",0,$O$22)</f>
        <v>7450</v>
      </c>
      <c r="S264" s="933">
        <f>R264*IF(M251="",0,M251)</f>
        <v>0</v>
      </c>
      <c r="T264" s="830"/>
    </row>
    <row r="265" spans="1:22" s="1" customFormat="1" ht="14.25" customHeight="1" x14ac:dyDescent="0.2">
      <c r="A265" s="1347"/>
      <c r="B265" s="1333" t="s">
        <v>111</v>
      </c>
      <c r="C265" s="1335" t="s">
        <v>743</v>
      </c>
      <c r="D265" s="1337" t="s">
        <v>226</v>
      </c>
      <c r="E265" s="1339" t="s">
        <v>133</v>
      </c>
      <c r="F265" s="1030" t="s">
        <v>6</v>
      </c>
      <c r="G265" s="1340" t="s">
        <v>5</v>
      </c>
      <c r="H265" s="1339" t="s">
        <v>119</v>
      </c>
      <c r="I265" s="1339" t="s">
        <v>4</v>
      </c>
      <c r="J265" s="1339" t="s">
        <v>3</v>
      </c>
      <c r="K265" s="1339" t="s">
        <v>2</v>
      </c>
      <c r="L265" s="1339" t="s">
        <v>114</v>
      </c>
      <c r="M265" s="1339" t="s">
        <v>115</v>
      </c>
      <c r="N265" s="1339" t="s">
        <v>116</v>
      </c>
      <c r="O265" s="1338" t="s">
        <v>109</v>
      </c>
      <c r="P265" s="1331"/>
      <c r="Q265" s="456"/>
      <c r="R265" s="11"/>
      <c r="S265" s="11"/>
      <c r="T265" s="621"/>
    </row>
    <row r="266" spans="1:22" s="1" customFormat="1" ht="14.25" customHeight="1" x14ac:dyDescent="0.2">
      <c r="A266" s="1347"/>
      <c r="B266" s="1333"/>
      <c r="C266" s="1335"/>
      <c r="D266" s="1338"/>
      <c r="E266" s="1339"/>
      <c r="F266" s="1343" t="str">
        <f>I258</f>
        <v>Zuschläge / Zulagen / o.ä.:</v>
      </c>
      <c r="G266" s="1340"/>
      <c r="H266" s="1342" t="s">
        <v>117</v>
      </c>
      <c r="I266" s="1342"/>
      <c r="J266" s="1342"/>
      <c r="K266" s="1342"/>
      <c r="L266" s="1342"/>
      <c r="M266" s="1342"/>
      <c r="N266" s="1342"/>
      <c r="O266" s="1338"/>
      <c r="P266" s="1331"/>
      <c r="Q266" s="456"/>
      <c r="R266" s="1306" t="str">
        <f>Q258</f>
        <v>BBG anteilig 2025</v>
      </c>
      <c r="S266" s="1306"/>
      <c r="T266" s="829"/>
    </row>
    <row r="267" spans="1:22" s="1" customFormat="1" ht="14.25" customHeight="1" x14ac:dyDescent="0.2">
      <c r="A267" s="1347"/>
      <c r="B267" s="1333"/>
      <c r="C267" s="1335"/>
      <c r="D267" s="1338"/>
      <c r="E267" s="1339"/>
      <c r="F267" s="1343"/>
      <c r="G267" s="1340"/>
      <c r="H267" s="39" t="str">
        <f>'päd.Personal - Leitung'!$H$27</f>
        <v>(7,30% + Zusatz)</v>
      </c>
      <c r="I267" s="39" t="str">
        <f>'päd.Personal - Leitung'!$I$27</f>
        <v xml:space="preserve"> (2024: 9,30%)</v>
      </c>
      <c r="J267" s="39" t="str">
        <f>'päd.Personal - Leitung'!$J$27</f>
        <v>(2024: 1,30%)</v>
      </c>
      <c r="K267" s="39" t="str">
        <f>'päd.Personal - Leitung'!$K$27</f>
        <v>(2024: 1,700%)</v>
      </c>
      <c r="L267" s="39"/>
      <c r="M267" s="39"/>
      <c r="N267" s="39" t="str">
        <f>'päd.Personal - Leitung'!$N$27</f>
        <v>(2024: 0,06%)</v>
      </c>
      <c r="O267" s="1338"/>
      <c r="P267" s="1331"/>
      <c r="Q267" s="456"/>
      <c r="R267" s="1307" t="s">
        <v>659</v>
      </c>
      <c r="S267" s="1307"/>
      <c r="T267" s="829"/>
      <c r="U267" s="1308" t="s">
        <v>1</v>
      </c>
      <c r="V267" s="1308" t="s">
        <v>741</v>
      </c>
    </row>
    <row r="268" spans="1:22" s="1" customFormat="1" x14ac:dyDescent="0.2">
      <c r="A268" s="1347"/>
      <c r="B268" s="1334"/>
      <c r="C268" s="1336"/>
      <c r="D268" s="45"/>
      <c r="E268" s="45"/>
      <c r="F268" s="1344"/>
      <c r="G268" s="1341"/>
      <c r="H268" s="74"/>
      <c r="I268" s="99">
        <f>'päd.Personal - Leitung'!$I$28</f>
        <v>0</v>
      </c>
      <c r="J268" s="99">
        <f>'päd.Personal - Leitung'!$J$28</f>
        <v>0</v>
      </c>
      <c r="K268" s="40">
        <f>'päd.Personal - Leitung'!$K$28</f>
        <v>0</v>
      </c>
      <c r="L268" s="19"/>
      <c r="M268" s="19"/>
      <c r="N268" s="99">
        <f>'päd.Personal - Leitung'!$N$28</f>
        <v>0</v>
      </c>
      <c r="O268" s="23"/>
      <c r="P268" s="1332"/>
      <c r="Q268" s="456"/>
      <c r="R268" s="935" t="s">
        <v>144</v>
      </c>
      <c r="S268" s="935" t="s">
        <v>145</v>
      </c>
      <c r="T268" s="829"/>
      <c r="U268" s="1308"/>
      <c r="V268" s="1308"/>
    </row>
    <row r="269" spans="1:22" s="1" customFormat="1" x14ac:dyDescent="0.2">
      <c r="A269" s="76" t="str">
        <f>CONCATENATE("Jan ",O245)</f>
        <v>Jan 2025</v>
      </c>
      <c r="B269" s="22">
        <f>ROUND(IF(P246=0,0,(LOOKUP(2,1/(A254:A257=A269),G254:G257))*P246*4.348),2)</f>
        <v>0</v>
      </c>
      <c r="C269" s="21">
        <f>ROUND(IFERROR((LOOKUP(2,1/(A260=A269),E260)),0)+IFERROR((LOOKUP(2,1/(A261=A269),E261)),0),2)</f>
        <v>0</v>
      </c>
      <c r="D269" s="21">
        <f>ROUND(IF(B269=0,0,D268/M247*P246),2)</f>
        <v>0</v>
      </c>
      <c r="E269" s="21">
        <f>ROUND(IF(B269=0,0,E268/N243*P246),2)</f>
        <v>0</v>
      </c>
      <c r="F269" s="22">
        <f>ROUND(IF(P246=0,0,(LOOKUP(2,1/(A254:A257=A269),I254:I257))/N243*P246),2)</f>
        <v>0</v>
      </c>
      <c r="G269" s="25">
        <f t="shared" ref="G269:G280" si="44">SUM(B269+C269+E269+F269)</f>
        <v>0</v>
      </c>
      <c r="H269" s="64">
        <f>IF(B269=0,0,IF(AND(H260="ja",((U269)&lt;R285)),ROUND(((R287*R284+((R285/(R285-R284))-(R284/(R285-R284))*R287)*((U269)-R284))*(H268*2))-(((R285/(R285-R284))*((U269)-R284))*H268),2),ROUND(IF((U269)&gt;R269,R269*H268,U269*H268),2)))</f>
        <v>0</v>
      </c>
      <c r="I269" s="64">
        <f>IF(B269=0,0,IF(AND(H260="ja",((U269)&lt;R285)),ROUND(((R287*R284+((R285/(R285-R284))-(R284/(R285-R284))*R287)*((U269)-R284))*(I268*2))-(((R285/(R285-R284))*((U269)-R284))*I268),2),ROUND(IF((U269)&gt;S269,S269*I268,U269*I268),2)))</f>
        <v>0</v>
      </c>
      <c r="J269" s="64">
        <f>IF(B269=0,0,IF(AND(H260="ja",((U269)&lt;R285)),ROUND(((R287*R284+((R285/(R285-R284))-(R284/(R285-R284))*R287)*((U269)-R284))*(J268*2))-(((R285/(R285-R284))*((U269)-R284))*J268),2),ROUND(IF((U269)&gt;S269,S269*J268,U269*J268),2)))</f>
        <v>0</v>
      </c>
      <c r="K269" s="64">
        <f>IF(B269=0,0,IF(AND(H260="ja",((U269)&lt;R285)),ROUND(((R287*R284+((R285/(R285-R284))-(R284/(R285-R284))*R287)*((U269)-R284))*(K268*2))-(((R285/(R285-R284))*((U269)-R284))*K268),2),ROUND(IF((U269)&gt;R269,R269*K268,U269*K268),2)))</f>
        <v>0</v>
      </c>
      <c r="L269" s="64">
        <f>IF(B269=0,0,IF(AND(H260="ja",((U269-C269)&lt;R285)),ROUND(((R287*R284+((R285/(R285-R284))-(R284/(R285-R284))*R287)*((U269-C269)-R284))*(L268)),2),ROUND(IF((SUM(B269:F269))&gt;S269,S269*L268,(SUM(B269:F269)-C269)*L268),2)))</f>
        <v>0</v>
      </c>
      <c r="M269" s="64">
        <f>IF(B269=0,0,IF(AND(H260="ja",((U269-C269)&lt;R285)),ROUND(((R287*R284+((R285/(R285-R284))-(R284/(R285-R284))*R287)*((U269-C269)-R284))*(M268)),2),ROUND(IF((SUM(B269:F269))&gt;S269,S269*M268,(SUM(B269:F269)-C269)*M268),2)))</f>
        <v>0</v>
      </c>
      <c r="N269" s="64">
        <f>IF(B269=0,0,IF(AND(H260="ja",((U269)&lt;R285)),ROUND(((R287*R284+((R285/(R285-R284))-(R284/(R285-R284))*R287)*((U269)-R284))*(N268)),2),ROUND(IF((SUM(B269:F269))&gt;S269,S269*N268,SUM(B269:F269)*N268),2)))</f>
        <v>0</v>
      </c>
      <c r="O269" s="21">
        <f>ROUND(SUM(B269+C269+F269)*O268,2)</f>
        <v>0</v>
      </c>
      <c r="P269" s="25">
        <f>SUM(G269:O269)</f>
        <v>0</v>
      </c>
      <c r="Q269" s="456"/>
      <c r="R269" s="140">
        <f>ROUND(IF(M247="",R263,R263/M247*P246),2)</f>
        <v>5175</v>
      </c>
      <c r="S269" s="140">
        <f>ROUND(IF(M247="",R264,R264/M247*P246),2)</f>
        <v>7450</v>
      </c>
      <c r="U269" s="950">
        <f>SUM(B269:F269)</f>
        <v>0</v>
      </c>
      <c r="V269" s="950">
        <f>SUM(B269:F269)</f>
        <v>0</v>
      </c>
    </row>
    <row r="270" spans="1:22" s="1" customFormat="1" x14ac:dyDescent="0.2">
      <c r="A270" s="76" t="str">
        <f>CONCATENATE("Feb ",O245)</f>
        <v>Feb 2025</v>
      </c>
      <c r="B270" s="22">
        <f>ROUND(IF(P247=0,0,IFERROR(((LOOKUP(2,1/(A254:A257=A270),G254:G257))*P247*4.348),B269/P246*P247)),2)</f>
        <v>0</v>
      </c>
      <c r="C270" s="21">
        <f>ROUND(IFERROR((LOOKUP(2,1/(A260=A270),E260)),0)+IFERROR((LOOKUP(2,1/(A261=A270),E261)),0),2)</f>
        <v>0</v>
      </c>
      <c r="D270" s="21">
        <f>ROUND(IF(B270=0,0,D268/M247*P247),2)</f>
        <v>0</v>
      </c>
      <c r="E270" s="21">
        <f>ROUND(IF(B270=0,0,E268/N243*P247),2)</f>
        <v>0</v>
      </c>
      <c r="F270" s="22">
        <f>ROUND(IF(P247=0,0,IFERROR(((LOOKUP(2,1/(A254:A257=A270),I254:I257))/N243*P247),F269/P246*P247)),2)</f>
        <v>0</v>
      </c>
      <c r="G270" s="25">
        <f t="shared" si="44"/>
        <v>0</v>
      </c>
      <c r="H270" s="64">
        <f>IF(B270=0,0,IF(AND(H260="ja",((U270)&lt;R285)),ROUND(((R287*R284+((R285/(R285-R284))-(R284/(R285-R284))*R287)*((U270)-R284))*(H268*2))-(((R285/(R285-R284))*((U270)-R284))*H268),2),ROUND(IF(U269&lt;(R269),IF((V270)&gt;(SUM(R269:R270)),(((SUM(R269:R270))-(V270-C269))*H268)+((U270-C269)*H268),U270*H268),IF(V270&gt;(SUM(R269:R270)),R270*H268,U270*H268)),2)))</f>
        <v>0</v>
      </c>
      <c r="I270" s="64">
        <f>IF(B270=0,0,IF(AND(H260="ja",((U270)&lt;R285)),ROUND(((R287*R284+((R285/(R285-R284))-(R284/(R285-R284))*R287)*((U270)-R284))*(I268*2))-(((R285/(R285-R284))*((U270)-R284))*I268),2),ROUND(IF(U269&lt;(S269),IF((V270)&gt;(SUM(S269:S270)),(((SUM(S269:S270))-(V270-C269))*I268)+((U270-C269)*I268),U270*I268),IF(V270&gt;(SUM(S269:S270)),S270*I268,U270*I268)),2)))</f>
        <v>0</v>
      </c>
      <c r="J270" s="64">
        <f>IF(B270=0,0,IF(AND(H260="ja",((U270)&lt;R285)),ROUND(((R287*R284+((R285/(R285-R284))-(R284/(R285-R284))*R287)*((U270)-R284))*(J268*2))-(((R285/(R285-R284))*((U270)-R284))*J268),2),ROUND(IF(U269&lt;(S269),IF((V270)&gt;(SUM(S269:S270)),(((SUM(S269:S270))-(V270-C269))*J268)+((U270-C269)*J268),U270*J268),IF(V270&gt;(SUM(S269:S270)),S270*J268,U270*J268)),2)))</f>
        <v>0</v>
      </c>
      <c r="K270" s="64">
        <f>IF(B270=0,0,IF(AND(H260="ja",((U270)&lt;R285)),ROUND(((R287*R284+((R285/(R285-R284))-(R284/(R285-R284))*R287)*((U270)-R284))*(K268*2))-(((R285/(R285-R284))*((U270)-R284))*K268),2),ROUND(IF(U269&lt;(R269),IF((V270)&gt;(SUM(R269:R270)),(((SUM(R269:R270))-(V270-C269))*K268)+((U270-C269)*K268),U270*K268),IF(V270&gt;(SUM(R269:R270)),R270*K268,U270*K268)),2)))</f>
        <v>0</v>
      </c>
      <c r="L270" s="64">
        <f>IF(B270=0,0,IF(AND(H260="ja",((U270-C270)&lt;R285)),ROUND(((R287*R284+((R285/(R285-R284))-(R284/(R285-R284))*R287)*((U270-C270)-R284))*(L268)),2),ROUND(IF(SUM(B269:F269)&lt;(S269),IF((SUM(B269:F270))&gt;(SUM(S269:S270)),(((SUM(S269:S270))-(SUM(B269:F270)-C270))*L268)+((SUM(B270:F270)-C270)*L268),(SUM(B270:F270)-C270)*L268),IF(SUM(B269:F270)&gt;(SUM(S269:S270)),S270*L268,SUM(B270:F270)*L268)),2)))</f>
        <v>0</v>
      </c>
      <c r="M270" s="64">
        <f>IF(B270=0,0,IF(AND(H260="ja",((U270-C270)&lt;R285)),ROUND(((R287*R284+((R285/(R285-R284))-(R284/(R285-R284))*R287)*((U270-C270)-R284))*(M268)),2),ROUND(IF(SUM(B269:F269)&lt;(S269),IF((SUM(B269:F270))&gt;(SUM(S269:S270)),(((SUM(S269:S270))-(SUM(B269:F270)-C270))*M268)+((SUM(B270:F270)-C270)*M268),(SUM(B270:F270)-C270)*M268),IF(SUM(B269:F270)&gt;(SUM(S269:S270)),S270*M268,SUM(B270:F270)*M268)),2)))</f>
        <v>0</v>
      </c>
      <c r="N270" s="64">
        <f>IF(B270=0,0,IF(AND(H260="ja",((U270)&lt;R285)),ROUND(((R287*R284+((R285/(R285-R284))-(R284/(R285-R284))*R287)*((U270)-R284))*(N268)),2),ROUND(IF(SUM(B269:F269)&lt;(S269),IF((SUM(B269:F270))&gt;(SUM(S269:S270)),(((SUM(S269:S270))-(SUM(B269:F270)-C269))*N268)+((SUM(B270:F270)-C269)*N268),SUM(B270:F270)*N268),IF(SUM(B269:F270)&gt;(SUM(S269:S270)),S270*N268,SUM(B270:F270)*N268)),2)))</f>
        <v>0</v>
      </c>
      <c r="O270" s="21">
        <f>ROUND(SUM(B270+C270+F270)*O268,2)</f>
        <v>0</v>
      </c>
      <c r="P270" s="25">
        <f t="shared" ref="P270:P280" si="45">SUM(G270:O270)</f>
        <v>0</v>
      </c>
      <c r="Q270" s="456"/>
      <c r="R270" s="140">
        <f>ROUND(IF(M247="",R263,R263/M247*P247),2)</f>
        <v>5175</v>
      </c>
      <c r="S270" s="140">
        <f>ROUND(IF(M247="",R264,R264/M247*P247),2)</f>
        <v>7450</v>
      </c>
      <c r="U270" s="950">
        <f t="shared" ref="U270:U280" si="46">SUM(B270:F270)</f>
        <v>0</v>
      </c>
      <c r="V270" s="950">
        <f>SUM(B269:F270)</f>
        <v>0</v>
      </c>
    </row>
    <row r="271" spans="1:22" s="1" customFormat="1" x14ac:dyDescent="0.2">
      <c r="A271" s="76" t="str">
        <f>CONCATENATE("Mrz ",O245)</f>
        <v>Mrz 2025</v>
      </c>
      <c r="B271" s="22">
        <f>ROUND(IF(P248=0,0,IFERROR(((LOOKUP(2,1/(A254:A257=A271),G254:G257))*P248*4.348),B270/P247*P248)),2)</f>
        <v>0</v>
      </c>
      <c r="C271" s="21">
        <f>ROUND(IFERROR((LOOKUP(2,1/(A260=A271),E260)),0)+IFERROR((LOOKUP(2,1/(A261=A271),E261)),0),2)</f>
        <v>0</v>
      </c>
      <c r="D271" s="21">
        <f>ROUND(IF(B271=0,0,D268/M247*P248),2)</f>
        <v>0</v>
      </c>
      <c r="E271" s="21">
        <f>ROUND(IF(B271=0,0,E268/N243*P248),2)</f>
        <v>0</v>
      </c>
      <c r="F271" s="22">
        <f>ROUND(IF(P248=0,0,IFERROR(((LOOKUP(2,1/(A254:A257=A271),I254:I257))/N243*P248),F270/P247*P248)),2)</f>
        <v>0</v>
      </c>
      <c r="G271" s="25">
        <f t="shared" si="44"/>
        <v>0</v>
      </c>
      <c r="H271" s="64">
        <f>IF(B271=0,0,IF(AND(H260="ja",((U271)&lt;R285)),ROUND(((R287*R284+((R285/(R285-R284))-(R284/(R285-R284))*R287)*((U271)-R284))*(H268*2))-(((R285/(R285-R284))*((U271)-R284))*H268),2),ROUND(IF(V270&lt;(SUM(R269:R270)),IF((V271)&gt;(SUM(R269:R271)),(((SUM(R269:R271))-(V271-C270))*H268)+((U271-C270)*H268),U271*H268),IF(V271&gt;(SUM(R269:R271)),R271*H268,U271*H268)),2)))</f>
        <v>0</v>
      </c>
      <c r="I271" s="64">
        <f>IF(B271=0,0,IF(AND(H260="ja",((U271)&lt;R285)),ROUND(((R287*R284+((R285/(R285-R284))-(R284/(R285-R284))*R287)*((U271)-R284))*(I268*2))-(((R285/(R285-R284))*((U271)-R284))*I268),2),ROUND(IF(V270&lt;(SUM(S269:S270)),IF((V271)&gt;(SUM(S269:S271)),(((SUM(S269:S271))-(V271-C270))*I268)+((U271-C270)*I268),U271*I268),IF(V271&gt;(SUM(S269:S271)),S271*I268,U271*I268)),2)))</f>
        <v>0</v>
      </c>
      <c r="J271" s="64">
        <f>IF(B271=0,0,IF(AND(H260="ja",((U271)&lt;R285)),ROUND(((R287*R284+((R285/(R285-R284))-(R284/(R285-R284))*R287)*((U271)-R284))*(J268*2))-(((R285/(R285-R284))*((U271)-R284))*J268),2),ROUND(IF(V270&lt;(SUM(S269:S270)),IF((V271)&gt;(SUM(S269:S271)),(((SUM(S269:S271))-(V271-C270))*J268)+((U271-C270)*J268),U271*J268),IF(V271&gt;(SUM(S269:S271)),S271*J268,U271*J268)),2)))</f>
        <v>0</v>
      </c>
      <c r="K271" s="64">
        <f>IF(B271=0,0,IF(AND(H260="ja",((U271)&lt;R285)),ROUND(((R287*R284+((R285/(R285-R284))-(R284/(R285-R284))*R287)*((U271)-R284))*(K268*2))-(((R285/(R285-R284))*((U271)-R284))*K268),2),ROUND(IF(V270&lt;(SUM(R269:R270)),IF((V271)&gt;(SUM(R269:R271)),(((SUM(R269:R271))-(V271-C270))*K268)+((U271-C270)*K268),U271*K268),IF(V271&gt;(SUM(R269:R271)),R271*K268,U271*K268)),2)))</f>
        <v>0</v>
      </c>
      <c r="L271" s="64">
        <f>IF(B271=0,0,IF(AND(H260="ja",((U271-C271)&lt;R285)),ROUND(((R287*R284+((R285/(R285-R284))-(R284/(R285-R284))*R287)*((U271-C271)-R284))*(L268)),2),ROUND(IF(SUM(B269:F270)&lt;(SUM(S269:S270)),IF((SUM(B269:F271))&gt;(SUM(S269:S271)),(((SUM(S269:S271))-(SUM(B269:F271)-C271))*L268)+((SUM(B271:F271)-C271)*L268),(SUM(B271:F271)-C271)*L268),IF(SUM(B269:F271)&gt;(SUM(S269:S271)),S271*L268,SUM(B271:F271)*L268)),2)))</f>
        <v>0</v>
      </c>
      <c r="M271" s="64">
        <f>IF(B271=0,0,IF(AND(H260="ja",((U271-C271)&lt;R285)),ROUND(((R287*R284+((R285/(R285-R284))-(R284/(R285-R284))*R287)*((U271-C271)-R284))*(M268)),2),ROUND(IF(SUM(B269:F270)&lt;(SUM(S269:S270)),IF((SUM(B269:F271))&gt;(SUM(S269:S271)),(((SUM(S269:S271))-(SUM(B269:F271)-C271))*M268)+((SUM(B271:F271)-C271)*M268),(SUM(B271:F271)-C271)*M268),IF(SUM(B269:F271)&gt;(SUM(S269:S271)),S271*M268,SUM(B271:F271)*M268)),2)))</f>
        <v>0</v>
      </c>
      <c r="N271" s="64">
        <f>IF(B271=0,0,IF(AND(H260="ja",((U271)&lt;R285)),ROUND(((R287*R284+((R285/(R285-R284))-(R284/(R285-R284))*R287)*((U271)-R284))*(N268)),2),ROUND(IF(SUM(B269:F270)&lt;(SUM(S269:S270)),IF((SUM(B269:F271))&gt;(SUM(S269:S271)),(((SUM(S269:S271))-(SUM(B269:F271)-C270))*N268)+((SUM(B271:F271)-C270)*N268),SUM(B271:F271)*N268),IF(SUM(B269:F271)&gt;(SUM(S269:S271)),S271*N268,SUM(B271:F271)*N268)),2)))</f>
        <v>0</v>
      </c>
      <c r="O271" s="21">
        <f>ROUND(SUM(B271+C271+F271)*O268,2)</f>
        <v>0</v>
      </c>
      <c r="P271" s="25">
        <f t="shared" si="45"/>
        <v>0</v>
      </c>
      <c r="Q271" s="456"/>
      <c r="R271" s="140">
        <f>ROUND(IF(M247="",R263,R263/M247*P248),2)</f>
        <v>5175</v>
      </c>
      <c r="S271" s="140">
        <f>ROUND(IF(M247="",R264,R264/M247*P248),2)</f>
        <v>7450</v>
      </c>
      <c r="U271" s="950">
        <f t="shared" si="46"/>
        <v>0</v>
      </c>
      <c r="V271" s="950">
        <f>SUM(B269:F271)</f>
        <v>0</v>
      </c>
    </row>
    <row r="272" spans="1:22" s="1" customFormat="1" x14ac:dyDescent="0.2">
      <c r="A272" s="76" t="str">
        <f>CONCATENATE("Apr ",O245)</f>
        <v>Apr 2025</v>
      </c>
      <c r="B272" s="22">
        <f>ROUND(IF(P249=0,0,IFERROR(((LOOKUP(2,1/(A254:A257=A272),G254:G257))*P249*4.348),B271/P248*P249)),2)</f>
        <v>0</v>
      </c>
      <c r="C272" s="21">
        <f>ROUND(IFERROR((LOOKUP(2,1/(A260=A272),E260)),0)+IFERROR((LOOKUP(2,1/(A261=A272),E261)),0),2)</f>
        <v>0</v>
      </c>
      <c r="D272" s="21">
        <f>ROUND(IF(B272=0,0,D268/M247*P249),2)</f>
        <v>0</v>
      </c>
      <c r="E272" s="21">
        <f>ROUND(IF(B272=0,0,E268/N243*P249),2)</f>
        <v>0</v>
      </c>
      <c r="F272" s="22">
        <f>ROUND(IF(P249=0,0,IFERROR(((LOOKUP(2,1/(A254:A257=A272),I254:I257))/N243*P249),F271/P248*P249)),2)</f>
        <v>0</v>
      </c>
      <c r="G272" s="25">
        <f t="shared" si="44"/>
        <v>0</v>
      </c>
      <c r="H272" s="64">
        <f>IF(B272=0,0,IF(AND(H260="ja",((U272)&lt;R285)),ROUND(((R287*R284+((R285/(R285-R284))-(R284/(R285-R284))*R287)*((U272)-R284))*(H268*2))-(((R285/(R285-R284))*((U272)-R284))*H268),2),ROUND(IF(V271&lt;(SUM(R269:R271)),IF((V272)&gt;(SUM(R269:R272)),(((SUM(R269:R272))-(V272-C271))*H268)+((U272-C271)*H268),U272*H268),IF(V272&gt;(SUM(R269:R272)),R272*H268,U272*H268)),2)))</f>
        <v>0</v>
      </c>
      <c r="I272" s="64">
        <f>IF(B272=0,0,IF(AND(H260="ja",((U272)&lt;R285)),ROUND(((R287*R284+((R285/(R285-R284))-(R284/(R285-R284))*R287)*((U272)-R284))*(I268*2))-(((R285/(R285-R284))*((U272)-R284))*I268),2),ROUND(IF(V271&lt;(SUM(S269:S271)),IF((V272)&gt;(SUM(S269:S272)),(((SUM(S269:S272))-(V272-C271))*I268)+((U272-C271)*I268),U272*I268),IF(V272&gt;(SUM(S269:S272)),S272*I268,U272*I268)),2)))</f>
        <v>0</v>
      </c>
      <c r="J272" s="64">
        <f>IF(B272=0,0,IF(AND(H260="ja",((U272)&lt;R285)),ROUND(((R287*R284+((R285/(R285-R284))-(R284/(R285-R284))*R287)*((U272)-R284))*(J268*2))-(((R285/(R285-R284))*((U272)-R284))*J268),2),ROUND(IF(U271&lt;(SUM(S269:S271)),IF((V272)&gt;(SUM(S269:S272)),(((SUM(S269:S272))-(V272-C271))*J268)+((U272-C271)*J268),U272*J268),IF(V272&gt;(SUM(S269:S272)),S272*J268,U272*J268)),2)))</f>
        <v>0</v>
      </c>
      <c r="K272" s="64">
        <f>IF(B272=0,0,IF(AND(H260="ja",((U272)&lt;R285)),ROUND(((R287*R284+((R285/(R285-R284))-(R284/(R285-R284))*R287)*((U272)-R284))*(K268*2))-(((R285/(R285-R284))*((U272)-R284))*K268),2),ROUND(IF(V271&lt;(SUM(R269:R271)),IF((V272)&gt;(SUM(R269:R272)),(((SUM(R269:R272))-(V272-C271))*K268)+((U272-C271)*K268),U272*K268),IF(V272&gt;(SUM(R269:R272)),R272*K268,U272*K268)),2)))</f>
        <v>0</v>
      </c>
      <c r="L272" s="64">
        <f>IF(B272=0,0,IF(AND(H260="ja",((U272-C272)&lt;R285)),ROUND(((R287*R284+((R285/(R285-R284))-(R284/(R285-R284))*R287)*((U272-C272)-R284))*(L268)),2),ROUND(IF(SUM(B269:F271)&lt;(SUM(S269:S271)),IF((SUM(B269:F272))&gt;(SUM(S269:S272)),(((SUM(S269:S272))-(SUM(B269:F272)-C272))*L268)+((SUM(B272:F272)-C272)*L268),(SUM(B272:F272)-C272)*L268),IF(SUM(B269:F272)&gt;(SUM(S269:S272)),S272*L268,SUM(B272:F272)*L268)),2)))</f>
        <v>0</v>
      </c>
      <c r="M272" s="64">
        <f>IF(B272=0,0,IF(AND(H260="ja",((U272-C272)&lt;R285)),ROUND(((R287*R284+((R285/(R285-R284))-(R284/(R285-R284))*R287)*((U272-C272)-R284))*(M268)),2),ROUND(IF(SUM(B269:F271)&lt;(SUM(S269:S271)),IF((SUM(B269:F272))&gt;(SUM(S269:S272)),(((SUM(S269:S272))-(SUM(B269:F272)-C272))*M268)+((SUM(B272:F272)-C272)*M268),(SUM(B272:F272)-C272)*M268),IF(SUM(B269:F272)&gt;(SUM(S269:S272)),S272*M268,SUM(B272:F272)*M268)),2)))</f>
        <v>0</v>
      </c>
      <c r="N272" s="64">
        <f>IF(B272=0,0,IF(AND(H260="ja",((U272)&lt;R285)),ROUND(((R287*R284+((R285/(R285-R284))-(R284/(R285-R284))*R287)*((U272)-R284))*(N268)),2),ROUND(IF(SUM(B269:F271)&lt;(SUM(S269:S271)),IF((SUM(B269:F272))&gt;(SUM(S269:S272)),(((SUM(S269:S272))-(SUM(B269:F272)-C271))*N268)+((SUM(B272:F272)-C271)*N268),SUM(B272:F272)*N268),IF(SUM(B269:F272)&gt;(SUM(S269:S272)),S272*N268,SUM(B272:F272)*N268)),2)))</f>
        <v>0</v>
      </c>
      <c r="O272" s="21">
        <f>ROUND(SUM(B272+C272+F272)*O268,2)</f>
        <v>0</v>
      </c>
      <c r="P272" s="25">
        <f t="shared" si="45"/>
        <v>0</v>
      </c>
      <c r="Q272" s="456"/>
      <c r="R272" s="140">
        <f>ROUND(IF(M247="",R263,R263/M247*P249),2)</f>
        <v>5175</v>
      </c>
      <c r="S272" s="140">
        <f>ROUND(IF(M247="",R264,R264/M247*P249),2)</f>
        <v>7450</v>
      </c>
      <c r="U272" s="950">
        <f t="shared" si="46"/>
        <v>0</v>
      </c>
      <c r="V272" s="950">
        <f>SUM(B269:F272)</f>
        <v>0</v>
      </c>
    </row>
    <row r="273" spans="1:24" s="1" customFormat="1" x14ac:dyDescent="0.2">
      <c r="A273" s="76" t="str">
        <f>CONCATENATE("Mai ",O245)</f>
        <v>Mai 2025</v>
      </c>
      <c r="B273" s="22">
        <f>ROUND(IF(P250=0,0,IFERROR(((LOOKUP(2,1/(A254:A257=A273),G254:G257))*P250*4.348),B272/P249*P250)),2)</f>
        <v>0</v>
      </c>
      <c r="C273" s="21">
        <f>ROUND(IFERROR((LOOKUP(2,1/(A260=A273),E260)),0)+IFERROR((LOOKUP(2,1/(A261=A273),E261)),0),2)</f>
        <v>0</v>
      </c>
      <c r="D273" s="21">
        <f>ROUND(IF(B273=0,0,D268/M247*P250),2)</f>
        <v>0</v>
      </c>
      <c r="E273" s="21">
        <f>ROUND(IF(B273=0,0,E268/N243*P250),2)</f>
        <v>0</v>
      </c>
      <c r="F273" s="22">
        <f>ROUND(IF(P250=0,0,IFERROR(((LOOKUP(2,1/(A254:A257=A273),I254:I257))/N243*P250),F272/P249*P250)),2)</f>
        <v>0</v>
      </c>
      <c r="G273" s="25">
        <f t="shared" si="44"/>
        <v>0</v>
      </c>
      <c r="H273" s="64">
        <f>IF(B273=0,0,IF(AND(H260="ja",((U273)&lt;R285)),ROUND(((R287*R284+((R285/(R285-R284))-(R284/(R285-R284))*R287)*((U273)-R284))*(H268*2))-(((R285/(R285-R284))*((U273)-R284))*H268),2),ROUND(IF(V272&lt;(SUM(R269:R272)),IF((V273)&gt;(SUM(R269:R273)),(((SUM(R269:R273))-(V273-C272))*H268)+((U273-C272)*H268),U273*H268),IF(V273&gt;(SUM(R269:R273)),R273*H268,U273*H268)),2)))</f>
        <v>0</v>
      </c>
      <c r="I273" s="64">
        <f>IF(B273=0,0,IF(AND(H260="ja",((U273)&lt;R285)),ROUND(((R287*R284+((R285/(R285-R284))-(R284/(R285-R284))*R287)*((U273)-R284))*(I268*2))-(((R285/(R285-R284))*((U273)-R284))*I268),2),ROUND(IF(V272&lt;(SUM(S269:S272)),IF((V273)&gt;(SUM(S269:S273)),(((SUM(S269:S273))-(V273-C272))*I268)+((U273-C272)*I268),U273*I268),IF(V273&gt;(SUM(S269:S273)),S273*I268,U273*I268)),2)))</f>
        <v>0</v>
      </c>
      <c r="J273" s="64">
        <f>IF(B273=0,0,IF(AND(H260="ja",((U273)&lt;R285)),ROUND(((R287*R284+((R285/(R285-R284))-(R284/(R285-R284))*R287)*((U273)-R284))*(J268*2))-(((R285/(R285-R284))*((U273)-R284))*J268),2),ROUND(IF(V272&lt;(SUM(S269:S272)),IF((V273)&gt;(SUM(S269:S273)),(((SUM(S269:S273))-(V273-C272))*J268)+((U273-C272)*J268),U273*J268),IF(V273&gt;(SUM(S269:S273)),S273*J268,U273*J268)),2)))</f>
        <v>0</v>
      </c>
      <c r="K273" s="64">
        <f>IF(B273=0,0,IF(AND(H260="ja",((U273)&lt;R285)),ROUND(((R287*R284+((R285/(R285-R284))-(R284/(R285-R284))*R287)*((U273)-R284))*(K268*2))-(((R285/(R285-R284))*((U273)-R284))*K268),2),ROUND(IF(V272&lt;(SUM(R269:R272)),IF((V273)&gt;(SUM(R269:R273)),(((SUM(R269:R273))-(V273-C272))*K268)+((U273-C272)*K268),U273*K268),IF(V273&gt;(SUM(R269:R273)),R273*K268,U273*K268)),2)))</f>
        <v>0</v>
      </c>
      <c r="L273" s="64">
        <f>IF(B273=0,0,IF(AND(H260="ja",((U273-C273)&lt;R285)),ROUND(((R287*R284+((R285/(R285-R284))-(R284/(R285-R284))*R287)*((U273-C273)-R284))*(L268)),2),ROUND(IF(SUM(B269:F272)&lt;(SUM(S269:S272)),IF((SUM(B269:F273))&gt;(SUM(S269:S273)),(((SUM(S269:S273))-(SUM(B269:F273)-C273))*L268)+((SUM(B273:F273)-C273)*L268),(SUM(B273:F273)-C273)*L268),IF(SUM(B269:F273)&gt;(SUM(S269:S273)),S273*L268,SUM(B273:F273)*L268)),2)))</f>
        <v>0</v>
      </c>
      <c r="M273" s="64">
        <f>IF(B273=0,0,IF(AND(H260="ja",((U273-C273)&lt;R285)),ROUND(((R287*R284+((R285/(R285-R284))-(R284/(R285-R284))*R287)*((U273-C273)-R284))*(M268)),2),ROUND(IF(SUM(B269:F272)&lt;(SUM(S269:S272)),IF((SUM(B269:F273))&gt;(SUM(S269:S273)),(((SUM(S269:S273))-(SUM(B269:F273)-C273))*M268)+((SUM(B273:F273)-C273)*M268),(SUM(B273:F273)-C273)*M268),IF(SUM(B269:F273)&gt;(SUM(S269:S273)),S273*M268,SUM(B273:F273)*M268)),2)))</f>
        <v>0</v>
      </c>
      <c r="N273" s="64">
        <f>IF(B273=0,0,IF(AND(H260="ja",((U273)&lt;R285)),ROUND(((R287*R284+((R285/(R285-R284))-(R284/(R285-R284))*R287)*((U273)-R284))*(N268)),2),ROUND(IF(SUM(B269:F272)&lt;(SUM(S269:S272)),IF((SUM(B269:F273))&gt;(SUM(S269:S273)),(((SUM(S269:S273))-(SUM(B269:F273)-C272))*N268)+((SUM(B273:F273)-C272)*N268),SUM(B273:F273)*N268),IF(SUM(B269:F273)&gt;(SUM(S269:S273)),S273*N268,SUM(B273:F273)*N268)),2)))</f>
        <v>0</v>
      </c>
      <c r="O273" s="21">
        <f>ROUND(SUM(B273+C273+F273)*O268,2)</f>
        <v>0</v>
      </c>
      <c r="P273" s="25">
        <f t="shared" si="45"/>
        <v>0</v>
      </c>
      <c r="Q273" s="456"/>
      <c r="R273" s="140">
        <f>ROUND(IF(M247="",R263,R263/M247*P250),2)</f>
        <v>5175</v>
      </c>
      <c r="S273" s="140">
        <f>ROUND(IF(M247="",R264,R264/M247*P250),2)</f>
        <v>7450</v>
      </c>
      <c r="U273" s="950">
        <f t="shared" si="46"/>
        <v>0</v>
      </c>
      <c r="V273" s="950">
        <f>SUM(B269:F273)</f>
        <v>0</v>
      </c>
    </row>
    <row r="274" spans="1:24" s="1" customFormat="1" x14ac:dyDescent="0.2">
      <c r="A274" s="76" t="str">
        <f>CONCATENATE("Jun ",O245)</f>
        <v>Jun 2025</v>
      </c>
      <c r="B274" s="22">
        <f>ROUND(IF(P251=0,0,IFERROR(((LOOKUP(2,1/(A254:A257=A274),G254:G257))*P251*4.348),B273/P250*P251)),2)</f>
        <v>0</v>
      </c>
      <c r="C274" s="21">
        <f>ROUND(IFERROR((LOOKUP(2,1/(A260=A274),E260)),0)+IFERROR((LOOKUP(2,1/(A261=A274),E261)),0),2)</f>
        <v>0</v>
      </c>
      <c r="D274" s="21">
        <f>ROUND(IF(B274=0,0,D268/M247*P251),2)</f>
        <v>0</v>
      </c>
      <c r="E274" s="21">
        <f>ROUND(IF(B274=0,0,E268/N243*P251),2)</f>
        <v>0</v>
      </c>
      <c r="F274" s="22">
        <f>ROUND(IF(P251=0,0,IFERROR(((LOOKUP(2,1/(A254:A257=A274),I254:I257))/N243*P251),F273/P250*P251)),2)</f>
        <v>0</v>
      </c>
      <c r="G274" s="25">
        <f t="shared" si="44"/>
        <v>0</v>
      </c>
      <c r="H274" s="64">
        <f>IF(B274=0,0,IF(AND(H260="ja",((U274)&lt;R285)),ROUND(((R287*R284+((R285/(R285-R284))-(R284/(R285-R284))*R287)*((U274)-R284))*(H268*2))-(((R285/(R285-R284))*((U274)-R284))*H268),2),ROUND(IF(V273&lt;(SUM(R269:R273)),IF((V274)&gt;(SUM(R269:R274)),(((SUM(R269:R274))-(V274-C273))*H268)+((U274-C273)*H268),U274*H268),IF(V274&gt;(SUM(R269:R274)),R274*H268,U274*H268)),2)))</f>
        <v>0</v>
      </c>
      <c r="I274" s="64">
        <f>IF(B274=0,0,IF(AND(H260="ja",((U274)&lt;R285)),ROUND(((R287*R284+((R285/(R285-R284))-(R284/(R285-R284))*R287)*((U274)-R284))*(I268*2))-(((R285/(R285-R284))*((U274)-R284))*I268),2),ROUND(IF(V273&lt;(SUM(S269:S273)),IF((V274)&gt;(SUM(S269:S274)),(((SUM(S269:S274))-(V274-C273))*I268)+((U274-C273)*I268),U274*I268),IF(V274&gt;(SUM(S269:S274)),S274*I268,U274*I268)),2)))</f>
        <v>0</v>
      </c>
      <c r="J274" s="64">
        <f>IF(B274=0,0,IF(AND(H260="ja",((U274)&lt;R285)),ROUND(((R287*R284+((R285/(R285-R284))-(R284/(R285-R284))*R287)*((U274)-R284))*(J268*2))-(((R285/(R285-R284))*((U274)-R284))*J268),2),ROUND(IF(V273&lt;(SUM(S269:S273)),IF((V274)&gt;(SUM(S269:S274)),(((SUM(S269:S274))-(V274-C273))*J268)+((U274-C273)*J268),U274*J268),IF(V274&gt;(SUM(S269:S274)),S274*J268,U274*J268)),2)))</f>
        <v>0</v>
      </c>
      <c r="K274" s="64">
        <f>IF(B274=0,0,IF(AND(H260="ja",((U274)&lt;R285)),ROUND(((R287*R284+((R285/(R285-R284))-(R284/(R285-R284))*R287)*((U274)-R284))*(K268*2))-(((R285/(R285-R284))*((U274)-R284))*K268),2),ROUND(IF(V273&lt;(SUM(R269:R273)),IF((V274)&gt;(SUM(R269:R274)),(((SUM(R269:R274))-(V274-C273))*K268)+((U274-C273)*K268),U274*K268),IF(V274&gt;(SUM(R269:R274)),R274*K268,U274*K268)),2)))</f>
        <v>0</v>
      </c>
      <c r="L274" s="64">
        <f>IF(B274=0,0,IF(AND(H260="ja",((U274-C274)&lt;R285)),ROUND(((R287*R284+((R285/(R285-R284))-(R284/(R285-R284))*R287)*((U274-C274)-R284))*(L268)),2),ROUND(IF(SUM(B269:F273)&lt;(SUM(S269:S273)),IF((SUM(B269:F274))&gt;(SUM(S269:S274)),(((SUM(S269:S274))-(SUM(B269:F274)-C274))*L268)+((SUM(B274:F274)-C274)*L268),(SUM(B274:F274)-C274)*L268),IF(SUM(B269:F274)&gt;(SUM(S269:S274)),S274*L268,SUM(B274:F274)*L268)),2)))</f>
        <v>0</v>
      </c>
      <c r="M274" s="64">
        <f>IF(B274=0,0,IF(AND(H260="ja",((U274-C274)&lt;R285)),ROUND(((R287*R284+((R285/(R285-R284))-(R284/(R285-R284))*R287)*((U274-C274)-R284))*(M268)),2),ROUND(IF(SUM(B269:F273)&lt;(SUM(S269:S273)),IF((SUM(B269:F274))&gt;(SUM(S269:S274)),(((SUM(S269:S274))-(SUM(B269:F274)-C274))*M268)+((SUM(B274:F274)-C274)*M268),(SUM(B274:F274)-C274)*M268),IF(SUM(B269:F274)&gt;(SUM(S269:S274)),S274*M268,SUM(B274:F274)*M268)),2)))</f>
        <v>0</v>
      </c>
      <c r="N274" s="64">
        <f>IF(B274=0,0,IF(AND(H260="ja",((U274)&lt;R285)),ROUND(((R287*R284+((R285/(R285-R284))-(R284/(R285-R284))*R287)*((U274)-R284))*(N268)),2),ROUND(IF(SUM(B269:F273)&lt;(SUM(S269:S273)),IF((SUM(B269:F274))&gt;(SUM(S269:S274)),(((SUM(S269:S274))-(SUM(B269:F274)-C273))*N268)+((SUM(B274:F274)-C273)*N268),SUM(B274:F274)*N268),IF(SUM(B269:F274)&gt;(SUM(S269:S274)),S274*N268,SUM(B274:F274)*N268)),2)))</f>
        <v>0</v>
      </c>
      <c r="O274" s="21">
        <f>ROUND(SUM(B274+C274+F274)*O268,2)</f>
        <v>0</v>
      </c>
      <c r="P274" s="25">
        <f t="shared" si="45"/>
        <v>0</v>
      </c>
      <c r="Q274" s="456"/>
      <c r="R274" s="140">
        <f>ROUND(IF(M247="",R263,R263/M247*P251),2)</f>
        <v>5175</v>
      </c>
      <c r="S274" s="140">
        <f>ROUND(IF(M247="",R264,R264/M247*P251),2)</f>
        <v>7450</v>
      </c>
      <c r="U274" s="950">
        <f t="shared" si="46"/>
        <v>0</v>
      </c>
      <c r="V274" s="950">
        <f>SUM(B269:F274)</f>
        <v>0</v>
      </c>
    </row>
    <row r="275" spans="1:24" s="1" customFormat="1" x14ac:dyDescent="0.2">
      <c r="A275" s="76" t="str">
        <f>CONCATENATE("Jul ",O245)</f>
        <v>Jul 2025</v>
      </c>
      <c r="B275" s="22">
        <f>ROUND(IF(P252=0,0,IFERROR(((LOOKUP(2,1/(A254:A257=A275),G254:G257))*P252*4.348),B274/P251*P252)),2)</f>
        <v>0</v>
      </c>
      <c r="C275" s="21">
        <f>ROUND(IFERROR((LOOKUP(2,1/(A260=A275),E260)),0)+IFERROR((LOOKUP(2,1/(A261=A275),E261)),0),2)</f>
        <v>0</v>
      </c>
      <c r="D275" s="21">
        <f>ROUND(IF(B275=0,0,D268/M247*P252),2)</f>
        <v>0</v>
      </c>
      <c r="E275" s="21">
        <f>ROUND(IF(B275=0,0,E268/N243*P252),2)</f>
        <v>0</v>
      </c>
      <c r="F275" s="22">
        <f>ROUND(IF(P252=0,0,IFERROR(((LOOKUP(2,1/(A254:A257=A275),I254:I257))/N243*P252),F274/P251*P252)),2)</f>
        <v>0</v>
      </c>
      <c r="G275" s="25">
        <f t="shared" si="44"/>
        <v>0</v>
      </c>
      <c r="H275" s="64">
        <f>IF(B275=0,0,IF(AND(H260="ja",((U275)&lt;R285)),ROUND(((R287*R284+((R285/(R285-R284))-(R284/(R285-R284))*R287)*((U275)-R284))*(H268*2))-(((R285/(R285-R284))*((U275)-R284))*H268),2),ROUND(IF(V274&lt;(SUM(R269:R274)),IF((V275)&gt;(SUM(R269:R275)),(((SUM(R269:R275))-(V275-C274))*H268)+((U275-C274)*H268),U275*H268),IF(V275&gt;(SUM(R269:R275)),R275*H268,U275*H268)),2)))</f>
        <v>0</v>
      </c>
      <c r="I275" s="64">
        <f>IF(B275=0,0,IF(AND(H260="ja",((U275)&lt;R285)),ROUND(((R287*R284+((R285/(R285-R284))-(R284/(R285-R284))*R287)*((U275)-R284))*(I268*2))-(((R285/(R285-R284))*((U275)-R284))*I268),2),ROUND(IF(V274&lt;(SUM(S269:S274)),IF((V275)&gt;(SUM(S269:S275)),(((SUM(S269:S275))-(V275-C274))*I268)+((U275-C274)*I268),U275*I268),IF(V275&gt;(SUM(S269:S275)),S275*I268,U275*I268)),2)))</f>
        <v>0</v>
      </c>
      <c r="J275" s="64">
        <f>IF(B275=0,0,IF(AND(H260="ja",((U275)&lt;R285)),ROUND(((R287*R284+((R285/(R285-R284))-(R284/(R285-R284))*R287)*((U275)-R284))*(J268*2))-(((R285/(R285-R284))*((U275)-R284))*J268),2),ROUND(IF(V274&lt;(SUM(S269:S274)),IF((V275)&gt;(SUM(S269:S275)),(((SUM(S269:S275))-(V275-C274))*J268)+((U275-C274)*J268),U275*J268),IF(V275&gt;(SUM(S269:S275)),S275*J268,U275*J268)),2)))</f>
        <v>0</v>
      </c>
      <c r="K275" s="64">
        <f>IF(B275=0,0,IF(AND(H260="ja",((U275)&lt;R285)),ROUND(((R287*R284+((R285/(R285-R284))-(R284/(R285-R284))*R287)*((U275)-R284))*(K268*2))-(((R285/(R285-R284))*((U275)-R284))*K268),2),ROUND(IF(V274&lt;(SUM(R269:R274)),IF((V275)&gt;(SUM(R269:R275)),(((SUM(R269:R275))-(V275-C274))*K268)+((U275-C274)*K268),U275*K268),IF(V275&gt;(SUM(R269:R275)),R275*K268,U275*K268)),2)))</f>
        <v>0</v>
      </c>
      <c r="L275" s="64">
        <f>IF(B275=0,0,IF(AND(H260="ja",((U275-C275)&lt;R285)),ROUND(((R287*R284+((R285/(R285-R284))-(R284/(R285-R284))*R287)*((U275-C275)-R284))*(L268)),2),ROUND(IF(SUM(B269:F274)&lt;(SUM(S269:S274)),IF((SUM(B269:F275))&gt;(SUM(S269:S275)),(((SUM(S269:S275))-(SUM(B269:F275)-C275))*L268)+((SUM(B275:F275)-C275)*L268),(SUM(B275:F275)-C275)*L268),IF(SUM(B269:F275)&gt;(SUM(S269:S275)),S275*L268,SUM(B275:F275)*L268)),2)))</f>
        <v>0</v>
      </c>
      <c r="M275" s="64">
        <f>IF(B275=0,0,IF(AND(H260="ja",((U275-C275)&lt;R285)),ROUND(((R287*R284+((R285/(R285-R284))-(R284/(R285-R284))*R287)*((U275-C275)-R284))*(M268)),2),ROUND(IF(SUM(B269:F274)&lt;(SUM(S269:S274)),IF((SUM(B269:F275))&gt;(SUM(S269:S275)),(((SUM(S269:S275))-(SUM(B269:F275)-C275))*M268)+((SUM(B275:F275)-C275)*M268),(SUM(B275:F275)-C275)*M268),IF(SUM(B269:F275)&gt;(SUM(S269:S275)),S275*M268,SUM(B275:F275)*M268)),2)))</f>
        <v>0</v>
      </c>
      <c r="N275" s="64">
        <f>IF(B275=0,0,IF(AND(H260="ja",((U275)&lt;R285)),ROUND(((R287*R284+((R285/(R285-R284))-(R284/(R285-R284))*R287)*((U275)-R284))*(N268)),2),ROUND(IF(SUM(B269:F274)&lt;(SUM(S269:S274)),IF((SUM(B269:F275))&gt;(SUM(S269:S275)),(((SUM(S269:S275))-(SUM(B269:F275)-C274))*N268)+((SUM(B275:F275)-C274)*N268),SUM(B275:F275)*N268),IF(SUM(B269:F275)&gt;(SUM(S269:S275)),S275*N268,SUM(B275:F275)*N268)),2)))</f>
        <v>0</v>
      </c>
      <c r="O275" s="21">
        <f>ROUND(SUM(B275+C275+F275)*O268,2)</f>
        <v>0</v>
      </c>
      <c r="P275" s="25">
        <f t="shared" si="45"/>
        <v>0</v>
      </c>
      <c r="Q275" s="456"/>
      <c r="R275" s="140">
        <f>ROUND(IF(M247="",R263,R263/M247*P252),2)</f>
        <v>5175</v>
      </c>
      <c r="S275" s="140">
        <f>ROUND(IF(M247="",R264,R264/M247*P252),2)</f>
        <v>7450</v>
      </c>
      <c r="U275" s="950">
        <f t="shared" si="46"/>
        <v>0</v>
      </c>
      <c r="V275" s="950">
        <f>SUM(B269:F275)</f>
        <v>0</v>
      </c>
    </row>
    <row r="276" spans="1:24" s="1" customFormat="1" x14ac:dyDescent="0.2">
      <c r="A276" s="76" t="str">
        <f>CONCATENATE("Aug ",O245)</f>
        <v>Aug 2025</v>
      </c>
      <c r="B276" s="22">
        <f>ROUND(IF(P253=0,0,IFERROR(((LOOKUP(2,1/(A254:A257=A276),G254:G257))*P253*4.348),B275/P252*P253)),2)</f>
        <v>0</v>
      </c>
      <c r="C276" s="21">
        <f>ROUND(IFERROR((LOOKUP(2,1/(A260=A276),E260)),0)+IFERROR((LOOKUP(2,1/(A261=A276),E261)),0),2)</f>
        <v>0</v>
      </c>
      <c r="D276" s="21">
        <f>ROUND(IF(B276=0,0,D268/M247*P253),2)</f>
        <v>0</v>
      </c>
      <c r="E276" s="21">
        <f>ROUND(IF(B276=0,0,E268/N243*P253),2)</f>
        <v>0</v>
      </c>
      <c r="F276" s="22">
        <f>ROUND(IF(P253=0,0,IFERROR(((LOOKUP(2,1/(A254:A257=A276),I254:I257))/N243*P253),F275/P252*P253)),2)</f>
        <v>0</v>
      </c>
      <c r="G276" s="25">
        <f t="shared" si="44"/>
        <v>0</v>
      </c>
      <c r="H276" s="64">
        <f>IF(B276=0,0,IF(AND(H260="ja",((U276)&lt;R285)),ROUND(((R287*R284+((R285/(R285-R284))-(R284/(R285-R284))*R287)*((U276)-R284))*(H268*2))-(((R285/(R285-R284))*((U276)-R284))*H268),2),ROUND(IF(V275&lt;(SUM(R269:R275)),IF((V276)&gt;(SUM(R269:R276)),(((SUM(R269:R276))-(V276-C275))*H268)+((U276-C275)*H268),U276*H268),IF(V276&gt;(SUM(R269:R276)),R276*H268,U276*H268)),2)))</f>
        <v>0</v>
      </c>
      <c r="I276" s="64">
        <f>IF(B276=0,0,IF(AND(H260="ja",((U276)&lt;R285)),ROUND(((R287*R284+((R285/(R285-R284))-(R284/(R285-R284))*R287)*((U276)-R284))*(I268*2))-(((R285/(R285-R284))*((U276)-R284))*I268),2),ROUND(IF(V275&lt;(SUM(S269:S275)),IF((V276)&gt;(SUM(S269:S276)),(((SUM(S269:S276))-(V276-C275))*I268)+((U276-C275)*I268),U276*I268),IF(V276&gt;(SUM(S269:S276)),S276*I268,U276*I268)),2)))</f>
        <v>0</v>
      </c>
      <c r="J276" s="64">
        <f>IF(B276=0,0,IF(AND(H260="ja",((U276)&lt;R285)),ROUND(((R287*R284+((R285/(R285-R284))-(R284/(R285-R284))*R287)*((U276)-R284))*(J268*2))-(((R285/(R285-R284))*((U276)-R284))*J268),2),ROUND(IF(V275&lt;(SUM(S269:S275)),IF((V276)&gt;(SUM(S269:S276)),(((SUM(S269:S276))-(V276-C275))*J268)+((U276-C275)*J268),U276*J268),IF(V276&gt;(SUM(S269:S276)),S276*J268,U276*J268)),2)))</f>
        <v>0</v>
      </c>
      <c r="K276" s="64">
        <f>IF(B276=0,0,IF(AND(H260="ja",((U276)&lt;R285)),ROUND(((R287*R284+((R285/(R285-R284))-(R284/(R285-R284))*R287)*((U276)-R284))*(K268*2))-(((R285/(R285-R284))*((U276)-R284))*K268),2),ROUND(IF(V275&lt;(SUM(R269:R275)),IF((V276)&gt;(SUM(R269:R276)),(((SUM(R269:R276))-(V276-C275))*K268)+((U276-C275)*K268),U276*K268),IF(V276&gt;(SUM(R269:R276)),R276*K268,U276*K268)),2)))</f>
        <v>0</v>
      </c>
      <c r="L276" s="64">
        <f>IF(B276=0,0,IF(AND(H260="ja",((U276-C276)&lt;R285)),ROUND(((R287*R284+((R285/(R285-R284))-(R284/(R285-R284))*R287)*((U276-C276)-R284))*(L268)),2),ROUND(IF(SUM(B269:F275)&lt;(SUM(S269:S275)),IF((SUM(B269:F276))&gt;(SUM(S269:S276)),(((SUM(S269:S276))-(SUM(B269:F276)-C276))*L268)+((SUM(B276:F276)-C276)*L268),(SUM(B276:F276)-C276)*L268),IF(SUM(B269:F276)&gt;(SUM(S269:S276)),S276*L268,SUM(B276:F276)*L268)),2)))</f>
        <v>0</v>
      </c>
      <c r="M276" s="64">
        <f>IF(B276=0,0,IF(AND(H260="ja",((U276-C276)&lt;R285)),ROUND(((R287*R284+((R285/(R285-R284))-(R284/(R285-R284))*R287)*((U276-C276)-R284))*(M268)),2),ROUND(IF(SUM(B269:F275)&lt;(SUM(S269:S275)),IF((SUM(B269:F276))&gt;(SUM(S269:S276)),(((SUM(S269:S276))-(SUM(B269:F276)-C276))*M268)+((SUM(B276:F276)-C276)*M268),(SUM(B276:F276)-C276)*M268),IF(SUM(B269:F276)&gt;(SUM(S269:S276)),S276*M268,SUM(B276:F276)*M268)),2)))</f>
        <v>0</v>
      </c>
      <c r="N276" s="64">
        <f>IF(B276=0,0,IF(AND(H260="ja",((U276)&lt;R285)),ROUND(((R287*R284+((R285/(R285-R284))-(R284/(R285-R284))*R287)*((U276)-R284))*(N268)),2),ROUND(IF(SUM(B269:F275)&lt;(SUM(S269:S275)),IF((SUM(B269:F276))&gt;(SUM(S269:S276)),(((SUM(S269:S276))-(SUM(B269:F276)-C275))*N268)+((SUM(B276:F276)-C275)*N268),SUM(B276:F276)*N268),IF(SUM(B269:F276)&gt;(SUM(S269:S276)),S276*N268,SUM(B276:F276)*N268)),2)))</f>
        <v>0</v>
      </c>
      <c r="O276" s="21">
        <f>ROUND(SUM(B276+C276+F276)*O268,2)</f>
        <v>0</v>
      </c>
      <c r="P276" s="25">
        <f t="shared" si="45"/>
        <v>0</v>
      </c>
      <c r="Q276" s="456"/>
      <c r="R276" s="140">
        <f>ROUND(IF(M247="",R263,R263/M247*P253),2)</f>
        <v>5175</v>
      </c>
      <c r="S276" s="140">
        <f>ROUND(IF(M247="",R264,R264/M247*P253),2)</f>
        <v>7450</v>
      </c>
      <c r="U276" s="950">
        <f t="shared" si="46"/>
        <v>0</v>
      </c>
      <c r="V276" s="950">
        <f>SUM(B269:F276)</f>
        <v>0</v>
      </c>
    </row>
    <row r="277" spans="1:24" s="1" customFormat="1" x14ac:dyDescent="0.2">
      <c r="A277" s="76" t="str">
        <f>CONCATENATE("Sep ",O245)</f>
        <v>Sep 2025</v>
      </c>
      <c r="B277" s="22">
        <f>ROUND(IF(P254=0,0,IFERROR(((LOOKUP(2,1/(A254:A257=A277),G254:G257))*P254*4.348),B276/P253*P254)),2)</f>
        <v>0</v>
      </c>
      <c r="C277" s="21">
        <f>ROUND(IFERROR((LOOKUP(2,1/(A260=A277),E260)),0)+IFERROR((LOOKUP(2,1/(A261=A277),E261)),0),2)</f>
        <v>0</v>
      </c>
      <c r="D277" s="21">
        <f>ROUND(IF(B277=0,0,D268/M247*P254),2)</f>
        <v>0</v>
      </c>
      <c r="E277" s="21">
        <f>ROUND(IF(B277=0,0,E268/N243*P254),2)</f>
        <v>0</v>
      </c>
      <c r="F277" s="22">
        <f>ROUND(IF(P254=0,0,IFERROR(((LOOKUP(2,1/(A254:A257=A277),I254:I257))/N243*P254),F276/P253*P254)),2)</f>
        <v>0</v>
      </c>
      <c r="G277" s="25">
        <f t="shared" si="44"/>
        <v>0</v>
      </c>
      <c r="H277" s="64">
        <f>IF(B277=0,0,IF(AND(H260="ja",((U277)&lt;R285)),ROUND(((R287*R284+((R285/(R285-R284))-(R284/(R285-R284))*R287)*((U277)-R284))*(H268*2))-(((R285/(R285-R284))*((U277)-R284))*H268),2),ROUND(IF(V276&lt;(SUM(R269:R276)),IF((V277)&gt;(SUM(R269:R277)),(((SUM(R269:R277))-(V277-C276))*H268)+((U277-C276)*H268),U277*H268),IF(V277&gt;(SUM(R269:R277)),R277*H268,U277*H268)),2)))</f>
        <v>0</v>
      </c>
      <c r="I277" s="64">
        <f>IF(B277=0,0,IF(AND(H260="ja",((U277)&lt;R285)),ROUND(((R287*R284+((R285/(R285-R284))-(R284/(R285-R284))*R287)*((U277)-R284))*(I268*2))-(((R285/(R285-R284))*((U277)-R284))*I268),2),ROUND(IF(V276&lt;(SUM(S269:S276)),IF((V277)&gt;(SUM(S269:S277)),(((SUM(S269:S277))-(V277-C276))*I268)+((U277-C276)*I268),U277*I268),IF(V277&gt;(SUM(S269:S277)),S277*I268,U277*I268)),2)))</f>
        <v>0</v>
      </c>
      <c r="J277" s="64">
        <f>IF(B277=0,0,IF(AND(H260="ja",((U277)&lt;R285)),ROUND(((R287*R284+((R285/(R285-R284))-(R284/(R285-R284))*R287)*((U277)-R284))*(J268*2))-(((R285/(R285-R284))*((U277)-R284))*J268),2),ROUND(IF(V276&lt;(SUM(S269:S276)),IF((V277)&gt;(SUM(S269:S277)),(((SUM(S269:S277))-(V277-C276))*J268)+((U277-C276)*J268),U277*J268),IF(V277&gt;(SUM(S269:S277)),S277*J268,U277*J268)),2)))</f>
        <v>0</v>
      </c>
      <c r="K277" s="64">
        <f>IF(B277=0,0,IF(AND(H260="ja",((U277)&lt;R285)),ROUND(((R287*R284+((R285/(R285-R284))-(R284/(R285-R284))*R287)*((U277)-R284))*(K268*2))-(((R285/(R285-R284))*((U277)-R284))*K268),2),ROUND(IF(V276&lt;(SUM(R269:R276)),IF((V277)&gt;(SUM(R269:R277)),(((SUM(R269:R277))-(V277-C276))*K268)+((U277-C276)*K268),U277*K268),IF(V277&gt;(SUM(R269:R277)),R277*K268,U277*K268)),2)))</f>
        <v>0</v>
      </c>
      <c r="L277" s="64">
        <f>IF(B277=0,0,IF(AND(H260="ja",((U277-C277)&lt;R285)),ROUND(((R287*R284+((R285/(R285-R284))-(R284/(R285-R284))*R287)*((U277-C277)-R284))*(L268)),2),ROUND(IF(SUM(B269:F276)&lt;(SUM(S269:S276)),IF((SUM(B269:F277))&gt;(SUM(S269:S277)),(((SUM(S269:S277))-(SUM(B269:F277)-C277))*L268)+((SUM(B277:F277)-C277)*L268),(SUM(B277:F277)-C277)*L268),IF(SUM(B269:F277)&gt;(SUM(S269:S277)),S277*L268,SUM(B277:F277)*L268)),2)))</f>
        <v>0</v>
      </c>
      <c r="M277" s="64">
        <f>IF(B277=0,0,IF(AND(H260="ja",((U277-C277)&lt;R285)),ROUND(((R287*R284+((R285/(R285-R284))-(R284/(R285-R284))*R287)*((U277-C277)-R284))*(M268)),2),ROUND(IF(SUM(B269:F276)&lt;(SUM(S269:S276)),IF((SUM(B269:F277))&gt;(SUM(S269:S277)),(((SUM(S269:S277))-(SUM(B269:F277)-C277))*M268)+((SUM(B277:F277)-C277)*M268),(SUM(B277:F277)-C277)*M268),IF(SUM(B269:F277)&gt;(SUM(S269:S277)),S277*M268,SUM(B277:F277)*M268)),2)))</f>
        <v>0</v>
      </c>
      <c r="N277" s="64">
        <f>IF(B277=0,0,IF(AND(H260="ja",((U277)&lt;R285)),ROUND(((R287*R284+((R285/(R285-R284))-(R284/(R285-R284))*R287)*((U277)-R284))*(N268)),2),ROUND(IF(SUM(B269:F276)&lt;(SUM(S269:S276)),IF((SUM(B269:F277))&gt;(SUM(S269:S277)),(((SUM(S269:S277))-(SUM(B269:F277)-C276))*N268)+((SUM(B277:F277)-C276)*N268),SUM(B277:F277)*N268),IF(SUM(B269:F277)&gt;(SUM(S269:S277)),S277*N268,SUM(B277:F277)*N268)),2)))</f>
        <v>0</v>
      </c>
      <c r="O277" s="21">
        <f>ROUND(SUM(B277+C277+F277)*O268,2)</f>
        <v>0</v>
      </c>
      <c r="P277" s="25">
        <f t="shared" si="45"/>
        <v>0</v>
      </c>
      <c r="Q277" s="456"/>
      <c r="R277" s="140">
        <f>ROUND(IF(M247="",R263,R263/M247*P254),2)</f>
        <v>5175</v>
      </c>
      <c r="S277" s="140">
        <f>ROUND(IF(M247="",R264,R264/M247*P254),2)</f>
        <v>7450</v>
      </c>
      <c r="U277" s="950">
        <f t="shared" si="46"/>
        <v>0</v>
      </c>
      <c r="V277" s="950">
        <f>SUM(B269:F277)</f>
        <v>0</v>
      </c>
    </row>
    <row r="278" spans="1:24" s="12" customFormat="1" ht="15" x14ac:dyDescent="0.25">
      <c r="A278" s="76" t="str">
        <f>CONCATENATE("Okt ",O245)</f>
        <v>Okt 2025</v>
      </c>
      <c r="B278" s="22">
        <f>ROUND(IF(P255=0,0,IFERROR(((LOOKUP(2,1/(A254:A257=A278),G254:G257))*P255*4.348),B277/P254*P255)),2)</f>
        <v>0</v>
      </c>
      <c r="C278" s="21">
        <f>ROUND(IFERROR((LOOKUP(2,1/(A260=A278),E260)),0)+IFERROR((LOOKUP(2,1/(A261=A278),E261)),0),2)</f>
        <v>0</v>
      </c>
      <c r="D278" s="21">
        <f>ROUND(IF(B278=0,0,D268/M247*P255),2)</f>
        <v>0</v>
      </c>
      <c r="E278" s="21">
        <f>ROUND(IF(B278=0,0,E268/N243*P255),2)</f>
        <v>0</v>
      </c>
      <c r="F278" s="22">
        <f>ROUND(IF(P255=0,0,IFERROR(((LOOKUP(2,1/(A254:A257=A278),I254:I257))/N243*P255),F277/P254*P255)),2)</f>
        <v>0</v>
      </c>
      <c r="G278" s="25">
        <f t="shared" si="44"/>
        <v>0</v>
      </c>
      <c r="H278" s="64">
        <f>IF(B278=0,0,IF(AND(H260="ja",((U278)&lt;R285)),ROUND(((R287*R284+((R285/(R285-R284))-(R284/(R285-R284))*R287)*((U278)-R284))*(H268*2))-(((R285/(R285-R284))*((U278)-R284))*H268),2),ROUND(IF(V277&lt;(SUM(R269:R277)),IF((V278)&gt;(SUM(R269:R278)),(((SUM(R269:R278))-(V278-C277))*H268)+((U278-C277)*H268),U278*H268),IF(V278&gt;(SUM(R269:R278)),R278*H268,U278*H268)),2)))</f>
        <v>0</v>
      </c>
      <c r="I278" s="64">
        <f>IF(B278=0,0,IF(AND(H260="ja",((U278)&lt;R285)),ROUND(((R287*R284+((R285/(R285-R284))-(R284/(R285-R284))*R287)*((U278)-R284))*(I268*2))-(((R285/(R285-R284))*((U278)-R284))*I268),2),ROUND(IF(V277&lt;(SUM(S269:S277)),IF((V278)&gt;(SUM(S269:S278)),(((SUM(S269:S278))-(V278-C277))*I268)+((U278-C277)*I268),U278*I268),IF(V278&gt;(SUM(S269:S278)),S278*I268,U278*I268)),2)))</f>
        <v>0</v>
      </c>
      <c r="J278" s="64">
        <f>IF(B278=0,0,IF(AND(H260="ja",((U278)&lt;R285)),ROUND(((R287*R284+((R285/(R285-R284))-(R284/(R285-R284))*R287)*((U278)-R284))*(J268*2))-(((R285/(R285-R284))*((U278)-R284))*J268),2),ROUND(IF(V277&lt;(SUM(S269:S277)),IF((V278)&gt;(SUM(S269:S278)),(((SUM(S269:S278))-(V278-C277))*J268)+((U278-C277)*J268),U278*J268),IF(V278&gt;(SUM(S269:S278)),S278*J268,U278*J268)),2)))</f>
        <v>0</v>
      </c>
      <c r="K278" s="64">
        <f>IF(B278=0,0,IF(AND(H260="ja",((U278)&lt;R285)),ROUND(((R287*R284+((R285/(R285-R284))-(R284/(R285-R284))*R287)*((U278)-R284))*(K268*2))-(((R285/(R285-R284))*((U278)-R284))*K268),2),ROUND(IF(V277&lt;(SUM(R269:R277)),IF((V278)&gt;(SUM(R269:R278)),(((SUM(R269:R278))-(V278-C277))*K268)+((U278-C277)*K268),U278*K268),IF(V278&gt;(SUM(R269:R278)),R278*K268,U278*K268)),2)))</f>
        <v>0</v>
      </c>
      <c r="L278" s="64">
        <f>IF(B278=0,0,IF(AND(H260="ja",((U278-C278)&lt;R285)),ROUND(((R287*R284+((R285/(R285-R284))-(R284/(R285-R284))*R287)*((U278-C278)-R284))*(L268)),2),ROUND(IF(SUM(B269:F277)&lt;(SUM(S269:S277)),IF((SUM(B269:F278))&gt;(SUM(S269:S278)),(((SUM(S269:S278))-(SUM(B269:F278)-C278))*L268)+((SUM(B278:F278)-C278)*L268),(SUM(B278:F278)-C278)*L268),IF(SUM(B269:F278)&gt;(SUM(S269:S278)),S278*L268,SUM(B278:F278)*L268)),2)))</f>
        <v>0</v>
      </c>
      <c r="M278" s="64">
        <f>IF(B278=0,0,IF(AND(H260="ja",((U278-C278)&lt;R285)),ROUND(((R287*R284+((R285/(R285-R284))-(R284/(R285-R284))*R287)*((U278-C278)-R284))*(M268)),2),ROUND(IF(SUM(B269:F277)&lt;(SUM(S269:S277)),IF((SUM(B269:F278))&gt;(SUM(S269:S278)),(((SUM(S269:S278))-(SUM(B269:F278)-C278))*M268)+((SUM(B278:F278)-C278)*M268),(SUM(B278:F278)-C278)*M268),IF(SUM(B269:F278)&gt;(SUM(S269:S278)),S278*M268,SUM(B278:F278)*M268)),2)))</f>
        <v>0</v>
      </c>
      <c r="N278" s="64">
        <f>IF(B278=0,0,IF(AND(H260="ja",((U278)&lt;R285)),ROUND(((R287*R284+((R285/(R285-R284))-(R284/(R285-R284))*R287)*((U278)-R284))*(N268)),2),ROUND(IF(SUM(B269:F277)&lt;(SUM(S269:S277)),IF((SUM(B269:F278))&gt;(SUM(S269:S278)),(((SUM(S269:S278))-(SUM(B269:F278)-C277))*N268)+((SUM(B278:F278)-C277)*N268),SUM(B278:F278)*N268),IF(SUM(B269:F278)&gt;(SUM(S269:S278)),S278*N268,SUM(B278:F278)*N268)),2)))</f>
        <v>0</v>
      </c>
      <c r="O278" s="21">
        <f>ROUND(SUM(B278+C278+F278)*O268,2)</f>
        <v>0</v>
      </c>
      <c r="P278" s="25">
        <f t="shared" si="45"/>
        <v>0</v>
      </c>
      <c r="Q278" s="936"/>
      <c r="R278" s="140">
        <f>ROUND(IF(M247="",R263,R263/M247*P255),2)</f>
        <v>5175</v>
      </c>
      <c r="S278" s="140">
        <f>ROUND(IF(M247="",R264,R264/M247*P255),2)</f>
        <v>7450</v>
      </c>
      <c r="U278" s="950">
        <f t="shared" si="46"/>
        <v>0</v>
      </c>
      <c r="V278" s="950">
        <f>SUM(B269:F278)</f>
        <v>0</v>
      </c>
      <c r="X278" s="1"/>
    </row>
    <row r="279" spans="1:24" s="11" customFormat="1" x14ac:dyDescent="0.2">
      <c r="A279" s="76" t="str">
        <f>CONCATENATE("Nov ",O245)</f>
        <v>Nov 2025</v>
      </c>
      <c r="B279" s="22">
        <f>ROUND(IF(P256=0,0,IFERROR(((LOOKUP(2,1/(A254:A257=A279),G254:G257))*P256*4.348),B278/P255*P256)),2)</f>
        <v>0</v>
      </c>
      <c r="C279" s="21">
        <f>ROUND(IFERROR((LOOKUP(2,1/(A260=A279),E260)),0)+(IFERROR((LOOKUP(2,1/(A261=A279),E261)),0)),2)</f>
        <v>0</v>
      </c>
      <c r="D279" s="21">
        <f>ROUND(IF(B279=0,0,D268/M247*P256),2)</f>
        <v>0</v>
      </c>
      <c r="E279" s="21">
        <f>ROUND(IF(B279=0,0,E268/N243*P256),2)</f>
        <v>0</v>
      </c>
      <c r="F279" s="22">
        <f>ROUND(IF(P256=0,0,IFERROR(((LOOKUP(2,1/(A254:A257=A279),I254:I257))/N243*P256),F278/P255*P256)),2)</f>
        <v>0</v>
      </c>
      <c r="G279" s="25">
        <f t="shared" si="44"/>
        <v>0</v>
      </c>
      <c r="H279" s="64">
        <f>IF(B279=0,0,IF(AND(H260="ja",((U279)&lt;R285)),ROUND(((R287*R284+((R285/(R285-R284))-(R284/(R285-R284))*R287)*((U279)-R284))*(H268*2))-(((R285/(R285-R284))*((U279)-R284))*H268),2),ROUND(IF(V278&lt;(SUM(R269:R278)),IF((V279)&gt;(SUM(R269:R279)),(((SUM(R269:R279))-(V279-C278))*H268)+((U279-C278)*H268),U279*H268),IF(V279&gt;(SUM(R269:R279)),R279*H268,U279*H268)),2)))</f>
        <v>0</v>
      </c>
      <c r="I279" s="64">
        <f>IF(B279=0,0,IF(AND(H260="ja",((U279)&lt;R285)),ROUND(((R287*R284+((R285/(R285-R284))-(R284/(R285-R284))*R287)*((U279)-R284))*(I268*2))-(((R285/(R285-R284))*((U279)-R284))*I268),2),ROUND(IF(V278&lt;(SUM(S269:S278)),IF((V279)&gt;(SUM(S269:S279)),(((SUM(S269:S279))-(V279-C278))*I268)+((U279-C278)*I268),U279*I268),IF(V279&gt;(SUM(S269:S279)),S279*I268,U279*I268)),2)))</f>
        <v>0</v>
      </c>
      <c r="J279" s="64">
        <f>IF(B279=0,0,IF(AND(H260="ja",((U279)&lt;R285)),ROUND(((R287*R284+((R285/(R285-R284))-(R284/(R285-R284))*R287)*((U279)-R284))*(J268*2))-(((R285/(R285-R284))*((U279)-R284))*J268),2),ROUND(IF(V278&lt;(SUM(S269:S278)),IF((V279)&gt;(SUM(S269:S279)),(((SUM(S269:S279))-(V279-C278))*J268)+((U279-C278)*J268),U279*J268),IF(V279&gt;(SUM(S269:S279)),S279*J268,U279*J268)),2)))</f>
        <v>0</v>
      </c>
      <c r="K279" s="64">
        <f>IF(B279=0,0,IF(AND(H260="ja",((U279)&lt;R285)),ROUND(((R287*R284+((R285/(R285-R284))-(R284/(R285-R284))*R287)*((U279)-R284))*(K268*2))-(((R285/(R285-R284))*((U279)-R284))*K268),2),ROUND(IF(V278&lt;(SUM(R269:R278)),IF((V279)&gt;(SUM(R269:R279)),(((SUM(R269:R279))-(V279-C278))*K268)+((U279-C278)*K268),U279*K268),IF(V279&gt;(SUM(R269:R279)),R279*K268,U279*K268)),2)))</f>
        <v>0</v>
      </c>
      <c r="L279" s="64">
        <f>IF(B279=0,0,IF(AND(H260="ja",((U279-C279)&lt;R285)),ROUND(((R287*R284+((R285/(R285-R284))-(R284/(R285-R284))*R287)*((U279-C279)-R284))*(L268)),2),ROUND(IF(SUM(B269:F278)&lt;(SUM(S269:S278)),IF((SUM(B269:F279))&gt;(SUM(S269:S279)),(((SUM(S269:S279))-(SUM(B269:F279)-C279))*L268)+((SUM(B279:F279)-C279)*L268),(SUM(B279:F279)-C279)*L268),IF(SUM(B269:F279)&gt;(SUM(S269:S279)),S279*L268,SUM(B279:F279)*L268)),2)))</f>
        <v>0</v>
      </c>
      <c r="M279" s="64">
        <f>IF(B279=0,0,IF(AND(H260="ja",((U279-C279)&lt;R285)),ROUND(((R287*R284+((R285/(R285-R284))-(R284/(R285-R284))*R287)*((U279-C279)-R284))*(M268)),2),ROUND(IF(SUM(B269:F278)&lt;(SUM(S269:S278)),IF((SUM(B269:F279))&gt;(SUM(S269:S279)),(((SUM(S269:S279))-(SUM(B269:F279)-C279))*M268)+((SUM(B279:F279)-C279)*M268),(SUM(B279:F279)-C279)*M268),IF(SUM(B269:F279)&gt;(SUM(S269:S279)),S279*M268,SUM(B279:F279)*M268)),2)))</f>
        <v>0</v>
      </c>
      <c r="N279" s="64">
        <f>IF(B279=0,0,IF(AND(H260="ja",((U279)&lt;R285)),ROUND(((R287*R284+((R285/(R285-R284))-(R284/(R285-R284))*R287)*((U279)-R284))*(N268)),2),ROUND(IF(SUM(B269:F278)&lt;(SUM(S269:S278)),IF((SUM(B269:F279))&gt;(SUM(S269:S279)),(((SUM(S269:S279))-(SUM(B269:F279)-C278))*N268)+((SUM(B279:F279)-C278)*N268),SUM(B279:F279)*N268),IF(SUM(B269:F279)&gt;(SUM(S269:S279)),S279*N268,SUM(B279:F279)*N268)),2)))</f>
        <v>0</v>
      </c>
      <c r="O279" s="21">
        <f>ROUND(SUM(B279+C279+F279)*O268,2)</f>
        <v>0</v>
      </c>
      <c r="P279" s="25">
        <f t="shared" si="45"/>
        <v>0</v>
      </c>
      <c r="R279" s="140">
        <f>ROUND(IF(M247="",R263,R263/M247*P256),2)</f>
        <v>5175</v>
      </c>
      <c r="S279" s="140">
        <f>ROUND(IF(M247="",R264,R264/M247*P256),2)</f>
        <v>7450</v>
      </c>
      <c r="U279" s="950">
        <f t="shared" si="46"/>
        <v>0</v>
      </c>
      <c r="V279" s="950">
        <f>SUM(B269:F279)</f>
        <v>0</v>
      </c>
      <c r="X279" s="1"/>
    </row>
    <row r="280" spans="1:24" s="1" customFormat="1" ht="14.25" customHeight="1" x14ac:dyDescent="0.2">
      <c r="A280" s="76" t="str">
        <f>CONCATENATE("Dez ",O245)</f>
        <v>Dez 2025</v>
      </c>
      <c r="B280" s="22">
        <f>ROUND(IF(P257=0,0,IFERROR(((LOOKUP(2,1/(A254:A257=A280),G254:G257))*P257*4.348),B279/P256*P257)),2)</f>
        <v>0</v>
      </c>
      <c r="C280" s="21">
        <f>ROUND(IFERROR((LOOKUP(2,1/(A260=A280),E260)),0)+IFERROR((LOOKUP(2,1/(A261=A280),E261)),0),2)</f>
        <v>0</v>
      </c>
      <c r="D280" s="21">
        <f>ROUND(IF(B280=0,0,D268/M247*P257),2)</f>
        <v>0</v>
      </c>
      <c r="E280" s="21">
        <f>ROUND(IF(B280=0,0,E268/N243*P257),2)</f>
        <v>0</v>
      </c>
      <c r="F280" s="22">
        <f>ROUND(IF(P257=0,0,IFERROR(((LOOKUP(2,1/(A254:A257=A280),I254:I257))/N243*P257),F279/P256*P257)),2)</f>
        <v>0</v>
      </c>
      <c r="G280" s="25">
        <f t="shared" si="44"/>
        <v>0</v>
      </c>
      <c r="H280" s="64">
        <f>IF(B280=0,0,IF(AND(H260="ja",((U280)&lt;R285)),ROUND(((R287*R284+((R285/(R285-R284))-(R284/(R285-R284))*R287)*((U280)-R284))*(H268*2))-(((R285/(R285-R284))*((U280)-R284))*H268),2),ROUND(IF(V279&lt;(SUM(R269:R279)),IF((V280)&gt;(SUM(R269:R280)),(((SUM(R269:R280))-(V280-C279))*H268)+((U280-C279)*H268),U280*H268),IF(V280&gt;(SUM(R269:R280)),R280*H268,U280*H268)),2)))</f>
        <v>0</v>
      </c>
      <c r="I280" s="64">
        <f>IF(B280=0,0,IF(AND(H260="ja",((U280)&lt;R285)),ROUND(((R287*R284+((R285/(R285-R284))-(R284/(R285-R284))*R287)*((U280)-R284))*(I268*2))-(((R285/(R285-R284))*((U280)-R284))*I268),2),ROUND(IF(V279&lt;(SUM(S269:S279)),IF((V280)&gt;(SUM(S269:S280)),(((SUM(S269:S280))-(V280-C279))*I268)+((U280-C279)*I268),U280*I268),IF(V280&gt;(SUM(S269:S280)),S280*I268,U280*I268)),2)))</f>
        <v>0</v>
      </c>
      <c r="J280" s="64">
        <f>IF(B280=0,0,IF(AND(H260="ja",((U280)&lt;R285)),ROUND(((R287*R284+((R285/(R285-R284))-(R284/(R285-R284))*R287)*((U280)-R284))*(J268*2))-(((R285/(R285-R284))*((U280)-R284))*J268),2),ROUND(IF(V279&lt;(SUM(S269:S279)),IF((V280)&gt;(SUM(S269:S280)),(((SUM(S269:S280))-(V280-C279))*J268)+((U280-C279)*J268),U280*J268),IF(V280&gt;(SUM(S269:S280)),S280*J268,U280*J268)),2)))</f>
        <v>0</v>
      </c>
      <c r="K280" s="64">
        <f>IF(B280=0,0,IF(AND(H260="ja",((U280)&lt;R285)),ROUND(((R287*R284+((R285/(R285-R284))-(R284/(R285-R284))*R287)*((U280)-R284))*(K268*2))-(((R285/(R285-R284))*((U280)-R284))*K268),2),ROUND(IF(V279&lt;(SUM(R269:R279)),IF((V280)&gt;(SUM(R269:R280)),(((SUM(R269:R280))-(V280-C279))*K268)+((U280-C279)*K268),U280*K268),IF(V280&gt;(SUM(R269:R280)),R280*K268,U280*K268)),2)))</f>
        <v>0</v>
      </c>
      <c r="L280" s="64">
        <f>IF(B280=0,0,IF(AND(H260="ja",((U280-C280)&lt;R285)),ROUND(((R287*R284+((R285/(R285-R284))-(R284/(R285-R284))*R287)*((U280-C280)-R284))*(L268)),2),ROUND(IF(SUM(B269:F279)&lt;(SUM(S269:S279)),IF((SUM(B269:F280))&gt;(SUM(S269:S280)),(((SUM(S269:S280))-(SUM(B269:F280)-C280))*L268)+((SUM(B280:F280)-C280)*L268),(SUM(B280:F280)-C280)*L268),IF(SUM(B269:F280)&gt;(SUM(S269:S280)),S280*L268,SUM(B280:F280)*L268)),2)))</f>
        <v>0</v>
      </c>
      <c r="M280" s="64">
        <f>IF(B280=0,0,IF(AND(H260="ja",((U280-C280)&lt;R285)),ROUND(((R287*R284+((R285/(R285-R284))-(R284/(R285-R284))*R287)*((U280-C280)-R284))*(M268)),2),ROUND(IF(SUM(B269:F279)&lt;(SUM(S269:S279)),IF((SUM(B269:F280))&gt;(SUM(S269:S280)),(((SUM(S269:S280))-(SUM(B269:F280)-C280))*M268)+((SUM(B280:F280)-C280)*M268),(SUM(B280:F280)-C280)*M268),IF(SUM(B269:F280)&gt;(SUM(S269:S280)),S280*M268,SUM(B280:F280)*M268)),2)))</f>
        <v>0</v>
      </c>
      <c r="N280" s="64">
        <f>IF(B280=0,0,IF(AND(H260="ja",((U280)&lt;R285)),ROUND(((R287*R284+((R285/(R285-R284))-(R284/(R285-R284))*R287)*((U280)-R284))*(N268)),2),ROUND(IF(SUM(B269:F279)&lt;(SUM(S269:S279)),IF((SUM(B269:F280))&gt;(SUM(S269:S280)),(((SUM(S269:S280))-(SUM(B269:F280)-C279))*N268)+((SUM(B280:F280)-C279)*N268),SUM(B280:F280)*N268),IF(SUM(B269:F280)&gt;(SUM(S269:S280)),S280*N268,SUM(B280:F280)*N268)),2)))</f>
        <v>0</v>
      </c>
      <c r="O280" s="21">
        <f>ROUND(SUM(B280+C280+F280)*O268,2)</f>
        <v>0</v>
      </c>
      <c r="P280" s="25">
        <f t="shared" si="45"/>
        <v>0</v>
      </c>
      <c r="Q280" s="11"/>
      <c r="R280" s="140">
        <f>ROUND(IF(M247="",R263,R263/M247*P257),2)</f>
        <v>5175</v>
      </c>
      <c r="S280" s="140">
        <f>ROUND(IF(M247="",R264,R264/M247*P257),2)</f>
        <v>7450</v>
      </c>
      <c r="U280" s="950">
        <f t="shared" si="46"/>
        <v>0</v>
      </c>
      <c r="V280" s="950">
        <f>SUM(B269:F280)</f>
        <v>0</v>
      </c>
    </row>
    <row r="281" spans="1:24" s="1" customFormat="1" ht="15" customHeight="1" x14ac:dyDescent="0.2">
      <c r="A281" s="2" t="s">
        <v>1</v>
      </c>
      <c r="B281" s="25">
        <f t="shared" ref="B281:G281" si="47">SUM(B269:B280)</f>
        <v>0</v>
      </c>
      <c r="C281" s="25">
        <f t="shared" si="47"/>
        <v>0</v>
      </c>
      <c r="D281" s="25">
        <f t="shared" si="47"/>
        <v>0</v>
      </c>
      <c r="E281" s="25">
        <f t="shared" si="47"/>
        <v>0</v>
      </c>
      <c r="F281" s="25">
        <f t="shared" si="47"/>
        <v>0</v>
      </c>
      <c r="G281" s="25">
        <f t="shared" si="47"/>
        <v>0</v>
      </c>
      <c r="H281" s="1309">
        <f>SUM(H269:N280)</f>
        <v>0</v>
      </c>
      <c r="I281" s="1310"/>
      <c r="J281" s="1310"/>
      <c r="K281" s="1310"/>
      <c r="L281" s="1310"/>
      <c r="M281" s="1310"/>
      <c r="N281" s="1311"/>
      <c r="O281" s="25">
        <f>SUM(O269:O280)</f>
        <v>0</v>
      </c>
      <c r="P281" s="25">
        <f>SUM(P269:P280)</f>
        <v>0</v>
      </c>
    </row>
    <row r="282" spans="1:24" s="1" customFormat="1" ht="12" customHeight="1" x14ac:dyDescent="0.2"/>
    <row r="283" spans="1:24" s="1" customFormat="1" ht="14.25" customHeight="1" x14ac:dyDescent="0.2">
      <c r="B283" s="906"/>
      <c r="H283" s="905"/>
      <c r="I283" s="62"/>
      <c r="J283" s="914" t="s">
        <v>123</v>
      </c>
      <c r="L283" s="900" t="s">
        <v>124</v>
      </c>
      <c r="M283" s="974" t="str">
        <f>IF(IF(G281=0,"",'päd.Personal - Leitung'!$M$43)=0,"",IF(G281=0,"",'päd.Personal - Leitung'!$M$43))</f>
        <v/>
      </c>
      <c r="N283" s="902" t="s">
        <v>125</v>
      </c>
      <c r="O283" s="963" t="str">
        <f>IF(IF(G281=0,"",'päd.Personal - Leitung'!$O$43)=0,"",IF(G281=0,"",'päd.Personal - Leitung'!$O$43))</f>
        <v/>
      </c>
      <c r="P283" s="25">
        <f>ROUND(IF(M283="",0,G281*M283*O283/1000),2)</f>
        <v>0</v>
      </c>
      <c r="Q283" s="937"/>
      <c r="R283" s="938">
        <v>2025</v>
      </c>
      <c r="S283" s="939"/>
    </row>
    <row r="284" spans="1:24" s="1" customFormat="1" ht="14.25" customHeight="1" x14ac:dyDescent="0.2">
      <c r="H284" s="907"/>
      <c r="I284" s="42"/>
      <c r="M284" s="915" t="s">
        <v>129</v>
      </c>
      <c r="N284" s="80" t="s">
        <v>125</v>
      </c>
      <c r="O284" s="75" t="str">
        <f>IF(IF(G281=0,"",'päd.Personal - Leitung'!$O$44)=0,"",IF(G281=0,"",'päd.Personal - Leitung'!$O$44))</f>
        <v/>
      </c>
      <c r="P284" s="25">
        <f>ROUND(IF(O284="",0,G281*O284/1000),2)</f>
        <v>0</v>
      </c>
      <c r="Q284" s="942" t="s">
        <v>737</v>
      </c>
      <c r="R284" s="141">
        <f>'päd.Personal - Leitung'!$R$44</f>
        <v>556</v>
      </c>
      <c r="S284" s="955">
        <f>'päd.Personal - Leitung'!$S$44</f>
        <v>12.82</v>
      </c>
    </row>
    <row r="285" spans="1:24" s="1" customFormat="1" ht="14.25" customHeight="1" x14ac:dyDescent="0.2">
      <c r="H285" s="912" t="s">
        <v>126</v>
      </c>
      <c r="I285" s="1013" t="s">
        <v>127</v>
      </c>
      <c r="J285" s="975" t="str">
        <f>IF(IF(G281=0,"",'päd.Personal - Leitung'!$J$45)=0,"",IF(G281=0,"",'päd.Personal - Leitung'!$J$45))</f>
        <v/>
      </c>
      <c r="K285" s="902" t="s">
        <v>128</v>
      </c>
      <c r="L285" s="964" t="str">
        <f>IF(IF(G281=0,"",'päd.Personal - Leitung'!$L$45)=0,"",IF(G281=0,"",'päd.Personal - Leitung'!$L$45))</f>
        <v/>
      </c>
      <c r="M285" s="16"/>
      <c r="N285" s="900" t="s">
        <v>132</v>
      </c>
      <c r="O285" s="965" t="str">
        <f>IF(IF(G281=0,"",'päd.Personal - Leitung'!$O$45)=0,"",IF(G281=0,"",'päd.Personal - Leitung'!$O$45))</f>
        <v/>
      </c>
      <c r="P285" s="25">
        <f>ROUND(IF(J285="",0,(J285*L285/O285)/M249*M250),2)</f>
        <v>0</v>
      </c>
      <c r="Q285" s="942" t="s">
        <v>738</v>
      </c>
      <c r="R285" s="140">
        <f>'päd.Personal - Leitung'!$R$45</f>
        <v>2000</v>
      </c>
      <c r="S285" s="939"/>
    </row>
    <row r="286" spans="1:24" s="1" customFormat="1" ht="14.25" customHeight="1" x14ac:dyDescent="0.2">
      <c r="D286" s="16"/>
      <c r="I286" s="16"/>
      <c r="J286" s="16"/>
      <c r="K286" s="63"/>
      <c r="L286" s="67"/>
      <c r="M286" s="915" t="s">
        <v>130</v>
      </c>
      <c r="N286" s="80" t="s">
        <v>131</v>
      </c>
      <c r="O286" s="904">
        <f>IF(IF(G281="",0,'päd.Personal - Leitung'!$O$94)=0,0,IF(G281="",0,'päd.Personal - Leitung'!$O$94))</f>
        <v>0</v>
      </c>
      <c r="P286" s="21">
        <f>ROUND(IF(G281=0,0,O286/M247*M248),2)</f>
        <v>0</v>
      </c>
      <c r="Q286" s="942" t="s">
        <v>740</v>
      </c>
      <c r="R286" s="956">
        <f>'päd.Personal - Leitung'!$R$46</f>
        <v>0.40900000000000003</v>
      </c>
    </row>
    <row r="287" spans="1:24" s="1" customFormat="1" ht="14.25" customHeight="1" x14ac:dyDescent="0.2">
      <c r="A287" s="16"/>
      <c r="B287" s="16"/>
      <c r="I287" s="905"/>
      <c r="J287" s="961" t="s">
        <v>176</v>
      </c>
      <c r="K287" s="1312" t="str">
        <f>IF($K$47="","",$K$47)</f>
        <v/>
      </c>
      <c r="L287" s="1312"/>
      <c r="M287" s="1312"/>
      <c r="N287" s="80" t="s">
        <v>131</v>
      </c>
      <c r="O287" s="904">
        <f>IF(IF(G281="",0,'päd.Personal - Leitung'!$O$95)=0,0,IF(G281="",0,'päd.Personal - Leitung'!$O$95))</f>
        <v>0</v>
      </c>
      <c r="P287" s="21">
        <f>ROUND(IF(G281=0,0,O287/M247*M248),2)</f>
        <v>0</v>
      </c>
      <c r="Q287" s="942" t="s">
        <v>739</v>
      </c>
      <c r="R287" s="940">
        <f>'päd.Personal - Leitung'!$R$47</f>
        <v>0.68459999999999999</v>
      </c>
      <c r="S287" s="957">
        <f>'päd.Personal - Leitung'!$S$47</f>
        <v>0.28000000000000003</v>
      </c>
    </row>
    <row r="288" spans="1:24" s="1" customFormat="1" ht="14.25" customHeight="1" x14ac:dyDescent="0.2">
      <c r="A288" s="908"/>
      <c r="B288" s="908"/>
      <c r="C288" s="1013"/>
      <c r="D288" s="1013"/>
      <c r="I288" s="913"/>
      <c r="J288" s="913"/>
      <c r="K288" s="916"/>
      <c r="L288" s="27"/>
      <c r="M288" s="27"/>
      <c r="N288" s="27"/>
      <c r="O288" s="26" t="s">
        <v>0</v>
      </c>
      <c r="P288" s="25">
        <f>P281+SUM(P283:P287)</f>
        <v>0</v>
      </c>
    </row>
    <row r="289" spans="1:19" s="10" customFormat="1" ht="13.5" customHeight="1" x14ac:dyDescent="0.2">
      <c r="A289" s="1321" t="s">
        <v>17</v>
      </c>
      <c r="B289" s="1321"/>
      <c r="C289" s="1321"/>
      <c r="D289" s="1320" t="str">
        <f>IF('päd.Personal - Leitung'!$D$1="","",'päd.Personal - Leitung'!$D$1)</f>
        <v/>
      </c>
      <c r="E289" s="1320"/>
      <c r="F289" s="1320"/>
      <c r="G289" s="1320"/>
      <c r="H289" s="1320"/>
      <c r="I289" s="1320"/>
      <c r="J289" s="1320"/>
      <c r="K289" s="1320"/>
      <c r="L289" s="1320"/>
      <c r="M289" s="1320"/>
      <c r="N289" s="1320"/>
    </row>
    <row r="290" spans="1:19" s="10" customFormat="1" ht="15" customHeight="1" x14ac:dyDescent="0.2">
      <c r="A290" s="1321" t="s">
        <v>16</v>
      </c>
      <c r="B290" s="1321"/>
      <c r="C290" s="1321" t="s">
        <v>14</v>
      </c>
      <c r="D290" s="1320" t="str">
        <f>IF('päd.Personal - Leitung'!$D$2="","",'päd.Personal - Leitung'!$D$2)</f>
        <v/>
      </c>
      <c r="E290" s="1320"/>
      <c r="F290" s="1320"/>
      <c r="G290" s="1320"/>
      <c r="H290" s="1320"/>
      <c r="I290" s="1320"/>
      <c r="J290" s="1320"/>
      <c r="K290" s="1320"/>
      <c r="L290" s="1320"/>
      <c r="M290" s="1320"/>
      <c r="N290" s="1320"/>
    </row>
    <row r="291" spans="1:19" s="10" customFormat="1" ht="15" customHeight="1" x14ac:dyDescent="0.2">
      <c r="A291" s="1321" t="s">
        <v>15</v>
      </c>
      <c r="B291" s="1321"/>
      <c r="C291" s="1321" t="s">
        <v>14</v>
      </c>
      <c r="D291" s="1320" t="str">
        <f>IF('päd.Personal - Leitung'!$D$3="","",'päd.Personal - Leitung'!$D$3)</f>
        <v/>
      </c>
      <c r="E291" s="1320"/>
      <c r="F291" s="1320"/>
      <c r="G291" s="1320"/>
      <c r="H291" s="1320"/>
      <c r="I291" s="1320"/>
      <c r="J291" s="1320"/>
      <c r="K291" s="1321" t="s">
        <v>100</v>
      </c>
      <c r="L291" s="1321"/>
      <c r="M291" s="1321"/>
      <c r="N291" s="38" t="str">
        <f>IF('päd.Personal - Leitung'!$N$3="","",'päd.Personal - Leitung'!$N$3)</f>
        <v/>
      </c>
    </row>
    <row r="292" spans="1:19" s="923" customFormat="1" ht="7.5" customHeight="1" x14ac:dyDescent="0.15">
      <c r="A292" s="1353"/>
      <c r="B292" s="1353"/>
      <c r="C292" s="1353"/>
      <c r="D292" s="1354"/>
      <c r="E292" s="1354"/>
      <c r="F292" s="1354"/>
      <c r="G292" s="1354"/>
      <c r="H292" s="1354"/>
      <c r="I292" s="1354"/>
      <c r="J292" s="1354"/>
      <c r="K292" s="922"/>
      <c r="L292" s="922"/>
      <c r="M292" s="922"/>
      <c r="N292" s="922"/>
      <c r="O292" s="922"/>
      <c r="P292" s="922"/>
    </row>
    <row r="293" spans="1:19" s="13" customFormat="1" ht="13.5" customHeight="1" x14ac:dyDescent="0.2">
      <c r="A293" s="1355" t="s">
        <v>151</v>
      </c>
      <c r="B293" s="1355"/>
      <c r="C293" s="1355"/>
      <c r="D293" s="1355"/>
      <c r="E293" s="1355"/>
      <c r="F293" s="1355"/>
      <c r="G293" s="1355"/>
      <c r="H293" s="1355"/>
      <c r="I293" s="1355"/>
      <c r="J293" s="1355"/>
      <c r="K293" s="7"/>
      <c r="L293" s="7"/>
      <c r="M293" s="7"/>
      <c r="N293" s="52"/>
      <c r="O293" s="138">
        <f>'päd.Personal - Leitung'!$O$5</f>
        <v>2025</v>
      </c>
      <c r="P293" s="52" t="s">
        <v>140</v>
      </c>
    </row>
    <row r="294" spans="1:19" s="8" customFormat="1" ht="13.5" customHeight="1" x14ac:dyDescent="0.25">
      <c r="B294" s="29"/>
      <c r="C294" s="29"/>
      <c r="D294" s="3" t="s">
        <v>42</v>
      </c>
      <c r="E294" s="28"/>
      <c r="F294" s="28"/>
      <c r="G294" s="28"/>
      <c r="H294" s="28"/>
      <c r="I294" s="24"/>
      <c r="K294" s="1327" t="s">
        <v>13</v>
      </c>
      <c r="L294" s="1327"/>
      <c r="M294" s="131"/>
      <c r="O294" s="928" t="str">
        <f>A317</f>
        <v>Jan 2025</v>
      </c>
      <c r="P294" s="1402">
        <f>IF(M296="","",M296)</f>
        <v>0</v>
      </c>
    </row>
    <row r="295" spans="1:19" s="5" customFormat="1" ht="13.5" customHeight="1" x14ac:dyDescent="0.25">
      <c r="A295" s="1328" t="s">
        <v>754</v>
      </c>
      <c r="B295" s="1328"/>
      <c r="C295" s="1328"/>
      <c r="D295" s="1345"/>
      <c r="E295" s="1345"/>
      <c r="F295" s="1345"/>
      <c r="G295" s="1345"/>
      <c r="H295" s="1345"/>
      <c r="I295" s="1345"/>
      <c r="K295" s="1327" t="s">
        <v>101</v>
      </c>
      <c r="L295" s="1327"/>
      <c r="M295" s="101"/>
      <c r="O295" s="928" t="str">
        <f t="shared" ref="O295:O305" si="48">A318</f>
        <v>Feb 2025</v>
      </c>
      <c r="P295" s="1403">
        <f t="shared" ref="P295:P302" si="49">IF(P294="","",P294)</f>
        <v>0</v>
      </c>
    </row>
    <row r="296" spans="1:19" s="1" customFormat="1" ht="13.5" customHeight="1" x14ac:dyDescent="0.2">
      <c r="A296" s="1328" t="s">
        <v>12</v>
      </c>
      <c r="B296" s="1328"/>
      <c r="C296" s="1328"/>
      <c r="D296" s="1345"/>
      <c r="E296" s="1345"/>
      <c r="F296" s="1345"/>
      <c r="G296" s="1345"/>
      <c r="H296" s="1345"/>
      <c r="I296" s="1345"/>
      <c r="K296" s="1327" t="s">
        <v>149</v>
      </c>
      <c r="L296" s="1327"/>
      <c r="M296" s="101">
        <f>IF((M297+M298)&gt;M295,0,M295-M297-M298)</f>
        <v>0</v>
      </c>
      <c r="O296" s="928" t="str">
        <f t="shared" si="48"/>
        <v>Mrz 2025</v>
      </c>
      <c r="P296" s="1403">
        <f t="shared" si="49"/>
        <v>0</v>
      </c>
    </row>
    <row r="297" spans="1:19" s="1" customFormat="1" ht="13.5" customHeight="1" x14ac:dyDescent="0.2">
      <c r="A297" s="1328" t="s">
        <v>11</v>
      </c>
      <c r="B297" s="1328"/>
      <c r="C297" s="1328"/>
      <c r="D297" s="1345"/>
      <c r="E297" s="1345"/>
      <c r="F297" s="1345"/>
      <c r="G297" s="1345"/>
      <c r="H297" s="1345"/>
      <c r="I297" s="1345"/>
      <c r="K297" s="1327" t="s">
        <v>150</v>
      </c>
      <c r="L297" s="1327"/>
      <c r="M297" s="101"/>
      <c r="O297" s="928" t="str">
        <f t="shared" si="48"/>
        <v>Apr 2025</v>
      </c>
      <c r="P297" s="1403">
        <f t="shared" si="49"/>
        <v>0</v>
      </c>
    </row>
    <row r="298" spans="1:19" s="1" customFormat="1" ht="13.5" customHeight="1" x14ac:dyDescent="0.2">
      <c r="A298" s="1328" t="s">
        <v>18</v>
      </c>
      <c r="B298" s="1328"/>
      <c r="C298" s="1328"/>
      <c r="D298" s="1345"/>
      <c r="E298" s="1345"/>
      <c r="F298" s="1345"/>
      <c r="G298" s="1345"/>
      <c r="H298" s="1345"/>
      <c r="I298" s="1345"/>
      <c r="K298" s="1327" t="s">
        <v>222</v>
      </c>
      <c r="L298" s="1327"/>
      <c r="M298" s="101"/>
      <c r="O298" s="928" t="str">
        <f t="shared" si="48"/>
        <v>Mai 2025</v>
      </c>
      <c r="P298" s="1403">
        <f t="shared" si="49"/>
        <v>0</v>
      </c>
    </row>
    <row r="299" spans="1:19" s="1" customFormat="1" ht="13.5" customHeight="1" x14ac:dyDescent="0.2">
      <c r="B299" s="6"/>
      <c r="C299" s="1029" t="s">
        <v>147</v>
      </c>
      <c r="D299" s="1324"/>
      <c r="E299" s="1324"/>
      <c r="F299" s="1359" t="s">
        <v>103</v>
      </c>
      <c r="G299" s="1359"/>
      <c r="H299" s="1361"/>
      <c r="I299" s="1361"/>
      <c r="K299" s="1327" t="s">
        <v>94</v>
      </c>
      <c r="L299" s="1327"/>
      <c r="M299" s="15" t="str">
        <f>IF(IF((COUNTIF(B317:B328,"&gt;0"))=0,0,(COUNTIF(B317:B328,"&gt;0")))&gt;Grundlagen!$C$26,Grundlagen!$C$26,IF((COUNTIF(B317:B328,"&gt;0"))=0,"",(COUNTIF(B317:B328,"&gt;0"))))</f>
        <v/>
      </c>
      <c r="O299" s="928" t="str">
        <f t="shared" si="48"/>
        <v>Jun 2025</v>
      </c>
      <c r="P299" s="1403">
        <f t="shared" si="49"/>
        <v>0</v>
      </c>
    </row>
    <row r="300" spans="1:19" s="1" customFormat="1" ht="13.5" customHeight="1" x14ac:dyDescent="0.2">
      <c r="I300" s="4"/>
      <c r="M300" s="102" t="str">
        <f>IF((SUM(F302:F305))=0,"",IF(P306&gt;M296,M296,IF(M296="","",IF(M299="","",P306))))</f>
        <v/>
      </c>
      <c r="O300" s="928" t="str">
        <f t="shared" si="48"/>
        <v>Jul 2025</v>
      </c>
      <c r="P300" s="1403">
        <f t="shared" si="49"/>
        <v>0</v>
      </c>
    </row>
    <row r="301" spans="1:19" s="46" customFormat="1" ht="13.5" customHeight="1" x14ac:dyDescent="0.2">
      <c r="A301" s="54" t="s">
        <v>134</v>
      </c>
      <c r="B301" s="1356" t="s">
        <v>135</v>
      </c>
      <c r="C301" s="1356"/>
      <c r="D301" s="55" t="s">
        <v>136</v>
      </c>
      <c r="E301" s="56" t="s">
        <v>137</v>
      </c>
      <c r="F301" s="57" t="str">
        <f>CONCATENATE("Entg. ",N291," h/Wo")</f>
        <v>Entg.  h/Wo</v>
      </c>
      <c r="G301" s="58" t="s">
        <v>138</v>
      </c>
      <c r="I301" s="58" t="s">
        <v>139</v>
      </c>
      <c r="K301" s="970"/>
      <c r="L301" s="970"/>
      <c r="M301" s="59"/>
      <c r="N301" s="968"/>
      <c r="O301" s="928" t="str">
        <f t="shared" si="48"/>
        <v>Aug 2025</v>
      </c>
      <c r="P301" s="1403">
        <f t="shared" si="49"/>
        <v>0</v>
      </c>
      <c r="Q301" s="85"/>
      <c r="R301" s="85"/>
      <c r="S301" s="85"/>
    </row>
    <row r="302" spans="1:19" s="46" customFormat="1" ht="13.5" customHeight="1" x14ac:dyDescent="0.25">
      <c r="A302" s="48" t="str">
        <f>'päd.Personal - Leitung'!$A$14</f>
        <v>Jan 2025</v>
      </c>
      <c r="B302" s="1357" t="str">
        <f>IF($D$3="","",$D$3)</f>
        <v/>
      </c>
      <c r="C302" s="1358"/>
      <c r="D302" s="132"/>
      <c r="E302" s="132"/>
      <c r="F302" s="71"/>
      <c r="G302" s="50">
        <f>IF(N291="",0,F302/N291/4.348)</f>
        <v>0</v>
      </c>
      <c r="I302" s="125">
        <f>SUM(J302:M302)</f>
        <v>0</v>
      </c>
      <c r="J302" s="124"/>
      <c r="K302" s="124"/>
      <c r="L302" s="124"/>
      <c r="M302" s="124"/>
      <c r="N302" s="969"/>
      <c r="O302" s="928" t="str">
        <f t="shared" si="48"/>
        <v>Sep 2025</v>
      </c>
      <c r="P302" s="1403">
        <f t="shared" si="49"/>
        <v>0</v>
      </c>
      <c r="Q302" s="85"/>
      <c r="R302" s="85"/>
      <c r="S302" s="85"/>
    </row>
    <row r="303" spans="1:19" s="46" customFormat="1" ht="13.5" customHeight="1" x14ac:dyDescent="0.25">
      <c r="A303" s="49"/>
      <c r="B303" s="1322" t="str">
        <f>IF(A303="","",B302)</f>
        <v/>
      </c>
      <c r="C303" s="1323"/>
      <c r="D303" s="132"/>
      <c r="E303" s="132"/>
      <c r="F303" s="71"/>
      <c r="G303" s="50">
        <f>IF(N291="",0,F303/N291/4.348)</f>
        <v>0</v>
      </c>
      <c r="I303" s="125">
        <f t="shared" ref="I303:I305" si="50">SUM(J303:M303)</f>
        <v>0</v>
      </c>
      <c r="J303" s="124"/>
      <c r="K303" s="124"/>
      <c r="L303" s="124"/>
      <c r="M303" s="124"/>
      <c r="N303" s="969"/>
      <c r="O303" s="928" t="str">
        <f t="shared" si="48"/>
        <v>Okt 2025</v>
      </c>
      <c r="P303" s="1403">
        <f t="shared" ref="P303:P305" si="51">IF(P302="","",P302)</f>
        <v>0</v>
      </c>
      <c r="Q303" s="85"/>
      <c r="R303" s="85"/>
      <c r="S303" s="85"/>
    </row>
    <row r="304" spans="1:19" s="46" customFormat="1" ht="13.5" customHeight="1" x14ac:dyDescent="0.25">
      <c r="A304" s="49"/>
      <c r="B304" s="1322" t="str">
        <f>IF(A304="","",B303)</f>
        <v/>
      </c>
      <c r="C304" s="1323"/>
      <c r="D304" s="132"/>
      <c r="E304" s="132"/>
      <c r="F304" s="71"/>
      <c r="G304" s="50">
        <f>IF(N291="",0,F304/N291/4.348)</f>
        <v>0</v>
      </c>
      <c r="I304" s="125">
        <f t="shared" si="50"/>
        <v>0</v>
      </c>
      <c r="J304" s="124"/>
      <c r="K304" s="124"/>
      <c r="L304" s="124"/>
      <c r="M304" s="124"/>
      <c r="N304" s="969"/>
      <c r="O304" s="928" t="str">
        <f t="shared" si="48"/>
        <v>Nov 2025</v>
      </c>
      <c r="P304" s="1403">
        <f t="shared" si="51"/>
        <v>0</v>
      </c>
      <c r="Q304" s="85"/>
      <c r="R304" s="85"/>
      <c r="S304" s="85"/>
    </row>
    <row r="305" spans="1:22" s="46" customFormat="1" ht="13.5" customHeight="1" x14ac:dyDescent="0.25">
      <c r="A305" s="49"/>
      <c r="B305" s="1322" t="str">
        <f>IF(A305="","",B304)</f>
        <v/>
      </c>
      <c r="C305" s="1323"/>
      <c r="D305" s="132"/>
      <c r="E305" s="132"/>
      <c r="F305" s="71"/>
      <c r="G305" s="50">
        <f>IF(N291="",0,F305/N291/4.348)</f>
        <v>0</v>
      </c>
      <c r="I305" s="125">
        <f t="shared" si="50"/>
        <v>0</v>
      </c>
      <c r="J305" s="124"/>
      <c r="K305" s="124"/>
      <c r="L305" s="124"/>
      <c r="M305" s="124"/>
      <c r="N305" s="969"/>
      <c r="O305" s="928" t="str">
        <f t="shared" si="48"/>
        <v>Dez 2025</v>
      </c>
      <c r="P305" s="1403">
        <f t="shared" si="51"/>
        <v>0</v>
      </c>
      <c r="Q305" s="85"/>
      <c r="R305" s="85"/>
      <c r="S305" s="85"/>
    </row>
    <row r="306" spans="1:22" s="46" customFormat="1" ht="13.5" customHeight="1" x14ac:dyDescent="0.25">
      <c r="B306" s="972"/>
      <c r="C306" s="972"/>
      <c r="E306" s="972"/>
      <c r="F306" s="972"/>
      <c r="I306" s="930" t="s">
        <v>730</v>
      </c>
      <c r="J306" s="1060"/>
      <c r="K306" s="1060"/>
      <c r="L306" s="1060"/>
      <c r="M306" s="1060"/>
      <c r="N306" s="971"/>
      <c r="O306" s="126" t="s">
        <v>221</v>
      </c>
      <c r="P306" s="127">
        <f>IF(M299="",0,((IF(SUMIF(B317,"&gt;0"),P294,0))+(IF(SUMIF(B318,"&gt;0"),P295,0))+(IF(SUMIF(B319,"&gt;0"),P296,0))+(IF(SUMIF(B320,"&gt;0"),P297,0))+(IF(SUMIF(B321,"&gt;0"),P298,0))+(IF(SUMIF(B322,"&gt;0"),P299,0))+(IF(SUMIF(B323,"&gt;0"),P300,0))+(IF(SUMIF(B324,"&gt;0"),P301,0))+(IF(SUMIF(B325,"&gt;0"),P302,0))+(IF(SUMIF(B326,"&gt;0"),P303,0))+(IF(SUMIF(B327,"&gt;0"),P304,0))+(IF(SUMIF(B328,"&gt;0"),P305,0)))/Grundlagen!$C$26)</f>
        <v>0</v>
      </c>
      <c r="Q306" s="944" t="str">
        <f>CONCATENATE("BBG"," anteilig ",O308)</f>
        <v>BBG anteilig 2025</v>
      </c>
      <c r="R306" s="931" t="s">
        <v>659</v>
      </c>
      <c r="S306" s="931" t="s">
        <v>398</v>
      </c>
      <c r="T306" s="107"/>
    </row>
    <row r="307" spans="1:22" s="46" customFormat="1" ht="13.5" customHeight="1" x14ac:dyDescent="0.2">
      <c r="A307" s="924" t="s">
        <v>732</v>
      </c>
      <c r="D307" s="55" t="s">
        <v>369</v>
      </c>
      <c r="E307" s="56" t="s">
        <v>368</v>
      </c>
      <c r="F307" s="58"/>
      <c r="J307" s="61"/>
      <c r="Q307" s="932" t="s">
        <v>144</v>
      </c>
      <c r="R307" s="140">
        <f>IF(M296=0,R311,IF(M295="",R311,(SUM(R317:R328)/M299)))</f>
        <v>5175</v>
      </c>
      <c r="S307" s="933">
        <f>IF(M296=0,S311,IF(M295="",S311,SUM(R317:R328)))</f>
        <v>0</v>
      </c>
      <c r="T307" s="107"/>
    </row>
    <row r="308" spans="1:22" s="46" customFormat="1" ht="13.5" customHeight="1" x14ac:dyDescent="0.25">
      <c r="A308" s="60"/>
      <c r="B308" s="1314" t="str">
        <f>IF($B$20="","",$B$20)</f>
        <v>Jahressonderzahlung (JSZ)</v>
      </c>
      <c r="C308" s="1315"/>
      <c r="D308" s="926"/>
      <c r="E308" s="929" t="str">
        <f>IF(A308="","",ROUND((((SUM(B323:B325)+SUM(F323:F325))/3)*D308)/Grundlagen!$C$26*M299,2))</f>
        <v/>
      </c>
      <c r="G308" s="941" t="s">
        <v>733</v>
      </c>
      <c r="H308" s="943"/>
      <c r="I308" s="1316" t="str">
        <f>CONCATENATE(R331,":"," Übergangsbereich von ",R332+0.01," €"," bis ",R333," €")</f>
        <v>2025: Übergangsbereich von 556,01 € bis 2000 €</v>
      </c>
      <c r="J308" s="1317"/>
      <c r="K308" s="1317"/>
      <c r="L308" s="1067"/>
      <c r="M308" s="1067"/>
      <c r="N308" s="1068" t="s">
        <v>736</v>
      </c>
      <c r="O308" s="1069">
        <f>P308+1</f>
        <v>2025</v>
      </c>
      <c r="P308" s="1069" t="s">
        <v>721</v>
      </c>
      <c r="Q308" s="932" t="s">
        <v>145</v>
      </c>
      <c r="R308" s="140">
        <f>IF(M296=0,R312,IF(M295="",R312,(SUM(S317:S328)/M299)))</f>
        <v>7450</v>
      </c>
      <c r="S308" s="933">
        <f>IF(M296=0,S312,IF(M295="",S312,SUM(S317:S328)))</f>
        <v>0</v>
      </c>
      <c r="T308" s="109"/>
    </row>
    <row r="309" spans="1:22" s="1" customFormat="1" ht="14.25" customHeight="1" x14ac:dyDescent="0.2">
      <c r="A309" s="60"/>
      <c r="B309" s="1314" t="str">
        <f>IF($B$21="","",$B$21)</f>
        <v>Leistungsentgelt (LOB)</v>
      </c>
      <c r="C309" s="1315"/>
      <c r="D309" s="926"/>
      <c r="E309" s="929" t="str">
        <f>IF(A309="","",ROUND(((B329+F329)*D309)/Grundlagen!$C$26*M299,2))</f>
        <v/>
      </c>
      <c r="G309" s="941" t="str">
        <f>IF(OR(H308="",H308="nein")=TRUE,"","Faktor (F):")</f>
        <v/>
      </c>
      <c r="H309" s="949" t="str">
        <f>IF(OR(H308="",H308="nein")=TRUE,"",IF(H308="","",R335))</f>
        <v/>
      </c>
      <c r="I309" s="1318" t="str">
        <f>IF(OR(H308="",H308="nein")=TRUE,"",IF(H309="","",CONCATENATE(S335*100,"%"," / ","(",R334*100,"%"," Gesamt-SV-Beitragssatz 2024)")))</f>
        <v/>
      </c>
      <c r="J309" s="1319"/>
      <c r="K309" s="1319"/>
      <c r="L309" s="1070"/>
      <c r="M309" s="1070"/>
      <c r="N309" s="1071" t="s">
        <v>144</v>
      </c>
      <c r="O309" s="1072">
        <f>'päd.Personal - Leitung'!$O$21</f>
        <v>5175</v>
      </c>
      <c r="P309" s="1072">
        <f>'päd.Personal - Leitung'!$P$21</f>
        <v>5175</v>
      </c>
      <c r="Q309" s="11"/>
      <c r="R309" s="11"/>
      <c r="S309" s="11"/>
      <c r="T309" s="109"/>
    </row>
    <row r="310" spans="1:22" s="1" customFormat="1" ht="14.25" customHeight="1" x14ac:dyDescent="0.2">
      <c r="C310" s="925" t="s">
        <v>731</v>
      </c>
      <c r="L310" s="1070"/>
      <c r="M310" s="1070"/>
      <c r="N310" s="1071" t="s">
        <v>145</v>
      </c>
      <c r="O310" s="1073">
        <f>'päd.Personal - Leitung'!$O$22</f>
        <v>7450</v>
      </c>
      <c r="P310" s="1073">
        <f>'päd.Personal - Leitung'!$P$22</f>
        <v>7450</v>
      </c>
      <c r="Q310" s="944" t="str">
        <f>CONCATENATE("BBG"," ",O308)</f>
        <v>BBG 2025</v>
      </c>
      <c r="R310" s="11"/>
      <c r="S310" s="11"/>
      <c r="T310" s="109"/>
    </row>
    <row r="311" spans="1:22" s="1" customFormat="1" ht="14.25" customHeight="1" x14ac:dyDescent="0.2">
      <c r="A311" s="53" t="s">
        <v>141</v>
      </c>
      <c r="B311" s="46"/>
      <c r="C311" s="46"/>
      <c r="D311" s="46"/>
      <c r="E311" s="46"/>
      <c r="F311" s="46"/>
      <c r="G311" s="46"/>
      <c r="H311" s="46"/>
      <c r="I311" s="46"/>
      <c r="J311" s="46"/>
      <c r="K311" s="46"/>
      <c r="L311" s="46"/>
      <c r="M311" s="46"/>
      <c r="N311" s="46"/>
      <c r="O311" s="46"/>
      <c r="P311" s="46"/>
      <c r="Q311" s="932" t="s">
        <v>144</v>
      </c>
      <c r="R311" s="141">
        <f>IF($O$21="",0,$O$21)</f>
        <v>5175</v>
      </c>
      <c r="S311" s="933">
        <f>R311*IF(M299="",0,M299)</f>
        <v>0</v>
      </c>
      <c r="T311" s="295"/>
    </row>
    <row r="312" spans="1:22" s="1" customFormat="1" ht="14.25" customHeight="1" x14ac:dyDescent="0.2">
      <c r="A312" s="1346"/>
      <c r="B312" s="1348" t="s">
        <v>8</v>
      </c>
      <c r="C312" s="1349"/>
      <c r="D312" s="1349"/>
      <c r="E312" s="1349"/>
      <c r="F312" s="1349"/>
      <c r="G312" s="1350"/>
      <c r="H312" s="1351" t="s">
        <v>113</v>
      </c>
      <c r="I312" s="1352"/>
      <c r="J312" s="1352"/>
      <c r="K312" s="1352"/>
      <c r="L312" s="1352"/>
      <c r="M312" s="1352"/>
      <c r="N312" s="1352"/>
      <c r="O312" s="30"/>
      <c r="P312" s="1330" t="s">
        <v>0</v>
      </c>
      <c r="Q312" s="932" t="s">
        <v>145</v>
      </c>
      <c r="R312" s="141">
        <f>IF($O$22="",0,$O$22)</f>
        <v>7450</v>
      </c>
      <c r="S312" s="933">
        <f>R312*IF(M299="",0,M299)</f>
        <v>0</v>
      </c>
      <c r="T312" s="830"/>
    </row>
    <row r="313" spans="1:22" s="1" customFormat="1" ht="14.25" customHeight="1" x14ac:dyDescent="0.2">
      <c r="A313" s="1347"/>
      <c r="B313" s="1333" t="s">
        <v>111</v>
      </c>
      <c r="C313" s="1335" t="s">
        <v>743</v>
      </c>
      <c r="D313" s="1337" t="s">
        <v>226</v>
      </c>
      <c r="E313" s="1339" t="s">
        <v>133</v>
      </c>
      <c r="F313" s="1030" t="s">
        <v>6</v>
      </c>
      <c r="G313" s="1340" t="s">
        <v>5</v>
      </c>
      <c r="H313" s="1339" t="s">
        <v>119</v>
      </c>
      <c r="I313" s="1339" t="s">
        <v>4</v>
      </c>
      <c r="J313" s="1339" t="s">
        <v>3</v>
      </c>
      <c r="K313" s="1339" t="s">
        <v>2</v>
      </c>
      <c r="L313" s="1339" t="s">
        <v>114</v>
      </c>
      <c r="M313" s="1339" t="s">
        <v>115</v>
      </c>
      <c r="N313" s="1339" t="s">
        <v>116</v>
      </c>
      <c r="O313" s="1338" t="s">
        <v>109</v>
      </c>
      <c r="P313" s="1331"/>
      <c r="Q313" s="456"/>
      <c r="R313" s="11"/>
      <c r="S313" s="11"/>
      <c r="T313" s="621"/>
    </row>
    <row r="314" spans="1:22" s="1" customFormat="1" ht="14.25" customHeight="1" x14ac:dyDescent="0.2">
      <c r="A314" s="1347"/>
      <c r="B314" s="1333"/>
      <c r="C314" s="1335"/>
      <c r="D314" s="1338"/>
      <c r="E314" s="1339"/>
      <c r="F314" s="1343" t="str">
        <f>I306</f>
        <v>Zuschläge / Zulagen / o.ä.:</v>
      </c>
      <c r="G314" s="1340"/>
      <c r="H314" s="1342" t="s">
        <v>117</v>
      </c>
      <c r="I314" s="1342"/>
      <c r="J314" s="1342"/>
      <c r="K314" s="1342"/>
      <c r="L314" s="1342"/>
      <c r="M314" s="1342"/>
      <c r="N314" s="1342"/>
      <c r="O314" s="1338"/>
      <c r="P314" s="1331"/>
      <c r="Q314" s="456"/>
      <c r="R314" s="1306" t="str">
        <f>Q306</f>
        <v>BBG anteilig 2025</v>
      </c>
      <c r="S314" s="1306"/>
      <c r="T314" s="829"/>
    </row>
    <row r="315" spans="1:22" s="1" customFormat="1" ht="14.25" customHeight="1" x14ac:dyDescent="0.2">
      <c r="A315" s="1347"/>
      <c r="B315" s="1333"/>
      <c r="C315" s="1335"/>
      <c r="D315" s="1338"/>
      <c r="E315" s="1339"/>
      <c r="F315" s="1343"/>
      <c r="G315" s="1340"/>
      <c r="H315" s="39" t="str">
        <f>'päd.Personal - Leitung'!$H$27</f>
        <v>(7,30% + Zusatz)</v>
      </c>
      <c r="I315" s="39" t="str">
        <f>'päd.Personal - Leitung'!$I$27</f>
        <v xml:space="preserve"> (2024: 9,30%)</v>
      </c>
      <c r="J315" s="39" t="str">
        <f>'päd.Personal - Leitung'!$J$27</f>
        <v>(2024: 1,30%)</v>
      </c>
      <c r="K315" s="39" t="str">
        <f>'päd.Personal - Leitung'!$K$27</f>
        <v>(2024: 1,700%)</v>
      </c>
      <c r="L315" s="39"/>
      <c r="M315" s="39"/>
      <c r="N315" s="39" t="str">
        <f>'päd.Personal - Leitung'!$N$27</f>
        <v>(2024: 0,06%)</v>
      </c>
      <c r="O315" s="1338"/>
      <c r="P315" s="1331"/>
      <c r="Q315" s="456"/>
      <c r="R315" s="1307" t="s">
        <v>659</v>
      </c>
      <c r="S315" s="1307"/>
      <c r="T315" s="829"/>
      <c r="U315" s="1308" t="s">
        <v>1</v>
      </c>
      <c r="V315" s="1308" t="s">
        <v>741</v>
      </c>
    </row>
    <row r="316" spans="1:22" s="1" customFormat="1" x14ac:dyDescent="0.2">
      <c r="A316" s="1347"/>
      <c r="B316" s="1334"/>
      <c r="C316" s="1336"/>
      <c r="D316" s="45"/>
      <c r="E316" s="45"/>
      <c r="F316" s="1344"/>
      <c r="G316" s="1341"/>
      <c r="H316" s="74"/>
      <c r="I316" s="99">
        <f>'päd.Personal - Leitung'!$I$28</f>
        <v>0</v>
      </c>
      <c r="J316" s="99">
        <f>'päd.Personal - Leitung'!$J$28</f>
        <v>0</v>
      </c>
      <c r="K316" s="40">
        <f>'päd.Personal - Leitung'!$K$28</f>
        <v>0</v>
      </c>
      <c r="L316" s="19"/>
      <c r="M316" s="19"/>
      <c r="N316" s="99">
        <f>'päd.Personal - Leitung'!$N$28</f>
        <v>0</v>
      </c>
      <c r="O316" s="23"/>
      <c r="P316" s="1332"/>
      <c r="Q316" s="456"/>
      <c r="R316" s="935" t="s">
        <v>144</v>
      </c>
      <c r="S316" s="935" t="s">
        <v>145</v>
      </c>
      <c r="T316" s="829"/>
      <c r="U316" s="1308"/>
      <c r="V316" s="1308"/>
    </row>
    <row r="317" spans="1:22" s="1" customFormat="1" x14ac:dyDescent="0.2">
      <c r="A317" s="76" t="str">
        <f>CONCATENATE("Jan ",O293)</f>
        <v>Jan 2025</v>
      </c>
      <c r="B317" s="22">
        <f>ROUND(IF(P294=0,0,(LOOKUP(2,1/(A302:A305=A317),G302:G305))*P294*4.348),2)</f>
        <v>0</v>
      </c>
      <c r="C317" s="21">
        <f>ROUND(IFERROR((LOOKUP(2,1/(A308=A317),E308)),0)+IFERROR((LOOKUP(2,1/(A309=A317),E309)),0),2)</f>
        <v>0</v>
      </c>
      <c r="D317" s="21">
        <f>ROUND(IF(B317=0,0,D316/M295*P294),2)</f>
        <v>0</v>
      </c>
      <c r="E317" s="21">
        <f>ROUND(IF(B317=0,0,E316/N291*P294),2)</f>
        <v>0</v>
      </c>
      <c r="F317" s="22">
        <f>ROUND(IF(P294=0,0,(LOOKUP(2,1/(A302:A305=A317),I302:I305))/N291*P294),2)</f>
        <v>0</v>
      </c>
      <c r="G317" s="25">
        <f t="shared" ref="G317:G328" si="52">SUM(B317+C317+E317+F317)</f>
        <v>0</v>
      </c>
      <c r="H317" s="64">
        <f>IF(B317=0,0,IF(AND(H308="ja",((U317)&lt;R333)),ROUND(((R335*R332+((R333/(R333-R332))-(R332/(R333-R332))*R335)*((U317)-R332))*(H316*2))-(((R333/(R333-R332))*((U317)-R332))*H316),2),ROUND(IF((U317)&gt;R317,R317*H316,U317*H316),2)))</f>
        <v>0</v>
      </c>
      <c r="I317" s="64">
        <f>IF(B317=0,0,IF(AND(H308="ja",((U317)&lt;R333)),ROUND(((R335*R332+((R333/(R333-R332))-(R332/(R333-R332))*R335)*((U317)-R332))*(I316*2))-(((R333/(R333-R332))*((U317)-R332))*I316),2),ROUND(IF((U317)&gt;S317,S317*I316,U317*I316),2)))</f>
        <v>0</v>
      </c>
      <c r="J317" s="64">
        <f>IF(B317=0,0,IF(AND(H308="ja",((U317)&lt;R333)),ROUND(((R335*R332+((R333/(R333-R332))-(R332/(R333-R332))*R335)*((U317)-R332))*(J316*2))-(((R333/(R333-R332))*((U317)-R332))*J316),2),ROUND(IF((U317)&gt;S317,S317*J316,U317*J316),2)))</f>
        <v>0</v>
      </c>
      <c r="K317" s="64">
        <f>IF(B317=0,0,IF(AND(H308="ja",((U317)&lt;R333)),ROUND(((R335*R332+((R333/(R333-R332))-(R332/(R333-R332))*R335)*((U317)-R332))*(K316*2))-(((R333/(R333-R332))*((U317)-R332))*K316),2),ROUND(IF((U317)&gt;R317,R317*K316,U317*K316),2)))</f>
        <v>0</v>
      </c>
      <c r="L317" s="64">
        <f>IF(B317=0,0,IF(AND(H308="ja",((U317-C317)&lt;R333)),ROUND(((R335*R332+((R333/(R333-R332))-(R332/(R333-R332))*R335)*((U317-C317)-R332))*(L316)),2),ROUND(IF((SUM(B317:F317))&gt;S317,S317*L316,(SUM(B317:F317)-C317)*L316),2)))</f>
        <v>0</v>
      </c>
      <c r="M317" s="64">
        <f>IF(B317=0,0,IF(AND(H308="ja",((U317-C317)&lt;R333)),ROUND(((R335*R332+((R333/(R333-R332))-(R332/(R333-R332))*R335)*((U317-C317)-R332))*(M316)),2),ROUND(IF((SUM(B317:F317))&gt;S317,S317*M316,(SUM(B317:F317)-C317)*M316),2)))</f>
        <v>0</v>
      </c>
      <c r="N317" s="64">
        <f>IF(B317=0,0,IF(AND(H308="ja",((U317)&lt;R333)),ROUND(((R335*R332+((R333/(R333-R332))-(R332/(R333-R332))*R335)*((U317)-R332))*(N316)),2),ROUND(IF((SUM(B317:F317))&gt;S317,S317*N316,SUM(B317:F317)*N316),2)))</f>
        <v>0</v>
      </c>
      <c r="O317" s="21">
        <f>ROUND(SUM(B317+C317+F317)*O316,2)</f>
        <v>0</v>
      </c>
      <c r="P317" s="25">
        <f>SUM(G317:O317)</f>
        <v>0</v>
      </c>
      <c r="Q317" s="456"/>
      <c r="R317" s="140">
        <f>ROUND(IF(M295="",R311,R311/M295*P294),2)</f>
        <v>5175</v>
      </c>
      <c r="S317" s="140">
        <f>ROUND(IF(M295="",R312,R312/M295*P294),2)</f>
        <v>7450</v>
      </c>
      <c r="U317" s="950">
        <f>SUM(B317:F317)</f>
        <v>0</v>
      </c>
      <c r="V317" s="950">
        <f>SUM(B317:F317)</f>
        <v>0</v>
      </c>
    </row>
    <row r="318" spans="1:22" s="1" customFormat="1" x14ac:dyDescent="0.2">
      <c r="A318" s="76" t="str">
        <f>CONCATENATE("Feb ",O293)</f>
        <v>Feb 2025</v>
      </c>
      <c r="B318" s="22">
        <f>ROUND(IF(P295=0,0,IFERROR(((LOOKUP(2,1/(A302:A305=A318),G302:G305))*P295*4.348),B317/P294*P295)),2)</f>
        <v>0</v>
      </c>
      <c r="C318" s="21">
        <f>ROUND(IFERROR((LOOKUP(2,1/(A308=A318),E308)),0)+IFERROR((LOOKUP(2,1/(A309=A318),E309)),0),2)</f>
        <v>0</v>
      </c>
      <c r="D318" s="21">
        <f>ROUND(IF(B318=0,0,D316/M295*P295),2)</f>
        <v>0</v>
      </c>
      <c r="E318" s="21">
        <f>ROUND(IF(B318=0,0,E316/N291*P295),2)</f>
        <v>0</v>
      </c>
      <c r="F318" s="22">
        <f>ROUND(IF(P295=0,0,IFERROR(((LOOKUP(2,1/(A302:A305=A318),I302:I305))/N291*P295),F317/P294*P295)),2)</f>
        <v>0</v>
      </c>
      <c r="G318" s="25">
        <f t="shared" si="52"/>
        <v>0</v>
      </c>
      <c r="H318" s="64">
        <f>IF(B318=0,0,IF(AND(H308="ja",((U318)&lt;R333)),ROUND(((R335*R332+((R333/(R333-R332))-(R332/(R333-R332))*R335)*((U318)-R332))*(H316*2))-(((R333/(R333-R332))*((U318)-R332))*H316),2),ROUND(IF(U317&lt;(R317),IF((V318)&gt;(SUM(R317:R318)),(((SUM(R317:R318))-(V318-C317))*H316)+((U318-C317)*H316),U318*H316),IF(V318&gt;(SUM(R317:R318)),R318*H316,U318*H316)),2)))</f>
        <v>0</v>
      </c>
      <c r="I318" s="64">
        <f>IF(B318=0,0,IF(AND(H308="ja",((U318)&lt;R333)),ROUND(((R335*R332+((R333/(R333-R332))-(R332/(R333-R332))*R335)*((U318)-R332))*(I316*2))-(((R333/(R333-R332))*((U318)-R332))*I316),2),ROUND(IF(U317&lt;(S317),IF((V318)&gt;(SUM(S317:S318)),(((SUM(S317:S318))-(V318-C317))*I316)+((U318-C317)*I316),U318*I316),IF(V318&gt;(SUM(S317:S318)),S318*I316,U318*I316)),2)))</f>
        <v>0</v>
      </c>
      <c r="J318" s="64">
        <f>IF(B318=0,0,IF(AND(H308="ja",((U318)&lt;R333)),ROUND(((R335*R332+((R333/(R333-R332))-(R332/(R333-R332))*R335)*((U318)-R332))*(J316*2))-(((R333/(R333-R332))*((U318)-R332))*J316),2),ROUND(IF(U317&lt;(S317),IF((V318)&gt;(SUM(S317:S318)),(((SUM(S317:S318))-(V318-C317))*J316)+((U318-C317)*J316),U318*J316),IF(V318&gt;(SUM(S317:S318)),S318*J316,U318*J316)),2)))</f>
        <v>0</v>
      </c>
      <c r="K318" s="64">
        <f>IF(B318=0,0,IF(AND(H308="ja",((U318)&lt;R333)),ROUND(((R335*R332+((R333/(R333-R332))-(R332/(R333-R332))*R335)*((U318)-R332))*(K316*2))-(((R333/(R333-R332))*((U318)-R332))*K316),2),ROUND(IF(U317&lt;(R317),IF((V318)&gt;(SUM(R317:R318)),(((SUM(R317:R318))-(V318-C317))*K316)+((U318-C317)*K316),U318*K316),IF(V318&gt;(SUM(R317:R318)),R318*K316,U318*K316)),2)))</f>
        <v>0</v>
      </c>
      <c r="L318" s="64">
        <f>IF(B318=0,0,IF(AND(H308="ja",((U318-C318)&lt;R333)),ROUND(((R335*R332+((R333/(R333-R332))-(R332/(R333-R332))*R335)*((U318-C318)-R332))*(L316)),2),ROUND(IF(SUM(B317:F317)&lt;(S317),IF((SUM(B317:F318))&gt;(SUM(S317:S318)),(((SUM(S317:S318))-(SUM(B317:F318)-C318))*L316)+((SUM(B318:F318)-C318)*L316),(SUM(B318:F318)-C318)*L316),IF(SUM(B317:F318)&gt;(SUM(S317:S318)),S318*L316,SUM(B318:F318)*L316)),2)))</f>
        <v>0</v>
      </c>
      <c r="M318" s="64">
        <f>IF(B318=0,0,IF(AND(H308="ja",((U318-C318)&lt;R333)),ROUND(((R335*R332+((R333/(R333-R332))-(R332/(R333-R332))*R335)*((U318-C318)-R332))*(M316)),2),ROUND(IF(SUM(B317:F317)&lt;(S317),IF((SUM(B317:F318))&gt;(SUM(S317:S318)),(((SUM(S317:S318))-(SUM(B317:F318)-C318))*M316)+((SUM(B318:F318)-C318)*M316),(SUM(B318:F318)-C318)*M316),IF(SUM(B317:F318)&gt;(SUM(S317:S318)),S318*M316,SUM(B318:F318)*M316)),2)))</f>
        <v>0</v>
      </c>
      <c r="N318" s="64">
        <f>IF(B318=0,0,IF(AND(H308="ja",((U318)&lt;R333)),ROUND(((R335*R332+((R333/(R333-R332))-(R332/(R333-R332))*R335)*((U318)-R332))*(N316)),2),ROUND(IF(SUM(B317:F317)&lt;(S317),IF((SUM(B317:F318))&gt;(SUM(S317:S318)),(((SUM(S317:S318))-(SUM(B317:F318)-C317))*N316)+((SUM(B318:F318)-C317)*N316),SUM(B318:F318)*N316),IF(SUM(B317:F318)&gt;(SUM(S317:S318)),S318*N316,SUM(B318:F318)*N316)),2)))</f>
        <v>0</v>
      </c>
      <c r="O318" s="21">
        <f>ROUND(SUM(B318+C318+F318)*O316,2)</f>
        <v>0</v>
      </c>
      <c r="P318" s="25">
        <f t="shared" ref="P318:P328" si="53">SUM(G318:O318)</f>
        <v>0</v>
      </c>
      <c r="Q318" s="456"/>
      <c r="R318" s="140">
        <f>ROUND(IF(M295="",R311,R311/M295*P295),2)</f>
        <v>5175</v>
      </c>
      <c r="S318" s="140">
        <f>ROUND(IF(M295="",R312,R312/M295*P295),2)</f>
        <v>7450</v>
      </c>
      <c r="U318" s="950">
        <f t="shared" ref="U318:U328" si="54">SUM(B318:F318)</f>
        <v>0</v>
      </c>
      <c r="V318" s="950">
        <f>SUM(B317:F318)</f>
        <v>0</v>
      </c>
    </row>
    <row r="319" spans="1:22" s="1" customFormat="1" x14ac:dyDescent="0.2">
      <c r="A319" s="76" t="str">
        <f>CONCATENATE("Mrz ",O293)</f>
        <v>Mrz 2025</v>
      </c>
      <c r="B319" s="22">
        <f>ROUND(IF(P296=0,0,IFERROR(((LOOKUP(2,1/(A302:A305=A319),G302:G305))*P296*4.348),B318/P295*P296)),2)</f>
        <v>0</v>
      </c>
      <c r="C319" s="21">
        <f>ROUND(IFERROR((LOOKUP(2,1/(A308=A319),E308)),0)+IFERROR((LOOKUP(2,1/(A309=A319),E309)),0),2)</f>
        <v>0</v>
      </c>
      <c r="D319" s="21">
        <f>ROUND(IF(B319=0,0,D316/M295*P296),2)</f>
        <v>0</v>
      </c>
      <c r="E319" s="21">
        <f>ROUND(IF(B319=0,0,E316/N291*P296),2)</f>
        <v>0</v>
      </c>
      <c r="F319" s="22">
        <f>ROUND(IF(P296=0,0,IFERROR(((LOOKUP(2,1/(A302:A305=A319),I302:I305))/N291*P296),F318/P295*P296)),2)</f>
        <v>0</v>
      </c>
      <c r="G319" s="25">
        <f t="shared" si="52"/>
        <v>0</v>
      </c>
      <c r="H319" s="64">
        <f>IF(B319=0,0,IF(AND(H308="ja",((U319)&lt;R333)),ROUND(((R335*R332+((R333/(R333-R332))-(R332/(R333-R332))*R335)*((U319)-R332))*(H316*2))-(((R333/(R333-R332))*((U319)-R332))*H316),2),ROUND(IF(V318&lt;(SUM(R317:R318)),IF((V319)&gt;(SUM(R317:R319)),(((SUM(R317:R319))-(V319-C318))*H316)+((U319-C318)*H316),U319*H316),IF(V319&gt;(SUM(R317:R319)),R319*H316,U319*H316)),2)))</f>
        <v>0</v>
      </c>
      <c r="I319" s="64">
        <f>IF(B319=0,0,IF(AND(H308="ja",((U319)&lt;R333)),ROUND(((R335*R332+((R333/(R333-R332))-(R332/(R333-R332))*R335)*((U319)-R332))*(I316*2))-(((R333/(R333-R332))*((U319)-R332))*I316),2),ROUND(IF(V318&lt;(SUM(S317:S318)),IF((V319)&gt;(SUM(S317:S319)),(((SUM(S317:S319))-(V319-C318))*I316)+((U319-C318)*I316),U319*I316),IF(V319&gt;(SUM(S317:S319)),S319*I316,U319*I316)),2)))</f>
        <v>0</v>
      </c>
      <c r="J319" s="64">
        <f>IF(B319=0,0,IF(AND(H308="ja",((U319)&lt;R333)),ROUND(((R335*R332+((R333/(R333-R332))-(R332/(R333-R332))*R335)*((U319)-R332))*(J316*2))-(((R333/(R333-R332))*((U319)-R332))*J316),2),ROUND(IF(V318&lt;(SUM(S317:S318)),IF((V319)&gt;(SUM(S317:S319)),(((SUM(S317:S319))-(V319-C318))*J316)+((U319-C318)*J316),U319*J316),IF(V319&gt;(SUM(S317:S319)),S319*J316,U319*J316)),2)))</f>
        <v>0</v>
      </c>
      <c r="K319" s="64">
        <f>IF(B319=0,0,IF(AND(H308="ja",((U319)&lt;R333)),ROUND(((R335*R332+((R333/(R333-R332))-(R332/(R333-R332))*R335)*((U319)-R332))*(K316*2))-(((R333/(R333-R332))*((U319)-R332))*K316),2),ROUND(IF(V318&lt;(SUM(R317:R318)),IF((V319)&gt;(SUM(R317:R319)),(((SUM(R317:R319))-(V319-C318))*K316)+((U319-C318)*K316),U319*K316),IF(V319&gt;(SUM(R317:R319)),R319*K316,U319*K316)),2)))</f>
        <v>0</v>
      </c>
      <c r="L319" s="64">
        <f>IF(B319=0,0,IF(AND(H308="ja",((U319-C319)&lt;R333)),ROUND(((R335*R332+((R333/(R333-R332))-(R332/(R333-R332))*R335)*((U319-C319)-R332))*(L316)),2),ROUND(IF(SUM(B317:F318)&lt;(SUM(S317:S318)),IF((SUM(B317:F319))&gt;(SUM(S317:S319)),(((SUM(S317:S319))-(SUM(B317:F319)-C319))*L316)+((SUM(B319:F319)-C319)*L316),(SUM(B319:F319)-C319)*L316),IF(SUM(B317:F319)&gt;(SUM(S317:S319)),S319*L316,SUM(B319:F319)*L316)),2)))</f>
        <v>0</v>
      </c>
      <c r="M319" s="64">
        <f>IF(B319=0,0,IF(AND(H308="ja",((U319-C319)&lt;R333)),ROUND(((R335*R332+((R333/(R333-R332))-(R332/(R333-R332))*R335)*((U319-C319)-R332))*(M316)),2),ROUND(IF(SUM(B317:F318)&lt;(SUM(S317:S318)),IF((SUM(B317:F319))&gt;(SUM(S317:S319)),(((SUM(S317:S319))-(SUM(B317:F319)-C319))*M316)+((SUM(B319:F319)-C319)*M316),(SUM(B319:F319)-C319)*M316),IF(SUM(B317:F319)&gt;(SUM(S317:S319)),S319*M316,SUM(B319:F319)*M316)),2)))</f>
        <v>0</v>
      </c>
      <c r="N319" s="64">
        <f>IF(B319=0,0,IF(AND(H308="ja",((U319)&lt;R333)),ROUND(((R335*R332+((R333/(R333-R332))-(R332/(R333-R332))*R335)*((U319)-R332))*(N316)),2),ROUND(IF(SUM(B317:F318)&lt;(SUM(S317:S318)),IF((SUM(B317:F319))&gt;(SUM(S317:S319)),(((SUM(S317:S319))-(SUM(B317:F319)-C318))*N316)+((SUM(B319:F319)-C318)*N316),SUM(B319:F319)*N316),IF(SUM(B317:F319)&gt;(SUM(S317:S319)),S319*N316,SUM(B319:F319)*N316)),2)))</f>
        <v>0</v>
      </c>
      <c r="O319" s="21">
        <f>ROUND(SUM(B319+C319+F319)*O316,2)</f>
        <v>0</v>
      </c>
      <c r="P319" s="25">
        <f t="shared" si="53"/>
        <v>0</v>
      </c>
      <c r="Q319" s="456"/>
      <c r="R319" s="140">
        <f>ROUND(IF(M295="",R311,R311/M295*P296),2)</f>
        <v>5175</v>
      </c>
      <c r="S319" s="140">
        <f>ROUND(IF(M295="",R312,R312/M295*P296),2)</f>
        <v>7450</v>
      </c>
      <c r="U319" s="950">
        <f t="shared" si="54"/>
        <v>0</v>
      </c>
      <c r="V319" s="950">
        <f>SUM(B317:F319)</f>
        <v>0</v>
      </c>
    </row>
    <row r="320" spans="1:22" s="1" customFormat="1" x14ac:dyDescent="0.2">
      <c r="A320" s="76" t="str">
        <f>CONCATENATE("Apr ",O293)</f>
        <v>Apr 2025</v>
      </c>
      <c r="B320" s="22">
        <f>ROUND(IF(P297=0,0,IFERROR(((LOOKUP(2,1/(A302:A305=A320),G302:G305))*P297*4.348),B319/P296*P297)),2)</f>
        <v>0</v>
      </c>
      <c r="C320" s="21">
        <f>ROUND(IFERROR((LOOKUP(2,1/(A308=A320),E308)),0)+IFERROR((LOOKUP(2,1/(A309=A320),E309)),0),2)</f>
        <v>0</v>
      </c>
      <c r="D320" s="21">
        <f>ROUND(IF(B320=0,0,D316/M295*P297),2)</f>
        <v>0</v>
      </c>
      <c r="E320" s="21">
        <f>ROUND(IF(B320=0,0,E316/N291*P297),2)</f>
        <v>0</v>
      </c>
      <c r="F320" s="22">
        <f>ROUND(IF(P297=0,0,IFERROR(((LOOKUP(2,1/(A302:A305=A320),I302:I305))/N291*P297),F319/P296*P297)),2)</f>
        <v>0</v>
      </c>
      <c r="G320" s="25">
        <f t="shared" si="52"/>
        <v>0</v>
      </c>
      <c r="H320" s="64">
        <f>IF(B320=0,0,IF(AND(H308="ja",((U320)&lt;R333)),ROUND(((R335*R332+((R333/(R333-R332))-(R332/(R333-R332))*R335)*((U320)-R332))*(H316*2))-(((R333/(R333-R332))*((U320)-R332))*H316),2),ROUND(IF(V319&lt;(SUM(R317:R319)),IF((V320)&gt;(SUM(R317:R320)),(((SUM(R317:R320))-(V320-C319))*H316)+((U320-C319)*H316),U320*H316),IF(V320&gt;(SUM(R317:R320)),R320*H316,U320*H316)),2)))</f>
        <v>0</v>
      </c>
      <c r="I320" s="64">
        <f>IF(B320=0,0,IF(AND(H308="ja",((U320)&lt;R333)),ROUND(((R335*R332+((R333/(R333-R332))-(R332/(R333-R332))*R335)*((U320)-R332))*(I316*2))-(((R333/(R333-R332))*((U320)-R332))*I316),2),ROUND(IF(V319&lt;(SUM(S317:S319)),IF((V320)&gt;(SUM(S317:S320)),(((SUM(S317:S320))-(V320-C319))*I316)+((U320-C319)*I316),U320*I316),IF(V320&gt;(SUM(S317:S320)),S320*I316,U320*I316)),2)))</f>
        <v>0</v>
      </c>
      <c r="J320" s="64">
        <f>IF(B320=0,0,IF(AND(H308="ja",((U320)&lt;R333)),ROUND(((R335*R332+((R333/(R333-R332))-(R332/(R333-R332))*R335)*((U320)-R332))*(J316*2))-(((R333/(R333-R332))*((U320)-R332))*J316),2),ROUND(IF(U319&lt;(SUM(S317:S319)),IF((V320)&gt;(SUM(S317:S320)),(((SUM(S317:S320))-(V320-C319))*J316)+((U320-C319)*J316),U320*J316),IF(V320&gt;(SUM(S317:S320)),S320*J316,U320*J316)),2)))</f>
        <v>0</v>
      </c>
      <c r="K320" s="64">
        <f>IF(B320=0,0,IF(AND(H308="ja",((U320)&lt;R333)),ROUND(((R335*R332+((R333/(R333-R332))-(R332/(R333-R332))*R335)*((U320)-R332))*(K316*2))-(((R333/(R333-R332))*((U320)-R332))*K316),2),ROUND(IF(V319&lt;(SUM(R317:R319)),IF((V320)&gt;(SUM(R317:R320)),(((SUM(R317:R320))-(V320-C319))*K316)+((U320-C319)*K316),U320*K316),IF(V320&gt;(SUM(R317:R320)),R320*K316,U320*K316)),2)))</f>
        <v>0</v>
      </c>
      <c r="L320" s="64">
        <f>IF(B320=0,0,IF(AND(H308="ja",((U320-C320)&lt;R333)),ROUND(((R335*R332+((R333/(R333-R332))-(R332/(R333-R332))*R335)*((U320-C320)-R332))*(L316)),2),ROUND(IF(SUM(B317:F319)&lt;(SUM(S317:S319)),IF((SUM(B317:F320))&gt;(SUM(S317:S320)),(((SUM(S317:S320))-(SUM(B317:F320)-C320))*L316)+((SUM(B320:F320)-C320)*L316),(SUM(B320:F320)-C320)*L316),IF(SUM(B317:F320)&gt;(SUM(S317:S320)),S320*L316,SUM(B320:F320)*L316)),2)))</f>
        <v>0</v>
      </c>
      <c r="M320" s="64">
        <f>IF(B320=0,0,IF(AND(H308="ja",((U320-C320)&lt;R333)),ROUND(((R335*R332+((R333/(R333-R332))-(R332/(R333-R332))*R335)*((U320-C320)-R332))*(M316)),2),ROUND(IF(SUM(B317:F319)&lt;(SUM(S317:S319)),IF((SUM(B317:F320))&gt;(SUM(S317:S320)),(((SUM(S317:S320))-(SUM(B317:F320)-C320))*M316)+((SUM(B320:F320)-C320)*M316),(SUM(B320:F320)-C320)*M316),IF(SUM(B317:F320)&gt;(SUM(S317:S320)),S320*M316,SUM(B320:F320)*M316)),2)))</f>
        <v>0</v>
      </c>
      <c r="N320" s="64">
        <f>IF(B320=0,0,IF(AND(H308="ja",((U320)&lt;R333)),ROUND(((R335*R332+((R333/(R333-R332))-(R332/(R333-R332))*R335)*((U320)-R332))*(N316)),2),ROUND(IF(SUM(B317:F319)&lt;(SUM(S317:S319)),IF((SUM(B317:F320))&gt;(SUM(S317:S320)),(((SUM(S317:S320))-(SUM(B317:F320)-C319))*N316)+((SUM(B320:F320)-C319)*N316),SUM(B320:F320)*N316),IF(SUM(B317:F320)&gt;(SUM(S317:S320)),S320*N316,SUM(B320:F320)*N316)),2)))</f>
        <v>0</v>
      </c>
      <c r="O320" s="21">
        <f>ROUND(SUM(B320+C320+F320)*O316,2)</f>
        <v>0</v>
      </c>
      <c r="P320" s="25">
        <f t="shared" si="53"/>
        <v>0</v>
      </c>
      <c r="Q320" s="456"/>
      <c r="R320" s="140">
        <f>ROUND(IF(M295="",R311,R311/M295*P297),2)</f>
        <v>5175</v>
      </c>
      <c r="S320" s="140">
        <f>ROUND(IF(M295="",R312,R312/M295*P297),2)</f>
        <v>7450</v>
      </c>
      <c r="U320" s="950">
        <f t="shared" si="54"/>
        <v>0</v>
      </c>
      <c r="V320" s="950">
        <f>SUM(B317:F320)</f>
        <v>0</v>
      </c>
    </row>
    <row r="321" spans="1:24" s="1" customFormat="1" x14ac:dyDescent="0.2">
      <c r="A321" s="76" t="str">
        <f>CONCATENATE("Mai ",O293)</f>
        <v>Mai 2025</v>
      </c>
      <c r="B321" s="22">
        <f>ROUND(IF(P298=0,0,IFERROR(((LOOKUP(2,1/(A302:A305=A321),G302:G305))*P298*4.348),B320/P297*P298)),2)</f>
        <v>0</v>
      </c>
      <c r="C321" s="21">
        <f>ROUND(IFERROR((LOOKUP(2,1/(A308=A321),E308)),0)+IFERROR((LOOKUP(2,1/(A309=A321),E309)),0),2)</f>
        <v>0</v>
      </c>
      <c r="D321" s="21">
        <f>ROUND(IF(B321=0,0,D316/M295*P298),2)</f>
        <v>0</v>
      </c>
      <c r="E321" s="21">
        <f>ROUND(IF(B321=0,0,E316/N291*P298),2)</f>
        <v>0</v>
      </c>
      <c r="F321" s="22">
        <f>ROUND(IF(P298=0,0,IFERROR(((LOOKUP(2,1/(A302:A305=A321),I302:I305))/N291*P298),F320/P297*P298)),2)</f>
        <v>0</v>
      </c>
      <c r="G321" s="25">
        <f t="shared" si="52"/>
        <v>0</v>
      </c>
      <c r="H321" s="64">
        <f>IF(B321=0,0,IF(AND(H308="ja",((U321)&lt;R333)),ROUND(((R335*R332+((R333/(R333-R332))-(R332/(R333-R332))*R335)*((U321)-R332))*(H316*2))-(((R333/(R333-R332))*((U321)-R332))*H316),2),ROUND(IF(V320&lt;(SUM(R317:R320)),IF((V321)&gt;(SUM(R317:R321)),(((SUM(R317:R321))-(V321-C320))*H316)+((U321-C320)*H316),U321*H316),IF(V321&gt;(SUM(R317:R321)),R321*H316,U321*H316)),2)))</f>
        <v>0</v>
      </c>
      <c r="I321" s="64">
        <f>IF(B321=0,0,IF(AND(H308="ja",((U321)&lt;R333)),ROUND(((R335*R332+((R333/(R333-R332))-(R332/(R333-R332))*R335)*((U321)-R332))*(I316*2))-(((R333/(R333-R332))*((U321)-R332))*I316),2),ROUND(IF(V320&lt;(SUM(S317:S320)),IF((V321)&gt;(SUM(S317:S321)),(((SUM(S317:S321))-(V321-C320))*I316)+((U321-C320)*I316),U321*I316),IF(V321&gt;(SUM(S317:S321)),S321*I316,U321*I316)),2)))</f>
        <v>0</v>
      </c>
      <c r="J321" s="64">
        <f>IF(B321=0,0,IF(AND(H308="ja",((U321)&lt;R333)),ROUND(((R335*R332+((R333/(R333-R332))-(R332/(R333-R332))*R335)*((U321)-R332))*(J316*2))-(((R333/(R333-R332))*((U321)-R332))*J316),2),ROUND(IF(V320&lt;(SUM(S317:S320)),IF((V321)&gt;(SUM(S317:S321)),(((SUM(S317:S321))-(V321-C320))*J316)+((U321-C320)*J316),U321*J316),IF(V321&gt;(SUM(S317:S321)),S321*J316,U321*J316)),2)))</f>
        <v>0</v>
      </c>
      <c r="K321" s="64">
        <f>IF(B321=0,0,IF(AND(H308="ja",((U321)&lt;R333)),ROUND(((R335*R332+((R333/(R333-R332))-(R332/(R333-R332))*R335)*((U321)-R332))*(K316*2))-(((R333/(R333-R332))*((U321)-R332))*K316),2),ROUND(IF(V320&lt;(SUM(R317:R320)),IF((V321)&gt;(SUM(R317:R321)),(((SUM(R317:R321))-(V321-C320))*K316)+((U321-C320)*K316),U321*K316),IF(V321&gt;(SUM(R317:R321)),R321*K316,U321*K316)),2)))</f>
        <v>0</v>
      </c>
      <c r="L321" s="64">
        <f>IF(B321=0,0,IF(AND(H308="ja",((U321-C321)&lt;R333)),ROUND(((R335*R332+((R333/(R333-R332))-(R332/(R333-R332))*R335)*((U321-C321)-R332))*(L316)),2),ROUND(IF(SUM(B317:F320)&lt;(SUM(S317:S320)),IF((SUM(B317:F321))&gt;(SUM(S317:S321)),(((SUM(S317:S321))-(SUM(B317:F321)-C321))*L316)+((SUM(B321:F321)-C321)*L316),(SUM(B321:F321)-C321)*L316),IF(SUM(B317:F321)&gt;(SUM(S317:S321)),S321*L316,SUM(B321:F321)*L316)),2)))</f>
        <v>0</v>
      </c>
      <c r="M321" s="64">
        <f>IF(B321=0,0,IF(AND(H308="ja",((U321-C321)&lt;R333)),ROUND(((R335*R332+((R333/(R333-R332))-(R332/(R333-R332))*R335)*((U321-C321)-R332))*(M316)),2),ROUND(IF(SUM(B317:F320)&lt;(SUM(S317:S320)),IF((SUM(B317:F321))&gt;(SUM(S317:S321)),(((SUM(S317:S321))-(SUM(B317:F321)-C321))*M316)+((SUM(B321:F321)-C321)*M316),(SUM(B321:F321)-C321)*M316),IF(SUM(B317:F321)&gt;(SUM(S317:S321)),S321*M316,SUM(B321:F321)*M316)),2)))</f>
        <v>0</v>
      </c>
      <c r="N321" s="64">
        <f>IF(B321=0,0,IF(AND(H308="ja",((U321)&lt;R333)),ROUND(((R335*R332+((R333/(R333-R332))-(R332/(R333-R332))*R335)*((U321)-R332))*(N316)),2),ROUND(IF(SUM(B317:F320)&lt;(SUM(S317:S320)),IF((SUM(B317:F321))&gt;(SUM(S317:S321)),(((SUM(S317:S321))-(SUM(B317:F321)-C320))*N316)+((SUM(B321:F321)-C320)*N316),SUM(B321:F321)*N316),IF(SUM(B317:F321)&gt;(SUM(S317:S321)),S321*N316,SUM(B321:F321)*N316)),2)))</f>
        <v>0</v>
      </c>
      <c r="O321" s="21">
        <f>ROUND(SUM(B321+C321+F321)*O316,2)</f>
        <v>0</v>
      </c>
      <c r="P321" s="25">
        <f t="shared" si="53"/>
        <v>0</v>
      </c>
      <c r="Q321" s="456"/>
      <c r="R321" s="140">
        <f>ROUND(IF(M295="",R311,R311/M295*P298),2)</f>
        <v>5175</v>
      </c>
      <c r="S321" s="140">
        <f>ROUND(IF(M295="",R312,R312/M295*P298),2)</f>
        <v>7450</v>
      </c>
      <c r="U321" s="950">
        <f t="shared" si="54"/>
        <v>0</v>
      </c>
      <c r="V321" s="950">
        <f>SUM(B317:F321)</f>
        <v>0</v>
      </c>
    </row>
    <row r="322" spans="1:24" s="1" customFormat="1" x14ac:dyDescent="0.2">
      <c r="A322" s="76" t="str">
        <f>CONCATENATE("Jun ",O293)</f>
        <v>Jun 2025</v>
      </c>
      <c r="B322" s="22">
        <f>ROUND(IF(P299=0,0,IFERROR(((LOOKUP(2,1/(A302:A305=A322),G302:G305))*P299*4.348),B321/P298*P299)),2)</f>
        <v>0</v>
      </c>
      <c r="C322" s="21">
        <f>ROUND(IFERROR((LOOKUP(2,1/(A308=A322),E308)),0)+IFERROR((LOOKUP(2,1/(A309=A322),E309)),0),2)</f>
        <v>0</v>
      </c>
      <c r="D322" s="21">
        <f>ROUND(IF(B322=0,0,D316/M295*P299),2)</f>
        <v>0</v>
      </c>
      <c r="E322" s="21">
        <f>ROUND(IF(B322=0,0,E316/N291*P299),2)</f>
        <v>0</v>
      </c>
      <c r="F322" s="22">
        <f>ROUND(IF(P299=0,0,IFERROR(((LOOKUP(2,1/(A302:A305=A322),I302:I305))/N291*P299),F321/P298*P299)),2)</f>
        <v>0</v>
      </c>
      <c r="G322" s="25">
        <f t="shared" si="52"/>
        <v>0</v>
      </c>
      <c r="H322" s="64">
        <f>IF(B322=0,0,IF(AND(H308="ja",((U322)&lt;R333)),ROUND(((R335*R332+((R333/(R333-R332))-(R332/(R333-R332))*R335)*((U322)-R332))*(H316*2))-(((R333/(R333-R332))*((U322)-R332))*H316),2),ROUND(IF(V321&lt;(SUM(R317:R321)),IF((V322)&gt;(SUM(R317:R322)),(((SUM(R317:R322))-(V322-C321))*H316)+((U322-C321)*H316),U322*H316),IF(V322&gt;(SUM(R317:R322)),R322*H316,U322*H316)),2)))</f>
        <v>0</v>
      </c>
      <c r="I322" s="64">
        <f>IF(B322=0,0,IF(AND(H308="ja",((U322)&lt;R333)),ROUND(((R335*R332+((R333/(R333-R332))-(R332/(R333-R332))*R335)*((U322)-R332))*(I316*2))-(((R333/(R333-R332))*((U322)-R332))*I316),2),ROUND(IF(V321&lt;(SUM(S317:S321)),IF((V322)&gt;(SUM(S317:S322)),(((SUM(S317:S322))-(V322-C321))*I316)+((U322-C321)*I316),U322*I316),IF(V322&gt;(SUM(S317:S322)),S322*I316,U322*I316)),2)))</f>
        <v>0</v>
      </c>
      <c r="J322" s="64">
        <f>IF(B322=0,0,IF(AND(H308="ja",((U322)&lt;R333)),ROUND(((R335*R332+((R333/(R333-R332))-(R332/(R333-R332))*R335)*((U322)-R332))*(J316*2))-(((R333/(R333-R332))*((U322)-R332))*J316),2),ROUND(IF(V321&lt;(SUM(S317:S321)),IF((V322)&gt;(SUM(S317:S322)),(((SUM(S317:S322))-(V322-C321))*J316)+((U322-C321)*J316),U322*J316),IF(V322&gt;(SUM(S317:S322)),S322*J316,U322*J316)),2)))</f>
        <v>0</v>
      </c>
      <c r="K322" s="64">
        <f>IF(B322=0,0,IF(AND(H308="ja",((U322)&lt;R333)),ROUND(((R335*R332+((R333/(R333-R332))-(R332/(R333-R332))*R335)*((U322)-R332))*(K316*2))-(((R333/(R333-R332))*((U322)-R332))*K316),2),ROUND(IF(V321&lt;(SUM(R317:R321)),IF((V322)&gt;(SUM(R317:R322)),(((SUM(R317:R322))-(V322-C321))*K316)+((U322-C321)*K316),U322*K316),IF(V322&gt;(SUM(R317:R322)),R322*K316,U322*K316)),2)))</f>
        <v>0</v>
      </c>
      <c r="L322" s="64">
        <f>IF(B322=0,0,IF(AND(H308="ja",((U322-C322)&lt;R333)),ROUND(((R335*R332+((R333/(R333-R332))-(R332/(R333-R332))*R335)*((U322-C322)-R332))*(L316)),2),ROUND(IF(SUM(B317:F321)&lt;(SUM(S317:S321)),IF((SUM(B317:F322))&gt;(SUM(S317:S322)),(((SUM(S317:S322))-(SUM(B317:F322)-C322))*L316)+((SUM(B322:F322)-C322)*L316),(SUM(B322:F322)-C322)*L316),IF(SUM(B317:F322)&gt;(SUM(S317:S322)),S322*L316,SUM(B322:F322)*L316)),2)))</f>
        <v>0</v>
      </c>
      <c r="M322" s="64">
        <f>IF(B322=0,0,IF(AND(H308="ja",((U322-C322)&lt;R333)),ROUND(((R335*R332+((R333/(R333-R332))-(R332/(R333-R332))*R335)*((U322-C322)-R332))*(M316)),2),ROUND(IF(SUM(B317:F321)&lt;(SUM(S317:S321)),IF((SUM(B317:F322))&gt;(SUM(S317:S322)),(((SUM(S317:S322))-(SUM(B317:F322)-C322))*M316)+((SUM(B322:F322)-C322)*M316),(SUM(B322:F322)-C322)*M316),IF(SUM(B317:F322)&gt;(SUM(S317:S322)),S322*M316,SUM(B322:F322)*M316)),2)))</f>
        <v>0</v>
      </c>
      <c r="N322" s="64">
        <f>IF(B322=0,0,IF(AND(H308="ja",((U322)&lt;R333)),ROUND(((R335*R332+((R333/(R333-R332))-(R332/(R333-R332))*R335)*((U322)-R332))*(N316)),2),ROUND(IF(SUM(B317:F321)&lt;(SUM(S317:S321)),IF((SUM(B317:F322))&gt;(SUM(S317:S322)),(((SUM(S317:S322))-(SUM(B317:F322)-C321))*N316)+((SUM(B322:F322)-C321)*N316),SUM(B322:F322)*N316),IF(SUM(B317:F322)&gt;(SUM(S317:S322)),S322*N316,SUM(B322:F322)*N316)),2)))</f>
        <v>0</v>
      </c>
      <c r="O322" s="21">
        <f>ROUND(SUM(B322+C322+F322)*O316,2)</f>
        <v>0</v>
      </c>
      <c r="P322" s="25">
        <f t="shared" si="53"/>
        <v>0</v>
      </c>
      <c r="Q322" s="456"/>
      <c r="R322" s="140">
        <f>ROUND(IF(M295="",R311,R311/M295*P299),2)</f>
        <v>5175</v>
      </c>
      <c r="S322" s="140">
        <f>ROUND(IF(M295="",R312,R312/M295*P299),2)</f>
        <v>7450</v>
      </c>
      <c r="U322" s="950">
        <f t="shared" si="54"/>
        <v>0</v>
      </c>
      <c r="V322" s="950">
        <f>SUM(B317:F322)</f>
        <v>0</v>
      </c>
    </row>
    <row r="323" spans="1:24" s="1" customFormat="1" x14ac:dyDescent="0.2">
      <c r="A323" s="76" t="str">
        <f>CONCATENATE("Jul ",O293)</f>
        <v>Jul 2025</v>
      </c>
      <c r="B323" s="22">
        <f>ROUND(IF(P300=0,0,IFERROR(((LOOKUP(2,1/(A302:A305=A323),G302:G305))*P300*4.348),B322/P299*P300)),2)</f>
        <v>0</v>
      </c>
      <c r="C323" s="21">
        <f>ROUND(IFERROR((LOOKUP(2,1/(A308=A323),E308)),0)+IFERROR((LOOKUP(2,1/(A309=A323),E309)),0),2)</f>
        <v>0</v>
      </c>
      <c r="D323" s="21">
        <f>ROUND(IF(B323=0,0,D316/M295*P300),2)</f>
        <v>0</v>
      </c>
      <c r="E323" s="21">
        <f>ROUND(IF(B323=0,0,E316/N291*P300),2)</f>
        <v>0</v>
      </c>
      <c r="F323" s="22">
        <f>ROUND(IF(P300=0,0,IFERROR(((LOOKUP(2,1/(A302:A305=A323),I302:I305))/N291*P300),F322/P299*P300)),2)</f>
        <v>0</v>
      </c>
      <c r="G323" s="25">
        <f t="shared" si="52"/>
        <v>0</v>
      </c>
      <c r="H323" s="64">
        <f>IF(B323=0,0,IF(AND(H308="ja",((U323)&lt;R333)),ROUND(((R335*R332+((R333/(R333-R332))-(R332/(R333-R332))*R335)*((U323)-R332))*(H316*2))-(((R333/(R333-R332))*((U323)-R332))*H316),2),ROUND(IF(V322&lt;(SUM(R317:R322)),IF((V323)&gt;(SUM(R317:R323)),(((SUM(R317:R323))-(V323-C322))*H316)+((U323-C322)*H316),U323*H316),IF(V323&gt;(SUM(R317:R323)),R323*H316,U323*H316)),2)))</f>
        <v>0</v>
      </c>
      <c r="I323" s="64">
        <f>IF(B323=0,0,IF(AND(H308="ja",((U323)&lt;R333)),ROUND(((R335*R332+((R333/(R333-R332))-(R332/(R333-R332))*R335)*((U323)-R332))*(I316*2))-(((R333/(R333-R332))*((U323)-R332))*I316),2),ROUND(IF(V322&lt;(SUM(S317:S322)),IF((V323)&gt;(SUM(S317:S323)),(((SUM(S317:S323))-(V323-C322))*I316)+((U323-C322)*I316),U323*I316),IF(V323&gt;(SUM(S317:S323)),S323*I316,U323*I316)),2)))</f>
        <v>0</v>
      </c>
      <c r="J323" s="64">
        <f>IF(B323=0,0,IF(AND(H308="ja",((U323)&lt;R333)),ROUND(((R335*R332+((R333/(R333-R332))-(R332/(R333-R332))*R335)*((U323)-R332))*(J316*2))-(((R333/(R333-R332))*((U323)-R332))*J316),2),ROUND(IF(V322&lt;(SUM(S317:S322)),IF((V323)&gt;(SUM(S317:S323)),(((SUM(S317:S323))-(V323-C322))*J316)+((U323-C322)*J316),U323*J316),IF(V323&gt;(SUM(S317:S323)),S323*J316,U323*J316)),2)))</f>
        <v>0</v>
      </c>
      <c r="K323" s="64">
        <f>IF(B323=0,0,IF(AND(H308="ja",((U323)&lt;R333)),ROUND(((R335*R332+((R333/(R333-R332))-(R332/(R333-R332))*R335)*((U323)-R332))*(K316*2))-(((R333/(R333-R332))*((U323)-R332))*K316),2),ROUND(IF(V322&lt;(SUM(R317:R322)),IF((V323)&gt;(SUM(R317:R323)),(((SUM(R317:R323))-(V323-C322))*K316)+((U323-C322)*K316),U323*K316),IF(V323&gt;(SUM(R317:R323)),R323*K316,U323*K316)),2)))</f>
        <v>0</v>
      </c>
      <c r="L323" s="64">
        <f>IF(B323=0,0,IF(AND(H308="ja",((U323-C323)&lt;R333)),ROUND(((R335*R332+((R333/(R333-R332))-(R332/(R333-R332))*R335)*((U323-C323)-R332))*(L316)),2),ROUND(IF(SUM(B317:F322)&lt;(SUM(S317:S322)),IF((SUM(B317:F323))&gt;(SUM(S317:S323)),(((SUM(S317:S323))-(SUM(B317:F323)-C323))*L316)+((SUM(B323:F323)-C323)*L316),(SUM(B323:F323)-C323)*L316),IF(SUM(B317:F323)&gt;(SUM(S317:S323)),S323*L316,SUM(B323:F323)*L316)),2)))</f>
        <v>0</v>
      </c>
      <c r="M323" s="64">
        <f>IF(B323=0,0,IF(AND(H308="ja",((U323-C323)&lt;R333)),ROUND(((R335*R332+((R333/(R333-R332))-(R332/(R333-R332))*R335)*((U323-C323)-R332))*(M316)),2),ROUND(IF(SUM(B317:F322)&lt;(SUM(S317:S322)),IF((SUM(B317:F323))&gt;(SUM(S317:S323)),(((SUM(S317:S323))-(SUM(B317:F323)-C323))*M316)+((SUM(B323:F323)-C323)*M316),(SUM(B323:F323)-C323)*M316),IF(SUM(B317:F323)&gt;(SUM(S317:S323)),S323*M316,SUM(B323:F323)*M316)),2)))</f>
        <v>0</v>
      </c>
      <c r="N323" s="64">
        <f>IF(B323=0,0,IF(AND(H308="ja",((U323)&lt;R333)),ROUND(((R335*R332+((R333/(R333-R332))-(R332/(R333-R332))*R335)*((U323)-R332))*(N316)),2),ROUND(IF(SUM(B317:F322)&lt;(SUM(S317:S322)),IF((SUM(B317:F323))&gt;(SUM(S317:S323)),(((SUM(S317:S323))-(SUM(B317:F323)-C322))*N316)+((SUM(B323:F323)-C322)*N316),SUM(B323:F323)*N316),IF(SUM(B317:F323)&gt;(SUM(S317:S323)),S323*N316,SUM(B323:F323)*N316)),2)))</f>
        <v>0</v>
      </c>
      <c r="O323" s="21">
        <f>ROUND(SUM(B323+C323+F323)*O316,2)</f>
        <v>0</v>
      </c>
      <c r="P323" s="25">
        <f t="shared" si="53"/>
        <v>0</v>
      </c>
      <c r="Q323" s="456"/>
      <c r="R323" s="140">
        <f>ROUND(IF(M295="",R311,R311/M295*P300),2)</f>
        <v>5175</v>
      </c>
      <c r="S323" s="140">
        <f>ROUND(IF(M295="",R312,R312/M295*P300),2)</f>
        <v>7450</v>
      </c>
      <c r="U323" s="950">
        <f t="shared" si="54"/>
        <v>0</v>
      </c>
      <c r="V323" s="950">
        <f>SUM(B317:F323)</f>
        <v>0</v>
      </c>
    </row>
    <row r="324" spans="1:24" s="1" customFormat="1" x14ac:dyDescent="0.2">
      <c r="A324" s="76" t="str">
        <f>CONCATENATE("Aug ",O293)</f>
        <v>Aug 2025</v>
      </c>
      <c r="B324" s="22">
        <f>ROUND(IF(P301=0,0,IFERROR(((LOOKUP(2,1/(A302:A305=A324),G302:G305))*P301*4.348),B323/P300*P301)),2)</f>
        <v>0</v>
      </c>
      <c r="C324" s="21">
        <f>ROUND(IFERROR((LOOKUP(2,1/(A308=A324),E308)),0)+IFERROR((LOOKUP(2,1/(A309=A324),E309)),0),2)</f>
        <v>0</v>
      </c>
      <c r="D324" s="21">
        <f>ROUND(IF(B324=0,0,D316/M295*P301),2)</f>
        <v>0</v>
      </c>
      <c r="E324" s="21">
        <f>ROUND(IF(B324=0,0,E316/N291*P301),2)</f>
        <v>0</v>
      </c>
      <c r="F324" s="22">
        <f>ROUND(IF(P301=0,0,IFERROR(((LOOKUP(2,1/(A302:A305=A324),I302:I305))/N291*P301),F323/P300*P301)),2)</f>
        <v>0</v>
      </c>
      <c r="G324" s="25">
        <f t="shared" si="52"/>
        <v>0</v>
      </c>
      <c r="H324" s="64">
        <f>IF(B324=0,0,IF(AND(H308="ja",((U324)&lt;R333)),ROUND(((R335*R332+((R333/(R333-R332))-(R332/(R333-R332))*R335)*((U324)-R332))*(H316*2))-(((R333/(R333-R332))*((U324)-R332))*H316),2),ROUND(IF(V323&lt;(SUM(R317:R323)),IF((V324)&gt;(SUM(R317:R324)),(((SUM(R317:R324))-(V324-C323))*H316)+((U324-C323)*H316),U324*H316),IF(V324&gt;(SUM(R317:R324)),R324*H316,U324*H316)),2)))</f>
        <v>0</v>
      </c>
      <c r="I324" s="64">
        <f>IF(B324=0,0,IF(AND(H308="ja",((U324)&lt;R333)),ROUND(((R335*R332+((R333/(R333-R332))-(R332/(R333-R332))*R335)*((U324)-R332))*(I316*2))-(((R333/(R333-R332))*((U324)-R332))*I316),2),ROUND(IF(V323&lt;(SUM(S317:S323)),IF((V324)&gt;(SUM(S317:S324)),(((SUM(S317:S324))-(V324-C323))*I316)+((U324-C323)*I316),U324*I316),IF(V324&gt;(SUM(S317:S324)),S324*I316,U324*I316)),2)))</f>
        <v>0</v>
      </c>
      <c r="J324" s="64">
        <f>IF(B324=0,0,IF(AND(H308="ja",((U324)&lt;R333)),ROUND(((R335*R332+((R333/(R333-R332))-(R332/(R333-R332))*R335)*((U324)-R332))*(J316*2))-(((R333/(R333-R332))*((U324)-R332))*J316),2),ROUND(IF(V323&lt;(SUM(S317:S323)),IF((V324)&gt;(SUM(S317:S324)),(((SUM(S317:S324))-(V324-C323))*J316)+((U324-C323)*J316),U324*J316),IF(V324&gt;(SUM(S317:S324)),S324*J316,U324*J316)),2)))</f>
        <v>0</v>
      </c>
      <c r="K324" s="64">
        <f>IF(B324=0,0,IF(AND(H308="ja",((U324)&lt;R333)),ROUND(((R335*R332+((R333/(R333-R332))-(R332/(R333-R332))*R335)*((U324)-R332))*(K316*2))-(((R333/(R333-R332))*((U324)-R332))*K316),2),ROUND(IF(V323&lt;(SUM(R317:R323)),IF((V324)&gt;(SUM(R317:R324)),(((SUM(R317:R324))-(V324-C323))*K316)+((U324-C323)*K316),U324*K316),IF(V324&gt;(SUM(R317:R324)),R324*K316,U324*K316)),2)))</f>
        <v>0</v>
      </c>
      <c r="L324" s="64">
        <f>IF(B324=0,0,IF(AND(H308="ja",((U324-C324)&lt;R333)),ROUND(((R335*R332+((R333/(R333-R332))-(R332/(R333-R332))*R335)*((U324-C324)-R332))*(L316)),2),ROUND(IF(SUM(B317:F323)&lt;(SUM(S317:S323)),IF((SUM(B317:F324))&gt;(SUM(S317:S324)),(((SUM(S317:S324))-(SUM(B317:F324)-C324))*L316)+((SUM(B324:F324)-C324)*L316),(SUM(B324:F324)-C324)*L316),IF(SUM(B317:F324)&gt;(SUM(S317:S324)),S324*L316,SUM(B324:F324)*L316)),2)))</f>
        <v>0</v>
      </c>
      <c r="M324" s="64">
        <f>IF(B324=0,0,IF(AND(H308="ja",((U324-C324)&lt;R333)),ROUND(((R335*R332+((R333/(R333-R332))-(R332/(R333-R332))*R335)*((U324-C324)-R332))*(M316)),2),ROUND(IF(SUM(B317:F323)&lt;(SUM(S317:S323)),IF((SUM(B317:F324))&gt;(SUM(S317:S324)),(((SUM(S317:S324))-(SUM(B317:F324)-C324))*M316)+((SUM(B324:F324)-C324)*M316),(SUM(B324:F324)-C324)*M316),IF(SUM(B317:F324)&gt;(SUM(S317:S324)),S324*M316,SUM(B324:F324)*M316)),2)))</f>
        <v>0</v>
      </c>
      <c r="N324" s="64">
        <f>IF(B324=0,0,IF(AND(H308="ja",((U324)&lt;R333)),ROUND(((R335*R332+((R333/(R333-R332))-(R332/(R333-R332))*R335)*((U324)-R332))*(N316)),2),ROUND(IF(SUM(B317:F323)&lt;(SUM(S317:S323)),IF((SUM(B317:F324))&gt;(SUM(S317:S324)),(((SUM(S317:S324))-(SUM(B317:F324)-C323))*N316)+((SUM(B324:F324)-C323)*N316),SUM(B324:F324)*N316),IF(SUM(B317:F324)&gt;(SUM(S317:S324)),S324*N316,SUM(B324:F324)*N316)),2)))</f>
        <v>0</v>
      </c>
      <c r="O324" s="21">
        <f>ROUND(SUM(B324+C324+F324)*O316,2)</f>
        <v>0</v>
      </c>
      <c r="P324" s="25">
        <f t="shared" si="53"/>
        <v>0</v>
      </c>
      <c r="Q324" s="456"/>
      <c r="R324" s="140">
        <f>ROUND(IF(M295="",R311,R311/M295*P301),2)</f>
        <v>5175</v>
      </c>
      <c r="S324" s="140">
        <f>ROUND(IF(M295="",R312,R312/M295*P301),2)</f>
        <v>7450</v>
      </c>
      <c r="U324" s="950">
        <f t="shared" si="54"/>
        <v>0</v>
      </c>
      <c r="V324" s="950">
        <f>SUM(B317:F324)</f>
        <v>0</v>
      </c>
    </row>
    <row r="325" spans="1:24" s="1" customFormat="1" x14ac:dyDescent="0.2">
      <c r="A325" s="76" t="str">
        <f>CONCATENATE("Sep ",O293)</f>
        <v>Sep 2025</v>
      </c>
      <c r="B325" s="22">
        <f>ROUND(IF(P302=0,0,IFERROR(((LOOKUP(2,1/(A302:A305=A325),G302:G305))*P302*4.348),B324/P301*P302)),2)</f>
        <v>0</v>
      </c>
      <c r="C325" s="21">
        <f>ROUND(IFERROR((LOOKUP(2,1/(A308=A325),E308)),0)+IFERROR((LOOKUP(2,1/(A309=A325),E309)),0),2)</f>
        <v>0</v>
      </c>
      <c r="D325" s="21">
        <f>ROUND(IF(B325=0,0,D316/M295*P302),2)</f>
        <v>0</v>
      </c>
      <c r="E325" s="21">
        <f>ROUND(IF(B325=0,0,E316/N291*P302),2)</f>
        <v>0</v>
      </c>
      <c r="F325" s="22">
        <f>ROUND(IF(P302=0,0,IFERROR(((LOOKUP(2,1/(A302:A305=A325),I302:I305))/N291*P302),F324/P301*P302)),2)</f>
        <v>0</v>
      </c>
      <c r="G325" s="25">
        <f t="shared" si="52"/>
        <v>0</v>
      </c>
      <c r="H325" s="64">
        <f>IF(B325=0,0,IF(AND(H308="ja",((U325)&lt;R333)),ROUND(((R335*R332+((R333/(R333-R332))-(R332/(R333-R332))*R335)*((U325)-R332))*(H316*2))-(((R333/(R333-R332))*((U325)-R332))*H316),2),ROUND(IF(V324&lt;(SUM(R317:R324)),IF((V325)&gt;(SUM(R317:R325)),(((SUM(R317:R325))-(V325-C324))*H316)+((U325-C324)*H316),U325*H316),IF(V325&gt;(SUM(R317:R325)),R325*H316,U325*H316)),2)))</f>
        <v>0</v>
      </c>
      <c r="I325" s="64">
        <f>IF(B325=0,0,IF(AND(H308="ja",((U325)&lt;R333)),ROUND(((R335*R332+((R333/(R333-R332))-(R332/(R333-R332))*R335)*((U325)-R332))*(I316*2))-(((R333/(R333-R332))*((U325)-R332))*I316),2),ROUND(IF(V324&lt;(SUM(S317:S324)),IF((V325)&gt;(SUM(S317:S325)),(((SUM(S317:S325))-(V325-C324))*I316)+((U325-C324)*I316),U325*I316),IF(V325&gt;(SUM(S317:S325)),S325*I316,U325*I316)),2)))</f>
        <v>0</v>
      </c>
      <c r="J325" s="64">
        <f>IF(B325=0,0,IF(AND(H308="ja",((U325)&lt;R333)),ROUND(((R335*R332+((R333/(R333-R332))-(R332/(R333-R332))*R335)*((U325)-R332))*(J316*2))-(((R333/(R333-R332))*((U325)-R332))*J316),2),ROUND(IF(V324&lt;(SUM(S317:S324)),IF((V325)&gt;(SUM(S317:S325)),(((SUM(S317:S325))-(V325-C324))*J316)+((U325-C324)*J316),U325*J316),IF(V325&gt;(SUM(S317:S325)),S325*J316,U325*J316)),2)))</f>
        <v>0</v>
      </c>
      <c r="K325" s="64">
        <f>IF(B325=0,0,IF(AND(H308="ja",((U325)&lt;R333)),ROUND(((R335*R332+((R333/(R333-R332))-(R332/(R333-R332))*R335)*((U325)-R332))*(K316*2))-(((R333/(R333-R332))*((U325)-R332))*K316),2),ROUND(IF(V324&lt;(SUM(R317:R324)),IF((V325)&gt;(SUM(R317:R325)),(((SUM(R317:R325))-(V325-C324))*K316)+((U325-C324)*K316),U325*K316),IF(V325&gt;(SUM(R317:R325)),R325*K316,U325*K316)),2)))</f>
        <v>0</v>
      </c>
      <c r="L325" s="64">
        <f>IF(B325=0,0,IF(AND(H308="ja",((U325-C325)&lt;R333)),ROUND(((R335*R332+((R333/(R333-R332))-(R332/(R333-R332))*R335)*((U325-C325)-R332))*(L316)),2),ROUND(IF(SUM(B317:F324)&lt;(SUM(S317:S324)),IF((SUM(B317:F325))&gt;(SUM(S317:S325)),(((SUM(S317:S325))-(SUM(B317:F325)-C325))*L316)+((SUM(B325:F325)-C325)*L316),(SUM(B325:F325)-C325)*L316),IF(SUM(B317:F325)&gt;(SUM(S317:S325)),S325*L316,SUM(B325:F325)*L316)),2)))</f>
        <v>0</v>
      </c>
      <c r="M325" s="64">
        <f>IF(B325=0,0,IF(AND(H308="ja",((U325-C325)&lt;R333)),ROUND(((R335*R332+((R333/(R333-R332))-(R332/(R333-R332))*R335)*((U325-C325)-R332))*(M316)),2),ROUND(IF(SUM(B317:F324)&lt;(SUM(S317:S324)),IF((SUM(B317:F325))&gt;(SUM(S317:S325)),(((SUM(S317:S325))-(SUM(B317:F325)-C325))*M316)+((SUM(B325:F325)-C325)*M316),(SUM(B325:F325)-C325)*M316),IF(SUM(B317:F325)&gt;(SUM(S317:S325)),S325*M316,SUM(B325:F325)*M316)),2)))</f>
        <v>0</v>
      </c>
      <c r="N325" s="64">
        <f>IF(B325=0,0,IF(AND(H308="ja",((U325)&lt;R333)),ROUND(((R335*R332+((R333/(R333-R332))-(R332/(R333-R332))*R335)*((U325)-R332))*(N316)),2),ROUND(IF(SUM(B317:F324)&lt;(SUM(S317:S324)),IF((SUM(B317:F325))&gt;(SUM(S317:S325)),(((SUM(S317:S325))-(SUM(B317:F325)-C324))*N316)+((SUM(B325:F325)-C324)*N316),SUM(B325:F325)*N316),IF(SUM(B317:F325)&gt;(SUM(S317:S325)),S325*N316,SUM(B325:F325)*N316)),2)))</f>
        <v>0</v>
      </c>
      <c r="O325" s="21">
        <f>ROUND(SUM(B325+C325+F325)*O316,2)</f>
        <v>0</v>
      </c>
      <c r="P325" s="25">
        <f t="shared" si="53"/>
        <v>0</v>
      </c>
      <c r="Q325" s="456"/>
      <c r="R325" s="140">
        <f>ROUND(IF(M295="",R311,R311/M295*P302),2)</f>
        <v>5175</v>
      </c>
      <c r="S325" s="140">
        <f>ROUND(IF(M295="",R312,R312/M295*P302),2)</f>
        <v>7450</v>
      </c>
      <c r="U325" s="950">
        <f t="shared" si="54"/>
        <v>0</v>
      </c>
      <c r="V325" s="950">
        <f>SUM(B317:F325)</f>
        <v>0</v>
      </c>
    </row>
    <row r="326" spans="1:24" s="12" customFormat="1" ht="15" x14ac:dyDescent="0.25">
      <c r="A326" s="76" t="str">
        <f>CONCATENATE("Okt ",O293)</f>
        <v>Okt 2025</v>
      </c>
      <c r="B326" s="22">
        <f>ROUND(IF(P303=0,0,IFERROR(((LOOKUP(2,1/(A302:A305=A326),G302:G305))*P303*4.348),B325/P302*P303)),2)</f>
        <v>0</v>
      </c>
      <c r="C326" s="21">
        <f>ROUND(IFERROR((LOOKUP(2,1/(A308=A326),E308)),0)+IFERROR((LOOKUP(2,1/(A309=A326),E309)),0),2)</f>
        <v>0</v>
      </c>
      <c r="D326" s="21">
        <f>ROUND(IF(B326=0,0,D316/M295*P303),2)</f>
        <v>0</v>
      </c>
      <c r="E326" s="21">
        <f>ROUND(IF(B326=0,0,E316/N291*P303),2)</f>
        <v>0</v>
      </c>
      <c r="F326" s="22">
        <f>ROUND(IF(P303=0,0,IFERROR(((LOOKUP(2,1/(A302:A305=A326),I302:I305))/N291*P303),F325/P302*P303)),2)</f>
        <v>0</v>
      </c>
      <c r="G326" s="25">
        <f t="shared" si="52"/>
        <v>0</v>
      </c>
      <c r="H326" s="64">
        <f>IF(B326=0,0,IF(AND(H308="ja",((U326)&lt;R333)),ROUND(((R335*R332+((R333/(R333-R332))-(R332/(R333-R332))*R335)*((U326)-R332))*(H316*2))-(((R333/(R333-R332))*((U326)-R332))*H316),2),ROUND(IF(V325&lt;(SUM(R317:R325)),IF((V326)&gt;(SUM(R317:R326)),(((SUM(R317:R326))-(V326-C325))*H316)+((U326-C325)*H316),U326*H316),IF(V326&gt;(SUM(R317:R326)),R326*H316,U326*H316)),2)))</f>
        <v>0</v>
      </c>
      <c r="I326" s="64">
        <f>IF(B326=0,0,IF(AND(H308="ja",((U326)&lt;R333)),ROUND(((R335*R332+((R333/(R333-R332))-(R332/(R333-R332))*R335)*((U326)-R332))*(I316*2))-(((R333/(R333-R332))*((U326)-R332))*I316),2),ROUND(IF(V325&lt;(SUM(S317:S325)),IF((V326)&gt;(SUM(S317:S326)),(((SUM(S317:S326))-(V326-C325))*I316)+((U326-C325)*I316),U326*I316),IF(V326&gt;(SUM(S317:S326)),S326*I316,U326*I316)),2)))</f>
        <v>0</v>
      </c>
      <c r="J326" s="64">
        <f>IF(B326=0,0,IF(AND(H308="ja",((U326)&lt;R333)),ROUND(((R335*R332+((R333/(R333-R332))-(R332/(R333-R332))*R335)*((U326)-R332))*(J316*2))-(((R333/(R333-R332))*((U326)-R332))*J316),2),ROUND(IF(V325&lt;(SUM(S317:S325)),IF((V326)&gt;(SUM(S317:S326)),(((SUM(S317:S326))-(V326-C325))*J316)+((U326-C325)*J316),U326*J316),IF(V326&gt;(SUM(S317:S326)),S326*J316,U326*J316)),2)))</f>
        <v>0</v>
      </c>
      <c r="K326" s="64">
        <f>IF(B326=0,0,IF(AND(H308="ja",((U326)&lt;R333)),ROUND(((R335*R332+((R333/(R333-R332))-(R332/(R333-R332))*R335)*((U326)-R332))*(K316*2))-(((R333/(R333-R332))*((U326)-R332))*K316),2),ROUND(IF(V325&lt;(SUM(R317:R325)),IF((V326)&gt;(SUM(R317:R326)),(((SUM(R317:R326))-(V326-C325))*K316)+((U326-C325)*K316),U326*K316),IF(V326&gt;(SUM(R317:R326)),R326*K316,U326*K316)),2)))</f>
        <v>0</v>
      </c>
      <c r="L326" s="64">
        <f>IF(B326=0,0,IF(AND(H308="ja",((U326-C326)&lt;R333)),ROUND(((R335*R332+((R333/(R333-R332))-(R332/(R333-R332))*R335)*((U326-C326)-R332))*(L316)),2),ROUND(IF(SUM(B317:F325)&lt;(SUM(S317:S325)),IF((SUM(B317:F326))&gt;(SUM(S317:S326)),(((SUM(S317:S326))-(SUM(B317:F326)-C326))*L316)+((SUM(B326:F326)-C326)*L316),(SUM(B326:F326)-C326)*L316),IF(SUM(B317:F326)&gt;(SUM(S317:S326)),S326*L316,SUM(B326:F326)*L316)),2)))</f>
        <v>0</v>
      </c>
      <c r="M326" s="64">
        <f>IF(B326=0,0,IF(AND(H308="ja",((U326-C326)&lt;R333)),ROUND(((R335*R332+((R333/(R333-R332))-(R332/(R333-R332))*R335)*((U326-C326)-R332))*(M316)),2),ROUND(IF(SUM(B317:F325)&lt;(SUM(S317:S325)),IF((SUM(B317:F326))&gt;(SUM(S317:S326)),(((SUM(S317:S326))-(SUM(B317:F326)-C326))*M316)+((SUM(B326:F326)-C326)*M316),(SUM(B326:F326)-C326)*M316),IF(SUM(B317:F326)&gt;(SUM(S317:S326)),S326*M316,SUM(B326:F326)*M316)),2)))</f>
        <v>0</v>
      </c>
      <c r="N326" s="64">
        <f>IF(B326=0,0,IF(AND(H308="ja",((U326)&lt;R333)),ROUND(((R335*R332+((R333/(R333-R332))-(R332/(R333-R332))*R335)*((U326)-R332))*(N316)),2),ROUND(IF(SUM(B317:F325)&lt;(SUM(S317:S325)),IF((SUM(B317:F326))&gt;(SUM(S317:S326)),(((SUM(S317:S326))-(SUM(B317:F326)-C325))*N316)+((SUM(B326:F326)-C325)*N316),SUM(B326:F326)*N316),IF(SUM(B317:F326)&gt;(SUM(S317:S326)),S326*N316,SUM(B326:F326)*N316)),2)))</f>
        <v>0</v>
      </c>
      <c r="O326" s="21">
        <f>ROUND(SUM(B326+C326+F326)*O316,2)</f>
        <v>0</v>
      </c>
      <c r="P326" s="25">
        <f t="shared" si="53"/>
        <v>0</v>
      </c>
      <c r="Q326" s="936"/>
      <c r="R326" s="140">
        <f>ROUND(IF(M295="",R311,R311/M295*P303),2)</f>
        <v>5175</v>
      </c>
      <c r="S326" s="140">
        <f>ROUND(IF(M295="",R312,R312/M295*P303),2)</f>
        <v>7450</v>
      </c>
      <c r="U326" s="950">
        <f t="shared" si="54"/>
        <v>0</v>
      </c>
      <c r="V326" s="950">
        <f>SUM(B317:F326)</f>
        <v>0</v>
      </c>
      <c r="X326" s="1"/>
    </row>
    <row r="327" spans="1:24" s="11" customFormat="1" x14ac:dyDescent="0.2">
      <c r="A327" s="76" t="str">
        <f>CONCATENATE("Nov ",O293)</f>
        <v>Nov 2025</v>
      </c>
      <c r="B327" s="22">
        <f>ROUND(IF(P304=0,0,IFERROR(((LOOKUP(2,1/(A302:A305=A327),G302:G305))*P304*4.348),B326/P303*P304)),2)</f>
        <v>0</v>
      </c>
      <c r="C327" s="21">
        <f>ROUND(IFERROR((LOOKUP(2,1/(A308=A327),E308)),0)+(IFERROR((LOOKUP(2,1/(A309=A327),E309)),0)),2)</f>
        <v>0</v>
      </c>
      <c r="D327" s="21">
        <f>ROUND(IF(B327=0,0,D316/M295*P304),2)</f>
        <v>0</v>
      </c>
      <c r="E327" s="21">
        <f>ROUND(IF(B327=0,0,E316/N291*P304),2)</f>
        <v>0</v>
      </c>
      <c r="F327" s="22">
        <f>ROUND(IF(P304=0,0,IFERROR(((LOOKUP(2,1/(A302:A305=A327),I302:I305))/N291*P304),F326/P303*P304)),2)</f>
        <v>0</v>
      </c>
      <c r="G327" s="25">
        <f t="shared" si="52"/>
        <v>0</v>
      </c>
      <c r="H327" s="64">
        <f>IF(B327=0,0,IF(AND(H308="ja",((U327)&lt;R333)),ROUND(((R335*R332+((R333/(R333-R332))-(R332/(R333-R332))*R335)*((U327)-R332))*(H316*2))-(((R333/(R333-R332))*((U327)-R332))*H316),2),ROUND(IF(V326&lt;(SUM(R317:R326)),IF((V327)&gt;(SUM(R317:R327)),(((SUM(R317:R327))-(V327-C326))*H316)+((U327-C326)*H316),U327*H316),IF(V327&gt;(SUM(R317:R327)),R327*H316,U327*H316)),2)))</f>
        <v>0</v>
      </c>
      <c r="I327" s="64">
        <f>IF(B327=0,0,IF(AND(H308="ja",((U327)&lt;R333)),ROUND(((R335*R332+((R333/(R333-R332))-(R332/(R333-R332))*R335)*((U327)-R332))*(I316*2))-(((R333/(R333-R332))*((U327)-R332))*I316),2),ROUND(IF(V326&lt;(SUM(S317:S326)),IF((V327)&gt;(SUM(S317:S327)),(((SUM(S317:S327))-(V327-C326))*I316)+((U327-C326)*I316),U327*I316),IF(V327&gt;(SUM(S317:S327)),S327*I316,U327*I316)),2)))</f>
        <v>0</v>
      </c>
      <c r="J327" s="64">
        <f>IF(B327=0,0,IF(AND(H308="ja",((U327)&lt;R333)),ROUND(((R335*R332+((R333/(R333-R332))-(R332/(R333-R332))*R335)*((U327)-R332))*(J316*2))-(((R333/(R333-R332))*((U327)-R332))*J316),2),ROUND(IF(V326&lt;(SUM(S317:S326)),IF((V327)&gt;(SUM(S317:S327)),(((SUM(S317:S327))-(V327-C326))*J316)+((U327-C326)*J316),U327*J316),IF(V327&gt;(SUM(S317:S327)),S327*J316,U327*J316)),2)))</f>
        <v>0</v>
      </c>
      <c r="K327" s="64">
        <f>IF(B327=0,0,IF(AND(H308="ja",((U327)&lt;R333)),ROUND(((R335*R332+((R333/(R333-R332))-(R332/(R333-R332))*R335)*((U327)-R332))*(K316*2))-(((R333/(R333-R332))*((U327)-R332))*K316),2),ROUND(IF(V326&lt;(SUM(R317:R326)),IF((V327)&gt;(SUM(R317:R327)),(((SUM(R317:R327))-(V327-C326))*K316)+((U327-C326)*K316),U327*K316),IF(V327&gt;(SUM(R317:R327)),R327*K316,U327*K316)),2)))</f>
        <v>0</v>
      </c>
      <c r="L327" s="64">
        <f>IF(B327=0,0,IF(AND(H308="ja",((U327-C327)&lt;R333)),ROUND(((R335*R332+((R333/(R333-R332))-(R332/(R333-R332))*R335)*((U327-C327)-R332))*(L316)),2),ROUND(IF(SUM(B317:F326)&lt;(SUM(S317:S326)),IF((SUM(B317:F327))&gt;(SUM(S317:S327)),(((SUM(S317:S327))-(SUM(B317:F327)-C327))*L316)+((SUM(B327:F327)-C327)*L316),(SUM(B327:F327)-C327)*L316),IF(SUM(B317:F327)&gt;(SUM(S317:S327)),S327*L316,SUM(B327:F327)*L316)),2)))</f>
        <v>0</v>
      </c>
      <c r="M327" s="64">
        <f>IF(B327=0,0,IF(AND(H308="ja",((U327-C327)&lt;R333)),ROUND(((R335*R332+((R333/(R333-R332))-(R332/(R333-R332))*R335)*((U327-C327)-R332))*(M316)),2),ROUND(IF(SUM(B317:F326)&lt;(SUM(S317:S326)),IF((SUM(B317:F327))&gt;(SUM(S317:S327)),(((SUM(S317:S327))-(SUM(B317:F327)-C327))*M316)+((SUM(B327:F327)-C327)*M316),(SUM(B327:F327)-C327)*M316),IF(SUM(B317:F327)&gt;(SUM(S317:S327)),S327*M316,SUM(B327:F327)*M316)),2)))</f>
        <v>0</v>
      </c>
      <c r="N327" s="64">
        <f>IF(B327=0,0,IF(AND(H308="ja",((U327)&lt;R333)),ROUND(((R335*R332+((R333/(R333-R332))-(R332/(R333-R332))*R335)*((U327)-R332))*(N316)),2),ROUND(IF(SUM(B317:F326)&lt;(SUM(S317:S326)),IF((SUM(B317:F327))&gt;(SUM(S317:S327)),(((SUM(S317:S327))-(SUM(B317:F327)-C326))*N316)+((SUM(B327:F327)-C326)*N316),SUM(B327:F327)*N316),IF(SUM(B317:F327)&gt;(SUM(S317:S327)),S327*N316,SUM(B327:F327)*N316)),2)))</f>
        <v>0</v>
      </c>
      <c r="O327" s="21">
        <f>ROUND(SUM(B327+C327+F327)*O316,2)</f>
        <v>0</v>
      </c>
      <c r="P327" s="25">
        <f t="shared" si="53"/>
        <v>0</v>
      </c>
      <c r="R327" s="140">
        <f>ROUND(IF(M295="",R311,R311/M295*P304),2)</f>
        <v>5175</v>
      </c>
      <c r="S327" s="140">
        <f>ROUND(IF(M295="",R312,R312/M295*P304),2)</f>
        <v>7450</v>
      </c>
      <c r="U327" s="950">
        <f t="shared" si="54"/>
        <v>0</v>
      </c>
      <c r="V327" s="950">
        <f>SUM(B317:F327)</f>
        <v>0</v>
      </c>
      <c r="X327" s="1"/>
    </row>
    <row r="328" spans="1:24" s="1" customFormat="1" ht="14.25" customHeight="1" x14ac:dyDescent="0.2">
      <c r="A328" s="76" t="str">
        <f>CONCATENATE("Dez ",O293)</f>
        <v>Dez 2025</v>
      </c>
      <c r="B328" s="22">
        <f>ROUND(IF(P305=0,0,IFERROR(((LOOKUP(2,1/(A302:A305=A328),G302:G305))*P305*4.348),B327/P304*P305)),2)</f>
        <v>0</v>
      </c>
      <c r="C328" s="21">
        <f>ROUND(IFERROR((LOOKUP(2,1/(A308=A328),E308)),0)+IFERROR((LOOKUP(2,1/(A309=A328),E309)),0),2)</f>
        <v>0</v>
      </c>
      <c r="D328" s="21">
        <f>ROUND(IF(B328=0,0,D316/M295*P305),2)</f>
        <v>0</v>
      </c>
      <c r="E328" s="21">
        <f>ROUND(IF(B328=0,0,E316/N291*P305),2)</f>
        <v>0</v>
      </c>
      <c r="F328" s="22">
        <f>ROUND(IF(P305=0,0,IFERROR(((LOOKUP(2,1/(A302:A305=A328),I302:I305))/N291*P305),F327/P304*P305)),2)</f>
        <v>0</v>
      </c>
      <c r="G328" s="25">
        <f t="shared" si="52"/>
        <v>0</v>
      </c>
      <c r="H328" s="64">
        <f>IF(B328=0,0,IF(AND(H308="ja",((U328)&lt;R333)),ROUND(((R335*R332+((R333/(R333-R332))-(R332/(R333-R332))*R335)*((U328)-R332))*(H316*2))-(((R333/(R333-R332))*((U328)-R332))*H316),2),ROUND(IF(V327&lt;(SUM(R317:R327)),IF((V328)&gt;(SUM(R317:R328)),(((SUM(R317:R328))-(V328-C327))*H316)+((U328-C327)*H316),U328*H316),IF(V328&gt;(SUM(R317:R328)),R328*H316,U328*H316)),2)))</f>
        <v>0</v>
      </c>
      <c r="I328" s="64">
        <f>IF(B328=0,0,IF(AND(H308="ja",((U328)&lt;R333)),ROUND(((R335*R332+((R333/(R333-R332))-(R332/(R333-R332))*R335)*((U328)-R332))*(I316*2))-(((R333/(R333-R332))*((U328)-R332))*I316),2),ROUND(IF(V327&lt;(SUM(S317:S327)),IF((V328)&gt;(SUM(S317:S328)),(((SUM(S317:S328))-(V328-C327))*I316)+((U328-C327)*I316),U328*I316),IF(V328&gt;(SUM(S317:S328)),S328*I316,U328*I316)),2)))</f>
        <v>0</v>
      </c>
      <c r="J328" s="64">
        <f>IF(B328=0,0,IF(AND(H308="ja",((U328)&lt;R333)),ROUND(((R335*R332+((R333/(R333-R332))-(R332/(R333-R332))*R335)*((U328)-R332))*(J316*2))-(((R333/(R333-R332))*((U328)-R332))*J316),2),ROUND(IF(V327&lt;(SUM(S317:S327)),IF((V328)&gt;(SUM(S317:S328)),(((SUM(S317:S328))-(V328-C327))*J316)+((U328-C327)*J316),U328*J316),IF(V328&gt;(SUM(S317:S328)),S328*J316,U328*J316)),2)))</f>
        <v>0</v>
      </c>
      <c r="K328" s="64">
        <f>IF(B328=0,0,IF(AND(H308="ja",((U328)&lt;R333)),ROUND(((R335*R332+((R333/(R333-R332))-(R332/(R333-R332))*R335)*((U328)-R332))*(K316*2))-(((R333/(R333-R332))*((U328)-R332))*K316),2),ROUND(IF(V327&lt;(SUM(R317:R327)),IF((V328)&gt;(SUM(R317:R328)),(((SUM(R317:R328))-(V328-C327))*K316)+((U328-C327)*K316),U328*K316),IF(V328&gt;(SUM(R317:R328)),R328*K316,U328*K316)),2)))</f>
        <v>0</v>
      </c>
      <c r="L328" s="64">
        <f>IF(B328=0,0,IF(AND(H308="ja",((U328-C328)&lt;R333)),ROUND(((R335*R332+((R333/(R333-R332))-(R332/(R333-R332))*R335)*((U328-C328)-R332))*(L316)),2),ROUND(IF(SUM(B317:F327)&lt;(SUM(S317:S327)),IF((SUM(B317:F328))&gt;(SUM(S317:S328)),(((SUM(S317:S328))-(SUM(B317:F328)-C328))*L316)+((SUM(B328:F328)-C328)*L316),(SUM(B328:F328)-C328)*L316),IF(SUM(B317:F328)&gt;(SUM(S317:S328)),S328*L316,SUM(B328:F328)*L316)),2)))</f>
        <v>0</v>
      </c>
      <c r="M328" s="64">
        <f>IF(B328=0,0,IF(AND(H308="ja",((U328-C328)&lt;R333)),ROUND(((R335*R332+((R333/(R333-R332))-(R332/(R333-R332))*R335)*((U328-C328)-R332))*(M316)),2),ROUND(IF(SUM(B317:F327)&lt;(SUM(S317:S327)),IF((SUM(B317:F328))&gt;(SUM(S317:S328)),(((SUM(S317:S328))-(SUM(B317:F328)-C328))*M316)+((SUM(B328:F328)-C328)*M316),(SUM(B328:F328)-C328)*M316),IF(SUM(B317:F328)&gt;(SUM(S317:S328)),S328*M316,SUM(B328:F328)*M316)),2)))</f>
        <v>0</v>
      </c>
      <c r="N328" s="64">
        <f>IF(B328=0,0,IF(AND(H308="ja",((U328)&lt;R333)),ROUND(((R335*R332+((R333/(R333-R332))-(R332/(R333-R332))*R335)*((U328)-R332))*(N316)),2),ROUND(IF(SUM(B317:F327)&lt;(SUM(S317:S327)),IF((SUM(B317:F328))&gt;(SUM(S317:S328)),(((SUM(S317:S328))-(SUM(B317:F328)-C327))*N316)+((SUM(B328:F328)-C327)*N316),SUM(B328:F328)*N316),IF(SUM(B317:F328)&gt;(SUM(S317:S328)),S328*N316,SUM(B328:F328)*N316)),2)))</f>
        <v>0</v>
      </c>
      <c r="O328" s="21">
        <f>ROUND(SUM(B328+C328+F328)*O316,2)</f>
        <v>0</v>
      </c>
      <c r="P328" s="25">
        <f t="shared" si="53"/>
        <v>0</v>
      </c>
      <c r="Q328" s="11"/>
      <c r="R328" s="140">
        <f>ROUND(IF(M295="",R311,R311/M295*P305),2)</f>
        <v>5175</v>
      </c>
      <c r="S328" s="140">
        <f>ROUND(IF(M295="",R312,R312/M295*P305),2)</f>
        <v>7450</v>
      </c>
      <c r="U328" s="950">
        <f t="shared" si="54"/>
        <v>0</v>
      </c>
      <c r="V328" s="950">
        <f>SUM(B317:F328)</f>
        <v>0</v>
      </c>
    </row>
    <row r="329" spans="1:24" s="1" customFormat="1" ht="15" customHeight="1" x14ac:dyDescent="0.2">
      <c r="A329" s="2" t="s">
        <v>1</v>
      </c>
      <c r="B329" s="25">
        <f t="shared" ref="B329:G329" si="55">SUM(B317:B328)</f>
        <v>0</v>
      </c>
      <c r="C329" s="25">
        <f t="shared" si="55"/>
        <v>0</v>
      </c>
      <c r="D329" s="25">
        <f t="shared" si="55"/>
        <v>0</v>
      </c>
      <c r="E329" s="25">
        <f t="shared" si="55"/>
        <v>0</v>
      </c>
      <c r="F329" s="25">
        <f t="shared" si="55"/>
        <v>0</v>
      </c>
      <c r="G329" s="25">
        <f t="shared" si="55"/>
        <v>0</v>
      </c>
      <c r="H329" s="1309">
        <f>SUM(H317:N328)</f>
        <v>0</v>
      </c>
      <c r="I329" s="1310"/>
      <c r="J329" s="1310"/>
      <c r="K329" s="1310"/>
      <c r="L329" s="1310"/>
      <c r="M329" s="1310"/>
      <c r="N329" s="1311"/>
      <c r="O329" s="25">
        <f>SUM(O317:O328)</f>
        <v>0</v>
      </c>
      <c r="P329" s="25">
        <f>SUM(P317:P328)</f>
        <v>0</v>
      </c>
    </row>
    <row r="330" spans="1:24" s="1" customFormat="1" ht="12" customHeight="1" x14ac:dyDescent="0.2"/>
    <row r="331" spans="1:24" s="1" customFormat="1" ht="14.25" customHeight="1" x14ac:dyDescent="0.2">
      <c r="B331" s="906"/>
      <c r="H331" s="905"/>
      <c r="I331" s="62"/>
      <c r="J331" s="914" t="s">
        <v>123</v>
      </c>
      <c r="L331" s="900" t="s">
        <v>124</v>
      </c>
      <c r="M331" s="974" t="str">
        <f>IF(IF(G329=0,"",'päd.Personal - Leitung'!$M$43)=0,"",IF(G329=0,"",'päd.Personal - Leitung'!$M$43))</f>
        <v/>
      </c>
      <c r="N331" s="902" t="s">
        <v>125</v>
      </c>
      <c r="O331" s="963" t="str">
        <f>IF(IF(G329=0,"",'päd.Personal - Leitung'!$O$43)=0,"",IF(G329=0,"",'päd.Personal - Leitung'!$O$43))</f>
        <v/>
      </c>
      <c r="P331" s="25">
        <f>ROUND(IF(M331="",0,G329*M331*O331/1000),2)</f>
        <v>0</v>
      </c>
      <c r="Q331" s="937"/>
      <c r="R331" s="938">
        <v>2025</v>
      </c>
      <c r="S331" s="939"/>
    </row>
    <row r="332" spans="1:24" s="1" customFormat="1" ht="14.25" customHeight="1" x14ac:dyDescent="0.2">
      <c r="H332" s="907"/>
      <c r="I332" s="42"/>
      <c r="M332" s="915" t="s">
        <v>129</v>
      </c>
      <c r="N332" s="80" t="s">
        <v>125</v>
      </c>
      <c r="O332" s="75" t="str">
        <f>IF(IF(G329=0,"",'päd.Personal - Leitung'!$O$44)=0,"",IF(G329=0,"",'päd.Personal - Leitung'!$O$44))</f>
        <v/>
      </c>
      <c r="P332" s="25">
        <f>ROUND(IF(O332="",0,G329*O332/1000),2)</f>
        <v>0</v>
      </c>
      <c r="Q332" s="942" t="s">
        <v>737</v>
      </c>
      <c r="R332" s="141">
        <f>'päd.Personal - Leitung'!$R$44</f>
        <v>556</v>
      </c>
      <c r="S332" s="955">
        <f>'päd.Personal - Leitung'!$S$44</f>
        <v>12.82</v>
      </c>
    </row>
    <row r="333" spans="1:24" s="1" customFormat="1" ht="14.25" customHeight="1" x14ac:dyDescent="0.2">
      <c r="H333" s="912" t="s">
        <v>126</v>
      </c>
      <c r="I333" s="1013" t="s">
        <v>127</v>
      </c>
      <c r="J333" s="975" t="str">
        <f>IF(IF(G329=0,"",'päd.Personal - Leitung'!$J$45)=0,"",IF(G329=0,"",'päd.Personal - Leitung'!$J$45))</f>
        <v/>
      </c>
      <c r="K333" s="902" t="s">
        <v>128</v>
      </c>
      <c r="L333" s="964" t="str">
        <f>IF(IF(G329=0,"",'päd.Personal - Leitung'!$L$45)=0,"",IF(G329=0,"",'päd.Personal - Leitung'!$L$45))</f>
        <v/>
      </c>
      <c r="M333" s="16"/>
      <c r="N333" s="900" t="s">
        <v>132</v>
      </c>
      <c r="O333" s="965" t="str">
        <f>IF(IF(G329=0,"",'päd.Personal - Leitung'!$O$45)=0,"",IF(G329=0,"",'päd.Personal - Leitung'!$O$45))</f>
        <v/>
      </c>
      <c r="P333" s="25">
        <f>ROUND(IF(J333="",0,(J333*L333/O333)/M297*M298),2)</f>
        <v>0</v>
      </c>
      <c r="Q333" s="942" t="s">
        <v>738</v>
      </c>
      <c r="R333" s="140">
        <f>'päd.Personal - Leitung'!$R$45</f>
        <v>2000</v>
      </c>
      <c r="S333" s="939"/>
    </row>
    <row r="334" spans="1:24" s="1" customFormat="1" ht="14.25" customHeight="1" x14ac:dyDescent="0.2">
      <c r="D334" s="16"/>
      <c r="I334" s="16"/>
      <c r="J334" s="16"/>
      <c r="K334" s="63"/>
      <c r="L334" s="67"/>
      <c r="M334" s="915" t="s">
        <v>130</v>
      </c>
      <c r="N334" s="80" t="s">
        <v>131</v>
      </c>
      <c r="O334" s="904">
        <f>IF(IF(G329="",0,'päd.Personal - Leitung'!$O$94)=0,0,IF(G329="",0,'päd.Personal - Leitung'!$O$94))</f>
        <v>0</v>
      </c>
      <c r="P334" s="21">
        <f>ROUND(IF(G329=0,0,O334/M295*M296),2)</f>
        <v>0</v>
      </c>
      <c r="Q334" s="942" t="s">
        <v>740</v>
      </c>
      <c r="R334" s="956">
        <f>'päd.Personal - Leitung'!$R$46</f>
        <v>0.40900000000000003</v>
      </c>
    </row>
    <row r="335" spans="1:24" s="1" customFormat="1" ht="14.25" customHeight="1" x14ac:dyDescent="0.2">
      <c r="A335" s="16"/>
      <c r="B335" s="16"/>
      <c r="I335" s="905"/>
      <c r="J335" s="961" t="s">
        <v>176</v>
      </c>
      <c r="K335" s="1312" t="str">
        <f>IF($K$47="","",$K$47)</f>
        <v/>
      </c>
      <c r="L335" s="1312"/>
      <c r="M335" s="1312"/>
      <c r="N335" s="80" t="s">
        <v>131</v>
      </c>
      <c r="O335" s="904">
        <f>IF(IF(G329="",0,'päd.Personal - Leitung'!$O$95)=0,0,IF(G329="",0,'päd.Personal - Leitung'!$O$95))</f>
        <v>0</v>
      </c>
      <c r="P335" s="21">
        <f>ROUND(IF(G329=0,0,O335/M295*M296),2)</f>
        <v>0</v>
      </c>
      <c r="Q335" s="942" t="s">
        <v>739</v>
      </c>
      <c r="R335" s="940">
        <f>'päd.Personal - Leitung'!$R$47</f>
        <v>0.68459999999999999</v>
      </c>
      <c r="S335" s="957">
        <f>'päd.Personal - Leitung'!$S$47</f>
        <v>0.28000000000000003</v>
      </c>
    </row>
    <row r="336" spans="1:24" s="1" customFormat="1" ht="14.25" customHeight="1" x14ac:dyDescent="0.2">
      <c r="A336" s="908"/>
      <c r="B336" s="908"/>
      <c r="C336" s="1013"/>
      <c r="D336" s="1013"/>
      <c r="I336" s="913"/>
      <c r="J336" s="913"/>
      <c r="K336" s="916"/>
      <c r="L336" s="27"/>
      <c r="M336" s="27"/>
      <c r="N336" s="27"/>
      <c r="O336" s="26" t="s">
        <v>0</v>
      </c>
      <c r="P336" s="25">
        <f>P329+SUM(P331:P335)</f>
        <v>0</v>
      </c>
    </row>
    <row r="337" spans="1:19" s="10" customFormat="1" ht="13.5" customHeight="1" x14ac:dyDescent="0.2">
      <c r="A337" s="1321" t="s">
        <v>17</v>
      </c>
      <c r="B337" s="1321"/>
      <c r="C337" s="1321"/>
      <c r="D337" s="1320" t="str">
        <f>IF('päd.Personal - Leitung'!$D$1="","",'päd.Personal - Leitung'!$D$1)</f>
        <v/>
      </c>
      <c r="E337" s="1320"/>
      <c r="F337" s="1320"/>
      <c r="G337" s="1320"/>
      <c r="H337" s="1320"/>
      <c r="I337" s="1320"/>
      <c r="J337" s="1320"/>
      <c r="K337" s="1320"/>
      <c r="L337" s="1320"/>
      <c r="M337" s="1320"/>
      <c r="N337" s="1320"/>
    </row>
    <row r="338" spans="1:19" s="10" customFormat="1" ht="15" customHeight="1" x14ac:dyDescent="0.2">
      <c r="A338" s="1321" t="s">
        <v>16</v>
      </c>
      <c r="B338" s="1321"/>
      <c r="C338" s="1321" t="s">
        <v>14</v>
      </c>
      <c r="D338" s="1320" t="str">
        <f>IF('päd.Personal - Leitung'!$D$2="","",'päd.Personal - Leitung'!$D$2)</f>
        <v/>
      </c>
      <c r="E338" s="1320"/>
      <c r="F338" s="1320"/>
      <c r="G338" s="1320"/>
      <c r="H338" s="1320"/>
      <c r="I338" s="1320"/>
      <c r="J338" s="1320"/>
      <c r="K338" s="1320"/>
      <c r="L338" s="1320"/>
      <c r="M338" s="1320"/>
      <c r="N338" s="1320"/>
    </row>
    <row r="339" spans="1:19" s="10" customFormat="1" ht="15" customHeight="1" x14ac:dyDescent="0.2">
      <c r="A339" s="1321" t="s">
        <v>15</v>
      </c>
      <c r="B339" s="1321"/>
      <c r="C339" s="1321" t="s">
        <v>14</v>
      </c>
      <c r="D339" s="1320" t="str">
        <f>IF('päd.Personal - Leitung'!$D$3="","",'päd.Personal - Leitung'!$D$3)</f>
        <v/>
      </c>
      <c r="E339" s="1320"/>
      <c r="F339" s="1320"/>
      <c r="G339" s="1320"/>
      <c r="H339" s="1320"/>
      <c r="I339" s="1320"/>
      <c r="J339" s="1320"/>
      <c r="K339" s="1321" t="s">
        <v>100</v>
      </c>
      <c r="L339" s="1321"/>
      <c r="M339" s="1321"/>
      <c r="N339" s="38" t="str">
        <f>IF('päd.Personal - Leitung'!$N$3="","",'päd.Personal - Leitung'!$N$3)</f>
        <v/>
      </c>
    </row>
    <row r="340" spans="1:19" s="923" customFormat="1" ht="7.5" customHeight="1" x14ac:dyDescent="0.15">
      <c r="A340" s="1353"/>
      <c r="B340" s="1353"/>
      <c r="C340" s="1353"/>
      <c r="D340" s="1354"/>
      <c r="E340" s="1354"/>
      <c r="F340" s="1354"/>
      <c r="G340" s="1354"/>
      <c r="H340" s="1354"/>
      <c r="I340" s="1354"/>
      <c r="J340" s="1354"/>
      <c r="K340" s="922"/>
      <c r="L340" s="922"/>
      <c r="M340" s="922"/>
      <c r="N340" s="922"/>
      <c r="O340" s="922"/>
      <c r="P340" s="922"/>
    </row>
    <row r="341" spans="1:19" s="13" customFormat="1" ht="13.5" customHeight="1" x14ac:dyDescent="0.2">
      <c r="A341" s="1355" t="s">
        <v>151</v>
      </c>
      <c r="B341" s="1355"/>
      <c r="C341" s="1355"/>
      <c r="D341" s="1355"/>
      <c r="E341" s="1355"/>
      <c r="F341" s="1355"/>
      <c r="G341" s="1355"/>
      <c r="H341" s="1355"/>
      <c r="I341" s="1355"/>
      <c r="J341" s="1355"/>
      <c r="K341" s="7"/>
      <c r="L341" s="7"/>
      <c r="M341" s="7"/>
      <c r="N341" s="52"/>
      <c r="O341" s="138">
        <f>'päd.Personal - Leitung'!$O$5</f>
        <v>2025</v>
      </c>
      <c r="P341" s="52" t="s">
        <v>140</v>
      </c>
    </row>
    <row r="342" spans="1:19" s="8" customFormat="1" ht="13.5" customHeight="1" x14ac:dyDescent="0.25">
      <c r="B342" s="29"/>
      <c r="C342" s="29"/>
      <c r="D342" s="3" t="s">
        <v>43</v>
      </c>
      <c r="E342" s="28"/>
      <c r="F342" s="28"/>
      <c r="G342" s="28"/>
      <c r="H342" s="28"/>
      <c r="I342" s="24"/>
      <c r="K342" s="1327" t="s">
        <v>13</v>
      </c>
      <c r="L342" s="1327"/>
      <c r="M342" s="131"/>
      <c r="O342" s="928" t="str">
        <f>A365</f>
        <v>Jan 2025</v>
      </c>
      <c r="P342" s="1402">
        <f>IF(M344="","",M344)</f>
        <v>0</v>
      </c>
    </row>
    <row r="343" spans="1:19" s="5" customFormat="1" ht="13.5" customHeight="1" x14ac:dyDescent="0.25">
      <c r="A343" s="1328" t="s">
        <v>754</v>
      </c>
      <c r="B343" s="1328"/>
      <c r="C343" s="1328"/>
      <c r="D343" s="1345"/>
      <c r="E343" s="1345"/>
      <c r="F343" s="1345"/>
      <c r="G343" s="1345"/>
      <c r="H343" s="1345"/>
      <c r="I343" s="1345"/>
      <c r="K343" s="1327" t="s">
        <v>101</v>
      </c>
      <c r="L343" s="1327"/>
      <c r="M343" s="101"/>
      <c r="O343" s="928" t="str">
        <f t="shared" ref="O343:O353" si="56">A366</f>
        <v>Feb 2025</v>
      </c>
      <c r="P343" s="1403">
        <f t="shared" ref="P343:P350" si="57">IF(P342="","",P342)</f>
        <v>0</v>
      </c>
    </row>
    <row r="344" spans="1:19" s="1" customFormat="1" ht="13.5" customHeight="1" x14ac:dyDescent="0.2">
      <c r="A344" s="1328" t="s">
        <v>12</v>
      </c>
      <c r="B344" s="1328"/>
      <c r="C344" s="1328"/>
      <c r="D344" s="1345"/>
      <c r="E344" s="1345"/>
      <c r="F344" s="1345"/>
      <c r="G344" s="1345"/>
      <c r="H344" s="1345"/>
      <c r="I344" s="1345"/>
      <c r="K344" s="1327" t="s">
        <v>149</v>
      </c>
      <c r="L344" s="1327"/>
      <c r="M344" s="101">
        <f>IF((M345+M346)&gt;M343,0,M343-M345-M346)</f>
        <v>0</v>
      </c>
      <c r="O344" s="928" t="str">
        <f t="shared" si="56"/>
        <v>Mrz 2025</v>
      </c>
      <c r="P344" s="1403">
        <f t="shared" si="57"/>
        <v>0</v>
      </c>
    </row>
    <row r="345" spans="1:19" s="1" customFormat="1" ht="13.5" customHeight="1" x14ac:dyDescent="0.2">
      <c r="A345" s="1328" t="s">
        <v>11</v>
      </c>
      <c r="B345" s="1328"/>
      <c r="C345" s="1328"/>
      <c r="D345" s="1345"/>
      <c r="E345" s="1345"/>
      <c r="F345" s="1345"/>
      <c r="G345" s="1345"/>
      <c r="H345" s="1345"/>
      <c r="I345" s="1345"/>
      <c r="K345" s="1327" t="s">
        <v>150</v>
      </c>
      <c r="L345" s="1327"/>
      <c r="M345" s="101"/>
      <c r="O345" s="928" t="str">
        <f t="shared" si="56"/>
        <v>Apr 2025</v>
      </c>
      <c r="P345" s="1403">
        <f t="shared" si="57"/>
        <v>0</v>
      </c>
    </row>
    <row r="346" spans="1:19" s="1" customFormat="1" ht="13.5" customHeight="1" x14ac:dyDescent="0.2">
      <c r="A346" s="1328" t="s">
        <v>18</v>
      </c>
      <c r="B346" s="1328"/>
      <c r="C346" s="1328"/>
      <c r="D346" s="1345"/>
      <c r="E346" s="1345"/>
      <c r="F346" s="1345"/>
      <c r="G346" s="1345"/>
      <c r="H346" s="1345"/>
      <c r="I346" s="1345"/>
      <c r="K346" s="1327" t="s">
        <v>222</v>
      </c>
      <c r="L346" s="1327"/>
      <c r="M346" s="101"/>
      <c r="O346" s="928" t="str">
        <f t="shared" si="56"/>
        <v>Mai 2025</v>
      </c>
      <c r="P346" s="1403">
        <f t="shared" si="57"/>
        <v>0</v>
      </c>
    </row>
    <row r="347" spans="1:19" s="1" customFormat="1" ht="13.5" customHeight="1" x14ac:dyDescent="0.2">
      <c r="B347" s="6"/>
      <c r="C347" s="1029" t="s">
        <v>147</v>
      </c>
      <c r="D347" s="1324"/>
      <c r="E347" s="1324"/>
      <c r="F347" s="1359" t="s">
        <v>103</v>
      </c>
      <c r="G347" s="1359"/>
      <c r="H347" s="1361"/>
      <c r="I347" s="1361"/>
      <c r="K347" s="1327" t="s">
        <v>94</v>
      </c>
      <c r="L347" s="1327"/>
      <c r="M347" s="15" t="str">
        <f>IF(IF((COUNTIF(B365:B376,"&gt;0"))=0,0,(COUNTIF(B365:B376,"&gt;0")))&gt;Grundlagen!$C$26,Grundlagen!$C$26,IF((COUNTIF(B365:B376,"&gt;0"))=0,"",(COUNTIF(B365:B376,"&gt;0"))))</f>
        <v/>
      </c>
      <c r="O347" s="928" t="str">
        <f t="shared" si="56"/>
        <v>Jun 2025</v>
      </c>
      <c r="P347" s="1403">
        <f t="shared" si="57"/>
        <v>0</v>
      </c>
    </row>
    <row r="348" spans="1:19" s="1" customFormat="1" ht="13.5" customHeight="1" x14ac:dyDescent="0.2">
      <c r="I348" s="4"/>
      <c r="M348" s="102" t="str">
        <f>IF((SUM(F350:F353))=0,"",IF(P354&gt;M344,M344,IF(M344="","",IF(M347="","",P354))))</f>
        <v/>
      </c>
      <c r="O348" s="928" t="str">
        <f t="shared" si="56"/>
        <v>Jul 2025</v>
      </c>
      <c r="P348" s="1403">
        <f t="shared" si="57"/>
        <v>0</v>
      </c>
    </row>
    <row r="349" spans="1:19" s="46" customFormat="1" ht="13.5" customHeight="1" x14ac:dyDescent="0.2">
      <c r="A349" s="54" t="s">
        <v>134</v>
      </c>
      <c r="B349" s="1356" t="s">
        <v>135</v>
      </c>
      <c r="C349" s="1356"/>
      <c r="D349" s="55" t="s">
        <v>136</v>
      </c>
      <c r="E349" s="56" t="s">
        <v>137</v>
      </c>
      <c r="F349" s="57" t="str">
        <f>CONCATENATE("Entg. ",N339," h/Wo")</f>
        <v>Entg.  h/Wo</v>
      </c>
      <c r="G349" s="58" t="s">
        <v>138</v>
      </c>
      <c r="I349" s="58" t="s">
        <v>139</v>
      </c>
      <c r="K349" s="970"/>
      <c r="L349" s="970"/>
      <c r="M349" s="59"/>
      <c r="N349" s="968"/>
      <c r="O349" s="928" t="str">
        <f t="shared" si="56"/>
        <v>Aug 2025</v>
      </c>
      <c r="P349" s="1403">
        <f t="shared" si="57"/>
        <v>0</v>
      </c>
      <c r="Q349" s="85"/>
      <c r="R349" s="85"/>
      <c r="S349" s="85"/>
    </row>
    <row r="350" spans="1:19" s="46" customFormat="1" ht="13.5" customHeight="1" x14ac:dyDescent="0.25">
      <c r="A350" s="48" t="str">
        <f>'päd.Personal - Leitung'!$A$14</f>
        <v>Jan 2025</v>
      </c>
      <c r="B350" s="1357" t="str">
        <f>IF($D$3="","",$D$3)</f>
        <v/>
      </c>
      <c r="C350" s="1358"/>
      <c r="D350" s="132"/>
      <c r="E350" s="132"/>
      <c r="F350" s="71"/>
      <c r="G350" s="50">
        <f>IF(N339="",0,F350/N339/4.348)</f>
        <v>0</v>
      </c>
      <c r="I350" s="125">
        <f>SUM(J350:M350)</f>
        <v>0</v>
      </c>
      <c r="J350" s="124"/>
      <c r="K350" s="124"/>
      <c r="L350" s="124"/>
      <c r="M350" s="124"/>
      <c r="N350" s="969"/>
      <c r="O350" s="928" t="str">
        <f t="shared" si="56"/>
        <v>Sep 2025</v>
      </c>
      <c r="P350" s="1403">
        <f t="shared" si="57"/>
        <v>0</v>
      </c>
      <c r="Q350" s="85"/>
      <c r="R350" s="85"/>
      <c r="S350" s="85"/>
    </row>
    <row r="351" spans="1:19" s="46" customFormat="1" ht="13.5" customHeight="1" x14ac:dyDescent="0.25">
      <c r="A351" s="49"/>
      <c r="B351" s="1322" t="str">
        <f>IF(A351="","",B350)</f>
        <v/>
      </c>
      <c r="C351" s="1323"/>
      <c r="D351" s="132"/>
      <c r="E351" s="132"/>
      <c r="F351" s="71"/>
      <c r="G351" s="50">
        <f>IF(N339="",0,F351/N339/4.348)</f>
        <v>0</v>
      </c>
      <c r="I351" s="125">
        <f t="shared" ref="I351:I353" si="58">SUM(J351:M351)</f>
        <v>0</v>
      </c>
      <c r="J351" s="124"/>
      <c r="K351" s="124"/>
      <c r="L351" s="124"/>
      <c r="M351" s="124"/>
      <c r="N351" s="969"/>
      <c r="O351" s="928" t="str">
        <f t="shared" si="56"/>
        <v>Okt 2025</v>
      </c>
      <c r="P351" s="1403">
        <f t="shared" ref="P351:P353" si="59">IF(P350="","",P350)</f>
        <v>0</v>
      </c>
      <c r="Q351" s="85"/>
      <c r="R351" s="85"/>
      <c r="S351" s="85"/>
    </row>
    <row r="352" spans="1:19" s="46" customFormat="1" ht="13.5" customHeight="1" x14ac:dyDescent="0.25">
      <c r="A352" s="49"/>
      <c r="B352" s="1322" t="str">
        <f>IF(A352="","",B351)</f>
        <v/>
      </c>
      <c r="C352" s="1323"/>
      <c r="D352" s="132"/>
      <c r="E352" s="132"/>
      <c r="F352" s="71"/>
      <c r="G352" s="50">
        <f>IF(N339="",0,F352/N339/4.348)</f>
        <v>0</v>
      </c>
      <c r="I352" s="125">
        <f t="shared" si="58"/>
        <v>0</v>
      </c>
      <c r="J352" s="124"/>
      <c r="K352" s="124"/>
      <c r="L352" s="124"/>
      <c r="M352" s="124"/>
      <c r="N352" s="969"/>
      <c r="O352" s="928" t="str">
        <f t="shared" si="56"/>
        <v>Nov 2025</v>
      </c>
      <c r="P352" s="1403">
        <f t="shared" si="59"/>
        <v>0</v>
      </c>
      <c r="Q352" s="85"/>
      <c r="R352" s="85"/>
      <c r="S352" s="85"/>
    </row>
    <row r="353" spans="1:22" s="46" customFormat="1" ht="13.5" customHeight="1" x14ac:dyDescent="0.25">
      <c r="A353" s="49"/>
      <c r="B353" s="1322" t="str">
        <f>IF(A353="","",B352)</f>
        <v/>
      </c>
      <c r="C353" s="1323"/>
      <c r="D353" s="132"/>
      <c r="E353" s="132"/>
      <c r="F353" s="71"/>
      <c r="G353" s="50">
        <f>IF(N339="",0,F353/N339/4.348)</f>
        <v>0</v>
      </c>
      <c r="I353" s="125">
        <f t="shared" si="58"/>
        <v>0</v>
      </c>
      <c r="J353" s="124"/>
      <c r="K353" s="124"/>
      <c r="L353" s="124"/>
      <c r="M353" s="124"/>
      <c r="N353" s="969"/>
      <c r="O353" s="928" t="str">
        <f t="shared" si="56"/>
        <v>Dez 2025</v>
      </c>
      <c r="P353" s="1403">
        <f t="shared" si="59"/>
        <v>0</v>
      </c>
      <c r="Q353" s="85"/>
      <c r="R353" s="85"/>
      <c r="S353" s="85"/>
    </row>
    <row r="354" spans="1:22" s="46" customFormat="1" ht="13.5" customHeight="1" x14ac:dyDescent="0.25">
      <c r="B354" s="972"/>
      <c r="C354" s="972"/>
      <c r="E354" s="972"/>
      <c r="F354" s="972"/>
      <c r="I354" s="930" t="s">
        <v>730</v>
      </c>
      <c r="J354" s="1060"/>
      <c r="K354" s="1060"/>
      <c r="L354" s="1060"/>
      <c r="M354" s="1060"/>
      <c r="N354" s="971"/>
      <c r="O354" s="126" t="s">
        <v>221</v>
      </c>
      <c r="P354" s="127">
        <f>IF(M347="",0,((IF(SUMIF(B365,"&gt;0"),P342,0))+(IF(SUMIF(B366,"&gt;0"),P343,0))+(IF(SUMIF(B367,"&gt;0"),P344,0))+(IF(SUMIF(B368,"&gt;0"),P345,0))+(IF(SUMIF(B369,"&gt;0"),P346,0))+(IF(SUMIF(B370,"&gt;0"),P347,0))+(IF(SUMIF(B371,"&gt;0"),P348,0))+(IF(SUMIF(B372,"&gt;0"),P349,0))+(IF(SUMIF(B373,"&gt;0"),P350,0))+(IF(SUMIF(B374,"&gt;0"),P351,0))+(IF(SUMIF(B375,"&gt;0"),P352,0))+(IF(SUMIF(B376,"&gt;0"),P353,0)))/Grundlagen!$C$26)</f>
        <v>0</v>
      </c>
      <c r="Q354" s="944" t="str">
        <f>CONCATENATE("BBG"," anteilig ",O356)</f>
        <v>BBG anteilig 2025</v>
      </c>
      <c r="R354" s="931" t="s">
        <v>659</v>
      </c>
      <c r="S354" s="931" t="s">
        <v>398</v>
      </c>
      <c r="T354" s="107"/>
    </row>
    <row r="355" spans="1:22" s="46" customFormat="1" ht="13.5" customHeight="1" x14ac:dyDescent="0.2">
      <c r="A355" s="924" t="s">
        <v>732</v>
      </c>
      <c r="D355" s="55" t="s">
        <v>369</v>
      </c>
      <c r="E355" s="56" t="s">
        <v>368</v>
      </c>
      <c r="F355" s="58"/>
      <c r="J355" s="61"/>
      <c r="Q355" s="932" t="s">
        <v>144</v>
      </c>
      <c r="R355" s="140">
        <f>IF(M344=0,R359,IF(M343="",R359,(SUM(R365:R376)/M347)))</f>
        <v>5175</v>
      </c>
      <c r="S355" s="933">
        <f>IF(M344=0,S359,IF(M343="",S359,SUM(R365:R376)))</f>
        <v>0</v>
      </c>
      <c r="T355" s="107"/>
    </row>
    <row r="356" spans="1:22" s="46" customFormat="1" ht="13.5" customHeight="1" x14ac:dyDescent="0.25">
      <c r="A356" s="60"/>
      <c r="B356" s="1314" t="str">
        <f>IF($B$20="","",$B$20)</f>
        <v>Jahressonderzahlung (JSZ)</v>
      </c>
      <c r="C356" s="1315"/>
      <c r="D356" s="926"/>
      <c r="E356" s="929" t="str">
        <f>IF(A356="","",ROUND((((SUM(B371:B373)+SUM(F371:F373))/3)*D356)/Grundlagen!$C$26*M347,2))</f>
        <v/>
      </c>
      <c r="G356" s="941" t="s">
        <v>733</v>
      </c>
      <c r="H356" s="943"/>
      <c r="I356" s="1316" t="str">
        <f>CONCATENATE(R379,":"," Übergangsbereich von ",R380+0.01," €"," bis ",R381," €")</f>
        <v>2025: Übergangsbereich von 556,01 € bis 2000 €</v>
      </c>
      <c r="J356" s="1317"/>
      <c r="K356" s="1317"/>
      <c r="L356" s="1067"/>
      <c r="M356" s="1067"/>
      <c r="N356" s="1068" t="s">
        <v>736</v>
      </c>
      <c r="O356" s="1069">
        <f>P356+1</f>
        <v>2025</v>
      </c>
      <c r="P356" s="1069" t="s">
        <v>721</v>
      </c>
      <c r="Q356" s="932" t="s">
        <v>145</v>
      </c>
      <c r="R356" s="140">
        <f>IF(M344=0,R360,IF(M343="",R360,(SUM(S365:S376)/M347)))</f>
        <v>7450</v>
      </c>
      <c r="S356" s="933">
        <f>IF(M344=0,S360,IF(M343="",S360,SUM(S365:S376)))</f>
        <v>0</v>
      </c>
      <c r="T356" s="109"/>
    </row>
    <row r="357" spans="1:22" s="1" customFormat="1" ht="14.25" customHeight="1" x14ac:dyDescent="0.2">
      <c r="A357" s="60"/>
      <c r="B357" s="1314" t="str">
        <f>IF($B$21="","",$B$21)</f>
        <v>Leistungsentgelt (LOB)</v>
      </c>
      <c r="C357" s="1315"/>
      <c r="D357" s="926"/>
      <c r="E357" s="929" t="str">
        <f>IF(A357="","",ROUND(((B377+F377)*D357)/Grundlagen!$C$26*M347,2))</f>
        <v/>
      </c>
      <c r="G357" s="941" t="str">
        <f>IF(OR(H356="",H356="nein")=TRUE,"","Faktor (F):")</f>
        <v/>
      </c>
      <c r="H357" s="949" t="str">
        <f>IF(OR(H356="",H356="nein")=TRUE,"",IF(H356="","",R383))</f>
        <v/>
      </c>
      <c r="I357" s="1318" t="str">
        <f>IF(OR(H356="",H356="nein")=TRUE,"",IF(H357="","",CONCATENATE(S383*100,"%"," / ","(",R382*100,"%"," Gesamt-SV-Beitragssatz 2024)")))</f>
        <v/>
      </c>
      <c r="J357" s="1319"/>
      <c r="K357" s="1319"/>
      <c r="L357" s="1070"/>
      <c r="M357" s="1070"/>
      <c r="N357" s="1071" t="s">
        <v>144</v>
      </c>
      <c r="O357" s="1072">
        <f>'päd.Personal - Leitung'!$O$21</f>
        <v>5175</v>
      </c>
      <c r="P357" s="1072">
        <f>'päd.Personal - Leitung'!$P$21</f>
        <v>5175</v>
      </c>
      <c r="Q357" s="11"/>
      <c r="R357" s="11"/>
      <c r="S357" s="11"/>
      <c r="T357" s="109"/>
    </row>
    <row r="358" spans="1:22" s="1" customFormat="1" ht="14.25" customHeight="1" x14ac:dyDescent="0.2">
      <c r="C358" s="925" t="s">
        <v>731</v>
      </c>
      <c r="L358" s="1070"/>
      <c r="M358" s="1070"/>
      <c r="N358" s="1071" t="s">
        <v>145</v>
      </c>
      <c r="O358" s="1073">
        <f>'päd.Personal - Leitung'!$O$22</f>
        <v>7450</v>
      </c>
      <c r="P358" s="1073">
        <f>'päd.Personal - Leitung'!$P$22</f>
        <v>7450</v>
      </c>
      <c r="Q358" s="944" t="str">
        <f>CONCATENATE("BBG"," ",O356)</f>
        <v>BBG 2025</v>
      </c>
      <c r="R358" s="11"/>
      <c r="S358" s="11"/>
      <c r="T358" s="109"/>
    </row>
    <row r="359" spans="1:22" s="1" customFormat="1" ht="14.25" customHeight="1" x14ac:dyDescent="0.2">
      <c r="A359" s="53" t="s">
        <v>141</v>
      </c>
      <c r="B359" s="46"/>
      <c r="C359" s="46"/>
      <c r="D359" s="46"/>
      <c r="E359" s="46"/>
      <c r="F359" s="46"/>
      <c r="G359" s="46"/>
      <c r="H359" s="46"/>
      <c r="I359" s="46"/>
      <c r="J359" s="46"/>
      <c r="K359" s="46"/>
      <c r="L359" s="46"/>
      <c r="M359" s="46"/>
      <c r="N359" s="46"/>
      <c r="O359" s="46"/>
      <c r="P359" s="46"/>
      <c r="Q359" s="932" t="s">
        <v>144</v>
      </c>
      <c r="R359" s="141">
        <f>IF($O$21="",0,$O$21)</f>
        <v>5175</v>
      </c>
      <c r="S359" s="933">
        <f>R359*IF(M347="",0,M347)</f>
        <v>0</v>
      </c>
      <c r="T359" s="295"/>
    </row>
    <row r="360" spans="1:22" s="1" customFormat="1" ht="14.25" customHeight="1" x14ac:dyDescent="0.2">
      <c r="A360" s="1346"/>
      <c r="B360" s="1348" t="s">
        <v>8</v>
      </c>
      <c r="C360" s="1349"/>
      <c r="D360" s="1349"/>
      <c r="E360" s="1349"/>
      <c r="F360" s="1349"/>
      <c r="G360" s="1350"/>
      <c r="H360" s="1351" t="s">
        <v>113</v>
      </c>
      <c r="I360" s="1352"/>
      <c r="J360" s="1352"/>
      <c r="K360" s="1352"/>
      <c r="L360" s="1352"/>
      <c r="M360" s="1352"/>
      <c r="N360" s="1352"/>
      <c r="O360" s="30"/>
      <c r="P360" s="1330" t="s">
        <v>0</v>
      </c>
      <c r="Q360" s="932" t="s">
        <v>145</v>
      </c>
      <c r="R360" s="141">
        <f>IF($O$22="",0,$O$22)</f>
        <v>7450</v>
      </c>
      <c r="S360" s="933">
        <f>R360*IF(M347="",0,M347)</f>
        <v>0</v>
      </c>
      <c r="T360" s="830"/>
    </row>
    <row r="361" spans="1:22" s="1" customFormat="1" ht="14.25" customHeight="1" x14ac:dyDescent="0.2">
      <c r="A361" s="1347"/>
      <c r="B361" s="1333" t="s">
        <v>111</v>
      </c>
      <c r="C361" s="1335" t="s">
        <v>743</v>
      </c>
      <c r="D361" s="1337" t="s">
        <v>226</v>
      </c>
      <c r="E361" s="1339" t="s">
        <v>133</v>
      </c>
      <c r="F361" s="1030" t="s">
        <v>6</v>
      </c>
      <c r="G361" s="1340" t="s">
        <v>5</v>
      </c>
      <c r="H361" s="1339" t="s">
        <v>119</v>
      </c>
      <c r="I361" s="1339" t="s">
        <v>4</v>
      </c>
      <c r="J361" s="1339" t="s">
        <v>3</v>
      </c>
      <c r="K361" s="1339" t="s">
        <v>2</v>
      </c>
      <c r="L361" s="1339" t="s">
        <v>114</v>
      </c>
      <c r="M361" s="1339" t="s">
        <v>115</v>
      </c>
      <c r="N361" s="1339" t="s">
        <v>116</v>
      </c>
      <c r="O361" s="1338" t="s">
        <v>109</v>
      </c>
      <c r="P361" s="1331"/>
      <c r="Q361" s="456"/>
      <c r="R361" s="11"/>
      <c r="S361" s="11"/>
      <c r="T361" s="621"/>
    </row>
    <row r="362" spans="1:22" s="1" customFormat="1" ht="14.25" customHeight="1" x14ac:dyDescent="0.2">
      <c r="A362" s="1347"/>
      <c r="B362" s="1333"/>
      <c r="C362" s="1335"/>
      <c r="D362" s="1338"/>
      <c r="E362" s="1339"/>
      <c r="F362" s="1343" t="str">
        <f>I354</f>
        <v>Zuschläge / Zulagen / o.ä.:</v>
      </c>
      <c r="G362" s="1340"/>
      <c r="H362" s="1342" t="s">
        <v>117</v>
      </c>
      <c r="I362" s="1342"/>
      <c r="J362" s="1342"/>
      <c r="K362" s="1342"/>
      <c r="L362" s="1342"/>
      <c r="M362" s="1342"/>
      <c r="N362" s="1342"/>
      <c r="O362" s="1338"/>
      <c r="P362" s="1331"/>
      <c r="Q362" s="456"/>
      <c r="R362" s="1306" t="str">
        <f>Q354</f>
        <v>BBG anteilig 2025</v>
      </c>
      <c r="S362" s="1306"/>
      <c r="T362" s="829"/>
    </row>
    <row r="363" spans="1:22" s="1" customFormat="1" ht="14.25" customHeight="1" x14ac:dyDescent="0.2">
      <c r="A363" s="1347"/>
      <c r="B363" s="1333"/>
      <c r="C363" s="1335"/>
      <c r="D363" s="1338"/>
      <c r="E363" s="1339"/>
      <c r="F363" s="1343"/>
      <c r="G363" s="1340"/>
      <c r="H363" s="39" t="str">
        <f>'päd.Personal - Leitung'!$H$27</f>
        <v>(7,30% + Zusatz)</v>
      </c>
      <c r="I363" s="39" t="str">
        <f>'päd.Personal - Leitung'!$I$27</f>
        <v xml:space="preserve"> (2024: 9,30%)</v>
      </c>
      <c r="J363" s="39" t="str">
        <f>'päd.Personal - Leitung'!$J$27</f>
        <v>(2024: 1,30%)</v>
      </c>
      <c r="K363" s="39" t="str">
        <f>'päd.Personal - Leitung'!$K$27</f>
        <v>(2024: 1,700%)</v>
      </c>
      <c r="L363" s="39"/>
      <c r="M363" s="39"/>
      <c r="N363" s="39" t="str">
        <f>'päd.Personal - Leitung'!$N$27</f>
        <v>(2024: 0,06%)</v>
      </c>
      <c r="O363" s="1338"/>
      <c r="P363" s="1331"/>
      <c r="Q363" s="456"/>
      <c r="R363" s="1307" t="s">
        <v>659</v>
      </c>
      <c r="S363" s="1307"/>
      <c r="T363" s="829"/>
      <c r="U363" s="1308" t="s">
        <v>1</v>
      </c>
      <c r="V363" s="1308" t="s">
        <v>741</v>
      </c>
    </row>
    <row r="364" spans="1:22" s="1" customFormat="1" x14ac:dyDescent="0.2">
      <c r="A364" s="1347"/>
      <c r="B364" s="1334"/>
      <c r="C364" s="1336"/>
      <c r="D364" s="45"/>
      <c r="E364" s="45"/>
      <c r="F364" s="1344"/>
      <c r="G364" s="1341"/>
      <c r="H364" s="74"/>
      <c r="I364" s="99">
        <f>'päd.Personal - Leitung'!$I$28</f>
        <v>0</v>
      </c>
      <c r="J364" s="99">
        <f>'päd.Personal - Leitung'!$J$28</f>
        <v>0</v>
      </c>
      <c r="K364" s="40">
        <f>'päd.Personal - Leitung'!$K$28</f>
        <v>0</v>
      </c>
      <c r="L364" s="19"/>
      <c r="M364" s="19"/>
      <c r="N364" s="99">
        <f>'päd.Personal - Leitung'!$N$28</f>
        <v>0</v>
      </c>
      <c r="O364" s="23"/>
      <c r="P364" s="1332"/>
      <c r="Q364" s="456"/>
      <c r="R364" s="935" t="s">
        <v>144</v>
      </c>
      <c r="S364" s="935" t="s">
        <v>145</v>
      </c>
      <c r="T364" s="829"/>
      <c r="U364" s="1308"/>
      <c r="V364" s="1308"/>
    </row>
    <row r="365" spans="1:22" s="1" customFormat="1" x14ac:dyDescent="0.2">
      <c r="A365" s="76" t="str">
        <f>CONCATENATE("Jan ",O341)</f>
        <v>Jan 2025</v>
      </c>
      <c r="B365" s="22">
        <f>ROUND(IF(P342=0,0,(LOOKUP(2,1/(A350:A353=A365),G350:G353))*P342*4.348),2)</f>
        <v>0</v>
      </c>
      <c r="C365" s="21">
        <f>ROUND(IFERROR((LOOKUP(2,1/(A356=A365),E356)),0)+IFERROR((LOOKUP(2,1/(A357=A365),E357)),0),2)</f>
        <v>0</v>
      </c>
      <c r="D365" s="21">
        <f>ROUND(IF(B365=0,0,D364/M343*P342),2)</f>
        <v>0</v>
      </c>
      <c r="E365" s="21">
        <f>ROUND(IF(B365=0,0,E364/N339*P342),2)</f>
        <v>0</v>
      </c>
      <c r="F365" s="22">
        <f>ROUND(IF(P342=0,0,(LOOKUP(2,1/(A350:A353=A365),I350:I353))/N339*P342),2)</f>
        <v>0</v>
      </c>
      <c r="G365" s="25">
        <f t="shared" ref="G365:G376" si="60">SUM(B365+C365+E365+F365)</f>
        <v>0</v>
      </c>
      <c r="H365" s="64">
        <f>IF(B365=0,0,IF(AND(H356="ja",((U365)&lt;R381)),ROUND(((R383*R380+((R381/(R381-R380))-(R380/(R381-R380))*R383)*((U365)-R380))*(H364*2))-(((R381/(R381-R380))*((U365)-R380))*H364),2),ROUND(IF((U365)&gt;R365,R365*H364,U365*H364),2)))</f>
        <v>0</v>
      </c>
      <c r="I365" s="64">
        <f>IF(B365=0,0,IF(AND(H356="ja",((U365)&lt;R381)),ROUND(((R383*R380+((R381/(R381-R380))-(R380/(R381-R380))*R383)*((U365)-R380))*(I364*2))-(((R381/(R381-R380))*((U365)-R380))*I364),2),ROUND(IF((U365)&gt;S365,S365*I364,U365*I364),2)))</f>
        <v>0</v>
      </c>
      <c r="J365" s="64">
        <f>IF(B365=0,0,IF(AND(H356="ja",((U365)&lt;R381)),ROUND(((R383*R380+((R381/(R381-R380))-(R380/(R381-R380))*R383)*((U365)-R380))*(J364*2))-(((R381/(R381-R380))*((U365)-R380))*J364),2),ROUND(IF((U365)&gt;S365,S365*J364,U365*J364),2)))</f>
        <v>0</v>
      </c>
      <c r="K365" s="64">
        <f>IF(B365=0,0,IF(AND(H356="ja",((U365)&lt;R381)),ROUND(((R383*R380+((R381/(R381-R380))-(R380/(R381-R380))*R383)*((U365)-R380))*(K364*2))-(((R381/(R381-R380))*((U365)-R380))*K364),2),ROUND(IF((U365)&gt;R365,R365*K364,U365*K364),2)))</f>
        <v>0</v>
      </c>
      <c r="L365" s="64">
        <f>IF(B365=0,0,IF(AND(H356="ja",((U365-C365)&lt;R381)),ROUND(((R383*R380+((R381/(R381-R380))-(R380/(R381-R380))*R383)*((U365-C365)-R380))*(L364)),2),ROUND(IF((SUM(B365:F365))&gt;S365,S365*L364,(SUM(B365:F365)-C365)*L364),2)))</f>
        <v>0</v>
      </c>
      <c r="M365" s="64">
        <f>IF(B365=0,0,IF(AND(H356="ja",((U365-C365)&lt;R381)),ROUND(((R383*R380+((R381/(R381-R380))-(R380/(R381-R380))*R383)*((U365-C365)-R380))*(M364)),2),ROUND(IF((SUM(B365:F365))&gt;S365,S365*M364,(SUM(B365:F365)-C365)*M364),2)))</f>
        <v>0</v>
      </c>
      <c r="N365" s="64">
        <f>IF(B365=0,0,IF(AND(H356="ja",((U365)&lt;R381)),ROUND(((R383*R380+((R381/(R381-R380))-(R380/(R381-R380))*R383)*((U365)-R380))*(N364)),2),ROUND(IF((SUM(B365:F365))&gt;S365,S365*N364,SUM(B365:F365)*N364),2)))</f>
        <v>0</v>
      </c>
      <c r="O365" s="21">
        <f>ROUND(SUM(B365+C365+F365)*O364,2)</f>
        <v>0</v>
      </c>
      <c r="P365" s="25">
        <f>SUM(G365:O365)</f>
        <v>0</v>
      </c>
      <c r="Q365" s="456"/>
      <c r="R365" s="140">
        <f>ROUND(IF(M343="",R359,R359/M343*P342),2)</f>
        <v>5175</v>
      </c>
      <c r="S365" s="140">
        <f>ROUND(IF(M343="",R360,R360/M343*P342),2)</f>
        <v>7450</v>
      </c>
      <c r="U365" s="950">
        <f>SUM(B365:F365)</f>
        <v>0</v>
      </c>
      <c r="V365" s="950">
        <f>SUM(B365:F365)</f>
        <v>0</v>
      </c>
    </row>
    <row r="366" spans="1:22" s="1" customFormat="1" x14ac:dyDescent="0.2">
      <c r="A366" s="76" t="str">
        <f>CONCATENATE("Feb ",O341)</f>
        <v>Feb 2025</v>
      </c>
      <c r="B366" s="22">
        <f>ROUND(IF(P343=0,0,IFERROR(((LOOKUP(2,1/(A350:A353=A366),G350:G353))*P343*4.348),B365/P342*P343)),2)</f>
        <v>0</v>
      </c>
      <c r="C366" s="21">
        <f>ROUND(IFERROR((LOOKUP(2,1/(A356=A366),E356)),0)+IFERROR((LOOKUP(2,1/(A357=A366),E357)),0),2)</f>
        <v>0</v>
      </c>
      <c r="D366" s="21">
        <f>ROUND(IF(B366=0,0,D364/M343*P343),2)</f>
        <v>0</v>
      </c>
      <c r="E366" s="21">
        <f>ROUND(IF(B366=0,0,E364/N339*P343),2)</f>
        <v>0</v>
      </c>
      <c r="F366" s="22">
        <f>ROUND(IF(P343=0,0,IFERROR(((LOOKUP(2,1/(A350:A353=A366),I350:I353))/N339*P343),F365/P342*P343)),2)</f>
        <v>0</v>
      </c>
      <c r="G366" s="25">
        <f t="shared" si="60"/>
        <v>0</v>
      </c>
      <c r="H366" s="64">
        <f>IF(B366=0,0,IF(AND(H356="ja",((U366)&lt;R381)),ROUND(((R383*R380+((R381/(R381-R380))-(R380/(R381-R380))*R383)*((U366)-R380))*(H364*2))-(((R381/(R381-R380))*((U366)-R380))*H364),2),ROUND(IF(U365&lt;(R365),IF((V366)&gt;(SUM(R365:R366)),(((SUM(R365:R366))-(V366-C365))*H364)+((U366-C365)*H364),U366*H364),IF(V366&gt;(SUM(R365:R366)),R366*H364,U366*H364)),2)))</f>
        <v>0</v>
      </c>
      <c r="I366" s="64">
        <f>IF(B366=0,0,IF(AND(H356="ja",((U366)&lt;R381)),ROUND(((R383*R380+((R381/(R381-R380))-(R380/(R381-R380))*R383)*((U366)-R380))*(I364*2))-(((R381/(R381-R380))*((U366)-R380))*I364),2),ROUND(IF(U365&lt;(S365),IF((V366)&gt;(SUM(S365:S366)),(((SUM(S365:S366))-(V366-C365))*I364)+((U366-C365)*I364),U366*I364),IF(V366&gt;(SUM(S365:S366)),S366*I364,U366*I364)),2)))</f>
        <v>0</v>
      </c>
      <c r="J366" s="64">
        <f>IF(B366=0,0,IF(AND(H356="ja",((U366)&lt;R381)),ROUND(((R383*R380+((R381/(R381-R380))-(R380/(R381-R380))*R383)*((U366)-R380))*(J364*2))-(((R381/(R381-R380))*((U366)-R380))*J364),2),ROUND(IF(U365&lt;(S365),IF((V366)&gt;(SUM(S365:S366)),(((SUM(S365:S366))-(V366-C365))*J364)+((U366-C365)*J364),U366*J364),IF(V366&gt;(SUM(S365:S366)),S366*J364,U366*J364)),2)))</f>
        <v>0</v>
      </c>
      <c r="K366" s="64">
        <f>IF(B366=0,0,IF(AND(H356="ja",((U366)&lt;R381)),ROUND(((R383*R380+((R381/(R381-R380))-(R380/(R381-R380))*R383)*((U366)-R380))*(K364*2))-(((R381/(R381-R380))*((U366)-R380))*K364),2),ROUND(IF(U365&lt;(R365),IF((V366)&gt;(SUM(R365:R366)),(((SUM(R365:R366))-(V366-C365))*K364)+((U366-C365)*K364),U366*K364),IF(V366&gt;(SUM(R365:R366)),R366*K364,U366*K364)),2)))</f>
        <v>0</v>
      </c>
      <c r="L366" s="64">
        <f>IF(B366=0,0,IF(AND(H356="ja",((U366-C366)&lt;R381)),ROUND(((R383*R380+((R381/(R381-R380))-(R380/(R381-R380))*R383)*((U366-C366)-R380))*(L364)),2),ROUND(IF(SUM(B365:F365)&lt;(S365),IF((SUM(B365:F366))&gt;(SUM(S365:S366)),(((SUM(S365:S366))-(SUM(B365:F366)-C366))*L364)+((SUM(B366:F366)-C366)*L364),(SUM(B366:F366)-C366)*L364),IF(SUM(B365:F366)&gt;(SUM(S365:S366)),S366*L364,SUM(B366:F366)*L364)),2)))</f>
        <v>0</v>
      </c>
      <c r="M366" s="64">
        <f>IF(B366=0,0,IF(AND(H356="ja",((U366-C366)&lt;R381)),ROUND(((R383*R380+((R381/(R381-R380))-(R380/(R381-R380))*R383)*((U366-C366)-R380))*(M364)),2),ROUND(IF(SUM(B365:F365)&lt;(S365),IF((SUM(B365:F366))&gt;(SUM(S365:S366)),(((SUM(S365:S366))-(SUM(B365:F366)-C366))*M364)+((SUM(B366:F366)-C366)*M364),(SUM(B366:F366)-C366)*M364),IF(SUM(B365:F366)&gt;(SUM(S365:S366)),S366*M364,SUM(B366:F366)*M364)),2)))</f>
        <v>0</v>
      </c>
      <c r="N366" s="64">
        <f>IF(B366=0,0,IF(AND(H356="ja",((U366)&lt;R381)),ROUND(((R383*R380+((R381/(R381-R380))-(R380/(R381-R380))*R383)*((U366)-R380))*(N364)),2),ROUND(IF(SUM(B365:F365)&lt;(S365),IF((SUM(B365:F366))&gt;(SUM(S365:S366)),(((SUM(S365:S366))-(SUM(B365:F366)-C365))*N364)+((SUM(B366:F366)-C365)*N364),SUM(B366:F366)*N364),IF(SUM(B365:F366)&gt;(SUM(S365:S366)),S366*N364,SUM(B366:F366)*N364)),2)))</f>
        <v>0</v>
      </c>
      <c r="O366" s="21">
        <f>ROUND(SUM(B366+C366+F366)*O364,2)</f>
        <v>0</v>
      </c>
      <c r="P366" s="25">
        <f t="shared" ref="P366:P376" si="61">SUM(G366:O366)</f>
        <v>0</v>
      </c>
      <c r="Q366" s="456"/>
      <c r="R366" s="140">
        <f>ROUND(IF(M343="",R359,R359/M343*P343),2)</f>
        <v>5175</v>
      </c>
      <c r="S366" s="140">
        <f>ROUND(IF(M343="",R360,R360/M343*P343),2)</f>
        <v>7450</v>
      </c>
      <c r="U366" s="950">
        <f t="shared" ref="U366:U376" si="62">SUM(B366:F366)</f>
        <v>0</v>
      </c>
      <c r="V366" s="950">
        <f>SUM(B365:F366)</f>
        <v>0</v>
      </c>
    </row>
    <row r="367" spans="1:22" s="1" customFormat="1" x14ac:dyDescent="0.2">
      <c r="A367" s="76" t="str">
        <f>CONCATENATE("Mrz ",O341)</f>
        <v>Mrz 2025</v>
      </c>
      <c r="B367" s="22">
        <f>ROUND(IF(P344=0,0,IFERROR(((LOOKUP(2,1/(A350:A353=A367),G350:G353))*P344*4.348),B366/P343*P344)),2)</f>
        <v>0</v>
      </c>
      <c r="C367" s="21">
        <f>ROUND(IFERROR((LOOKUP(2,1/(A356=A367),E356)),0)+IFERROR((LOOKUP(2,1/(A357=A367),E357)),0),2)</f>
        <v>0</v>
      </c>
      <c r="D367" s="21">
        <f>ROUND(IF(B367=0,0,D364/M343*P344),2)</f>
        <v>0</v>
      </c>
      <c r="E367" s="21">
        <f>ROUND(IF(B367=0,0,E364/N339*P344),2)</f>
        <v>0</v>
      </c>
      <c r="F367" s="22">
        <f>ROUND(IF(P344=0,0,IFERROR(((LOOKUP(2,1/(A350:A353=A367),I350:I353))/N339*P344),F366/P343*P344)),2)</f>
        <v>0</v>
      </c>
      <c r="G367" s="25">
        <f t="shared" si="60"/>
        <v>0</v>
      </c>
      <c r="H367" s="64">
        <f>IF(B367=0,0,IF(AND(H356="ja",((U367)&lt;R381)),ROUND(((R383*R380+((R381/(R381-R380))-(R380/(R381-R380))*R383)*((U367)-R380))*(H364*2))-(((R381/(R381-R380))*((U367)-R380))*H364),2),ROUND(IF(V366&lt;(SUM(R365:R366)),IF((V367)&gt;(SUM(R365:R367)),(((SUM(R365:R367))-(V367-C366))*H364)+((U367-C366)*H364),U367*H364),IF(V367&gt;(SUM(R365:R367)),R367*H364,U367*H364)),2)))</f>
        <v>0</v>
      </c>
      <c r="I367" s="64">
        <f>IF(B367=0,0,IF(AND(H356="ja",((U367)&lt;R381)),ROUND(((R383*R380+((R381/(R381-R380))-(R380/(R381-R380))*R383)*((U367)-R380))*(I364*2))-(((R381/(R381-R380))*((U367)-R380))*I364),2),ROUND(IF(V366&lt;(SUM(S365:S366)),IF((V367)&gt;(SUM(S365:S367)),(((SUM(S365:S367))-(V367-C366))*I364)+((U367-C366)*I364),U367*I364),IF(V367&gt;(SUM(S365:S367)),S367*I364,U367*I364)),2)))</f>
        <v>0</v>
      </c>
      <c r="J367" s="64">
        <f>IF(B367=0,0,IF(AND(H356="ja",((U367)&lt;R381)),ROUND(((R383*R380+((R381/(R381-R380))-(R380/(R381-R380))*R383)*((U367)-R380))*(J364*2))-(((R381/(R381-R380))*((U367)-R380))*J364),2),ROUND(IF(V366&lt;(SUM(S365:S366)),IF((V367)&gt;(SUM(S365:S367)),(((SUM(S365:S367))-(V367-C366))*J364)+((U367-C366)*J364),U367*J364),IF(V367&gt;(SUM(S365:S367)),S367*J364,U367*J364)),2)))</f>
        <v>0</v>
      </c>
      <c r="K367" s="64">
        <f>IF(B367=0,0,IF(AND(H356="ja",((U367)&lt;R381)),ROUND(((R383*R380+((R381/(R381-R380))-(R380/(R381-R380))*R383)*((U367)-R380))*(K364*2))-(((R381/(R381-R380))*((U367)-R380))*K364),2),ROUND(IF(V366&lt;(SUM(R365:R366)),IF((V367)&gt;(SUM(R365:R367)),(((SUM(R365:R367))-(V367-C366))*K364)+((U367-C366)*K364),U367*K364),IF(V367&gt;(SUM(R365:R367)),R367*K364,U367*K364)),2)))</f>
        <v>0</v>
      </c>
      <c r="L367" s="64">
        <f>IF(B367=0,0,IF(AND(H356="ja",((U367-C367)&lt;R381)),ROUND(((R383*R380+((R381/(R381-R380))-(R380/(R381-R380))*R383)*((U367-C367)-R380))*(L364)),2),ROUND(IF(SUM(B365:F366)&lt;(SUM(S365:S366)),IF((SUM(B365:F367))&gt;(SUM(S365:S367)),(((SUM(S365:S367))-(SUM(B365:F367)-C367))*L364)+((SUM(B367:F367)-C367)*L364),(SUM(B367:F367)-C367)*L364),IF(SUM(B365:F367)&gt;(SUM(S365:S367)),S367*L364,SUM(B367:F367)*L364)),2)))</f>
        <v>0</v>
      </c>
      <c r="M367" s="64">
        <f>IF(B367=0,0,IF(AND(H356="ja",((U367-C367)&lt;R381)),ROUND(((R383*R380+((R381/(R381-R380))-(R380/(R381-R380))*R383)*((U367-C367)-R380))*(M364)),2),ROUND(IF(SUM(B365:F366)&lt;(SUM(S365:S366)),IF((SUM(B365:F367))&gt;(SUM(S365:S367)),(((SUM(S365:S367))-(SUM(B365:F367)-C367))*M364)+((SUM(B367:F367)-C367)*M364),(SUM(B367:F367)-C367)*M364),IF(SUM(B365:F367)&gt;(SUM(S365:S367)),S367*M364,SUM(B367:F367)*M364)),2)))</f>
        <v>0</v>
      </c>
      <c r="N367" s="64">
        <f>IF(B367=0,0,IF(AND(H356="ja",((U367)&lt;R381)),ROUND(((R383*R380+((R381/(R381-R380))-(R380/(R381-R380))*R383)*((U367)-R380))*(N364)),2),ROUND(IF(SUM(B365:F366)&lt;(SUM(S365:S366)),IF((SUM(B365:F367))&gt;(SUM(S365:S367)),(((SUM(S365:S367))-(SUM(B365:F367)-C366))*N364)+((SUM(B367:F367)-C366)*N364),SUM(B367:F367)*N364),IF(SUM(B365:F367)&gt;(SUM(S365:S367)),S367*N364,SUM(B367:F367)*N364)),2)))</f>
        <v>0</v>
      </c>
      <c r="O367" s="21">
        <f>ROUND(SUM(B367+C367+F367)*O364,2)</f>
        <v>0</v>
      </c>
      <c r="P367" s="25">
        <f t="shared" si="61"/>
        <v>0</v>
      </c>
      <c r="Q367" s="456"/>
      <c r="R367" s="140">
        <f>ROUND(IF(M343="",R359,R359/M343*P344),2)</f>
        <v>5175</v>
      </c>
      <c r="S367" s="140">
        <f>ROUND(IF(M343="",R360,R360/M343*P344),2)</f>
        <v>7450</v>
      </c>
      <c r="U367" s="950">
        <f t="shared" si="62"/>
        <v>0</v>
      </c>
      <c r="V367" s="950">
        <f>SUM(B365:F367)</f>
        <v>0</v>
      </c>
    </row>
    <row r="368" spans="1:22" s="1" customFormat="1" x14ac:dyDescent="0.2">
      <c r="A368" s="76" t="str">
        <f>CONCATENATE("Apr ",O341)</f>
        <v>Apr 2025</v>
      </c>
      <c r="B368" s="22">
        <f>ROUND(IF(P345=0,0,IFERROR(((LOOKUP(2,1/(A350:A353=A368),G350:G353))*P345*4.348),B367/P344*P345)),2)</f>
        <v>0</v>
      </c>
      <c r="C368" s="21">
        <f>ROUND(IFERROR((LOOKUP(2,1/(A356=A368),E356)),0)+IFERROR((LOOKUP(2,1/(A357=A368),E357)),0),2)</f>
        <v>0</v>
      </c>
      <c r="D368" s="21">
        <f>ROUND(IF(B368=0,0,D364/M343*P345),2)</f>
        <v>0</v>
      </c>
      <c r="E368" s="21">
        <f>ROUND(IF(B368=0,0,E364/N339*P345),2)</f>
        <v>0</v>
      </c>
      <c r="F368" s="22">
        <f>ROUND(IF(P345=0,0,IFERROR(((LOOKUP(2,1/(A350:A353=A368),I350:I353))/N339*P345),F367/P344*P345)),2)</f>
        <v>0</v>
      </c>
      <c r="G368" s="25">
        <f t="shared" si="60"/>
        <v>0</v>
      </c>
      <c r="H368" s="64">
        <f>IF(B368=0,0,IF(AND(H356="ja",((U368)&lt;R381)),ROUND(((R383*R380+((R381/(R381-R380))-(R380/(R381-R380))*R383)*((U368)-R380))*(H364*2))-(((R381/(R381-R380))*((U368)-R380))*H364),2),ROUND(IF(V367&lt;(SUM(R365:R367)),IF((V368)&gt;(SUM(R365:R368)),(((SUM(R365:R368))-(V368-C367))*H364)+((U368-C367)*H364),U368*H364),IF(V368&gt;(SUM(R365:R368)),R368*H364,U368*H364)),2)))</f>
        <v>0</v>
      </c>
      <c r="I368" s="64">
        <f>IF(B368=0,0,IF(AND(H356="ja",((U368)&lt;R381)),ROUND(((R383*R380+((R381/(R381-R380))-(R380/(R381-R380))*R383)*((U368)-R380))*(I364*2))-(((R381/(R381-R380))*((U368)-R380))*I364),2),ROUND(IF(V367&lt;(SUM(S365:S367)),IF((V368)&gt;(SUM(S365:S368)),(((SUM(S365:S368))-(V368-C367))*I364)+((U368-C367)*I364),U368*I364),IF(V368&gt;(SUM(S365:S368)),S368*I364,U368*I364)),2)))</f>
        <v>0</v>
      </c>
      <c r="J368" s="64">
        <f>IF(B368=0,0,IF(AND(H356="ja",((U368)&lt;R381)),ROUND(((R383*R380+((R381/(R381-R380))-(R380/(R381-R380))*R383)*((U368)-R380))*(J364*2))-(((R381/(R381-R380))*((U368)-R380))*J364),2),ROUND(IF(U367&lt;(SUM(S365:S367)),IF((V368)&gt;(SUM(S365:S368)),(((SUM(S365:S368))-(V368-C367))*J364)+((U368-C367)*J364),U368*J364),IF(V368&gt;(SUM(S365:S368)),S368*J364,U368*J364)),2)))</f>
        <v>0</v>
      </c>
      <c r="K368" s="64">
        <f>IF(B368=0,0,IF(AND(H356="ja",((U368)&lt;R381)),ROUND(((R383*R380+((R381/(R381-R380))-(R380/(R381-R380))*R383)*((U368)-R380))*(K364*2))-(((R381/(R381-R380))*((U368)-R380))*K364),2),ROUND(IF(V367&lt;(SUM(R365:R367)),IF((V368)&gt;(SUM(R365:R368)),(((SUM(R365:R368))-(V368-C367))*K364)+((U368-C367)*K364),U368*K364),IF(V368&gt;(SUM(R365:R368)),R368*K364,U368*K364)),2)))</f>
        <v>0</v>
      </c>
      <c r="L368" s="64">
        <f>IF(B368=0,0,IF(AND(H356="ja",((U368-C368)&lt;R381)),ROUND(((R383*R380+((R381/(R381-R380))-(R380/(R381-R380))*R383)*((U368-C368)-R380))*(L364)),2),ROUND(IF(SUM(B365:F367)&lt;(SUM(S365:S367)),IF((SUM(B365:F368))&gt;(SUM(S365:S368)),(((SUM(S365:S368))-(SUM(B365:F368)-C368))*L364)+((SUM(B368:F368)-C368)*L364),(SUM(B368:F368)-C368)*L364),IF(SUM(B365:F368)&gt;(SUM(S365:S368)),S368*L364,SUM(B368:F368)*L364)),2)))</f>
        <v>0</v>
      </c>
      <c r="M368" s="64">
        <f>IF(B368=0,0,IF(AND(H356="ja",((U368-C368)&lt;R381)),ROUND(((R383*R380+((R381/(R381-R380))-(R380/(R381-R380))*R383)*((U368-C368)-R380))*(M364)),2),ROUND(IF(SUM(B365:F367)&lt;(SUM(S365:S367)),IF((SUM(B365:F368))&gt;(SUM(S365:S368)),(((SUM(S365:S368))-(SUM(B365:F368)-C368))*M364)+((SUM(B368:F368)-C368)*M364),(SUM(B368:F368)-C368)*M364),IF(SUM(B365:F368)&gt;(SUM(S365:S368)),S368*M364,SUM(B368:F368)*M364)),2)))</f>
        <v>0</v>
      </c>
      <c r="N368" s="64">
        <f>IF(B368=0,0,IF(AND(H356="ja",((U368)&lt;R381)),ROUND(((R383*R380+((R381/(R381-R380))-(R380/(R381-R380))*R383)*((U368)-R380))*(N364)),2),ROUND(IF(SUM(B365:F367)&lt;(SUM(S365:S367)),IF((SUM(B365:F368))&gt;(SUM(S365:S368)),(((SUM(S365:S368))-(SUM(B365:F368)-C367))*N364)+((SUM(B368:F368)-C367)*N364),SUM(B368:F368)*N364),IF(SUM(B365:F368)&gt;(SUM(S365:S368)),S368*N364,SUM(B368:F368)*N364)),2)))</f>
        <v>0</v>
      </c>
      <c r="O368" s="21">
        <f>ROUND(SUM(B368+C368+F368)*O364,2)</f>
        <v>0</v>
      </c>
      <c r="P368" s="25">
        <f t="shared" si="61"/>
        <v>0</v>
      </c>
      <c r="Q368" s="456"/>
      <c r="R368" s="140">
        <f>ROUND(IF(M343="",R359,R359/M343*P345),2)</f>
        <v>5175</v>
      </c>
      <c r="S368" s="140">
        <f>ROUND(IF(M343="",R360,R360/M343*P345),2)</f>
        <v>7450</v>
      </c>
      <c r="U368" s="950">
        <f t="shared" si="62"/>
        <v>0</v>
      </c>
      <c r="V368" s="950">
        <f>SUM(B365:F368)</f>
        <v>0</v>
      </c>
    </row>
    <row r="369" spans="1:24" s="1" customFormat="1" x14ac:dyDescent="0.2">
      <c r="A369" s="76" t="str">
        <f>CONCATENATE("Mai ",O341)</f>
        <v>Mai 2025</v>
      </c>
      <c r="B369" s="22">
        <f>ROUND(IF(P346=0,0,IFERROR(((LOOKUP(2,1/(A350:A353=A369),G350:G353))*P346*4.348),B368/P345*P346)),2)</f>
        <v>0</v>
      </c>
      <c r="C369" s="21">
        <f>ROUND(IFERROR((LOOKUP(2,1/(A356=A369),E356)),0)+IFERROR((LOOKUP(2,1/(A357=A369),E357)),0),2)</f>
        <v>0</v>
      </c>
      <c r="D369" s="21">
        <f>ROUND(IF(B369=0,0,D364/M343*P346),2)</f>
        <v>0</v>
      </c>
      <c r="E369" s="21">
        <f>ROUND(IF(B369=0,0,E364/N339*P346),2)</f>
        <v>0</v>
      </c>
      <c r="F369" s="22">
        <f>ROUND(IF(P346=0,0,IFERROR(((LOOKUP(2,1/(A350:A353=A369),I350:I353))/N339*P346),F368/P345*P346)),2)</f>
        <v>0</v>
      </c>
      <c r="G369" s="25">
        <f t="shared" si="60"/>
        <v>0</v>
      </c>
      <c r="H369" s="64">
        <f>IF(B369=0,0,IF(AND(H356="ja",((U369)&lt;R381)),ROUND(((R383*R380+((R381/(R381-R380))-(R380/(R381-R380))*R383)*((U369)-R380))*(H364*2))-(((R381/(R381-R380))*((U369)-R380))*H364),2),ROUND(IF(V368&lt;(SUM(R365:R368)),IF((V369)&gt;(SUM(R365:R369)),(((SUM(R365:R369))-(V369-C368))*H364)+((U369-C368)*H364),U369*H364),IF(V369&gt;(SUM(R365:R369)),R369*H364,U369*H364)),2)))</f>
        <v>0</v>
      </c>
      <c r="I369" s="64">
        <f>IF(B369=0,0,IF(AND(H356="ja",((U369)&lt;R381)),ROUND(((R383*R380+((R381/(R381-R380))-(R380/(R381-R380))*R383)*((U369)-R380))*(I364*2))-(((R381/(R381-R380))*((U369)-R380))*I364),2),ROUND(IF(V368&lt;(SUM(S365:S368)),IF((V369)&gt;(SUM(S365:S369)),(((SUM(S365:S369))-(V369-C368))*I364)+((U369-C368)*I364),U369*I364),IF(V369&gt;(SUM(S365:S369)),S369*I364,U369*I364)),2)))</f>
        <v>0</v>
      </c>
      <c r="J369" s="64">
        <f>IF(B369=0,0,IF(AND(H356="ja",((U369)&lt;R381)),ROUND(((R383*R380+((R381/(R381-R380))-(R380/(R381-R380))*R383)*((U369)-R380))*(J364*2))-(((R381/(R381-R380))*((U369)-R380))*J364),2),ROUND(IF(V368&lt;(SUM(S365:S368)),IF((V369)&gt;(SUM(S365:S369)),(((SUM(S365:S369))-(V369-C368))*J364)+((U369-C368)*J364),U369*J364),IF(V369&gt;(SUM(S365:S369)),S369*J364,U369*J364)),2)))</f>
        <v>0</v>
      </c>
      <c r="K369" s="64">
        <f>IF(B369=0,0,IF(AND(H356="ja",((U369)&lt;R381)),ROUND(((R383*R380+((R381/(R381-R380))-(R380/(R381-R380))*R383)*((U369)-R380))*(K364*2))-(((R381/(R381-R380))*((U369)-R380))*K364),2),ROUND(IF(V368&lt;(SUM(R365:R368)),IF((V369)&gt;(SUM(R365:R369)),(((SUM(R365:R369))-(V369-C368))*K364)+((U369-C368)*K364),U369*K364),IF(V369&gt;(SUM(R365:R369)),R369*K364,U369*K364)),2)))</f>
        <v>0</v>
      </c>
      <c r="L369" s="64">
        <f>IF(B369=0,0,IF(AND(H356="ja",((U369-C369)&lt;R381)),ROUND(((R383*R380+((R381/(R381-R380))-(R380/(R381-R380))*R383)*((U369-C369)-R380))*(L364)),2),ROUND(IF(SUM(B365:F368)&lt;(SUM(S365:S368)),IF((SUM(B365:F369))&gt;(SUM(S365:S369)),(((SUM(S365:S369))-(SUM(B365:F369)-C369))*L364)+((SUM(B369:F369)-C369)*L364),(SUM(B369:F369)-C369)*L364),IF(SUM(B365:F369)&gt;(SUM(S365:S369)),S369*L364,SUM(B369:F369)*L364)),2)))</f>
        <v>0</v>
      </c>
      <c r="M369" s="64">
        <f>IF(B369=0,0,IF(AND(H356="ja",((U369-C369)&lt;R381)),ROUND(((R383*R380+((R381/(R381-R380))-(R380/(R381-R380))*R383)*((U369-C369)-R380))*(M364)),2),ROUND(IF(SUM(B365:F368)&lt;(SUM(S365:S368)),IF((SUM(B365:F369))&gt;(SUM(S365:S369)),(((SUM(S365:S369))-(SUM(B365:F369)-C369))*M364)+((SUM(B369:F369)-C369)*M364),(SUM(B369:F369)-C369)*M364),IF(SUM(B365:F369)&gt;(SUM(S365:S369)),S369*M364,SUM(B369:F369)*M364)),2)))</f>
        <v>0</v>
      </c>
      <c r="N369" s="64">
        <f>IF(B369=0,0,IF(AND(H356="ja",((U369)&lt;R381)),ROUND(((R383*R380+((R381/(R381-R380))-(R380/(R381-R380))*R383)*((U369)-R380))*(N364)),2),ROUND(IF(SUM(B365:F368)&lt;(SUM(S365:S368)),IF((SUM(B365:F369))&gt;(SUM(S365:S369)),(((SUM(S365:S369))-(SUM(B365:F369)-C368))*N364)+((SUM(B369:F369)-C368)*N364),SUM(B369:F369)*N364),IF(SUM(B365:F369)&gt;(SUM(S365:S369)),S369*N364,SUM(B369:F369)*N364)),2)))</f>
        <v>0</v>
      </c>
      <c r="O369" s="21">
        <f>ROUND(SUM(B369+C369+F369)*O364,2)</f>
        <v>0</v>
      </c>
      <c r="P369" s="25">
        <f t="shared" si="61"/>
        <v>0</v>
      </c>
      <c r="Q369" s="456"/>
      <c r="R369" s="140">
        <f>ROUND(IF(M343="",R359,R359/M343*P346),2)</f>
        <v>5175</v>
      </c>
      <c r="S369" s="140">
        <f>ROUND(IF(M343="",R360,R360/M343*P346),2)</f>
        <v>7450</v>
      </c>
      <c r="U369" s="950">
        <f t="shared" si="62"/>
        <v>0</v>
      </c>
      <c r="V369" s="950">
        <f>SUM(B365:F369)</f>
        <v>0</v>
      </c>
    </row>
    <row r="370" spans="1:24" s="1" customFormat="1" x14ac:dyDescent="0.2">
      <c r="A370" s="76" t="str">
        <f>CONCATENATE("Jun ",O341)</f>
        <v>Jun 2025</v>
      </c>
      <c r="B370" s="22">
        <f>ROUND(IF(P347=0,0,IFERROR(((LOOKUP(2,1/(A350:A353=A370),G350:G353))*P347*4.348),B369/P346*P347)),2)</f>
        <v>0</v>
      </c>
      <c r="C370" s="21">
        <f>ROUND(IFERROR((LOOKUP(2,1/(A356=A370),E356)),0)+IFERROR((LOOKUP(2,1/(A357=A370),E357)),0),2)</f>
        <v>0</v>
      </c>
      <c r="D370" s="21">
        <f>ROUND(IF(B370=0,0,D364/M343*P347),2)</f>
        <v>0</v>
      </c>
      <c r="E370" s="21">
        <f>ROUND(IF(B370=0,0,E364/N339*P347),2)</f>
        <v>0</v>
      </c>
      <c r="F370" s="22">
        <f>ROUND(IF(P347=0,0,IFERROR(((LOOKUP(2,1/(A350:A353=A370),I350:I353))/N339*P347),F369/P346*P347)),2)</f>
        <v>0</v>
      </c>
      <c r="G370" s="25">
        <f t="shared" si="60"/>
        <v>0</v>
      </c>
      <c r="H370" s="64">
        <f>IF(B370=0,0,IF(AND(H356="ja",((U370)&lt;R381)),ROUND(((R383*R380+((R381/(R381-R380))-(R380/(R381-R380))*R383)*((U370)-R380))*(H364*2))-(((R381/(R381-R380))*((U370)-R380))*H364),2),ROUND(IF(V369&lt;(SUM(R365:R369)),IF((V370)&gt;(SUM(R365:R370)),(((SUM(R365:R370))-(V370-C369))*H364)+((U370-C369)*H364),U370*H364),IF(V370&gt;(SUM(R365:R370)),R370*H364,U370*H364)),2)))</f>
        <v>0</v>
      </c>
      <c r="I370" s="64">
        <f>IF(B370=0,0,IF(AND(H356="ja",((U370)&lt;R381)),ROUND(((R383*R380+((R381/(R381-R380))-(R380/(R381-R380))*R383)*((U370)-R380))*(I364*2))-(((R381/(R381-R380))*((U370)-R380))*I364),2),ROUND(IF(V369&lt;(SUM(S365:S369)),IF((V370)&gt;(SUM(S365:S370)),(((SUM(S365:S370))-(V370-C369))*I364)+((U370-C369)*I364),U370*I364),IF(V370&gt;(SUM(S365:S370)),S370*I364,U370*I364)),2)))</f>
        <v>0</v>
      </c>
      <c r="J370" s="64">
        <f>IF(B370=0,0,IF(AND(H356="ja",((U370)&lt;R381)),ROUND(((R383*R380+((R381/(R381-R380))-(R380/(R381-R380))*R383)*((U370)-R380))*(J364*2))-(((R381/(R381-R380))*((U370)-R380))*J364),2),ROUND(IF(V369&lt;(SUM(S365:S369)),IF((V370)&gt;(SUM(S365:S370)),(((SUM(S365:S370))-(V370-C369))*J364)+((U370-C369)*J364),U370*J364),IF(V370&gt;(SUM(S365:S370)),S370*J364,U370*J364)),2)))</f>
        <v>0</v>
      </c>
      <c r="K370" s="64">
        <f>IF(B370=0,0,IF(AND(H356="ja",((U370)&lt;R381)),ROUND(((R383*R380+((R381/(R381-R380))-(R380/(R381-R380))*R383)*((U370)-R380))*(K364*2))-(((R381/(R381-R380))*((U370)-R380))*K364),2),ROUND(IF(V369&lt;(SUM(R365:R369)),IF((V370)&gt;(SUM(R365:R370)),(((SUM(R365:R370))-(V370-C369))*K364)+((U370-C369)*K364),U370*K364),IF(V370&gt;(SUM(R365:R370)),R370*K364,U370*K364)),2)))</f>
        <v>0</v>
      </c>
      <c r="L370" s="64">
        <f>IF(B370=0,0,IF(AND(H356="ja",((U370-C370)&lt;R381)),ROUND(((R383*R380+((R381/(R381-R380))-(R380/(R381-R380))*R383)*((U370-C370)-R380))*(L364)),2),ROUND(IF(SUM(B365:F369)&lt;(SUM(S365:S369)),IF((SUM(B365:F370))&gt;(SUM(S365:S370)),(((SUM(S365:S370))-(SUM(B365:F370)-C370))*L364)+((SUM(B370:F370)-C370)*L364),(SUM(B370:F370)-C370)*L364),IF(SUM(B365:F370)&gt;(SUM(S365:S370)),S370*L364,SUM(B370:F370)*L364)),2)))</f>
        <v>0</v>
      </c>
      <c r="M370" s="64">
        <f>IF(B370=0,0,IF(AND(H356="ja",((U370-C370)&lt;R381)),ROUND(((R383*R380+((R381/(R381-R380))-(R380/(R381-R380))*R383)*((U370-C370)-R380))*(M364)),2),ROUND(IF(SUM(B365:F369)&lt;(SUM(S365:S369)),IF((SUM(B365:F370))&gt;(SUM(S365:S370)),(((SUM(S365:S370))-(SUM(B365:F370)-C370))*M364)+((SUM(B370:F370)-C370)*M364),(SUM(B370:F370)-C370)*M364),IF(SUM(B365:F370)&gt;(SUM(S365:S370)),S370*M364,SUM(B370:F370)*M364)),2)))</f>
        <v>0</v>
      </c>
      <c r="N370" s="64">
        <f>IF(B370=0,0,IF(AND(H356="ja",((U370)&lt;R381)),ROUND(((R383*R380+((R381/(R381-R380))-(R380/(R381-R380))*R383)*((U370)-R380))*(N364)),2),ROUND(IF(SUM(B365:F369)&lt;(SUM(S365:S369)),IF((SUM(B365:F370))&gt;(SUM(S365:S370)),(((SUM(S365:S370))-(SUM(B365:F370)-C369))*N364)+((SUM(B370:F370)-C369)*N364),SUM(B370:F370)*N364),IF(SUM(B365:F370)&gt;(SUM(S365:S370)),S370*N364,SUM(B370:F370)*N364)),2)))</f>
        <v>0</v>
      </c>
      <c r="O370" s="21">
        <f>ROUND(SUM(B370+C370+F370)*O364,2)</f>
        <v>0</v>
      </c>
      <c r="P370" s="25">
        <f t="shared" si="61"/>
        <v>0</v>
      </c>
      <c r="Q370" s="456"/>
      <c r="R370" s="140">
        <f>ROUND(IF(M343="",R359,R359/M343*P347),2)</f>
        <v>5175</v>
      </c>
      <c r="S370" s="140">
        <f>ROUND(IF(M343="",R360,R360/M343*P347),2)</f>
        <v>7450</v>
      </c>
      <c r="U370" s="950">
        <f t="shared" si="62"/>
        <v>0</v>
      </c>
      <c r="V370" s="950">
        <f>SUM(B365:F370)</f>
        <v>0</v>
      </c>
    </row>
    <row r="371" spans="1:24" s="1" customFormat="1" x14ac:dyDescent="0.2">
      <c r="A371" s="76" t="str">
        <f>CONCATENATE("Jul ",O341)</f>
        <v>Jul 2025</v>
      </c>
      <c r="B371" s="22">
        <f>ROUND(IF(P348=0,0,IFERROR(((LOOKUP(2,1/(A350:A353=A371),G350:G353))*P348*4.348),B370/P347*P348)),2)</f>
        <v>0</v>
      </c>
      <c r="C371" s="21">
        <f>ROUND(IFERROR((LOOKUP(2,1/(A356=A371),E356)),0)+IFERROR((LOOKUP(2,1/(A357=A371),E357)),0),2)</f>
        <v>0</v>
      </c>
      <c r="D371" s="21">
        <f>ROUND(IF(B371=0,0,D364/M343*P348),2)</f>
        <v>0</v>
      </c>
      <c r="E371" s="21">
        <f>ROUND(IF(B371=0,0,E364/N339*P348),2)</f>
        <v>0</v>
      </c>
      <c r="F371" s="22">
        <f>ROUND(IF(P348=0,0,IFERROR(((LOOKUP(2,1/(A350:A353=A371),I350:I353))/N339*P348),F370/P347*P348)),2)</f>
        <v>0</v>
      </c>
      <c r="G371" s="25">
        <f t="shared" si="60"/>
        <v>0</v>
      </c>
      <c r="H371" s="64">
        <f>IF(B371=0,0,IF(AND(H356="ja",((U371)&lt;R381)),ROUND(((R383*R380+((R381/(R381-R380))-(R380/(R381-R380))*R383)*((U371)-R380))*(H364*2))-(((R381/(R381-R380))*((U371)-R380))*H364),2),ROUND(IF(V370&lt;(SUM(R365:R370)),IF((V371)&gt;(SUM(R365:R371)),(((SUM(R365:R371))-(V371-C370))*H364)+((U371-C370)*H364),U371*H364),IF(V371&gt;(SUM(R365:R371)),R371*H364,U371*H364)),2)))</f>
        <v>0</v>
      </c>
      <c r="I371" s="64">
        <f>IF(B371=0,0,IF(AND(H356="ja",((U371)&lt;R381)),ROUND(((R383*R380+((R381/(R381-R380))-(R380/(R381-R380))*R383)*((U371)-R380))*(I364*2))-(((R381/(R381-R380))*((U371)-R380))*I364),2),ROUND(IF(V370&lt;(SUM(S365:S370)),IF((V371)&gt;(SUM(S365:S371)),(((SUM(S365:S371))-(V371-C370))*I364)+((U371-C370)*I364),U371*I364),IF(V371&gt;(SUM(S365:S371)),S371*I364,U371*I364)),2)))</f>
        <v>0</v>
      </c>
      <c r="J371" s="64">
        <f>IF(B371=0,0,IF(AND(H356="ja",((U371)&lt;R381)),ROUND(((R383*R380+((R381/(R381-R380))-(R380/(R381-R380))*R383)*((U371)-R380))*(J364*2))-(((R381/(R381-R380))*((U371)-R380))*J364),2),ROUND(IF(V370&lt;(SUM(S365:S370)),IF((V371)&gt;(SUM(S365:S371)),(((SUM(S365:S371))-(V371-C370))*J364)+((U371-C370)*J364),U371*J364),IF(V371&gt;(SUM(S365:S371)),S371*J364,U371*J364)),2)))</f>
        <v>0</v>
      </c>
      <c r="K371" s="64">
        <f>IF(B371=0,0,IF(AND(H356="ja",((U371)&lt;R381)),ROUND(((R383*R380+((R381/(R381-R380))-(R380/(R381-R380))*R383)*((U371)-R380))*(K364*2))-(((R381/(R381-R380))*((U371)-R380))*K364),2),ROUND(IF(V370&lt;(SUM(R365:R370)),IF((V371)&gt;(SUM(R365:R371)),(((SUM(R365:R371))-(V371-C370))*K364)+((U371-C370)*K364),U371*K364),IF(V371&gt;(SUM(R365:R371)),R371*K364,U371*K364)),2)))</f>
        <v>0</v>
      </c>
      <c r="L371" s="64">
        <f>IF(B371=0,0,IF(AND(H356="ja",((U371-C371)&lt;R381)),ROUND(((R383*R380+((R381/(R381-R380))-(R380/(R381-R380))*R383)*((U371-C371)-R380))*(L364)),2),ROUND(IF(SUM(B365:F370)&lt;(SUM(S365:S370)),IF((SUM(B365:F371))&gt;(SUM(S365:S371)),(((SUM(S365:S371))-(SUM(B365:F371)-C371))*L364)+((SUM(B371:F371)-C371)*L364),(SUM(B371:F371)-C371)*L364),IF(SUM(B365:F371)&gt;(SUM(S365:S371)),S371*L364,SUM(B371:F371)*L364)),2)))</f>
        <v>0</v>
      </c>
      <c r="M371" s="64">
        <f>IF(B371=0,0,IF(AND(H356="ja",((U371-C371)&lt;R381)),ROUND(((R383*R380+((R381/(R381-R380))-(R380/(R381-R380))*R383)*((U371-C371)-R380))*(M364)),2),ROUND(IF(SUM(B365:F370)&lt;(SUM(S365:S370)),IF((SUM(B365:F371))&gt;(SUM(S365:S371)),(((SUM(S365:S371))-(SUM(B365:F371)-C371))*M364)+((SUM(B371:F371)-C371)*M364),(SUM(B371:F371)-C371)*M364),IF(SUM(B365:F371)&gt;(SUM(S365:S371)),S371*M364,SUM(B371:F371)*M364)),2)))</f>
        <v>0</v>
      </c>
      <c r="N371" s="64">
        <f>IF(B371=0,0,IF(AND(H356="ja",((U371)&lt;R381)),ROUND(((R383*R380+((R381/(R381-R380))-(R380/(R381-R380))*R383)*((U371)-R380))*(N364)),2),ROUND(IF(SUM(B365:F370)&lt;(SUM(S365:S370)),IF((SUM(B365:F371))&gt;(SUM(S365:S371)),(((SUM(S365:S371))-(SUM(B365:F371)-C370))*N364)+((SUM(B371:F371)-C370)*N364),SUM(B371:F371)*N364),IF(SUM(B365:F371)&gt;(SUM(S365:S371)),S371*N364,SUM(B371:F371)*N364)),2)))</f>
        <v>0</v>
      </c>
      <c r="O371" s="21">
        <f>ROUND(SUM(B371+C371+F371)*O364,2)</f>
        <v>0</v>
      </c>
      <c r="P371" s="25">
        <f t="shared" si="61"/>
        <v>0</v>
      </c>
      <c r="Q371" s="456"/>
      <c r="R371" s="140">
        <f>ROUND(IF(M343="",R359,R359/M343*P348),2)</f>
        <v>5175</v>
      </c>
      <c r="S371" s="140">
        <f>ROUND(IF(M343="",R360,R360/M343*P348),2)</f>
        <v>7450</v>
      </c>
      <c r="U371" s="950">
        <f t="shared" si="62"/>
        <v>0</v>
      </c>
      <c r="V371" s="950">
        <f>SUM(B365:F371)</f>
        <v>0</v>
      </c>
    </row>
    <row r="372" spans="1:24" s="1" customFormat="1" x14ac:dyDescent="0.2">
      <c r="A372" s="76" t="str">
        <f>CONCATENATE("Aug ",O341)</f>
        <v>Aug 2025</v>
      </c>
      <c r="B372" s="22">
        <f>ROUND(IF(P349=0,0,IFERROR(((LOOKUP(2,1/(A350:A353=A372),G350:G353))*P349*4.348),B371/P348*P349)),2)</f>
        <v>0</v>
      </c>
      <c r="C372" s="21">
        <f>ROUND(IFERROR((LOOKUP(2,1/(A356=A372),E356)),0)+IFERROR((LOOKUP(2,1/(A357=A372),E357)),0),2)</f>
        <v>0</v>
      </c>
      <c r="D372" s="21">
        <f>ROUND(IF(B372=0,0,D364/M343*P349),2)</f>
        <v>0</v>
      </c>
      <c r="E372" s="21">
        <f>ROUND(IF(B372=0,0,E364/N339*P349),2)</f>
        <v>0</v>
      </c>
      <c r="F372" s="22">
        <f>ROUND(IF(P349=0,0,IFERROR(((LOOKUP(2,1/(A350:A353=A372),I350:I353))/N339*P349),F371/P348*P349)),2)</f>
        <v>0</v>
      </c>
      <c r="G372" s="25">
        <f t="shared" si="60"/>
        <v>0</v>
      </c>
      <c r="H372" s="64">
        <f>IF(B372=0,0,IF(AND(H356="ja",((U372)&lt;R381)),ROUND(((R383*R380+((R381/(R381-R380))-(R380/(R381-R380))*R383)*((U372)-R380))*(H364*2))-(((R381/(R381-R380))*((U372)-R380))*H364),2),ROUND(IF(V371&lt;(SUM(R365:R371)),IF((V372)&gt;(SUM(R365:R372)),(((SUM(R365:R372))-(V372-C371))*H364)+((U372-C371)*H364),U372*H364),IF(V372&gt;(SUM(R365:R372)),R372*H364,U372*H364)),2)))</f>
        <v>0</v>
      </c>
      <c r="I372" s="64">
        <f>IF(B372=0,0,IF(AND(H356="ja",((U372)&lt;R381)),ROUND(((R383*R380+((R381/(R381-R380))-(R380/(R381-R380))*R383)*((U372)-R380))*(I364*2))-(((R381/(R381-R380))*((U372)-R380))*I364),2),ROUND(IF(V371&lt;(SUM(S365:S371)),IF((V372)&gt;(SUM(S365:S372)),(((SUM(S365:S372))-(V372-C371))*I364)+((U372-C371)*I364),U372*I364),IF(V372&gt;(SUM(S365:S372)),S372*I364,U372*I364)),2)))</f>
        <v>0</v>
      </c>
      <c r="J372" s="64">
        <f>IF(B372=0,0,IF(AND(H356="ja",((U372)&lt;R381)),ROUND(((R383*R380+((R381/(R381-R380))-(R380/(R381-R380))*R383)*((U372)-R380))*(J364*2))-(((R381/(R381-R380))*((U372)-R380))*J364),2),ROUND(IF(V371&lt;(SUM(S365:S371)),IF((V372)&gt;(SUM(S365:S372)),(((SUM(S365:S372))-(V372-C371))*J364)+((U372-C371)*J364),U372*J364),IF(V372&gt;(SUM(S365:S372)),S372*J364,U372*J364)),2)))</f>
        <v>0</v>
      </c>
      <c r="K372" s="64">
        <f>IF(B372=0,0,IF(AND(H356="ja",((U372)&lt;R381)),ROUND(((R383*R380+((R381/(R381-R380))-(R380/(R381-R380))*R383)*((U372)-R380))*(K364*2))-(((R381/(R381-R380))*((U372)-R380))*K364),2),ROUND(IF(V371&lt;(SUM(R365:R371)),IF((V372)&gt;(SUM(R365:R372)),(((SUM(R365:R372))-(V372-C371))*K364)+((U372-C371)*K364),U372*K364),IF(V372&gt;(SUM(R365:R372)),R372*K364,U372*K364)),2)))</f>
        <v>0</v>
      </c>
      <c r="L372" s="64">
        <f>IF(B372=0,0,IF(AND(H356="ja",((U372-C372)&lt;R381)),ROUND(((R383*R380+((R381/(R381-R380))-(R380/(R381-R380))*R383)*((U372-C372)-R380))*(L364)),2),ROUND(IF(SUM(B365:F371)&lt;(SUM(S365:S371)),IF((SUM(B365:F372))&gt;(SUM(S365:S372)),(((SUM(S365:S372))-(SUM(B365:F372)-C372))*L364)+((SUM(B372:F372)-C372)*L364),(SUM(B372:F372)-C372)*L364),IF(SUM(B365:F372)&gt;(SUM(S365:S372)),S372*L364,SUM(B372:F372)*L364)),2)))</f>
        <v>0</v>
      </c>
      <c r="M372" s="64">
        <f>IF(B372=0,0,IF(AND(H356="ja",((U372-C372)&lt;R381)),ROUND(((R383*R380+((R381/(R381-R380))-(R380/(R381-R380))*R383)*((U372-C372)-R380))*(M364)),2),ROUND(IF(SUM(B365:F371)&lt;(SUM(S365:S371)),IF((SUM(B365:F372))&gt;(SUM(S365:S372)),(((SUM(S365:S372))-(SUM(B365:F372)-C372))*M364)+((SUM(B372:F372)-C372)*M364),(SUM(B372:F372)-C372)*M364),IF(SUM(B365:F372)&gt;(SUM(S365:S372)),S372*M364,SUM(B372:F372)*M364)),2)))</f>
        <v>0</v>
      </c>
      <c r="N372" s="64">
        <f>IF(B372=0,0,IF(AND(H356="ja",((U372)&lt;R381)),ROUND(((R383*R380+((R381/(R381-R380))-(R380/(R381-R380))*R383)*((U372)-R380))*(N364)),2),ROUND(IF(SUM(B365:F371)&lt;(SUM(S365:S371)),IF((SUM(B365:F372))&gt;(SUM(S365:S372)),(((SUM(S365:S372))-(SUM(B365:F372)-C371))*N364)+((SUM(B372:F372)-C371)*N364),SUM(B372:F372)*N364),IF(SUM(B365:F372)&gt;(SUM(S365:S372)),S372*N364,SUM(B372:F372)*N364)),2)))</f>
        <v>0</v>
      </c>
      <c r="O372" s="21">
        <f>ROUND(SUM(B372+C372+F372)*O364,2)</f>
        <v>0</v>
      </c>
      <c r="P372" s="25">
        <f t="shared" si="61"/>
        <v>0</v>
      </c>
      <c r="Q372" s="456"/>
      <c r="R372" s="140">
        <f>ROUND(IF(M343="",R359,R359/M343*P349),2)</f>
        <v>5175</v>
      </c>
      <c r="S372" s="140">
        <f>ROUND(IF(M343="",R360,R360/M343*P349),2)</f>
        <v>7450</v>
      </c>
      <c r="U372" s="950">
        <f t="shared" si="62"/>
        <v>0</v>
      </c>
      <c r="V372" s="950">
        <f>SUM(B365:F372)</f>
        <v>0</v>
      </c>
    </row>
    <row r="373" spans="1:24" s="1" customFormat="1" x14ac:dyDescent="0.2">
      <c r="A373" s="76" t="str">
        <f>CONCATENATE("Sep ",O341)</f>
        <v>Sep 2025</v>
      </c>
      <c r="B373" s="22">
        <f>ROUND(IF(P350=0,0,IFERROR(((LOOKUP(2,1/(A350:A353=A373),G350:G353))*P350*4.348),B372/P349*P350)),2)</f>
        <v>0</v>
      </c>
      <c r="C373" s="21">
        <f>ROUND(IFERROR((LOOKUP(2,1/(A356=A373),E356)),0)+IFERROR((LOOKUP(2,1/(A357=A373),E357)),0),2)</f>
        <v>0</v>
      </c>
      <c r="D373" s="21">
        <f>ROUND(IF(B373=0,0,D364/M343*P350),2)</f>
        <v>0</v>
      </c>
      <c r="E373" s="21">
        <f>ROUND(IF(B373=0,0,E364/N339*P350),2)</f>
        <v>0</v>
      </c>
      <c r="F373" s="22">
        <f>ROUND(IF(P350=0,0,IFERROR(((LOOKUP(2,1/(A350:A353=A373),I350:I353))/N339*P350),F372/P349*P350)),2)</f>
        <v>0</v>
      </c>
      <c r="G373" s="25">
        <f t="shared" si="60"/>
        <v>0</v>
      </c>
      <c r="H373" s="64">
        <f>IF(B373=0,0,IF(AND(H356="ja",((U373)&lt;R381)),ROUND(((R383*R380+((R381/(R381-R380))-(R380/(R381-R380))*R383)*((U373)-R380))*(H364*2))-(((R381/(R381-R380))*((U373)-R380))*H364),2),ROUND(IF(V372&lt;(SUM(R365:R372)),IF((V373)&gt;(SUM(R365:R373)),(((SUM(R365:R373))-(V373-C372))*H364)+((U373-C372)*H364),U373*H364),IF(V373&gt;(SUM(R365:R373)),R373*H364,U373*H364)),2)))</f>
        <v>0</v>
      </c>
      <c r="I373" s="64">
        <f>IF(B373=0,0,IF(AND(H356="ja",((U373)&lt;R381)),ROUND(((R383*R380+((R381/(R381-R380))-(R380/(R381-R380))*R383)*((U373)-R380))*(I364*2))-(((R381/(R381-R380))*((U373)-R380))*I364),2),ROUND(IF(V372&lt;(SUM(S365:S372)),IF((V373)&gt;(SUM(S365:S373)),(((SUM(S365:S373))-(V373-C372))*I364)+((U373-C372)*I364),U373*I364),IF(V373&gt;(SUM(S365:S373)),S373*I364,U373*I364)),2)))</f>
        <v>0</v>
      </c>
      <c r="J373" s="64">
        <f>IF(B373=0,0,IF(AND(H356="ja",((U373)&lt;R381)),ROUND(((R383*R380+((R381/(R381-R380))-(R380/(R381-R380))*R383)*((U373)-R380))*(J364*2))-(((R381/(R381-R380))*((U373)-R380))*J364),2),ROUND(IF(V372&lt;(SUM(S365:S372)),IF((V373)&gt;(SUM(S365:S373)),(((SUM(S365:S373))-(V373-C372))*J364)+((U373-C372)*J364),U373*J364),IF(V373&gt;(SUM(S365:S373)),S373*J364,U373*J364)),2)))</f>
        <v>0</v>
      </c>
      <c r="K373" s="64">
        <f>IF(B373=0,0,IF(AND(H356="ja",((U373)&lt;R381)),ROUND(((R383*R380+((R381/(R381-R380))-(R380/(R381-R380))*R383)*((U373)-R380))*(K364*2))-(((R381/(R381-R380))*((U373)-R380))*K364),2),ROUND(IF(V372&lt;(SUM(R365:R372)),IF((V373)&gt;(SUM(R365:R373)),(((SUM(R365:R373))-(V373-C372))*K364)+((U373-C372)*K364),U373*K364),IF(V373&gt;(SUM(R365:R373)),R373*K364,U373*K364)),2)))</f>
        <v>0</v>
      </c>
      <c r="L373" s="64">
        <f>IF(B373=0,0,IF(AND(H356="ja",((U373-C373)&lt;R381)),ROUND(((R383*R380+((R381/(R381-R380))-(R380/(R381-R380))*R383)*((U373-C373)-R380))*(L364)),2),ROUND(IF(SUM(B365:F372)&lt;(SUM(S365:S372)),IF((SUM(B365:F373))&gt;(SUM(S365:S373)),(((SUM(S365:S373))-(SUM(B365:F373)-C373))*L364)+((SUM(B373:F373)-C373)*L364),(SUM(B373:F373)-C373)*L364),IF(SUM(B365:F373)&gt;(SUM(S365:S373)),S373*L364,SUM(B373:F373)*L364)),2)))</f>
        <v>0</v>
      </c>
      <c r="M373" s="64">
        <f>IF(B373=0,0,IF(AND(H356="ja",((U373-C373)&lt;R381)),ROUND(((R383*R380+((R381/(R381-R380))-(R380/(R381-R380))*R383)*((U373-C373)-R380))*(M364)),2),ROUND(IF(SUM(B365:F372)&lt;(SUM(S365:S372)),IF((SUM(B365:F373))&gt;(SUM(S365:S373)),(((SUM(S365:S373))-(SUM(B365:F373)-C373))*M364)+((SUM(B373:F373)-C373)*M364),(SUM(B373:F373)-C373)*M364),IF(SUM(B365:F373)&gt;(SUM(S365:S373)),S373*M364,SUM(B373:F373)*M364)),2)))</f>
        <v>0</v>
      </c>
      <c r="N373" s="64">
        <f>IF(B373=0,0,IF(AND(H356="ja",((U373)&lt;R381)),ROUND(((R383*R380+((R381/(R381-R380))-(R380/(R381-R380))*R383)*((U373)-R380))*(N364)),2),ROUND(IF(SUM(B365:F372)&lt;(SUM(S365:S372)),IF((SUM(B365:F373))&gt;(SUM(S365:S373)),(((SUM(S365:S373))-(SUM(B365:F373)-C372))*N364)+((SUM(B373:F373)-C372)*N364),SUM(B373:F373)*N364),IF(SUM(B365:F373)&gt;(SUM(S365:S373)),S373*N364,SUM(B373:F373)*N364)),2)))</f>
        <v>0</v>
      </c>
      <c r="O373" s="21">
        <f>ROUND(SUM(B373+C373+F373)*O364,2)</f>
        <v>0</v>
      </c>
      <c r="P373" s="25">
        <f t="shared" si="61"/>
        <v>0</v>
      </c>
      <c r="Q373" s="456"/>
      <c r="R373" s="140">
        <f>ROUND(IF(M343="",R359,R359/M343*P350),2)</f>
        <v>5175</v>
      </c>
      <c r="S373" s="140">
        <f>ROUND(IF(M343="",R360,R360/M343*P350),2)</f>
        <v>7450</v>
      </c>
      <c r="U373" s="950">
        <f t="shared" si="62"/>
        <v>0</v>
      </c>
      <c r="V373" s="950">
        <f>SUM(B365:F373)</f>
        <v>0</v>
      </c>
    </row>
    <row r="374" spans="1:24" s="12" customFormat="1" ht="15" x14ac:dyDescent="0.25">
      <c r="A374" s="76" t="str">
        <f>CONCATENATE("Okt ",O341)</f>
        <v>Okt 2025</v>
      </c>
      <c r="B374" s="22">
        <f>ROUND(IF(P351=0,0,IFERROR(((LOOKUP(2,1/(A350:A353=A374),G350:G353))*P351*4.348),B373/P350*P351)),2)</f>
        <v>0</v>
      </c>
      <c r="C374" s="21">
        <f>ROUND(IFERROR((LOOKUP(2,1/(A356=A374),E356)),0)+IFERROR((LOOKUP(2,1/(A357=A374),E357)),0),2)</f>
        <v>0</v>
      </c>
      <c r="D374" s="21">
        <f>ROUND(IF(B374=0,0,D364/M343*P351),2)</f>
        <v>0</v>
      </c>
      <c r="E374" s="21">
        <f>ROUND(IF(B374=0,0,E364/N339*P351),2)</f>
        <v>0</v>
      </c>
      <c r="F374" s="22">
        <f>ROUND(IF(P351=0,0,IFERROR(((LOOKUP(2,1/(A350:A353=A374),I350:I353))/N339*P351),F373/P350*P351)),2)</f>
        <v>0</v>
      </c>
      <c r="G374" s="25">
        <f t="shared" si="60"/>
        <v>0</v>
      </c>
      <c r="H374" s="64">
        <f>IF(B374=0,0,IF(AND(H356="ja",((U374)&lt;R381)),ROUND(((R383*R380+((R381/(R381-R380))-(R380/(R381-R380))*R383)*((U374)-R380))*(H364*2))-(((R381/(R381-R380))*((U374)-R380))*H364),2),ROUND(IF(V373&lt;(SUM(R365:R373)),IF((V374)&gt;(SUM(R365:R374)),(((SUM(R365:R374))-(V374-C373))*H364)+((U374-C373)*H364),U374*H364),IF(V374&gt;(SUM(R365:R374)),R374*H364,U374*H364)),2)))</f>
        <v>0</v>
      </c>
      <c r="I374" s="64">
        <f>IF(B374=0,0,IF(AND(H356="ja",((U374)&lt;R381)),ROUND(((R383*R380+((R381/(R381-R380))-(R380/(R381-R380))*R383)*((U374)-R380))*(I364*2))-(((R381/(R381-R380))*((U374)-R380))*I364),2),ROUND(IF(V373&lt;(SUM(S365:S373)),IF((V374)&gt;(SUM(S365:S374)),(((SUM(S365:S374))-(V374-C373))*I364)+((U374-C373)*I364),U374*I364),IF(V374&gt;(SUM(S365:S374)),S374*I364,U374*I364)),2)))</f>
        <v>0</v>
      </c>
      <c r="J374" s="64">
        <f>IF(B374=0,0,IF(AND(H356="ja",((U374)&lt;R381)),ROUND(((R383*R380+((R381/(R381-R380))-(R380/(R381-R380))*R383)*((U374)-R380))*(J364*2))-(((R381/(R381-R380))*((U374)-R380))*J364),2),ROUND(IF(V373&lt;(SUM(S365:S373)),IF((V374)&gt;(SUM(S365:S374)),(((SUM(S365:S374))-(V374-C373))*J364)+((U374-C373)*J364),U374*J364),IF(V374&gt;(SUM(S365:S374)),S374*J364,U374*J364)),2)))</f>
        <v>0</v>
      </c>
      <c r="K374" s="64">
        <f>IF(B374=0,0,IF(AND(H356="ja",((U374)&lt;R381)),ROUND(((R383*R380+((R381/(R381-R380))-(R380/(R381-R380))*R383)*((U374)-R380))*(K364*2))-(((R381/(R381-R380))*((U374)-R380))*K364),2),ROUND(IF(V373&lt;(SUM(R365:R373)),IF((V374)&gt;(SUM(R365:R374)),(((SUM(R365:R374))-(V374-C373))*K364)+((U374-C373)*K364),U374*K364),IF(V374&gt;(SUM(R365:R374)),R374*K364,U374*K364)),2)))</f>
        <v>0</v>
      </c>
      <c r="L374" s="64">
        <f>IF(B374=0,0,IF(AND(H356="ja",((U374-C374)&lt;R381)),ROUND(((R383*R380+((R381/(R381-R380))-(R380/(R381-R380))*R383)*((U374-C374)-R380))*(L364)),2),ROUND(IF(SUM(B365:F373)&lt;(SUM(S365:S373)),IF((SUM(B365:F374))&gt;(SUM(S365:S374)),(((SUM(S365:S374))-(SUM(B365:F374)-C374))*L364)+((SUM(B374:F374)-C374)*L364),(SUM(B374:F374)-C374)*L364),IF(SUM(B365:F374)&gt;(SUM(S365:S374)),S374*L364,SUM(B374:F374)*L364)),2)))</f>
        <v>0</v>
      </c>
      <c r="M374" s="64">
        <f>IF(B374=0,0,IF(AND(H356="ja",((U374-C374)&lt;R381)),ROUND(((R383*R380+((R381/(R381-R380))-(R380/(R381-R380))*R383)*((U374-C374)-R380))*(M364)),2),ROUND(IF(SUM(B365:F373)&lt;(SUM(S365:S373)),IF((SUM(B365:F374))&gt;(SUM(S365:S374)),(((SUM(S365:S374))-(SUM(B365:F374)-C374))*M364)+((SUM(B374:F374)-C374)*M364),(SUM(B374:F374)-C374)*M364),IF(SUM(B365:F374)&gt;(SUM(S365:S374)),S374*M364,SUM(B374:F374)*M364)),2)))</f>
        <v>0</v>
      </c>
      <c r="N374" s="64">
        <f>IF(B374=0,0,IF(AND(H356="ja",((U374)&lt;R381)),ROUND(((R383*R380+((R381/(R381-R380))-(R380/(R381-R380))*R383)*((U374)-R380))*(N364)),2),ROUND(IF(SUM(B365:F373)&lt;(SUM(S365:S373)),IF((SUM(B365:F374))&gt;(SUM(S365:S374)),(((SUM(S365:S374))-(SUM(B365:F374)-C373))*N364)+((SUM(B374:F374)-C373)*N364),SUM(B374:F374)*N364),IF(SUM(B365:F374)&gt;(SUM(S365:S374)),S374*N364,SUM(B374:F374)*N364)),2)))</f>
        <v>0</v>
      </c>
      <c r="O374" s="21">
        <f>ROUND(SUM(B374+C374+F374)*O364,2)</f>
        <v>0</v>
      </c>
      <c r="P374" s="25">
        <f t="shared" si="61"/>
        <v>0</v>
      </c>
      <c r="Q374" s="936"/>
      <c r="R374" s="140">
        <f>ROUND(IF(M343="",R359,R359/M343*P351),2)</f>
        <v>5175</v>
      </c>
      <c r="S374" s="140">
        <f>ROUND(IF(M343="",R360,R360/M343*P351),2)</f>
        <v>7450</v>
      </c>
      <c r="U374" s="950">
        <f t="shared" si="62"/>
        <v>0</v>
      </c>
      <c r="V374" s="950">
        <f>SUM(B365:F374)</f>
        <v>0</v>
      </c>
      <c r="X374" s="1"/>
    </row>
    <row r="375" spans="1:24" s="11" customFormat="1" x14ac:dyDescent="0.2">
      <c r="A375" s="76" t="str">
        <f>CONCATENATE("Nov ",O341)</f>
        <v>Nov 2025</v>
      </c>
      <c r="B375" s="22">
        <f>ROUND(IF(P352=0,0,IFERROR(((LOOKUP(2,1/(A350:A353=A375),G350:G353))*P352*4.348),B374/P351*P352)),2)</f>
        <v>0</v>
      </c>
      <c r="C375" s="21">
        <f>ROUND(IFERROR((LOOKUP(2,1/(A356=A375),E356)),0)+(IFERROR((LOOKUP(2,1/(A357=A375),E357)),0)),2)</f>
        <v>0</v>
      </c>
      <c r="D375" s="21">
        <f>ROUND(IF(B375=0,0,D364/M343*P352),2)</f>
        <v>0</v>
      </c>
      <c r="E375" s="21">
        <f>ROUND(IF(B375=0,0,E364/N339*P352),2)</f>
        <v>0</v>
      </c>
      <c r="F375" s="22">
        <f>ROUND(IF(P352=0,0,IFERROR(((LOOKUP(2,1/(A350:A353=A375),I350:I353))/N339*P352),F374/P351*P352)),2)</f>
        <v>0</v>
      </c>
      <c r="G375" s="25">
        <f t="shared" si="60"/>
        <v>0</v>
      </c>
      <c r="H375" s="64">
        <f>IF(B375=0,0,IF(AND(H356="ja",((U375)&lt;R381)),ROUND(((R383*R380+((R381/(R381-R380))-(R380/(R381-R380))*R383)*((U375)-R380))*(H364*2))-(((R381/(R381-R380))*((U375)-R380))*H364),2),ROUND(IF(V374&lt;(SUM(R365:R374)),IF((V375)&gt;(SUM(R365:R375)),(((SUM(R365:R375))-(V375-C374))*H364)+((U375-C374)*H364),U375*H364),IF(V375&gt;(SUM(R365:R375)),R375*H364,U375*H364)),2)))</f>
        <v>0</v>
      </c>
      <c r="I375" s="64">
        <f>IF(B375=0,0,IF(AND(H356="ja",((U375)&lt;R381)),ROUND(((R383*R380+((R381/(R381-R380))-(R380/(R381-R380))*R383)*((U375)-R380))*(I364*2))-(((R381/(R381-R380))*((U375)-R380))*I364),2),ROUND(IF(V374&lt;(SUM(S365:S374)),IF((V375)&gt;(SUM(S365:S375)),(((SUM(S365:S375))-(V375-C374))*I364)+((U375-C374)*I364),U375*I364),IF(V375&gt;(SUM(S365:S375)),S375*I364,U375*I364)),2)))</f>
        <v>0</v>
      </c>
      <c r="J375" s="64">
        <f>IF(B375=0,0,IF(AND(H356="ja",((U375)&lt;R381)),ROUND(((R383*R380+((R381/(R381-R380))-(R380/(R381-R380))*R383)*((U375)-R380))*(J364*2))-(((R381/(R381-R380))*((U375)-R380))*J364),2),ROUND(IF(V374&lt;(SUM(S365:S374)),IF((V375)&gt;(SUM(S365:S375)),(((SUM(S365:S375))-(V375-C374))*J364)+((U375-C374)*J364),U375*J364),IF(V375&gt;(SUM(S365:S375)),S375*J364,U375*J364)),2)))</f>
        <v>0</v>
      </c>
      <c r="K375" s="64">
        <f>IF(B375=0,0,IF(AND(H356="ja",((U375)&lt;R381)),ROUND(((R383*R380+((R381/(R381-R380))-(R380/(R381-R380))*R383)*((U375)-R380))*(K364*2))-(((R381/(R381-R380))*((U375)-R380))*K364),2),ROUND(IF(V374&lt;(SUM(R365:R374)),IF((V375)&gt;(SUM(R365:R375)),(((SUM(R365:R375))-(V375-C374))*K364)+((U375-C374)*K364),U375*K364),IF(V375&gt;(SUM(R365:R375)),R375*K364,U375*K364)),2)))</f>
        <v>0</v>
      </c>
      <c r="L375" s="64">
        <f>IF(B375=0,0,IF(AND(H356="ja",((U375-C375)&lt;R381)),ROUND(((R383*R380+((R381/(R381-R380))-(R380/(R381-R380))*R383)*((U375-C375)-R380))*(L364)),2),ROUND(IF(SUM(B365:F374)&lt;(SUM(S365:S374)),IF((SUM(B365:F375))&gt;(SUM(S365:S375)),(((SUM(S365:S375))-(SUM(B365:F375)-C375))*L364)+((SUM(B375:F375)-C375)*L364),(SUM(B375:F375)-C375)*L364),IF(SUM(B365:F375)&gt;(SUM(S365:S375)),S375*L364,SUM(B375:F375)*L364)),2)))</f>
        <v>0</v>
      </c>
      <c r="M375" s="64">
        <f>IF(B375=0,0,IF(AND(H356="ja",((U375-C375)&lt;R381)),ROUND(((R383*R380+((R381/(R381-R380))-(R380/(R381-R380))*R383)*((U375-C375)-R380))*(M364)),2),ROUND(IF(SUM(B365:F374)&lt;(SUM(S365:S374)),IF((SUM(B365:F375))&gt;(SUM(S365:S375)),(((SUM(S365:S375))-(SUM(B365:F375)-C375))*M364)+((SUM(B375:F375)-C375)*M364),(SUM(B375:F375)-C375)*M364),IF(SUM(B365:F375)&gt;(SUM(S365:S375)),S375*M364,SUM(B375:F375)*M364)),2)))</f>
        <v>0</v>
      </c>
      <c r="N375" s="64">
        <f>IF(B375=0,0,IF(AND(H356="ja",((U375)&lt;R381)),ROUND(((R383*R380+((R381/(R381-R380))-(R380/(R381-R380))*R383)*((U375)-R380))*(N364)),2),ROUND(IF(SUM(B365:F374)&lt;(SUM(S365:S374)),IF((SUM(B365:F375))&gt;(SUM(S365:S375)),(((SUM(S365:S375))-(SUM(B365:F375)-C374))*N364)+((SUM(B375:F375)-C374)*N364),SUM(B375:F375)*N364),IF(SUM(B365:F375)&gt;(SUM(S365:S375)),S375*N364,SUM(B375:F375)*N364)),2)))</f>
        <v>0</v>
      </c>
      <c r="O375" s="21">
        <f>ROUND(SUM(B375+C375+F375)*O364,2)</f>
        <v>0</v>
      </c>
      <c r="P375" s="25">
        <f t="shared" si="61"/>
        <v>0</v>
      </c>
      <c r="R375" s="140">
        <f>ROUND(IF(M343="",R359,R359/M343*P352),2)</f>
        <v>5175</v>
      </c>
      <c r="S375" s="140">
        <f>ROUND(IF(M343="",R360,R360/M343*P352),2)</f>
        <v>7450</v>
      </c>
      <c r="U375" s="950">
        <f t="shared" si="62"/>
        <v>0</v>
      </c>
      <c r="V375" s="950">
        <f>SUM(B365:F375)</f>
        <v>0</v>
      </c>
      <c r="X375" s="1"/>
    </row>
    <row r="376" spans="1:24" s="1" customFormat="1" ht="14.25" customHeight="1" x14ac:dyDescent="0.2">
      <c r="A376" s="76" t="str">
        <f>CONCATENATE("Dez ",O341)</f>
        <v>Dez 2025</v>
      </c>
      <c r="B376" s="22">
        <f>ROUND(IF(P353=0,0,IFERROR(((LOOKUP(2,1/(A350:A353=A376),G350:G353))*P353*4.348),B375/P352*P353)),2)</f>
        <v>0</v>
      </c>
      <c r="C376" s="21">
        <f>ROUND(IFERROR((LOOKUP(2,1/(A356=A376),E356)),0)+IFERROR((LOOKUP(2,1/(A357=A376),E357)),0),2)</f>
        <v>0</v>
      </c>
      <c r="D376" s="21">
        <f>ROUND(IF(B376=0,0,D364/M343*P353),2)</f>
        <v>0</v>
      </c>
      <c r="E376" s="21">
        <f>ROUND(IF(B376=0,0,E364/N339*P353),2)</f>
        <v>0</v>
      </c>
      <c r="F376" s="22">
        <f>ROUND(IF(P353=0,0,IFERROR(((LOOKUP(2,1/(A350:A353=A376),I350:I353))/N339*P353),F375/P352*P353)),2)</f>
        <v>0</v>
      </c>
      <c r="G376" s="25">
        <f t="shared" si="60"/>
        <v>0</v>
      </c>
      <c r="H376" s="64">
        <f>IF(B376=0,0,IF(AND(H356="ja",((U376)&lt;R381)),ROUND(((R383*R380+((R381/(R381-R380))-(R380/(R381-R380))*R383)*((U376)-R380))*(H364*2))-(((R381/(R381-R380))*((U376)-R380))*H364),2),ROUND(IF(V375&lt;(SUM(R365:R375)),IF((V376)&gt;(SUM(R365:R376)),(((SUM(R365:R376))-(V376-C375))*H364)+((U376-C375)*H364),U376*H364),IF(V376&gt;(SUM(R365:R376)),R376*H364,U376*H364)),2)))</f>
        <v>0</v>
      </c>
      <c r="I376" s="64">
        <f>IF(B376=0,0,IF(AND(H356="ja",((U376)&lt;R381)),ROUND(((R383*R380+((R381/(R381-R380))-(R380/(R381-R380))*R383)*((U376)-R380))*(I364*2))-(((R381/(R381-R380))*((U376)-R380))*I364),2),ROUND(IF(V375&lt;(SUM(S365:S375)),IF((V376)&gt;(SUM(S365:S376)),(((SUM(S365:S376))-(V376-C375))*I364)+((U376-C375)*I364),U376*I364),IF(V376&gt;(SUM(S365:S376)),S376*I364,U376*I364)),2)))</f>
        <v>0</v>
      </c>
      <c r="J376" s="64">
        <f>IF(B376=0,0,IF(AND(H356="ja",((U376)&lt;R381)),ROUND(((R383*R380+((R381/(R381-R380))-(R380/(R381-R380))*R383)*((U376)-R380))*(J364*2))-(((R381/(R381-R380))*((U376)-R380))*J364),2),ROUND(IF(V375&lt;(SUM(S365:S375)),IF((V376)&gt;(SUM(S365:S376)),(((SUM(S365:S376))-(V376-C375))*J364)+((U376-C375)*J364),U376*J364),IF(V376&gt;(SUM(S365:S376)),S376*J364,U376*J364)),2)))</f>
        <v>0</v>
      </c>
      <c r="K376" s="64">
        <f>IF(B376=0,0,IF(AND(H356="ja",((U376)&lt;R381)),ROUND(((R383*R380+((R381/(R381-R380))-(R380/(R381-R380))*R383)*((U376)-R380))*(K364*2))-(((R381/(R381-R380))*((U376)-R380))*K364),2),ROUND(IF(V375&lt;(SUM(R365:R375)),IF((V376)&gt;(SUM(R365:R376)),(((SUM(R365:R376))-(V376-C375))*K364)+((U376-C375)*K364),U376*K364),IF(V376&gt;(SUM(R365:R376)),R376*K364,U376*K364)),2)))</f>
        <v>0</v>
      </c>
      <c r="L376" s="64">
        <f>IF(B376=0,0,IF(AND(H356="ja",((U376-C376)&lt;R381)),ROUND(((R383*R380+((R381/(R381-R380))-(R380/(R381-R380))*R383)*((U376-C376)-R380))*(L364)),2),ROUND(IF(SUM(B365:F375)&lt;(SUM(S365:S375)),IF((SUM(B365:F376))&gt;(SUM(S365:S376)),(((SUM(S365:S376))-(SUM(B365:F376)-C376))*L364)+((SUM(B376:F376)-C376)*L364),(SUM(B376:F376)-C376)*L364),IF(SUM(B365:F376)&gt;(SUM(S365:S376)),S376*L364,SUM(B376:F376)*L364)),2)))</f>
        <v>0</v>
      </c>
      <c r="M376" s="64">
        <f>IF(B376=0,0,IF(AND(H356="ja",((U376-C376)&lt;R381)),ROUND(((R383*R380+((R381/(R381-R380))-(R380/(R381-R380))*R383)*((U376-C376)-R380))*(M364)),2),ROUND(IF(SUM(B365:F375)&lt;(SUM(S365:S375)),IF((SUM(B365:F376))&gt;(SUM(S365:S376)),(((SUM(S365:S376))-(SUM(B365:F376)-C376))*M364)+((SUM(B376:F376)-C376)*M364),(SUM(B376:F376)-C376)*M364),IF(SUM(B365:F376)&gt;(SUM(S365:S376)),S376*M364,SUM(B376:F376)*M364)),2)))</f>
        <v>0</v>
      </c>
      <c r="N376" s="64">
        <f>IF(B376=0,0,IF(AND(H356="ja",((U376)&lt;R381)),ROUND(((R383*R380+((R381/(R381-R380))-(R380/(R381-R380))*R383)*((U376)-R380))*(N364)),2),ROUND(IF(SUM(B365:F375)&lt;(SUM(S365:S375)),IF((SUM(B365:F376))&gt;(SUM(S365:S376)),(((SUM(S365:S376))-(SUM(B365:F376)-C375))*N364)+((SUM(B376:F376)-C375)*N364),SUM(B376:F376)*N364),IF(SUM(B365:F376)&gt;(SUM(S365:S376)),S376*N364,SUM(B376:F376)*N364)),2)))</f>
        <v>0</v>
      </c>
      <c r="O376" s="21">
        <f>ROUND(SUM(B376+C376+F376)*O364,2)</f>
        <v>0</v>
      </c>
      <c r="P376" s="25">
        <f t="shared" si="61"/>
        <v>0</v>
      </c>
      <c r="Q376" s="11"/>
      <c r="R376" s="140">
        <f>ROUND(IF(M343="",R359,R359/M343*P353),2)</f>
        <v>5175</v>
      </c>
      <c r="S376" s="140">
        <f>ROUND(IF(M343="",R360,R360/M343*P353),2)</f>
        <v>7450</v>
      </c>
      <c r="U376" s="950">
        <f t="shared" si="62"/>
        <v>0</v>
      </c>
      <c r="V376" s="950">
        <f>SUM(B365:F376)</f>
        <v>0</v>
      </c>
    </row>
    <row r="377" spans="1:24" s="1" customFormat="1" ht="15" customHeight="1" x14ac:dyDescent="0.2">
      <c r="A377" s="2" t="s">
        <v>1</v>
      </c>
      <c r="B377" s="25">
        <f t="shared" ref="B377:G377" si="63">SUM(B365:B376)</f>
        <v>0</v>
      </c>
      <c r="C377" s="25">
        <f t="shared" si="63"/>
        <v>0</v>
      </c>
      <c r="D377" s="25">
        <f t="shared" si="63"/>
        <v>0</v>
      </c>
      <c r="E377" s="25">
        <f t="shared" si="63"/>
        <v>0</v>
      </c>
      <c r="F377" s="25">
        <f t="shared" si="63"/>
        <v>0</v>
      </c>
      <c r="G377" s="25">
        <f t="shared" si="63"/>
        <v>0</v>
      </c>
      <c r="H377" s="1309">
        <f>SUM(H365:N376)</f>
        <v>0</v>
      </c>
      <c r="I377" s="1310"/>
      <c r="J377" s="1310"/>
      <c r="K377" s="1310"/>
      <c r="L377" s="1310"/>
      <c r="M377" s="1310"/>
      <c r="N377" s="1311"/>
      <c r="O377" s="25">
        <f>SUM(O365:O376)</f>
        <v>0</v>
      </c>
      <c r="P377" s="25">
        <f>SUM(P365:P376)</f>
        <v>0</v>
      </c>
    </row>
    <row r="378" spans="1:24" s="1" customFormat="1" ht="12" customHeight="1" x14ac:dyDescent="0.2"/>
    <row r="379" spans="1:24" s="1" customFormat="1" ht="14.25" customHeight="1" x14ac:dyDescent="0.2">
      <c r="B379" s="906"/>
      <c r="H379" s="905"/>
      <c r="I379" s="62"/>
      <c r="J379" s="914" t="s">
        <v>123</v>
      </c>
      <c r="L379" s="900" t="s">
        <v>124</v>
      </c>
      <c r="M379" s="974" t="str">
        <f>IF(IF(G377=0,"",'päd.Personal - Leitung'!$M$43)=0,"",IF(G377=0,"",'päd.Personal - Leitung'!$M$43))</f>
        <v/>
      </c>
      <c r="N379" s="902" t="s">
        <v>125</v>
      </c>
      <c r="O379" s="963" t="str">
        <f>IF(IF(G377=0,"",'päd.Personal - Leitung'!$O$43)=0,"",IF(G377=0,"",'päd.Personal - Leitung'!$O$43))</f>
        <v/>
      </c>
      <c r="P379" s="25">
        <f>ROUND(IF(M379="",0,G377*M379*O379/1000),2)</f>
        <v>0</v>
      </c>
      <c r="Q379" s="937"/>
      <c r="R379" s="938">
        <v>2025</v>
      </c>
      <c r="S379" s="939"/>
    </row>
    <row r="380" spans="1:24" s="1" customFormat="1" ht="14.25" customHeight="1" x14ac:dyDescent="0.2">
      <c r="H380" s="907"/>
      <c r="I380" s="42"/>
      <c r="M380" s="915" t="s">
        <v>129</v>
      </c>
      <c r="N380" s="80" t="s">
        <v>125</v>
      </c>
      <c r="O380" s="75" t="str">
        <f>IF(IF(G377=0,"",'päd.Personal - Leitung'!$O$44)=0,"",IF(G377=0,"",'päd.Personal - Leitung'!$O$44))</f>
        <v/>
      </c>
      <c r="P380" s="25">
        <f>ROUND(IF(O380="",0,G377*O380/1000),2)</f>
        <v>0</v>
      </c>
      <c r="Q380" s="942" t="s">
        <v>737</v>
      </c>
      <c r="R380" s="141">
        <f>'päd.Personal - Leitung'!$R$44</f>
        <v>556</v>
      </c>
      <c r="S380" s="955">
        <f>'päd.Personal - Leitung'!$S$44</f>
        <v>12.82</v>
      </c>
    </row>
    <row r="381" spans="1:24" s="1" customFormat="1" ht="14.25" customHeight="1" x14ac:dyDescent="0.2">
      <c r="H381" s="912" t="s">
        <v>126</v>
      </c>
      <c r="I381" s="1013" t="s">
        <v>127</v>
      </c>
      <c r="J381" s="975" t="str">
        <f>IF(IF(G377=0,"",'päd.Personal - Leitung'!$J$45)=0,"",IF(G377=0,"",'päd.Personal - Leitung'!$J$45))</f>
        <v/>
      </c>
      <c r="K381" s="902" t="s">
        <v>128</v>
      </c>
      <c r="L381" s="964" t="str">
        <f>IF(IF(G377=0,"",'päd.Personal - Leitung'!$L$45)=0,"",IF(G377=0,"",'päd.Personal - Leitung'!$L$45))</f>
        <v/>
      </c>
      <c r="M381" s="16"/>
      <c r="N381" s="900" t="s">
        <v>132</v>
      </c>
      <c r="O381" s="965" t="str">
        <f>IF(IF(G377=0,"",'päd.Personal - Leitung'!$O$45)=0,"",IF(G377=0,"",'päd.Personal - Leitung'!$O$45))</f>
        <v/>
      </c>
      <c r="P381" s="25">
        <f>ROUND(IF(J381="",0,(J381*L381/O381)/M345*M346),2)</f>
        <v>0</v>
      </c>
      <c r="Q381" s="942" t="s">
        <v>738</v>
      </c>
      <c r="R381" s="140">
        <f>'päd.Personal - Leitung'!$R$45</f>
        <v>2000</v>
      </c>
      <c r="S381" s="939"/>
    </row>
    <row r="382" spans="1:24" s="1" customFormat="1" ht="14.25" customHeight="1" x14ac:dyDescent="0.2">
      <c r="D382" s="16"/>
      <c r="I382" s="16"/>
      <c r="J382" s="16"/>
      <c r="K382" s="63"/>
      <c r="L382" s="67"/>
      <c r="M382" s="915" t="s">
        <v>130</v>
      </c>
      <c r="N382" s="80" t="s">
        <v>131</v>
      </c>
      <c r="O382" s="904">
        <f>IF(IF(G377="",0,'päd.Personal - Leitung'!$O$94)=0,0,IF(G377="",0,'päd.Personal - Leitung'!$O$94))</f>
        <v>0</v>
      </c>
      <c r="P382" s="21">
        <f>ROUND(IF(G377=0,0,O382/M343*M344),2)</f>
        <v>0</v>
      </c>
      <c r="Q382" s="942" t="s">
        <v>740</v>
      </c>
      <c r="R382" s="956">
        <f>'päd.Personal - Leitung'!$R$46</f>
        <v>0.40900000000000003</v>
      </c>
    </row>
    <row r="383" spans="1:24" s="1" customFormat="1" ht="14.25" customHeight="1" x14ac:dyDescent="0.2">
      <c r="A383" s="16"/>
      <c r="B383" s="16"/>
      <c r="I383" s="905"/>
      <c r="J383" s="961" t="s">
        <v>176</v>
      </c>
      <c r="K383" s="1312" t="str">
        <f>IF($K$47="","",$K$47)</f>
        <v/>
      </c>
      <c r="L383" s="1312"/>
      <c r="M383" s="1312"/>
      <c r="N383" s="80" t="s">
        <v>131</v>
      </c>
      <c r="O383" s="904">
        <f>IF(IF(G377="",0,'päd.Personal - Leitung'!$O$95)=0,0,IF(G377="",0,'päd.Personal - Leitung'!$O$95))</f>
        <v>0</v>
      </c>
      <c r="P383" s="21">
        <f>ROUND(IF(G377=0,0,O383/M343*M344),2)</f>
        <v>0</v>
      </c>
      <c r="Q383" s="942" t="s">
        <v>739</v>
      </c>
      <c r="R383" s="940">
        <f>'päd.Personal - Leitung'!$R$47</f>
        <v>0.68459999999999999</v>
      </c>
      <c r="S383" s="957">
        <f>'päd.Personal - Leitung'!$S$47</f>
        <v>0.28000000000000003</v>
      </c>
    </row>
    <row r="384" spans="1:24" s="1" customFormat="1" ht="14.25" customHeight="1" x14ac:dyDescent="0.2">
      <c r="A384" s="908"/>
      <c r="B384" s="908"/>
      <c r="C384" s="1013"/>
      <c r="D384" s="1013"/>
      <c r="I384" s="913"/>
      <c r="J384" s="913"/>
      <c r="K384" s="916"/>
      <c r="L384" s="27"/>
      <c r="M384" s="27"/>
      <c r="N384" s="27"/>
      <c r="O384" s="26" t="s">
        <v>0</v>
      </c>
      <c r="P384" s="25">
        <f>P377+SUM(P379:P383)</f>
        <v>0</v>
      </c>
    </row>
    <row r="385" spans="1:19" s="10" customFormat="1" ht="13.5" customHeight="1" x14ac:dyDescent="0.2">
      <c r="A385" s="1321" t="s">
        <v>17</v>
      </c>
      <c r="B385" s="1321"/>
      <c r="C385" s="1321"/>
      <c r="D385" s="1320" t="str">
        <f>IF('päd.Personal - Leitung'!$D$1="","",'päd.Personal - Leitung'!$D$1)</f>
        <v/>
      </c>
      <c r="E385" s="1320"/>
      <c r="F385" s="1320"/>
      <c r="G385" s="1320"/>
      <c r="H385" s="1320"/>
      <c r="I385" s="1320"/>
      <c r="J385" s="1320"/>
      <c r="K385" s="1320"/>
      <c r="L385" s="1320"/>
      <c r="M385" s="1320"/>
      <c r="N385" s="1320"/>
    </row>
    <row r="386" spans="1:19" s="10" customFormat="1" ht="15" customHeight="1" x14ac:dyDescent="0.2">
      <c r="A386" s="1321" t="s">
        <v>16</v>
      </c>
      <c r="B386" s="1321"/>
      <c r="C386" s="1321" t="s">
        <v>14</v>
      </c>
      <c r="D386" s="1320" t="str">
        <f>IF('päd.Personal - Leitung'!$D$2="","",'päd.Personal - Leitung'!$D$2)</f>
        <v/>
      </c>
      <c r="E386" s="1320"/>
      <c r="F386" s="1320"/>
      <c r="G386" s="1320"/>
      <c r="H386" s="1320"/>
      <c r="I386" s="1320"/>
      <c r="J386" s="1320"/>
      <c r="K386" s="1320"/>
      <c r="L386" s="1320"/>
      <c r="M386" s="1320"/>
      <c r="N386" s="1320"/>
    </row>
    <row r="387" spans="1:19" s="10" customFormat="1" ht="15" customHeight="1" x14ac:dyDescent="0.2">
      <c r="A387" s="1321" t="s">
        <v>15</v>
      </c>
      <c r="B387" s="1321"/>
      <c r="C387" s="1321" t="s">
        <v>14</v>
      </c>
      <c r="D387" s="1320" t="str">
        <f>IF('päd.Personal - Leitung'!$D$3="","",'päd.Personal - Leitung'!$D$3)</f>
        <v/>
      </c>
      <c r="E387" s="1320"/>
      <c r="F387" s="1320"/>
      <c r="G387" s="1320"/>
      <c r="H387" s="1320"/>
      <c r="I387" s="1320"/>
      <c r="J387" s="1320"/>
      <c r="K387" s="1321" t="s">
        <v>100</v>
      </c>
      <c r="L387" s="1321"/>
      <c r="M387" s="1321"/>
      <c r="N387" s="38" t="str">
        <f>IF('päd.Personal - Leitung'!$N$3="","",'päd.Personal - Leitung'!$N$3)</f>
        <v/>
      </c>
    </row>
    <row r="388" spans="1:19" s="923" customFormat="1" ht="7.5" customHeight="1" x14ac:dyDescent="0.15">
      <c r="A388" s="1353"/>
      <c r="B388" s="1353"/>
      <c r="C388" s="1353"/>
      <c r="D388" s="1354"/>
      <c r="E388" s="1354"/>
      <c r="F388" s="1354"/>
      <c r="G388" s="1354"/>
      <c r="H388" s="1354"/>
      <c r="I388" s="1354"/>
      <c r="J388" s="1354"/>
      <c r="K388" s="922"/>
      <c r="L388" s="922"/>
      <c r="M388" s="922"/>
      <c r="N388" s="922"/>
      <c r="O388" s="922"/>
      <c r="P388" s="922"/>
    </row>
    <row r="389" spans="1:19" s="13" customFormat="1" ht="13.5" customHeight="1" x14ac:dyDescent="0.2">
      <c r="A389" s="1355" t="s">
        <v>151</v>
      </c>
      <c r="B389" s="1355"/>
      <c r="C389" s="1355"/>
      <c r="D389" s="1355"/>
      <c r="E389" s="1355"/>
      <c r="F389" s="1355"/>
      <c r="G389" s="1355"/>
      <c r="H389" s="1355"/>
      <c r="I389" s="1355"/>
      <c r="J389" s="1355"/>
      <c r="K389" s="7"/>
      <c r="L389" s="7"/>
      <c r="M389" s="7"/>
      <c r="N389" s="52"/>
      <c r="O389" s="138">
        <f>'päd.Personal - Leitung'!$O$5</f>
        <v>2025</v>
      </c>
      <c r="P389" s="52" t="s">
        <v>140</v>
      </c>
    </row>
    <row r="390" spans="1:19" s="8" customFormat="1" ht="13.5" customHeight="1" x14ac:dyDescent="0.25">
      <c r="B390" s="29"/>
      <c r="C390" s="29"/>
      <c r="D390" s="3" t="s">
        <v>44</v>
      </c>
      <c r="E390" s="28"/>
      <c r="F390" s="28"/>
      <c r="G390" s="28"/>
      <c r="H390" s="28"/>
      <c r="I390" s="24"/>
      <c r="K390" s="1327" t="s">
        <v>13</v>
      </c>
      <c r="L390" s="1327"/>
      <c r="M390" s="131"/>
      <c r="O390" s="928" t="str">
        <f>A413</f>
        <v>Jan 2025</v>
      </c>
      <c r="P390" s="1402">
        <f>IF(M392="","",M392)</f>
        <v>0</v>
      </c>
    </row>
    <row r="391" spans="1:19" s="5" customFormat="1" ht="13.5" customHeight="1" x14ac:dyDescent="0.25">
      <c r="A391" s="1328" t="s">
        <v>754</v>
      </c>
      <c r="B391" s="1328"/>
      <c r="C391" s="1328"/>
      <c r="D391" s="1345"/>
      <c r="E391" s="1345"/>
      <c r="F391" s="1345"/>
      <c r="G391" s="1345"/>
      <c r="H391" s="1345"/>
      <c r="I391" s="1345"/>
      <c r="K391" s="1327" t="s">
        <v>101</v>
      </c>
      <c r="L391" s="1327"/>
      <c r="M391" s="101"/>
      <c r="O391" s="928" t="str">
        <f t="shared" ref="O391:O401" si="64">A414</f>
        <v>Feb 2025</v>
      </c>
      <c r="P391" s="1403">
        <f t="shared" ref="P391:P398" si="65">IF(P390="","",P390)</f>
        <v>0</v>
      </c>
    </row>
    <row r="392" spans="1:19" s="1" customFormat="1" ht="13.5" customHeight="1" x14ac:dyDescent="0.2">
      <c r="A392" s="1328" t="s">
        <v>12</v>
      </c>
      <c r="B392" s="1328"/>
      <c r="C392" s="1328"/>
      <c r="D392" s="1345"/>
      <c r="E392" s="1345"/>
      <c r="F392" s="1345"/>
      <c r="G392" s="1345"/>
      <c r="H392" s="1345"/>
      <c r="I392" s="1345"/>
      <c r="K392" s="1327" t="s">
        <v>149</v>
      </c>
      <c r="L392" s="1327"/>
      <c r="M392" s="101">
        <f>IF((M393+M394)&gt;M391,0,M391-M393-M394)</f>
        <v>0</v>
      </c>
      <c r="O392" s="928" t="str">
        <f t="shared" si="64"/>
        <v>Mrz 2025</v>
      </c>
      <c r="P392" s="1403">
        <f t="shared" si="65"/>
        <v>0</v>
      </c>
    </row>
    <row r="393" spans="1:19" s="1" customFormat="1" ht="13.5" customHeight="1" x14ac:dyDescent="0.2">
      <c r="A393" s="1328" t="s">
        <v>11</v>
      </c>
      <c r="B393" s="1328"/>
      <c r="C393" s="1328"/>
      <c r="D393" s="1345"/>
      <c r="E393" s="1345"/>
      <c r="F393" s="1345"/>
      <c r="G393" s="1345"/>
      <c r="H393" s="1345"/>
      <c r="I393" s="1345"/>
      <c r="K393" s="1327" t="s">
        <v>150</v>
      </c>
      <c r="L393" s="1327"/>
      <c r="M393" s="101"/>
      <c r="O393" s="928" t="str">
        <f t="shared" si="64"/>
        <v>Apr 2025</v>
      </c>
      <c r="P393" s="1403">
        <f t="shared" si="65"/>
        <v>0</v>
      </c>
    </row>
    <row r="394" spans="1:19" s="1" customFormat="1" ht="13.5" customHeight="1" x14ac:dyDescent="0.2">
      <c r="A394" s="1328" t="s">
        <v>18</v>
      </c>
      <c r="B394" s="1328"/>
      <c r="C394" s="1328"/>
      <c r="D394" s="1345"/>
      <c r="E394" s="1345"/>
      <c r="F394" s="1345"/>
      <c r="G394" s="1345"/>
      <c r="H394" s="1345"/>
      <c r="I394" s="1345"/>
      <c r="K394" s="1327" t="s">
        <v>222</v>
      </c>
      <c r="L394" s="1327"/>
      <c r="M394" s="101"/>
      <c r="O394" s="928" t="str">
        <f t="shared" si="64"/>
        <v>Mai 2025</v>
      </c>
      <c r="P394" s="1403">
        <f t="shared" si="65"/>
        <v>0</v>
      </c>
    </row>
    <row r="395" spans="1:19" s="1" customFormat="1" ht="13.5" customHeight="1" x14ac:dyDescent="0.2">
      <c r="B395" s="6"/>
      <c r="C395" s="1029" t="s">
        <v>147</v>
      </c>
      <c r="D395" s="1324"/>
      <c r="E395" s="1324"/>
      <c r="F395" s="1359" t="s">
        <v>103</v>
      </c>
      <c r="G395" s="1359"/>
      <c r="H395" s="1361"/>
      <c r="I395" s="1361"/>
      <c r="K395" s="1327" t="s">
        <v>94</v>
      </c>
      <c r="L395" s="1327"/>
      <c r="M395" s="15" t="str">
        <f>IF(IF((COUNTIF(B413:B424,"&gt;0"))=0,0,(COUNTIF(B413:B424,"&gt;0")))&gt;Grundlagen!$C$26,Grundlagen!$C$26,IF((COUNTIF(B413:B424,"&gt;0"))=0,"",(COUNTIF(B413:B424,"&gt;0"))))</f>
        <v/>
      </c>
      <c r="O395" s="928" t="str">
        <f t="shared" si="64"/>
        <v>Jun 2025</v>
      </c>
      <c r="P395" s="1403">
        <f t="shared" si="65"/>
        <v>0</v>
      </c>
    </row>
    <row r="396" spans="1:19" s="1" customFormat="1" ht="13.5" customHeight="1" x14ac:dyDescent="0.2">
      <c r="I396" s="4"/>
      <c r="M396" s="102" t="str">
        <f>IF((SUM(F398:F401))=0,"",IF(P402&gt;M392,M392,IF(M392="","",IF(M395="","",P402))))</f>
        <v/>
      </c>
      <c r="O396" s="928" t="str">
        <f t="shared" si="64"/>
        <v>Jul 2025</v>
      </c>
      <c r="P396" s="1403">
        <f t="shared" si="65"/>
        <v>0</v>
      </c>
    </row>
    <row r="397" spans="1:19" s="46" customFormat="1" ht="13.5" customHeight="1" x14ac:dyDescent="0.2">
      <c r="A397" s="54" t="s">
        <v>134</v>
      </c>
      <c r="B397" s="1356" t="s">
        <v>135</v>
      </c>
      <c r="C397" s="1356"/>
      <c r="D397" s="55" t="s">
        <v>136</v>
      </c>
      <c r="E397" s="56" t="s">
        <v>137</v>
      </c>
      <c r="F397" s="57" t="str">
        <f>CONCATENATE("Entg. ",N387," h/Wo")</f>
        <v>Entg.  h/Wo</v>
      </c>
      <c r="G397" s="58" t="s">
        <v>138</v>
      </c>
      <c r="I397" s="58" t="s">
        <v>139</v>
      </c>
      <c r="K397" s="970"/>
      <c r="L397" s="970"/>
      <c r="M397" s="59"/>
      <c r="N397" s="968"/>
      <c r="O397" s="928" t="str">
        <f t="shared" si="64"/>
        <v>Aug 2025</v>
      </c>
      <c r="P397" s="1403">
        <f t="shared" si="65"/>
        <v>0</v>
      </c>
      <c r="Q397" s="85"/>
      <c r="R397" s="85"/>
      <c r="S397" s="85"/>
    </row>
    <row r="398" spans="1:19" s="46" customFormat="1" ht="13.5" customHeight="1" x14ac:dyDescent="0.25">
      <c r="A398" s="48" t="str">
        <f>'päd.Personal - Leitung'!$A$14</f>
        <v>Jan 2025</v>
      </c>
      <c r="B398" s="1357" t="str">
        <f>IF($D$3="","",$D$3)</f>
        <v/>
      </c>
      <c r="C398" s="1358"/>
      <c r="D398" s="132"/>
      <c r="E398" s="132"/>
      <c r="F398" s="71"/>
      <c r="G398" s="50">
        <f>IF(N387="",0,F398/N387/4.348)</f>
        <v>0</v>
      </c>
      <c r="I398" s="125">
        <f>SUM(J398:M398)</f>
        <v>0</v>
      </c>
      <c r="J398" s="124"/>
      <c r="K398" s="124"/>
      <c r="L398" s="124"/>
      <c r="M398" s="124"/>
      <c r="N398" s="969"/>
      <c r="O398" s="928" t="str">
        <f t="shared" si="64"/>
        <v>Sep 2025</v>
      </c>
      <c r="P398" s="1403">
        <f t="shared" si="65"/>
        <v>0</v>
      </c>
      <c r="Q398" s="85"/>
      <c r="R398" s="85"/>
      <c r="S398" s="85"/>
    </row>
    <row r="399" spans="1:19" s="46" customFormat="1" ht="13.5" customHeight="1" x14ac:dyDescent="0.25">
      <c r="A399" s="49"/>
      <c r="B399" s="1322" t="str">
        <f>IF(A399="","",B398)</f>
        <v/>
      </c>
      <c r="C399" s="1323"/>
      <c r="D399" s="132"/>
      <c r="E399" s="132"/>
      <c r="F399" s="71"/>
      <c r="G399" s="50">
        <f>IF(N387="",0,F399/N387/4.348)</f>
        <v>0</v>
      </c>
      <c r="I399" s="125">
        <f t="shared" ref="I399:I401" si="66">SUM(J399:M399)</f>
        <v>0</v>
      </c>
      <c r="J399" s="124"/>
      <c r="K399" s="124"/>
      <c r="L399" s="124"/>
      <c r="M399" s="124"/>
      <c r="N399" s="969"/>
      <c r="O399" s="928" t="str">
        <f t="shared" si="64"/>
        <v>Okt 2025</v>
      </c>
      <c r="P399" s="1403">
        <f t="shared" ref="P399:P401" si="67">IF(P398="","",P398)</f>
        <v>0</v>
      </c>
      <c r="Q399" s="85"/>
      <c r="R399" s="85"/>
      <c r="S399" s="85"/>
    </row>
    <row r="400" spans="1:19" s="46" customFormat="1" ht="13.5" customHeight="1" x14ac:dyDescent="0.25">
      <c r="A400" s="49"/>
      <c r="B400" s="1322" t="str">
        <f>IF(A400="","",B399)</f>
        <v/>
      </c>
      <c r="C400" s="1323"/>
      <c r="D400" s="132"/>
      <c r="E400" s="132"/>
      <c r="F400" s="71"/>
      <c r="G400" s="50">
        <f>IF(N387="",0,F400/N387/4.348)</f>
        <v>0</v>
      </c>
      <c r="I400" s="125">
        <f t="shared" si="66"/>
        <v>0</v>
      </c>
      <c r="J400" s="124"/>
      <c r="K400" s="124"/>
      <c r="L400" s="124"/>
      <c r="M400" s="124"/>
      <c r="N400" s="969"/>
      <c r="O400" s="928" t="str">
        <f t="shared" si="64"/>
        <v>Nov 2025</v>
      </c>
      <c r="P400" s="1403">
        <f t="shared" si="67"/>
        <v>0</v>
      </c>
      <c r="Q400" s="85"/>
      <c r="R400" s="85"/>
      <c r="S400" s="85"/>
    </row>
    <row r="401" spans="1:22" s="46" customFormat="1" ht="13.5" customHeight="1" x14ac:dyDescent="0.25">
      <c r="A401" s="49"/>
      <c r="B401" s="1322" t="str">
        <f>IF(A401="","",B400)</f>
        <v/>
      </c>
      <c r="C401" s="1323"/>
      <c r="D401" s="132"/>
      <c r="E401" s="132"/>
      <c r="F401" s="71"/>
      <c r="G401" s="50">
        <f>IF(N387="",0,F401/N387/4.348)</f>
        <v>0</v>
      </c>
      <c r="I401" s="125">
        <f t="shared" si="66"/>
        <v>0</v>
      </c>
      <c r="J401" s="124"/>
      <c r="K401" s="124"/>
      <c r="L401" s="124"/>
      <c r="M401" s="124"/>
      <c r="N401" s="969"/>
      <c r="O401" s="928" t="str">
        <f t="shared" si="64"/>
        <v>Dez 2025</v>
      </c>
      <c r="P401" s="1403">
        <f t="shared" si="67"/>
        <v>0</v>
      </c>
      <c r="Q401" s="85"/>
      <c r="R401" s="85"/>
      <c r="S401" s="85"/>
    </row>
    <row r="402" spans="1:22" s="46" customFormat="1" ht="13.5" customHeight="1" x14ac:dyDescent="0.25">
      <c r="B402" s="972"/>
      <c r="C402" s="972"/>
      <c r="E402" s="972"/>
      <c r="F402" s="972"/>
      <c r="I402" s="930" t="s">
        <v>730</v>
      </c>
      <c r="J402" s="1060"/>
      <c r="K402" s="1060"/>
      <c r="L402" s="1060"/>
      <c r="M402" s="1060"/>
      <c r="N402" s="971"/>
      <c r="O402" s="126" t="s">
        <v>221</v>
      </c>
      <c r="P402" s="127">
        <f>IF(M395="",0,((IF(SUMIF(B413,"&gt;0"),P390,0))+(IF(SUMIF(B414,"&gt;0"),P391,0))+(IF(SUMIF(B415,"&gt;0"),P392,0))+(IF(SUMIF(B416,"&gt;0"),P393,0))+(IF(SUMIF(B417,"&gt;0"),P394,0))+(IF(SUMIF(B418,"&gt;0"),P395,0))+(IF(SUMIF(B419,"&gt;0"),P396,0))+(IF(SUMIF(B420,"&gt;0"),P397,0))+(IF(SUMIF(B421,"&gt;0"),P398,0))+(IF(SUMIF(B422,"&gt;0"),P399,0))+(IF(SUMIF(B423,"&gt;0"),P400,0))+(IF(SUMIF(B424,"&gt;0"),P401,0)))/Grundlagen!$C$26)</f>
        <v>0</v>
      </c>
      <c r="Q402" s="944" t="str">
        <f>CONCATENATE("BBG"," anteilig ",O404)</f>
        <v>BBG anteilig 2025</v>
      </c>
      <c r="R402" s="931" t="s">
        <v>659</v>
      </c>
      <c r="S402" s="931" t="s">
        <v>398</v>
      </c>
      <c r="T402" s="107"/>
    </row>
    <row r="403" spans="1:22" s="46" customFormat="1" ht="13.5" customHeight="1" x14ac:dyDescent="0.2">
      <c r="A403" s="924" t="s">
        <v>732</v>
      </c>
      <c r="D403" s="55" t="s">
        <v>369</v>
      </c>
      <c r="E403" s="56" t="s">
        <v>368</v>
      </c>
      <c r="F403" s="58"/>
      <c r="J403" s="61"/>
      <c r="Q403" s="932" t="s">
        <v>144</v>
      </c>
      <c r="R403" s="140">
        <f>IF(M392=0,R407,IF(M391="",R407,(SUM(R413:R424)/M395)))</f>
        <v>5175</v>
      </c>
      <c r="S403" s="933">
        <f>IF(M392=0,S407,IF(M391="",S407,SUM(R413:R424)))</f>
        <v>0</v>
      </c>
      <c r="T403" s="107"/>
    </row>
    <row r="404" spans="1:22" s="46" customFormat="1" ht="13.5" customHeight="1" x14ac:dyDescent="0.25">
      <c r="A404" s="60"/>
      <c r="B404" s="1314" t="str">
        <f>IF($B$20="","",$B$20)</f>
        <v>Jahressonderzahlung (JSZ)</v>
      </c>
      <c r="C404" s="1315"/>
      <c r="D404" s="926"/>
      <c r="E404" s="929" t="str">
        <f>IF(A404="","",ROUND((((SUM(B419:B421)+SUM(F419:F421))/3)*D404)/Grundlagen!$C$26*M395,2))</f>
        <v/>
      </c>
      <c r="G404" s="941" t="s">
        <v>733</v>
      </c>
      <c r="H404" s="943"/>
      <c r="I404" s="1316" t="str">
        <f>CONCATENATE(R427,":"," Übergangsbereich von ",R428+0.01," €"," bis ",R429," €")</f>
        <v>2025: Übergangsbereich von 556,01 € bis 2000 €</v>
      </c>
      <c r="J404" s="1317"/>
      <c r="K404" s="1317"/>
      <c r="L404" s="1067"/>
      <c r="M404" s="1067"/>
      <c r="N404" s="1068" t="s">
        <v>736</v>
      </c>
      <c r="O404" s="1069">
        <f>P404+1</f>
        <v>2025</v>
      </c>
      <c r="P404" s="1069" t="s">
        <v>721</v>
      </c>
      <c r="Q404" s="932" t="s">
        <v>145</v>
      </c>
      <c r="R404" s="140">
        <f>IF(M392=0,R408,IF(M391="",R408,(SUM(S413:S424)/M395)))</f>
        <v>7450</v>
      </c>
      <c r="S404" s="933">
        <f>IF(M392=0,S408,IF(M391="",S408,SUM(S413:S424)))</f>
        <v>0</v>
      </c>
      <c r="T404" s="109"/>
    </row>
    <row r="405" spans="1:22" s="1" customFormat="1" ht="14.25" customHeight="1" x14ac:dyDescent="0.2">
      <c r="A405" s="60"/>
      <c r="B405" s="1314" t="str">
        <f>IF($B$21="","",$B$21)</f>
        <v>Leistungsentgelt (LOB)</v>
      </c>
      <c r="C405" s="1315"/>
      <c r="D405" s="926"/>
      <c r="E405" s="929" t="str">
        <f>IF(A405="","",ROUND(((B425+F425)*D405)/Grundlagen!$C$26*M395,2))</f>
        <v/>
      </c>
      <c r="G405" s="941" t="str">
        <f>IF(OR(H404="",H404="nein")=TRUE,"","Faktor (F):")</f>
        <v/>
      </c>
      <c r="H405" s="949" t="str">
        <f>IF(OR(H404="",H404="nein")=TRUE,"",IF(H404="","",R431))</f>
        <v/>
      </c>
      <c r="I405" s="1318" t="str">
        <f>IF(OR(H404="",H404="nein")=TRUE,"",IF(H405="","",CONCATENATE(S431*100,"%"," / ","(",R430*100,"%"," Gesamt-SV-Beitragssatz 2024)")))</f>
        <v/>
      </c>
      <c r="J405" s="1319"/>
      <c r="K405" s="1319"/>
      <c r="L405" s="1070"/>
      <c r="M405" s="1070"/>
      <c r="N405" s="1071" t="s">
        <v>144</v>
      </c>
      <c r="O405" s="1072">
        <f>'päd.Personal - Leitung'!$O$21</f>
        <v>5175</v>
      </c>
      <c r="P405" s="1072">
        <f>'päd.Personal - Leitung'!$P$21</f>
        <v>5175</v>
      </c>
      <c r="Q405" s="11"/>
      <c r="R405" s="11"/>
      <c r="S405" s="11"/>
      <c r="T405" s="109"/>
    </row>
    <row r="406" spans="1:22" s="1" customFormat="1" ht="14.25" customHeight="1" x14ac:dyDescent="0.2">
      <c r="C406" s="925" t="s">
        <v>731</v>
      </c>
      <c r="L406" s="1070"/>
      <c r="M406" s="1070"/>
      <c r="N406" s="1071" t="s">
        <v>145</v>
      </c>
      <c r="O406" s="1073">
        <f>'päd.Personal - Leitung'!$O$22</f>
        <v>7450</v>
      </c>
      <c r="P406" s="1073">
        <f>'päd.Personal - Leitung'!$P$22</f>
        <v>7450</v>
      </c>
      <c r="Q406" s="944" t="str">
        <f>CONCATENATE("BBG"," ",O404)</f>
        <v>BBG 2025</v>
      </c>
      <c r="R406" s="11"/>
      <c r="S406" s="11"/>
      <c r="T406" s="109"/>
    </row>
    <row r="407" spans="1:22" s="1" customFormat="1" ht="14.25" customHeight="1" x14ac:dyDescent="0.2">
      <c r="A407" s="53" t="s">
        <v>141</v>
      </c>
      <c r="B407" s="46"/>
      <c r="C407" s="46"/>
      <c r="D407" s="46"/>
      <c r="E407" s="46"/>
      <c r="F407" s="46"/>
      <c r="G407" s="46"/>
      <c r="H407" s="46"/>
      <c r="I407" s="46"/>
      <c r="J407" s="46"/>
      <c r="K407" s="46"/>
      <c r="L407" s="46"/>
      <c r="M407" s="46"/>
      <c r="N407" s="46"/>
      <c r="O407" s="46"/>
      <c r="P407" s="46"/>
      <c r="Q407" s="932" t="s">
        <v>144</v>
      </c>
      <c r="R407" s="141">
        <f>IF($O$21="",0,$O$21)</f>
        <v>5175</v>
      </c>
      <c r="S407" s="933">
        <f>R407*IF(M395="",0,M395)</f>
        <v>0</v>
      </c>
      <c r="T407" s="295"/>
    </row>
    <row r="408" spans="1:22" s="1" customFormat="1" ht="14.25" customHeight="1" x14ac:dyDescent="0.2">
      <c r="A408" s="1346"/>
      <c r="B408" s="1348" t="s">
        <v>8</v>
      </c>
      <c r="C408" s="1349"/>
      <c r="D408" s="1349"/>
      <c r="E408" s="1349"/>
      <c r="F408" s="1349"/>
      <c r="G408" s="1350"/>
      <c r="H408" s="1351" t="s">
        <v>113</v>
      </c>
      <c r="I408" s="1352"/>
      <c r="J408" s="1352"/>
      <c r="K408" s="1352"/>
      <c r="L408" s="1352"/>
      <c r="M408" s="1352"/>
      <c r="N408" s="1352"/>
      <c r="O408" s="30"/>
      <c r="P408" s="1330" t="s">
        <v>0</v>
      </c>
      <c r="Q408" s="932" t="s">
        <v>145</v>
      </c>
      <c r="R408" s="141">
        <f>IF($O$22="",0,$O$22)</f>
        <v>7450</v>
      </c>
      <c r="S408" s="933">
        <f>R408*IF(M395="",0,M395)</f>
        <v>0</v>
      </c>
      <c r="T408" s="830"/>
    </row>
    <row r="409" spans="1:22" s="1" customFormat="1" ht="14.25" customHeight="1" x14ac:dyDescent="0.2">
      <c r="A409" s="1347"/>
      <c r="B409" s="1333" t="s">
        <v>111</v>
      </c>
      <c r="C409" s="1335" t="s">
        <v>743</v>
      </c>
      <c r="D409" s="1337" t="s">
        <v>226</v>
      </c>
      <c r="E409" s="1339" t="s">
        <v>133</v>
      </c>
      <c r="F409" s="1030" t="s">
        <v>6</v>
      </c>
      <c r="G409" s="1340" t="s">
        <v>5</v>
      </c>
      <c r="H409" s="1339" t="s">
        <v>119</v>
      </c>
      <c r="I409" s="1339" t="s">
        <v>4</v>
      </c>
      <c r="J409" s="1339" t="s">
        <v>3</v>
      </c>
      <c r="K409" s="1339" t="s">
        <v>2</v>
      </c>
      <c r="L409" s="1339" t="s">
        <v>114</v>
      </c>
      <c r="M409" s="1339" t="s">
        <v>115</v>
      </c>
      <c r="N409" s="1339" t="s">
        <v>116</v>
      </c>
      <c r="O409" s="1338" t="s">
        <v>109</v>
      </c>
      <c r="P409" s="1331"/>
      <c r="Q409" s="456"/>
      <c r="R409" s="11"/>
      <c r="S409" s="11"/>
      <c r="T409" s="621"/>
    </row>
    <row r="410" spans="1:22" s="1" customFormat="1" ht="14.25" customHeight="1" x14ac:dyDescent="0.2">
      <c r="A410" s="1347"/>
      <c r="B410" s="1333"/>
      <c r="C410" s="1335"/>
      <c r="D410" s="1338"/>
      <c r="E410" s="1339"/>
      <c r="F410" s="1343" t="str">
        <f>I402</f>
        <v>Zuschläge / Zulagen / o.ä.:</v>
      </c>
      <c r="G410" s="1340"/>
      <c r="H410" s="1342" t="s">
        <v>117</v>
      </c>
      <c r="I410" s="1342"/>
      <c r="J410" s="1342"/>
      <c r="K410" s="1342"/>
      <c r="L410" s="1342"/>
      <c r="M410" s="1342"/>
      <c r="N410" s="1342"/>
      <c r="O410" s="1338"/>
      <c r="P410" s="1331"/>
      <c r="Q410" s="456"/>
      <c r="R410" s="1306" t="str">
        <f>Q402</f>
        <v>BBG anteilig 2025</v>
      </c>
      <c r="S410" s="1306"/>
      <c r="T410" s="829"/>
    </row>
    <row r="411" spans="1:22" s="1" customFormat="1" ht="14.25" customHeight="1" x14ac:dyDescent="0.2">
      <c r="A411" s="1347"/>
      <c r="B411" s="1333"/>
      <c r="C411" s="1335"/>
      <c r="D411" s="1338"/>
      <c r="E411" s="1339"/>
      <c r="F411" s="1343"/>
      <c r="G411" s="1340"/>
      <c r="H411" s="39" t="str">
        <f>'päd.Personal - Leitung'!$H$27</f>
        <v>(7,30% + Zusatz)</v>
      </c>
      <c r="I411" s="39" t="str">
        <f>'päd.Personal - Leitung'!$I$27</f>
        <v xml:space="preserve"> (2024: 9,30%)</v>
      </c>
      <c r="J411" s="39" t="str">
        <f>'päd.Personal - Leitung'!$J$27</f>
        <v>(2024: 1,30%)</v>
      </c>
      <c r="K411" s="39" t="str">
        <f>'päd.Personal - Leitung'!$K$27</f>
        <v>(2024: 1,700%)</v>
      </c>
      <c r="L411" s="39"/>
      <c r="M411" s="39"/>
      <c r="N411" s="39" t="str">
        <f>'päd.Personal - Leitung'!$N$27</f>
        <v>(2024: 0,06%)</v>
      </c>
      <c r="O411" s="1338"/>
      <c r="P411" s="1331"/>
      <c r="Q411" s="456"/>
      <c r="R411" s="1307" t="s">
        <v>659</v>
      </c>
      <c r="S411" s="1307"/>
      <c r="T411" s="829"/>
      <c r="U411" s="1308" t="s">
        <v>1</v>
      </c>
      <c r="V411" s="1308" t="s">
        <v>741</v>
      </c>
    </row>
    <row r="412" spans="1:22" s="1" customFormat="1" x14ac:dyDescent="0.2">
      <c r="A412" s="1347"/>
      <c r="B412" s="1334"/>
      <c r="C412" s="1336"/>
      <c r="D412" s="45"/>
      <c r="E412" s="45"/>
      <c r="F412" s="1344"/>
      <c r="G412" s="1341"/>
      <c r="H412" s="74"/>
      <c r="I412" s="99">
        <f>'päd.Personal - Leitung'!$I$28</f>
        <v>0</v>
      </c>
      <c r="J412" s="99">
        <f>'päd.Personal - Leitung'!$J$28</f>
        <v>0</v>
      </c>
      <c r="K412" s="40">
        <f>'päd.Personal - Leitung'!$K$28</f>
        <v>0</v>
      </c>
      <c r="L412" s="19"/>
      <c r="M412" s="19"/>
      <c r="N412" s="99">
        <f>'päd.Personal - Leitung'!$N$28</f>
        <v>0</v>
      </c>
      <c r="O412" s="23"/>
      <c r="P412" s="1332"/>
      <c r="Q412" s="456"/>
      <c r="R412" s="935" t="s">
        <v>144</v>
      </c>
      <c r="S412" s="935" t="s">
        <v>145</v>
      </c>
      <c r="T412" s="829"/>
      <c r="U412" s="1308"/>
      <c r="V412" s="1308"/>
    </row>
    <row r="413" spans="1:22" s="1" customFormat="1" x14ac:dyDescent="0.2">
      <c r="A413" s="76" t="str">
        <f>CONCATENATE("Jan ",O389)</f>
        <v>Jan 2025</v>
      </c>
      <c r="B413" s="22">
        <f>ROUND(IF(P390=0,0,(LOOKUP(2,1/(A398:A401=A413),G398:G401))*P390*4.348),2)</f>
        <v>0</v>
      </c>
      <c r="C413" s="21">
        <f>ROUND(IFERROR((LOOKUP(2,1/(A404=A413),E404)),0)+IFERROR((LOOKUP(2,1/(A405=A413),E405)),0),2)</f>
        <v>0</v>
      </c>
      <c r="D413" s="21">
        <f>ROUND(IF(B413=0,0,D412/M391*P390),2)</f>
        <v>0</v>
      </c>
      <c r="E413" s="21">
        <f>ROUND(IF(B413=0,0,E412/N387*P390),2)</f>
        <v>0</v>
      </c>
      <c r="F413" s="22">
        <f>ROUND(IF(P390=0,0,(LOOKUP(2,1/(A398:A401=A413),I398:I401))/N387*P390),2)</f>
        <v>0</v>
      </c>
      <c r="G413" s="25">
        <f t="shared" ref="G413:G424" si="68">SUM(B413+C413+E413+F413)</f>
        <v>0</v>
      </c>
      <c r="H413" s="64">
        <f>IF(B413=0,0,IF(AND(H404="ja",((U413)&lt;R429)),ROUND(((R431*R428+((R429/(R429-R428))-(R428/(R429-R428))*R431)*((U413)-R428))*(H412*2))-(((R429/(R429-R428))*((U413)-R428))*H412),2),ROUND(IF((U413)&gt;R413,R413*H412,U413*H412),2)))</f>
        <v>0</v>
      </c>
      <c r="I413" s="64">
        <f>IF(B413=0,0,IF(AND(H404="ja",((U413)&lt;R429)),ROUND(((R431*R428+((R429/(R429-R428))-(R428/(R429-R428))*R431)*((U413)-R428))*(I412*2))-(((R429/(R429-R428))*((U413)-R428))*I412),2),ROUND(IF((U413)&gt;S413,S413*I412,U413*I412),2)))</f>
        <v>0</v>
      </c>
      <c r="J413" s="64">
        <f>IF(B413=0,0,IF(AND(H404="ja",((U413)&lt;R429)),ROUND(((R431*R428+((R429/(R429-R428))-(R428/(R429-R428))*R431)*((U413)-R428))*(J412*2))-(((R429/(R429-R428))*((U413)-R428))*J412),2),ROUND(IF((U413)&gt;S413,S413*J412,U413*J412),2)))</f>
        <v>0</v>
      </c>
      <c r="K413" s="64">
        <f>IF(B413=0,0,IF(AND(H404="ja",((U413)&lt;R429)),ROUND(((R431*R428+((R429/(R429-R428))-(R428/(R429-R428))*R431)*((U413)-R428))*(K412*2))-(((R429/(R429-R428))*((U413)-R428))*K412),2),ROUND(IF((U413)&gt;R413,R413*K412,U413*K412),2)))</f>
        <v>0</v>
      </c>
      <c r="L413" s="64">
        <f>IF(B413=0,0,IF(AND(H404="ja",((U413-C413)&lt;R429)),ROUND(((R431*R428+((R429/(R429-R428))-(R428/(R429-R428))*R431)*((U413-C413)-R428))*(L412)),2),ROUND(IF((SUM(B413:F413))&gt;S413,S413*L412,(SUM(B413:F413)-C413)*L412),2)))</f>
        <v>0</v>
      </c>
      <c r="M413" s="64">
        <f>IF(B413=0,0,IF(AND(H404="ja",((U413-C413)&lt;R429)),ROUND(((R431*R428+((R429/(R429-R428))-(R428/(R429-R428))*R431)*((U413-C413)-R428))*(M412)),2),ROUND(IF((SUM(B413:F413))&gt;S413,S413*M412,(SUM(B413:F413)-C413)*M412),2)))</f>
        <v>0</v>
      </c>
      <c r="N413" s="64">
        <f>IF(B413=0,0,IF(AND(H404="ja",((U413)&lt;R429)),ROUND(((R431*R428+((R429/(R429-R428))-(R428/(R429-R428))*R431)*((U413)-R428))*(N412)),2),ROUND(IF((SUM(B413:F413))&gt;S413,S413*N412,SUM(B413:F413)*N412),2)))</f>
        <v>0</v>
      </c>
      <c r="O413" s="21">
        <f>ROUND(SUM(B413+C413+F413)*O412,2)</f>
        <v>0</v>
      </c>
      <c r="P413" s="25">
        <f>SUM(G413:O413)</f>
        <v>0</v>
      </c>
      <c r="Q413" s="456"/>
      <c r="R413" s="140">
        <f>ROUND(IF(M391="",R407,R407/M391*P390),2)</f>
        <v>5175</v>
      </c>
      <c r="S413" s="140">
        <f>ROUND(IF(M391="",R408,R408/M391*P390),2)</f>
        <v>7450</v>
      </c>
      <c r="U413" s="950">
        <f>SUM(B413:F413)</f>
        <v>0</v>
      </c>
      <c r="V413" s="950">
        <f>SUM(B413:F413)</f>
        <v>0</v>
      </c>
    </row>
    <row r="414" spans="1:22" s="1" customFormat="1" x14ac:dyDescent="0.2">
      <c r="A414" s="76" t="str">
        <f>CONCATENATE("Feb ",O389)</f>
        <v>Feb 2025</v>
      </c>
      <c r="B414" s="22">
        <f>ROUND(IF(P391=0,0,IFERROR(((LOOKUP(2,1/(A398:A401=A414),G398:G401))*P391*4.348),B413/P390*P391)),2)</f>
        <v>0</v>
      </c>
      <c r="C414" s="21">
        <f>ROUND(IFERROR((LOOKUP(2,1/(A404=A414),E404)),0)+IFERROR((LOOKUP(2,1/(A405=A414),E405)),0),2)</f>
        <v>0</v>
      </c>
      <c r="D414" s="21">
        <f>ROUND(IF(B414=0,0,D412/M391*P391),2)</f>
        <v>0</v>
      </c>
      <c r="E414" s="21">
        <f>ROUND(IF(B414=0,0,E412/N387*P391),2)</f>
        <v>0</v>
      </c>
      <c r="F414" s="22">
        <f>ROUND(IF(P391=0,0,IFERROR(((LOOKUP(2,1/(A398:A401=A414),I398:I401))/N387*P391),F413/P390*P391)),2)</f>
        <v>0</v>
      </c>
      <c r="G414" s="25">
        <f t="shared" si="68"/>
        <v>0</v>
      </c>
      <c r="H414" s="64">
        <f>IF(B414=0,0,IF(AND(H404="ja",((U414)&lt;R429)),ROUND(((R431*R428+((R429/(R429-R428))-(R428/(R429-R428))*R431)*((U414)-R428))*(H412*2))-(((R429/(R429-R428))*((U414)-R428))*H412),2),ROUND(IF(U413&lt;(R413),IF((V414)&gt;(SUM(R413:R414)),(((SUM(R413:R414))-(V414-C413))*H412)+((U414-C413)*H412),U414*H412),IF(V414&gt;(SUM(R413:R414)),R414*H412,U414*H412)),2)))</f>
        <v>0</v>
      </c>
      <c r="I414" s="64">
        <f>IF(B414=0,0,IF(AND(H404="ja",((U414)&lt;R429)),ROUND(((R431*R428+((R429/(R429-R428))-(R428/(R429-R428))*R431)*((U414)-R428))*(I412*2))-(((R429/(R429-R428))*((U414)-R428))*I412),2),ROUND(IF(U413&lt;(S413),IF((V414)&gt;(SUM(S413:S414)),(((SUM(S413:S414))-(V414-C413))*I412)+((U414-C413)*I412),U414*I412),IF(V414&gt;(SUM(S413:S414)),S414*I412,U414*I412)),2)))</f>
        <v>0</v>
      </c>
      <c r="J414" s="64">
        <f>IF(B414=0,0,IF(AND(H404="ja",((U414)&lt;R429)),ROUND(((R431*R428+((R429/(R429-R428))-(R428/(R429-R428))*R431)*((U414)-R428))*(J412*2))-(((R429/(R429-R428))*((U414)-R428))*J412),2),ROUND(IF(U413&lt;(S413),IF((V414)&gt;(SUM(S413:S414)),(((SUM(S413:S414))-(V414-C413))*J412)+((U414-C413)*J412),U414*J412),IF(V414&gt;(SUM(S413:S414)),S414*J412,U414*J412)),2)))</f>
        <v>0</v>
      </c>
      <c r="K414" s="64">
        <f>IF(B414=0,0,IF(AND(H404="ja",((U414)&lt;R429)),ROUND(((R431*R428+((R429/(R429-R428))-(R428/(R429-R428))*R431)*((U414)-R428))*(K412*2))-(((R429/(R429-R428))*((U414)-R428))*K412),2),ROUND(IF(U413&lt;(R413),IF((V414)&gt;(SUM(R413:R414)),(((SUM(R413:R414))-(V414-C413))*K412)+((U414-C413)*K412),U414*K412),IF(V414&gt;(SUM(R413:R414)),R414*K412,U414*K412)),2)))</f>
        <v>0</v>
      </c>
      <c r="L414" s="64">
        <f>IF(B414=0,0,IF(AND(H404="ja",((U414-C414)&lt;R429)),ROUND(((R431*R428+((R429/(R429-R428))-(R428/(R429-R428))*R431)*((U414-C414)-R428))*(L412)),2),ROUND(IF(SUM(B413:F413)&lt;(S413),IF((SUM(B413:F414))&gt;(SUM(S413:S414)),(((SUM(S413:S414))-(SUM(B413:F414)-C414))*L412)+((SUM(B414:F414)-C414)*L412),(SUM(B414:F414)-C414)*L412),IF(SUM(B413:F414)&gt;(SUM(S413:S414)),S414*L412,SUM(B414:F414)*L412)),2)))</f>
        <v>0</v>
      </c>
      <c r="M414" s="64">
        <f>IF(B414=0,0,IF(AND(H404="ja",((U414-C414)&lt;R429)),ROUND(((R431*R428+((R429/(R429-R428))-(R428/(R429-R428))*R431)*((U414-C414)-R428))*(M412)),2),ROUND(IF(SUM(B413:F413)&lt;(S413),IF((SUM(B413:F414))&gt;(SUM(S413:S414)),(((SUM(S413:S414))-(SUM(B413:F414)-C414))*M412)+((SUM(B414:F414)-C414)*M412),(SUM(B414:F414)-C414)*M412),IF(SUM(B413:F414)&gt;(SUM(S413:S414)),S414*M412,SUM(B414:F414)*M412)),2)))</f>
        <v>0</v>
      </c>
      <c r="N414" s="64">
        <f>IF(B414=0,0,IF(AND(H404="ja",((U414)&lt;R429)),ROUND(((R431*R428+((R429/(R429-R428))-(R428/(R429-R428))*R431)*((U414)-R428))*(N412)),2),ROUND(IF(SUM(B413:F413)&lt;(S413),IF((SUM(B413:F414))&gt;(SUM(S413:S414)),(((SUM(S413:S414))-(SUM(B413:F414)-C413))*N412)+((SUM(B414:F414)-C413)*N412),SUM(B414:F414)*N412),IF(SUM(B413:F414)&gt;(SUM(S413:S414)),S414*N412,SUM(B414:F414)*N412)),2)))</f>
        <v>0</v>
      </c>
      <c r="O414" s="21">
        <f>ROUND(SUM(B414+C414+F414)*O412,2)</f>
        <v>0</v>
      </c>
      <c r="P414" s="25">
        <f t="shared" ref="P414:P424" si="69">SUM(G414:O414)</f>
        <v>0</v>
      </c>
      <c r="Q414" s="456"/>
      <c r="R414" s="140">
        <f>ROUND(IF(M391="",R407,R407/M391*P391),2)</f>
        <v>5175</v>
      </c>
      <c r="S414" s="140">
        <f>ROUND(IF(M391="",R408,R408/M391*P391),2)</f>
        <v>7450</v>
      </c>
      <c r="U414" s="950">
        <f t="shared" ref="U414:U424" si="70">SUM(B414:F414)</f>
        <v>0</v>
      </c>
      <c r="V414" s="950">
        <f>SUM(B413:F414)</f>
        <v>0</v>
      </c>
    </row>
    <row r="415" spans="1:22" s="1" customFormat="1" x14ac:dyDescent="0.2">
      <c r="A415" s="76" t="str">
        <f>CONCATENATE("Mrz ",O389)</f>
        <v>Mrz 2025</v>
      </c>
      <c r="B415" s="22">
        <f>ROUND(IF(P392=0,0,IFERROR(((LOOKUP(2,1/(A398:A401=A415),G398:G401))*P392*4.348),B414/P391*P392)),2)</f>
        <v>0</v>
      </c>
      <c r="C415" s="21">
        <f>ROUND(IFERROR((LOOKUP(2,1/(A404=A415),E404)),0)+IFERROR((LOOKUP(2,1/(A405=A415),E405)),0),2)</f>
        <v>0</v>
      </c>
      <c r="D415" s="21">
        <f>ROUND(IF(B415=0,0,D412/M391*P392),2)</f>
        <v>0</v>
      </c>
      <c r="E415" s="21">
        <f>ROUND(IF(B415=0,0,E412/N387*P392),2)</f>
        <v>0</v>
      </c>
      <c r="F415" s="22">
        <f>ROUND(IF(P392=0,0,IFERROR(((LOOKUP(2,1/(A398:A401=A415),I398:I401))/N387*P392),F414/P391*P392)),2)</f>
        <v>0</v>
      </c>
      <c r="G415" s="25">
        <f t="shared" si="68"/>
        <v>0</v>
      </c>
      <c r="H415" s="64">
        <f>IF(B415=0,0,IF(AND(H404="ja",((U415)&lt;R429)),ROUND(((R431*R428+((R429/(R429-R428))-(R428/(R429-R428))*R431)*((U415)-R428))*(H412*2))-(((R429/(R429-R428))*((U415)-R428))*H412),2),ROUND(IF(V414&lt;(SUM(R413:R414)),IF((V415)&gt;(SUM(R413:R415)),(((SUM(R413:R415))-(V415-C414))*H412)+((U415-C414)*H412),U415*H412),IF(V415&gt;(SUM(R413:R415)),R415*H412,U415*H412)),2)))</f>
        <v>0</v>
      </c>
      <c r="I415" s="64">
        <f>IF(B415=0,0,IF(AND(H404="ja",((U415)&lt;R429)),ROUND(((R431*R428+((R429/(R429-R428))-(R428/(R429-R428))*R431)*((U415)-R428))*(I412*2))-(((R429/(R429-R428))*((U415)-R428))*I412),2),ROUND(IF(V414&lt;(SUM(S413:S414)),IF((V415)&gt;(SUM(S413:S415)),(((SUM(S413:S415))-(V415-C414))*I412)+((U415-C414)*I412),U415*I412),IF(V415&gt;(SUM(S413:S415)),S415*I412,U415*I412)),2)))</f>
        <v>0</v>
      </c>
      <c r="J415" s="64">
        <f>IF(B415=0,0,IF(AND(H404="ja",((U415)&lt;R429)),ROUND(((R431*R428+((R429/(R429-R428))-(R428/(R429-R428))*R431)*((U415)-R428))*(J412*2))-(((R429/(R429-R428))*((U415)-R428))*J412),2),ROUND(IF(V414&lt;(SUM(S413:S414)),IF((V415)&gt;(SUM(S413:S415)),(((SUM(S413:S415))-(V415-C414))*J412)+((U415-C414)*J412),U415*J412),IF(V415&gt;(SUM(S413:S415)),S415*J412,U415*J412)),2)))</f>
        <v>0</v>
      </c>
      <c r="K415" s="64">
        <f>IF(B415=0,0,IF(AND(H404="ja",((U415)&lt;R429)),ROUND(((R431*R428+((R429/(R429-R428))-(R428/(R429-R428))*R431)*((U415)-R428))*(K412*2))-(((R429/(R429-R428))*((U415)-R428))*K412),2),ROUND(IF(V414&lt;(SUM(R413:R414)),IF((V415)&gt;(SUM(R413:R415)),(((SUM(R413:R415))-(V415-C414))*K412)+((U415-C414)*K412),U415*K412),IF(V415&gt;(SUM(R413:R415)),R415*K412,U415*K412)),2)))</f>
        <v>0</v>
      </c>
      <c r="L415" s="64">
        <f>IF(B415=0,0,IF(AND(H404="ja",((U415-C415)&lt;R429)),ROUND(((R431*R428+((R429/(R429-R428))-(R428/(R429-R428))*R431)*((U415-C415)-R428))*(L412)),2),ROUND(IF(SUM(B413:F414)&lt;(SUM(S413:S414)),IF((SUM(B413:F415))&gt;(SUM(S413:S415)),(((SUM(S413:S415))-(SUM(B413:F415)-C415))*L412)+((SUM(B415:F415)-C415)*L412),(SUM(B415:F415)-C415)*L412),IF(SUM(B413:F415)&gt;(SUM(S413:S415)),S415*L412,SUM(B415:F415)*L412)),2)))</f>
        <v>0</v>
      </c>
      <c r="M415" s="64">
        <f>IF(B415=0,0,IF(AND(H404="ja",((U415-C415)&lt;R429)),ROUND(((R431*R428+((R429/(R429-R428))-(R428/(R429-R428))*R431)*((U415-C415)-R428))*(M412)),2),ROUND(IF(SUM(B413:F414)&lt;(SUM(S413:S414)),IF((SUM(B413:F415))&gt;(SUM(S413:S415)),(((SUM(S413:S415))-(SUM(B413:F415)-C415))*M412)+((SUM(B415:F415)-C415)*M412),(SUM(B415:F415)-C415)*M412),IF(SUM(B413:F415)&gt;(SUM(S413:S415)),S415*M412,SUM(B415:F415)*M412)),2)))</f>
        <v>0</v>
      </c>
      <c r="N415" s="64">
        <f>IF(B415=0,0,IF(AND(H404="ja",((U415)&lt;R429)),ROUND(((R431*R428+((R429/(R429-R428))-(R428/(R429-R428))*R431)*((U415)-R428))*(N412)),2),ROUND(IF(SUM(B413:F414)&lt;(SUM(S413:S414)),IF((SUM(B413:F415))&gt;(SUM(S413:S415)),(((SUM(S413:S415))-(SUM(B413:F415)-C414))*N412)+((SUM(B415:F415)-C414)*N412),SUM(B415:F415)*N412),IF(SUM(B413:F415)&gt;(SUM(S413:S415)),S415*N412,SUM(B415:F415)*N412)),2)))</f>
        <v>0</v>
      </c>
      <c r="O415" s="21">
        <f>ROUND(SUM(B415+C415+F415)*O412,2)</f>
        <v>0</v>
      </c>
      <c r="P415" s="25">
        <f t="shared" si="69"/>
        <v>0</v>
      </c>
      <c r="Q415" s="456"/>
      <c r="R415" s="140">
        <f>ROUND(IF(M391="",R407,R407/M391*P392),2)</f>
        <v>5175</v>
      </c>
      <c r="S415" s="140">
        <f>ROUND(IF(M391="",R408,R408/M391*P392),2)</f>
        <v>7450</v>
      </c>
      <c r="U415" s="950">
        <f t="shared" si="70"/>
        <v>0</v>
      </c>
      <c r="V415" s="950">
        <f>SUM(B413:F415)</f>
        <v>0</v>
      </c>
    </row>
    <row r="416" spans="1:22" s="1" customFormat="1" x14ac:dyDescent="0.2">
      <c r="A416" s="76" t="str">
        <f>CONCATENATE("Apr ",O389)</f>
        <v>Apr 2025</v>
      </c>
      <c r="B416" s="22">
        <f>ROUND(IF(P393=0,0,IFERROR(((LOOKUP(2,1/(A398:A401=A416),G398:G401))*P393*4.348),B415/P392*P393)),2)</f>
        <v>0</v>
      </c>
      <c r="C416" s="21">
        <f>ROUND(IFERROR((LOOKUP(2,1/(A404=A416),E404)),0)+IFERROR((LOOKUP(2,1/(A405=A416),E405)),0),2)</f>
        <v>0</v>
      </c>
      <c r="D416" s="21">
        <f>ROUND(IF(B416=0,0,D412/M391*P393),2)</f>
        <v>0</v>
      </c>
      <c r="E416" s="21">
        <f>ROUND(IF(B416=0,0,E412/N387*P393),2)</f>
        <v>0</v>
      </c>
      <c r="F416" s="22">
        <f>ROUND(IF(P393=0,0,IFERROR(((LOOKUP(2,1/(A398:A401=A416),I398:I401))/N387*P393),F415/P392*P393)),2)</f>
        <v>0</v>
      </c>
      <c r="G416" s="25">
        <f t="shared" si="68"/>
        <v>0</v>
      </c>
      <c r="H416" s="64">
        <f>IF(B416=0,0,IF(AND(H404="ja",((U416)&lt;R429)),ROUND(((R431*R428+((R429/(R429-R428))-(R428/(R429-R428))*R431)*((U416)-R428))*(H412*2))-(((R429/(R429-R428))*((U416)-R428))*H412),2),ROUND(IF(V415&lt;(SUM(R413:R415)),IF((V416)&gt;(SUM(R413:R416)),(((SUM(R413:R416))-(V416-C415))*H412)+((U416-C415)*H412),U416*H412),IF(V416&gt;(SUM(R413:R416)),R416*H412,U416*H412)),2)))</f>
        <v>0</v>
      </c>
      <c r="I416" s="64">
        <f>IF(B416=0,0,IF(AND(H404="ja",((U416)&lt;R429)),ROUND(((R431*R428+((R429/(R429-R428))-(R428/(R429-R428))*R431)*((U416)-R428))*(I412*2))-(((R429/(R429-R428))*((U416)-R428))*I412),2),ROUND(IF(V415&lt;(SUM(S413:S415)),IF((V416)&gt;(SUM(S413:S416)),(((SUM(S413:S416))-(V416-C415))*I412)+((U416-C415)*I412),U416*I412),IF(V416&gt;(SUM(S413:S416)),S416*I412,U416*I412)),2)))</f>
        <v>0</v>
      </c>
      <c r="J416" s="64">
        <f>IF(B416=0,0,IF(AND(H404="ja",((U416)&lt;R429)),ROUND(((R431*R428+((R429/(R429-R428))-(R428/(R429-R428))*R431)*((U416)-R428))*(J412*2))-(((R429/(R429-R428))*((U416)-R428))*J412),2),ROUND(IF(U415&lt;(SUM(S413:S415)),IF((V416)&gt;(SUM(S413:S416)),(((SUM(S413:S416))-(V416-C415))*J412)+((U416-C415)*J412),U416*J412),IF(V416&gt;(SUM(S413:S416)),S416*J412,U416*J412)),2)))</f>
        <v>0</v>
      </c>
      <c r="K416" s="64">
        <f>IF(B416=0,0,IF(AND(H404="ja",((U416)&lt;R429)),ROUND(((R431*R428+((R429/(R429-R428))-(R428/(R429-R428))*R431)*((U416)-R428))*(K412*2))-(((R429/(R429-R428))*((U416)-R428))*K412),2),ROUND(IF(V415&lt;(SUM(R413:R415)),IF((V416)&gt;(SUM(R413:R416)),(((SUM(R413:R416))-(V416-C415))*K412)+((U416-C415)*K412),U416*K412),IF(V416&gt;(SUM(R413:R416)),R416*K412,U416*K412)),2)))</f>
        <v>0</v>
      </c>
      <c r="L416" s="64">
        <f>IF(B416=0,0,IF(AND(H404="ja",((U416-C416)&lt;R429)),ROUND(((R431*R428+((R429/(R429-R428))-(R428/(R429-R428))*R431)*((U416-C416)-R428))*(L412)),2),ROUND(IF(SUM(B413:F415)&lt;(SUM(S413:S415)),IF((SUM(B413:F416))&gt;(SUM(S413:S416)),(((SUM(S413:S416))-(SUM(B413:F416)-C416))*L412)+((SUM(B416:F416)-C416)*L412),(SUM(B416:F416)-C416)*L412),IF(SUM(B413:F416)&gt;(SUM(S413:S416)),S416*L412,SUM(B416:F416)*L412)),2)))</f>
        <v>0</v>
      </c>
      <c r="M416" s="64">
        <f>IF(B416=0,0,IF(AND(H404="ja",((U416-C416)&lt;R429)),ROUND(((R431*R428+((R429/(R429-R428))-(R428/(R429-R428))*R431)*((U416-C416)-R428))*(M412)),2),ROUND(IF(SUM(B413:F415)&lt;(SUM(S413:S415)),IF((SUM(B413:F416))&gt;(SUM(S413:S416)),(((SUM(S413:S416))-(SUM(B413:F416)-C416))*M412)+((SUM(B416:F416)-C416)*M412),(SUM(B416:F416)-C416)*M412),IF(SUM(B413:F416)&gt;(SUM(S413:S416)),S416*M412,SUM(B416:F416)*M412)),2)))</f>
        <v>0</v>
      </c>
      <c r="N416" s="64">
        <f>IF(B416=0,0,IF(AND(H404="ja",((U416)&lt;R429)),ROUND(((R431*R428+((R429/(R429-R428))-(R428/(R429-R428))*R431)*((U416)-R428))*(N412)),2),ROUND(IF(SUM(B413:F415)&lt;(SUM(S413:S415)),IF((SUM(B413:F416))&gt;(SUM(S413:S416)),(((SUM(S413:S416))-(SUM(B413:F416)-C415))*N412)+((SUM(B416:F416)-C415)*N412),SUM(B416:F416)*N412),IF(SUM(B413:F416)&gt;(SUM(S413:S416)),S416*N412,SUM(B416:F416)*N412)),2)))</f>
        <v>0</v>
      </c>
      <c r="O416" s="21">
        <f>ROUND(SUM(B416+C416+F416)*O412,2)</f>
        <v>0</v>
      </c>
      <c r="P416" s="25">
        <f t="shared" si="69"/>
        <v>0</v>
      </c>
      <c r="Q416" s="456"/>
      <c r="R416" s="140">
        <f>ROUND(IF(M391="",R407,R407/M391*P393),2)</f>
        <v>5175</v>
      </c>
      <c r="S416" s="140">
        <f>ROUND(IF(M391="",R408,R408/M391*P393),2)</f>
        <v>7450</v>
      </c>
      <c r="U416" s="950">
        <f t="shared" si="70"/>
        <v>0</v>
      </c>
      <c r="V416" s="950">
        <f>SUM(B413:F416)</f>
        <v>0</v>
      </c>
    </row>
    <row r="417" spans="1:24" s="1" customFormat="1" x14ac:dyDescent="0.2">
      <c r="A417" s="76" t="str">
        <f>CONCATENATE("Mai ",O389)</f>
        <v>Mai 2025</v>
      </c>
      <c r="B417" s="22">
        <f>ROUND(IF(P394=0,0,IFERROR(((LOOKUP(2,1/(A398:A401=A417),G398:G401))*P394*4.348),B416/P393*P394)),2)</f>
        <v>0</v>
      </c>
      <c r="C417" s="21">
        <f>ROUND(IFERROR((LOOKUP(2,1/(A404=A417),E404)),0)+IFERROR((LOOKUP(2,1/(A405=A417),E405)),0),2)</f>
        <v>0</v>
      </c>
      <c r="D417" s="21">
        <f>ROUND(IF(B417=0,0,D412/M391*P394),2)</f>
        <v>0</v>
      </c>
      <c r="E417" s="21">
        <f>ROUND(IF(B417=0,0,E412/N387*P394),2)</f>
        <v>0</v>
      </c>
      <c r="F417" s="22">
        <f>ROUND(IF(P394=0,0,IFERROR(((LOOKUP(2,1/(A398:A401=A417),I398:I401))/N387*P394),F416/P393*P394)),2)</f>
        <v>0</v>
      </c>
      <c r="G417" s="25">
        <f t="shared" si="68"/>
        <v>0</v>
      </c>
      <c r="H417" s="64">
        <f>IF(B417=0,0,IF(AND(H404="ja",((U417)&lt;R429)),ROUND(((R431*R428+((R429/(R429-R428))-(R428/(R429-R428))*R431)*((U417)-R428))*(H412*2))-(((R429/(R429-R428))*((U417)-R428))*H412),2),ROUND(IF(V416&lt;(SUM(R413:R416)),IF((V417)&gt;(SUM(R413:R417)),(((SUM(R413:R417))-(V417-C416))*H412)+((U417-C416)*H412),U417*H412),IF(V417&gt;(SUM(R413:R417)),R417*H412,U417*H412)),2)))</f>
        <v>0</v>
      </c>
      <c r="I417" s="64">
        <f>IF(B417=0,0,IF(AND(H404="ja",((U417)&lt;R429)),ROUND(((R431*R428+((R429/(R429-R428))-(R428/(R429-R428))*R431)*((U417)-R428))*(I412*2))-(((R429/(R429-R428))*((U417)-R428))*I412),2),ROUND(IF(V416&lt;(SUM(S413:S416)),IF((V417)&gt;(SUM(S413:S417)),(((SUM(S413:S417))-(V417-C416))*I412)+((U417-C416)*I412),U417*I412),IF(V417&gt;(SUM(S413:S417)),S417*I412,U417*I412)),2)))</f>
        <v>0</v>
      </c>
      <c r="J417" s="64">
        <f>IF(B417=0,0,IF(AND(H404="ja",((U417)&lt;R429)),ROUND(((R431*R428+((R429/(R429-R428))-(R428/(R429-R428))*R431)*((U417)-R428))*(J412*2))-(((R429/(R429-R428))*((U417)-R428))*J412),2),ROUND(IF(V416&lt;(SUM(S413:S416)),IF((V417)&gt;(SUM(S413:S417)),(((SUM(S413:S417))-(V417-C416))*J412)+((U417-C416)*J412),U417*J412),IF(V417&gt;(SUM(S413:S417)),S417*J412,U417*J412)),2)))</f>
        <v>0</v>
      </c>
      <c r="K417" s="64">
        <f>IF(B417=0,0,IF(AND(H404="ja",((U417)&lt;R429)),ROUND(((R431*R428+((R429/(R429-R428))-(R428/(R429-R428))*R431)*((U417)-R428))*(K412*2))-(((R429/(R429-R428))*((U417)-R428))*K412),2),ROUND(IF(V416&lt;(SUM(R413:R416)),IF((V417)&gt;(SUM(R413:R417)),(((SUM(R413:R417))-(V417-C416))*K412)+((U417-C416)*K412),U417*K412),IF(V417&gt;(SUM(R413:R417)),R417*K412,U417*K412)),2)))</f>
        <v>0</v>
      </c>
      <c r="L417" s="64">
        <f>IF(B417=0,0,IF(AND(H404="ja",((U417-C417)&lt;R429)),ROUND(((R431*R428+((R429/(R429-R428))-(R428/(R429-R428))*R431)*((U417-C417)-R428))*(L412)),2),ROUND(IF(SUM(B413:F416)&lt;(SUM(S413:S416)),IF((SUM(B413:F417))&gt;(SUM(S413:S417)),(((SUM(S413:S417))-(SUM(B413:F417)-C417))*L412)+((SUM(B417:F417)-C417)*L412),(SUM(B417:F417)-C417)*L412),IF(SUM(B413:F417)&gt;(SUM(S413:S417)),S417*L412,SUM(B417:F417)*L412)),2)))</f>
        <v>0</v>
      </c>
      <c r="M417" s="64">
        <f>IF(B417=0,0,IF(AND(H404="ja",((U417-C417)&lt;R429)),ROUND(((R431*R428+((R429/(R429-R428))-(R428/(R429-R428))*R431)*((U417-C417)-R428))*(M412)),2),ROUND(IF(SUM(B413:F416)&lt;(SUM(S413:S416)),IF((SUM(B413:F417))&gt;(SUM(S413:S417)),(((SUM(S413:S417))-(SUM(B413:F417)-C417))*M412)+((SUM(B417:F417)-C417)*M412),(SUM(B417:F417)-C417)*M412),IF(SUM(B413:F417)&gt;(SUM(S413:S417)),S417*M412,SUM(B417:F417)*M412)),2)))</f>
        <v>0</v>
      </c>
      <c r="N417" s="64">
        <f>IF(B417=0,0,IF(AND(H404="ja",((U417)&lt;R429)),ROUND(((R431*R428+((R429/(R429-R428))-(R428/(R429-R428))*R431)*((U417)-R428))*(N412)),2),ROUND(IF(SUM(B413:F416)&lt;(SUM(S413:S416)),IF((SUM(B413:F417))&gt;(SUM(S413:S417)),(((SUM(S413:S417))-(SUM(B413:F417)-C416))*N412)+((SUM(B417:F417)-C416)*N412),SUM(B417:F417)*N412),IF(SUM(B413:F417)&gt;(SUM(S413:S417)),S417*N412,SUM(B417:F417)*N412)),2)))</f>
        <v>0</v>
      </c>
      <c r="O417" s="21">
        <f>ROUND(SUM(B417+C417+F417)*O412,2)</f>
        <v>0</v>
      </c>
      <c r="P417" s="25">
        <f t="shared" si="69"/>
        <v>0</v>
      </c>
      <c r="Q417" s="456"/>
      <c r="R417" s="140">
        <f>ROUND(IF(M391="",R407,R407/M391*P394),2)</f>
        <v>5175</v>
      </c>
      <c r="S417" s="140">
        <f>ROUND(IF(M391="",R408,R408/M391*P394),2)</f>
        <v>7450</v>
      </c>
      <c r="U417" s="950">
        <f t="shared" si="70"/>
        <v>0</v>
      </c>
      <c r="V417" s="950">
        <f>SUM(B413:F417)</f>
        <v>0</v>
      </c>
    </row>
    <row r="418" spans="1:24" s="1" customFormat="1" x14ac:dyDescent="0.2">
      <c r="A418" s="76" t="str">
        <f>CONCATENATE("Jun ",O389)</f>
        <v>Jun 2025</v>
      </c>
      <c r="B418" s="22">
        <f>ROUND(IF(P395=0,0,IFERROR(((LOOKUP(2,1/(A398:A401=A418),G398:G401))*P395*4.348),B417/P394*P395)),2)</f>
        <v>0</v>
      </c>
      <c r="C418" s="21">
        <f>ROUND(IFERROR((LOOKUP(2,1/(A404=A418),E404)),0)+IFERROR((LOOKUP(2,1/(A405=A418),E405)),0),2)</f>
        <v>0</v>
      </c>
      <c r="D418" s="21">
        <f>ROUND(IF(B418=0,0,D412/M391*P395),2)</f>
        <v>0</v>
      </c>
      <c r="E418" s="21">
        <f>ROUND(IF(B418=0,0,E412/N387*P395),2)</f>
        <v>0</v>
      </c>
      <c r="F418" s="22">
        <f>ROUND(IF(P395=0,0,IFERROR(((LOOKUP(2,1/(A398:A401=A418),I398:I401))/N387*P395),F417/P394*P395)),2)</f>
        <v>0</v>
      </c>
      <c r="G418" s="25">
        <f t="shared" si="68"/>
        <v>0</v>
      </c>
      <c r="H418" s="64">
        <f>IF(B418=0,0,IF(AND(H404="ja",((U418)&lt;R429)),ROUND(((R431*R428+((R429/(R429-R428))-(R428/(R429-R428))*R431)*((U418)-R428))*(H412*2))-(((R429/(R429-R428))*((U418)-R428))*H412),2),ROUND(IF(V417&lt;(SUM(R413:R417)),IF((V418)&gt;(SUM(R413:R418)),(((SUM(R413:R418))-(V418-C417))*H412)+((U418-C417)*H412),U418*H412),IF(V418&gt;(SUM(R413:R418)),R418*H412,U418*H412)),2)))</f>
        <v>0</v>
      </c>
      <c r="I418" s="64">
        <f>IF(B418=0,0,IF(AND(H404="ja",((U418)&lt;R429)),ROUND(((R431*R428+((R429/(R429-R428))-(R428/(R429-R428))*R431)*((U418)-R428))*(I412*2))-(((R429/(R429-R428))*((U418)-R428))*I412),2),ROUND(IF(V417&lt;(SUM(S413:S417)),IF((V418)&gt;(SUM(S413:S418)),(((SUM(S413:S418))-(V418-C417))*I412)+((U418-C417)*I412),U418*I412),IF(V418&gt;(SUM(S413:S418)),S418*I412,U418*I412)),2)))</f>
        <v>0</v>
      </c>
      <c r="J418" s="64">
        <f>IF(B418=0,0,IF(AND(H404="ja",((U418)&lt;R429)),ROUND(((R431*R428+((R429/(R429-R428))-(R428/(R429-R428))*R431)*((U418)-R428))*(J412*2))-(((R429/(R429-R428))*((U418)-R428))*J412),2),ROUND(IF(V417&lt;(SUM(S413:S417)),IF((V418)&gt;(SUM(S413:S418)),(((SUM(S413:S418))-(V418-C417))*J412)+((U418-C417)*J412),U418*J412),IF(V418&gt;(SUM(S413:S418)),S418*J412,U418*J412)),2)))</f>
        <v>0</v>
      </c>
      <c r="K418" s="64">
        <f>IF(B418=0,0,IF(AND(H404="ja",((U418)&lt;R429)),ROUND(((R431*R428+((R429/(R429-R428))-(R428/(R429-R428))*R431)*((U418)-R428))*(K412*2))-(((R429/(R429-R428))*((U418)-R428))*K412),2),ROUND(IF(V417&lt;(SUM(R413:R417)),IF((V418)&gt;(SUM(R413:R418)),(((SUM(R413:R418))-(V418-C417))*K412)+((U418-C417)*K412),U418*K412),IF(V418&gt;(SUM(R413:R418)),R418*K412,U418*K412)),2)))</f>
        <v>0</v>
      </c>
      <c r="L418" s="64">
        <f>IF(B418=0,0,IF(AND(H404="ja",((U418-C418)&lt;R429)),ROUND(((R431*R428+((R429/(R429-R428))-(R428/(R429-R428))*R431)*((U418-C418)-R428))*(L412)),2),ROUND(IF(SUM(B413:F417)&lt;(SUM(S413:S417)),IF((SUM(B413:F418))&gt;(SUM(S413:S418)),(((SUM(S413:S418))-(SUM(B413:F418)-C418))*L412)+((SUM(B418:F418)-C418)*L412),(SUM(B418:F418)-C418)*L412),IF(SUM(B413:F418)&gt;(SUM(S413:S418)),S418*L412,SUM(B418:F418)*L412)),2)))</f>
        <v>0</v>
      </c>
      <c r="M418" s="64">
        <f>IF(B418=0,0,IF(AND(H404="ja",((U418-C418)&lt;R429)),ROUND(((R431*R428+((R429/(R429-R428))-(R428/(R429-R428))*R431)*((U418-C418)-R428))*(M412)),2),ROUND(IF(SUM(B413:F417)&lt;(SUM(S413:S417)),IF((SUM(B413:F418))&gt;(SUM(S413:S418)),(((SUM(S413:S418))-(SUM(B413:F418)-C418))*M412)+((SUM(B418:F418)-C418)*M412),(SUM(B418:F418)-C418)*M412),IF(SUM(B413:F418)&gt;(SUM(S413:S418)),S418*M412,SUM(B418:F418)*M412)),2)))</f>
        <v>0</v>
      </c>
      <c r="N418" s="64">
        <f>IF(B418=0,0,IF(AND(H404="ja",((U418)&lt;R429)),ROUND(((R431*R428+((R429/(R429-R428))-(R428/(R429-R428))*R431)*((U418)-R428))*(N412)),2),ROUND(IF(SUM(B413:F417)&lt;(SUM(S413:S417)),IF((SUM(B413:F418))&gt;(SUM(S413:S418)),(((SUM(S413:S418))-(SUM(B413:F418)-C417))*N412)+((SUM(B418:F418)-C417)*N412),SUM(B418:F418)*N412),IF(SUM(B413:F418)&gt;(SUM(S413:S418)),S418*N412,SUM(B418:F418)*N412)),2)))</f>
        <v>0</v>
      </c>
      <c r="O418" s="21">
        <f>ROUND(SUM(B418+C418+F418)*O412,2)</f>
        <v>0</v>
      </c>
      <c r="P418" s="25">
        <f t="shared" si="69"/>
        <v>0</v>
      </c>
      <c r="Q418" s="456"/>
      <c r="R418" s="140">
        <f>ROUND(IF(M391="",R407,R407/M391*P395),2)</f>
        <v>5175</v>
      </c>
      <c r="S418" s="140">
        <f>ROUND(IF(M391="",R408,R408/M391*P395),2)</f>
        <v>7450</v>
      </c>
      <c r="U418" s="950">
        <f t="shared" si="70"/>
        <v>0</v>
      </c>
      <c r="V418" s="950">
        <f>SUM(B413:F418)</f>
        <v>0</v>
      </c>
    </row>
    <row r="419" spans="1:24" s="1" customFormat="1" x14ac:dyDescent="0.2">
      <c r="A419" s="76" t="str">
        <f>CONCATENATE("Jul ",O389)</f>
        <v>Jul 2025</v>
      </c>
      <c r="B419" s="22">
        <f>ROUND(IF(P396=0,0,IFERROR(((LOOKUP(2,1/(A398:A401=A419),G398:G401))*P396*4.348),B418/P395*P396)),2)</f>
        <v>0</v>
      </c>
      <c r="C419" s="21">
        <f>ROUND(IFERROR((LOOKUP(2,1/(A404=A419),E404)),0)+IFERROR((LOOKUP(2,1/(A405=A419),E405)),0),2)</f>
        <v>0</v>
      </c>
      <c r="D419" s="21">
        <f>ROUND(IF(B419=0,0,D412/M391*P396),2)</f>
        <v>0</v>
      </c>
      <c r="E419" s="21">
        <f>ROUND(IF(B419=0,0,E412/N387*P396),2)</f>
        <v>0</v>
      </c>
      <c r="F419" s="22">
        <f>ROUND(IF(P396=0,0,IFERROR(((LOOKUP(2,1/(A398:A401=A419),I398:I401))/N387*P396),F418/P395*P396)),2)</f>
        <v>0</v>
      </c>
      <c r="G419" s="25">
        <f t="shared" si="68"/>
        <v>0</v>
      </c>
      <c r="H419" s="64">
        <f>IF(B419=0,0,IF(AND(H404="ja",((U419)&lt;R429)),ROUND(((R431*R428+((R429/(R429-R428))-(R428/(R429-R428))*R431)*((U419)-R428))*(H412*2))-(((R429/(R429-R428))*((U419)-R428))*H412),2),ROUND(IF(V418&lt;(SUM(R413:R418)),IF((V419)&gt;(SUM(R413:R419)),(((SUM(R413:R419))-(V419-C418))*H412)+((U419-C418)*H412),U419*H412),IF(V419&gt;(SUM(R413:R419)),R419*H412,U419*H412)),2)))</f>
        <v>0</v>
      </c>
      <c r="I419" s="64">
        <f>IF(B419=0,0,IF(AND(H404="ja",((U419)&lt;R429)),ROUND(((R431*R428+((R429/(R429-R428))-(R428/(R429-R428))*R431)*((U419)-R428))*(I412*2))-(((R429/(R429-R428))*((U419)-R428))*I412),2),ROUND(IF(V418&lt;(SUM(S413:S418)),IF((V419)&gt;(SUM(S413:S419)),(((SUM(S413:S419))-(V419-C418))*I412)+((U419-C418)*I412),U419*I412),IF(V419&gt;(SUM(S413:S419)),S419*I412,U419*I412)),2)))</f>
        <v>0</v>
      </c>
      <c r="J419" s="64">
        <f>IF(B419=0,0,IF(AND(H404="ja",((U419)&lt;R429)),ROUND(((R431*R428+((R429/(R429-R428))-(R428/(R429-R428))*R431)*((U419)-R428))*(J412*2))-(((R429/(R429-R428))*((U419)-R428))*J412),2),ROUND(IF(V418&lt;(SUM(S413:S418)),IF((V419)&gt;(SUM(S413:S419)),(((SUM(S413:S419))-(V419-C418))*J412)+((U419-C418)*J412),U419*J412),IF(V419&gt;(SUM(S413:S419)),S419*J412,U419*J412)),2)))</f>
        <v>0</v>
      </c>
      <c r="K419" s="64">
        <f>IF(B419=0,0,IF(AND(H404="ja",((U419)&lt;R429)),ROUND(((R431*R428+((R429/(R429-R428))-(R428/(R429-R428))*R431)*((U419)-R428))*(K412*2))-(((R429/(R429-R428))*((U419)-R428))*K412),2),ROUND(IF(V418&lt;(SUM(R413:R418)),IF((V419)&gt;(SUM(R413:R419)),(((SUM(R413:R419))-(V419-C418))*K412)+((U419-C418)*K412),U419*K412),IF(V419&gt;(SUM(R413:R419)),R419*K412,U419*K412)),2)))</f>
        <v>0</v>
      </c>
      <c r="L419" s="64">
        <f>IF(B419=0,0,IF(AND(H404="ja",((U419-C419)&lt;R429)),ROUND(((R431*R428+((R429/(R429-R428))-(R428/(R429-R428))*R431)*((U419-C419)-R428))*(L412)),2),ROUND(IF(SUM(B413:F418)&lt;(SUM(S413:S418)),IF((SUM(B413:F419))&gt;(SUM(S413:S419)),(((SUM(S413:S419))-(SUM(B413:F419)-C419))*L412)+((SUM(B419:F419)-C419)*L412),(SUM(B419:F419)-C419)*L412),IF(SUM(B413:F419)&gt;(SUM(S413:S419)),S419*L412,SUM(B419:F419)*L412)),2)))</f>
        <v>0</v>
      </c>
      <c r="M419" s="64">
        <f>IF(B419=0,0,IF(AND(H404="ja",((U419-C419)&lt;R429)),ROUND(((R431*R428+((R429/(R429-R428))-(R428/(R429-R428))*R431)*((U419-C419)-R428))*(M412)),2),ROUND(IF(SUM(B413:F418)&lt;(SUM(S413:S418)),IF((SUM(B413:F419))&gt;(SUM(S413:S419)),(((SUM(S413:S419))-(SUM(B413:F419)-C419))*M412)+((SUM(B419:F419)-C419)*M412),(SUM(B419:F419)-C419)*M412),IF(SUM(B413:F419)&gt;(SUM(S413:S419)),S419*M412,SUM(B419:F419)*M412)),2)))</f>
        <v>0</v>
      </c>
      <c r="N419" s="64">
        <f>IF(B419=0,0,IF(AND(H404="ja",((U419)&lt;R429)),ROUND(((R431*R428+((R429/(R429-R428))-(R428/(R429-R428))*R431)*((U419)-R428))*(N412)),2),ROUND(IF(SUM(B413:F418)&lt;(SUM(S413:S418)),IF((SUM(B413:F419))&gt;(SUM(S413:S419)),(((SUM(S413:S419))-(SUM(B413:F419)-C418))*N412)+((SUM(B419:F419)-C418)*N412),SUM(B419:F419)*N412),IF(SUM(B413:F419)&gt;(SUM(S413:S419)),S419*N412,SUM(B419:F419)*N412)),2)))</f>
        <v>0</v>
      </c>
      <c r="O419" s="21">
        <f>ROUND(SUM(B419+C419+F419)*O412,2)</f>
        <v>0</v>
      </c>
      <c r="P419" s="25">
        <f t="shared" si="69"/>
        <v>0</v>
      </c>
      <c r="Q419" s="456"/>
      <c r="R419" s="140">
        <f>ROUND(IF(M391="",R407,R407/M391*P396),2)</f>
        <v>5175</v>
      </c>
      <c r="S419" s="140">
        <f>ROUND(IF(M391="",R408,R408/M391*P396),2)</f>
        <v>7450</v>
      </c>
      <c r="U419" s="950">
        <f t="shared" si="70"/>
        <v>0</v>
      </c>
      <c r="V419" s="950">
        <f>SUM(B413:F419)</f>
        <v>0</v>
      </c>
    </row>
    <row r="420" spans="1:24" s="1" customFormat="1" x14ac:dyDescent="0.2">
      <c r="A420" s="76" t="str">
        <f>CONCATENATE("Aug ",O389)</f>
        <v>Aug 2025</v>
      </c>
      <c r="B420" s="22">
        <f>ROUND(IF(P397=0,0,IFERROR(((LOOKUP(2,1/(A398:A401=A420),G398:G401))*P397*4.348),B419/P396*P397)),2)</f>
        <v>0</v>
      </c>
      <c r="C420" s="21">
        <f>ROUND(IFERROR((LOOKUP(2,1/(A404=A420),E404)),0)+IFERROR((LOOKUP(2,1/(A405=A420),E405)),0),2)</f>
        <v>0</v>
      </c>
      <c r="D420" s="21">
        <f>ROUND(IF(B420=0,0,D412/M391*P397),2)</f>
        <v>0</v>
      </c>
      <c r="E420" s="21">
        <f>ROUND(IF(B420=0,0,E412/N387*P397),2)</f>
        <v>0</v>
      </c>
      <c r="F420" s="22">
        <f>ROUND(IF(P397=0,0,IFERROR(((LOOKUP(2,1/(A398:A401=A420),I398:I401))/N387*P397),F419/P396*P397)),2)</f>
        <v>0</v>
      </c>
      <c r="G420" s="25">
        <f t="shared" si="68"/>
        <v>0</v>
      </c>
      <c r="H420" s="64">
        <f>IF(B420=0,0,IF(AND(H404="ja",((U420)&lt;R429)),ROUND(((R431*R428+((R429/(R429-R428))-(R428/(R429-R428))*R431)*((U420)-R428))*(H412*2))-(((R429/(R429-R428))*((U420)-R428))*H412),2),ROUND(IF(V419&lt;(SUM(R413:R419)),IF((V420)&gt;(SUM(R413:R420)),(((SUM(R413:R420))-(V420-C419))*H412)+((U420-C419)*H412),U420*H412),IF(V420&gt;(SUM(R413:R420)),R420*H412,U420*H412)),2)))</f>
        <v>0</v>
      </c>
      <c r="I420" s="64">
        <f>IF(B420=0,0,IF(AND(H404="ja",((U420)&lt;R429)),ROUND(((R431*R428+((R429/(R429-R428))-(R428/(R429-R428))*R431)*((U420)-R428))*(I412*2))-(((R429/(R429-R428))*((U420)-R428))*I412),2),ROUND(IF(V419&lt;(SUM(S413:S419)),IF((V420)&gt;(SUM(S413:S420)),(((SUM(S413:S420))-(V420-C419))*I412)+((U420-C419)*I412),U420*I412),IF(V420&gt;(SUM(S413:S420)),S420*I412,U420*I412)),2)))</f>
        <v>0</v>
      </c>
      <c r="J420" s="64">
        <f>IF(B420=0,0,IF(AND(H404="ja",((U420)&lt;R429)),ROUND(((R431*R428+((R429/(R429-R428))-(R428/(R429-R428))*R431)*((U420)-R428))*(J412*2))-(((R429/(R429-R428))*((U420)-R428))*J412),2),ROUND(IF(V419&lt;(SUM(S413:S419)),IF((V420)&gt;(SUM(S413:S420)),(((SUM(S413:S420))-(V420-C419))*J412)+((U420-C419)*J412),U420*J412),IF(V420&gt;(SUM(S413:S420)),S420*J412,U420*J412)),2)))</f>
        <v>0</v>
      </c>
      <c r="K420" s="64">
        <f>IF(B420=0,0,IF(AND(H404="ja",((U420)&lt;R429)),ROUND(((R431*R428+((R429/(R429-R428))-(R428/(R429-R428))*R431)*((U420)-R428))*(K412*2))-(((R429/(R429-R428))*((U420)-R428))*K412),2),ROUND(IF(V419&lt;(SUM(R413:R419)),IF((V420)&gt;(SUM(R413:R420)),(((SUM(R413:R420))-(V420-C419))*K412)+((U420-C419)*K412),U420*K412),IF(V420&gt;(SUM(R413:R420)),R420*K412,U420*K412)),2)))</f>
        <v>0</v>
      </c>
      <c r="L420" s="64">
        <f>IF(B420=0,0,IF(AND(H404="ja",((U420-C420)&lt;R429)),ROUND(((R431*R428+((R429/(R429-R428))-(R428/(R429-R428))*R431)*((U420-C420)-R428))*(L412)),2),ROUND(IF(SUM(B413:F419)&lt;(SUM(S413:S419)),IF((SUM(B413:F420))&gt;(SUM(S413:S420)),(((SUM(S413:S420))-(SUM(B413:F420)-C420))*L412)+((SUM(B420:F420)-C420)*L412),(SUM(B420:F420)-C420)*L412),IF(SUM(B413:F420)&gt;(SUM(S413:S420)),S420*L412,SUM(B420:F420)*L412)),2)))</f>
        <v>0</v>
      </c>
      <c r="M420" s="64">
        <f>IF(B420=0,0,IF(AND(H404="ja",((U420-C420)&lt;R429)),ROUND(((R431*R428+((R429/(R429-R428))-(R428/(R429-R428))*R431)*((U420-C420)-R428))*(M412)),2),ROUND(IF(SUM(B413:F419)&lt;(SUM(S413:S419)),IF((SUM(B413:F420))&gt;(SUM(S413:S420)),(((SUM(S413:S420))-(SUM(B413:F420)-C420))*M412)+((SUM(B420:F420)-C420)*M412),(SUM(B420:F420)-C420)*M412),IF(SUM(B413:F420)&gt;(SUM(S413:S420)),S420*M412,SUM(B420:F420)*M412)),2)))</f>
        <v>0</v>
      </c>
      <c r="N420" s="64">
        <f>IF(B420=0,0,IF(AND(H404="ja",((U420)&lt;R429)),ROUND(((R431*R428+((R429/(R429-R428))-(R428/(R429-R428))*R431)*((U420)-R428))*(N412)),2),ROUND(IF(SUM(B413:F419)&lt;(SUM(S413:S419)),IF((SUM(B413:F420))&gt;(SUM(S413:S420)),(((SUM(S413:S420))-(SUM(B413:F420)-C419))*N412)+((SUM(B420:F420)-C419)*N412),SUM(B420:F420)*N412),IF(SUM(B413:F420)&gt;(SUM(S413:S420)),S420*N412,SUM(B420:F420)*N412)),2)))</f>
        <v>0</v>
      </c>
      <c r="O420" s="21">
        <f>ROUND(SUM(B420+C420+F420)*O412,2)</f>
        <v>0</v>
      </c>
      <c r="P420" s="25">
        <f t="shared" si="69"/>
        <v>0</v>
      </c>
      <c r="Q420" s="456"/>
      <c r="R420" s="140">
        <f>ROUND(IF(M391="",R407,R407/M391*P397),2)</f>
        <v>5175</v>
      </c>
      <c r="S420" s="140">
        <f>ROUND(IF(M391="",R408,R408/M391*P397),2)</f>
        <v>7450</v>
      </c>
      <c r="U420" s="950">
        <f t="shared" si="70"/>
        <v>0</v>
      </c>
      <c r="V420" s="950">
        <f>SUM(B413:F420)</f>
        <v>0</v>
      </c>
    </row>
    <row r="421" spans="1:24" s="1" customFormat="1" x14ac:dyDescent="0.2">
      <c r="A421" s="76" t="str">
        <f>CONCATENATE("Sep ",O389)</f>
        <v>Sep 2025</v>
      </c>
      <c r="B421" s="22">
        <f>ROUND(IF(P398=0,0,IFERROR(((LOOKUP(2,1/(A398:A401=A421),G398:G401))*P398*4.348),B420/P397*P398)),2)</f>
        <v>0</v>
      </c>
      <c r="C421" s="21">
        <f>ROUND(IFERROR((LOOKUP(2,1/(A404=A421),E404)),0)+IFERROR((LOOKUP(2,1/(A405=A421),E405)),0),2)</f>
        <v>0</v>
      </c>
      <c r="D421" s="21">
        <f>ROUND(IF(B421=0,0,D412/M391*P398),2)</f>
        <v>0</v>
      </c>
      <c r="E421" s="21">
        <f>ROUND(IF(B421=0,0,E412/N387*P398),2)</f>
        <v>0</v>
      </c>
      <c r="F421" s="22">
        <f>ROUND(IF(P398=0,0,IFERROR(((LOOKUP(2,1/(A398:A401=A421),I398:I401))/N387*P398),F420/P397*P398)),2)</f>
        <v>0</v>
      </c>
      <c r="G421" s="25">
        <f t="shared" si="68"/>
        <v>0</v>
      </c>
      <c r="H421" s="64">
        <f>IF(B421=0,0,IF(AND(H404="ja",((U421)&lt;R429)),ROUND(((R431*R428+((R429/(R429-R428))-(R428/(R429-R428))*R431)*((U421)-R428))*(H412*2))-(((R429/(R429-R428))*((U421)-R428))*H412),2),ROUND(IF(V420&lt;(SUM(R413:R420)),IF((V421)&gt;(SUM(R413:R421)),(((SUM(R413:R421))-(V421-C420))*H412)+((U421-C420)*H412),U421*H412),IF(V421&gt;(SUM(R413:R421)),R421*H412,U421*H412)),2)))</f>
        <v>0</v>
      </c>
      <c r="I421" s="64">
        <f>IF(B421=0,0,IF(AND(H404="ja",((U421)&lt;R429)),ROUND(((R431*R428+((R429/(R429-R428))-(R428/(R429-R428))*R431)*((U421)-R428))*(I412*2))-(((R429/(R429-R428))*((U421)-R428))*I412),2),ROUND(IF(V420&lt;(SUM(S413:S420)),IF((V421)&gt;(SUM(S413:S421)),(((SUM(S413:S421))-(V421-C420))*I412)+((U421-C420)*I412),U421*I412),IF(V421&gt;(SUM(S413:S421)),S421*I412,U421*I412)),2)))</f>
        <v>0</v>
      </c>
      <c r="J421" s="64">
        <f>IF(B421=0,0,IF(AND(H404="ja",((U421)&lt;R429)),ROUND(((R431*R428+((R429/(R429-R428))-(R428/(R429-R428))*R431)*((U421)-R428))*(J412*2))-(((R429/(R429-R428))*((U421)-R428))*J412),2),ROUND(IF(V420&lt;(SUM(S413:S420)),IF((V421)&gt;(SUM(S413:S421)),(((SUM(S413:S421))-(V421-C420))*J412)+((U421-C420)*J412),U421*J412),IF(V421&gt;(SUM(S413:S421)),S421*J412,U421*J412)),2)))</f>
        <v>0</v>
      </c>
      <c r="K421" s="64">
        <f>IF(B421=0,0,IF(AND(H404="ja",((U421)&lt;R429)),ROUND(((R431*R428+((R429/(R429-R428))-(R428/(R429-R428))*R431)*((U421)-R428))*(K412*2))-(((R429/(R429-R428))*((U421)-R428))*K412),2),ROUND(IF(V420&lt;(SUM(R413:R420)),IF((V421)&gt;(SUM(R413:R421)),(((SUM(R413:R421))-(V421-C420))*K412)+((U421-C420)*K412),U421*K412),IF(V421&gt;(SUM(R413:R421)),R421*K412,U421*K412)),2)))</f>
        <v>0</v>
      </c>
      <c r="L421" s="64">
        <f>IF(B421=0,0,IF(AND(H404="ja",((U421-C421)&lt;R429)),ROUND(((R431*R428+((R429/(R429-R428))-(R428/(R429-R428))*R431)*((U421-C421)-R428))*(L412)),2),ROUND(IF(SUM(B413:F420)&lt;(SUM(S413:S420)),IF((SUM(B413:F421))&gt;(SUM(S413:S421)),(((SUM(S413:S421))-(SUM(B413:F421)-C421))*L412)+((SUM(B421:F421)-C421)*L412),(SUM(B421:F421)-C421)*L412),IF(SUM(B413:F421)&gt;(SUM(S413:S421)),S421*L412,SUM(B421:F421)*L412)),2)))</f>
        <v>0</v>
      </c>
      <c r="M421" s="64">
        <f>IF(B421=0,0,IF(AND(H404="ja",((U421-C421)&lt;R429)),ROUND(((R431*R428+((R429/(R429-R428))-(R428/(R429-R428))*R431)*((U421-C421)-R428))*(M412)),2),ROUND(IF(SUM(B413:F420)&lt;(SUM(S413:S420)),IF((SUM(B413:F421))&gt;(SUM(S413:S421)),(((SUM(S413:S421))-(SUM(B413:F421)-C421))*M412)+((SUM(B421:F421)-C421)*M412),(SUM(B421:F421)-C421)*M412),IF(SUM(B413:F421)&gt;(SUM(S413:S421)),S421*M412,SUM(B421:F421)*M412)),2)))</f>
        <v>0</v>
      </c>
      <c r="N421" s="64">
        <f>IF(B421=0,0,IF(AND(H404="ja",((U421)&lt;R429)),ROUND(((R431*R428+((R429/(R429-R428))-(R428/(R429-R428))*R431)*((U421)-R428))*(N412)),2),ROUND(IF(SUM(B413:F420)&lt;(SUM(S413:S420)),IF((SUM(B413:F421))&gt;(SUM(S413:S421)),(((SUM(S413:S421))-(SUM(B413:F421)-C420))*N412)+((SUM(B421:F421)-C420)*N412),SUM(B421:F421)*N412),IF(SUM(B413:F421)&gt;(SUM(S413:S421)),S421*N412,SUM(B421:F421)*N412)),2)))</f>
        <v>0</v>
      </c>
      <c r="O421" s="21">
        <f>ROUND(SUM(B421+C421+F421)*O412,2)</f>
        <v>0</v>
      </c>
      <c r="P421" s="25">
        <f t="shared" si="69"/>
        <v>0</v>
      </c>
      <c r="Q421" s="456"/>
      <c r="R421" s="140">
        <f>ROUND(IF(M391="",R407,R407/M391*P398),2)</f>
        <v>5175</v>
      </c>
      <c r="S421" s="140">
        <f>ROUND(IF(M391="",R408,R408/M391*P398),2)</f>
        <v>7450</v>
      </c>
      <c r="U421" s="950">
        <f t="shared" si="70"/>
        <v>0</v>
      </c>
      <c r="V421" s="950">
        <f>SUM(B413:F421)</f>
        <v>0</v>
      </c>
    </row>
    <row r="422" spans="1:24" s="12" customFormat="1" ht="15" x14ac:dyDescent="0.25">
      <c r="A422" s="76" t="str">
        <f>CONCATENATE("Okt ",O389)</f>
        <v>Okt 2025</v>
      </c>
      <c r="B422" s="22">
        <f>ROUND(IF(P399=0,0,IFERROR(((LOOKUP(2,1/(A398:A401=A422),G398:G401))*P399*4.348),B421/P398*P399)),2)</f>
        <v>0</v>
      </c>
      <c r="C422" s="21">
        <f>ROUND(IFERROR((LOOKUP(2,1/(A404=A422),E404)),0)+IFERROR((LOOKUP(2,1/(A405=A422),E405)),0),2)</f>
        <v>0</v>
      </c>
      <c r="D422" s="21">
        <f>ROUND(IF(B422=0,0,D412/M391*P399),2)</f>
        <v>0</v>
      </c>
      <c r="E422" s="21">
        <f>ROUND(IF(B422=0,0,E412/N387*P399),2)</f>
        <v>0</v>
      </c>
      <c r="F422" s="22">
        <f>ROUND(IF(P399=0,0,IFERROR(((LOOKUP(2,1/(A398:A401=A422),I398:I401))/N387*P399),F421/P398*P399)),2)</f>
        <v>0</v>
      </c>
      <c r="G422" s="25">
        <f t="shared" si="68"/>
        <v>0</v>
      </c>
      <c r="H422" s="64">
        <f>IF(B422=0,0,IF(AND(H404="ja",((U422)&lt;R429)),ROUND(((R431*R428+((R429/(R429-R428))-(R428/(R429-R428))*R431)*((U422)-R428))*(H412*2))-(((R429/(R429-R428))*((U422)-R428))*H412),2),ROUND(IF(V421&lt;(SUM(R413:R421)),IF((V422)&gt;(SUM(R413:R422)),(((SUM(R413:R422))-(V422-C421))*H412)+((U422-C421)*H412),U422*H412),IF(V422&gt;(SUM(R413:R422)),R422*H412,U422*H412)),2)))</f>
        <v>0</v>
      </c>
      <c r="I422" s="64">
        <f>IF(B422=0,0,IF(AND(H404="ja",((U422)&lt;R429)),ROUND(((R431*R428+((R429/(R429-R428))-(R428/(R429-R428))*R431)*((U422)-R428))*(I412*2))-(((R429/(R429-R428))*((U422)-R428))*I412),2),ROUND(IF(V421&lt;(SUM(S413:S421)),IF((V422)&gt;(SUM(S413:S422)),(((SUM(S413:S422))-(V422-C421))*I412)+((U422-C421)*I412),U422*I412),IF(V422&gt;(SUM(S413:S422)),S422*I412,U422*I412)),2)))</f>
        <v>0</v>
      </c>
      <c r="J422" s="64">
        <f>IF(B422=0,0,IF(AND(H404="ja",((U422)&lt;R429)),ROUND(((R431*R428+((R429/(R429-R428))-(R428/(R429-R428))*R431)*((U422)-R428))*(J412*2))-(((R429/(R429-R428))*((U422)-R428))*J412),2),ROUND(IF(V421&lt;(SUM(S413:S421)),IF((V422)&gt;(SUM(S413:S422)),(((SUM(S413:S422))-(V422-C421))*J412)+((U422-C421)*J412),U422*J412),IF(V422&gt;(SUM(S413:S422)),S422*J412,U422*J412)),2)))</f>
        <v>0</v>
      </c>
      <c r="K422" s="64">
        <f>IF(B422=0,0,IF(AND(H404="ja",((U422)&lt;R429)),ROUND(((R431*R428+((R429/(R429-R428))-(R428/(R429-R428))*R431)*((U422)-R428))*(K412*2))-(((R429/(R429-R428))*((U422)-R428))*K412),2),ROUND(IF(V421&lt;(SUM(R413:R421)),IF((V422)&gt;(SUM(R413:R422)),(((SUM(R413:R422))-(V422-C421))*K412)+((U422-C421)*K412),U422*K412),IF(V422&gt;(SUM(R413:R422)),R422*K412,U422*K412)),2)))</f>
        <v>0</v>
      </c>
      <c r="L422" s="64">
        <f>IF(B422=0,0,IF(AND(H404="ja",((U422-C422)&lt;R429)),ROUND(((R431*R428+((R429/(R429-R428))-(R428/(R429-R428))*R431)*((U422-C422)-R428))*(L412)),2),ROUND(IF(SUM(B413:F421)&lt;(SUM(S413:S421)),IF((SUM(B413:F422))&gt;(SUM(S413:S422)),(((SUM(S413:S422))-(SUM(B413:F422)-C422))*L412)+((SUM(B422:F422)-C422)*L412),(SUM(B422:F422)-C422)*L412),IF(SUM(B413:F422)&gt;(SUM(S413:S422)),S422*L412,SUM(B422:F422)*L412)),2)))</f>
        <v>0</v>
      </c>
      <c r="M422" s="64">
        <f>IF(B422=0,0,IF(AND(H404="ja",((U422-C422)&lt;R429)),ROUND(((R431*R428+((R429/(R429-R428))-(R428/(R429-R428))*R431)*((U422-C422)-R428))*(M412)),2),ROUND(IF(SUM(B413:F421)&lt;(SUM(S413:S421)),IF((SUM(B413:F422))&gt;(SUM(S413:S422)),(((SUM(S413:S422))-(SUM(B413:F422)-C422))*M412)+((SUM(B422:F422)-C422)*M412),(SUM(B422:F422)-C422)*M412),IF(SUM(B413:F422)&gt;(SUM(S413:S422)),S422*M412,SUM(B422:F422)*M412)),2)))</f>
        <v>0</v>
      </c>
      <c r="N422" s="64">
        <f>IF(B422=0,0,IF(AND(H404="ja",((U422)&lt;R429)),ROUND(((R431*R428+((R429/(R429-R428))-(R428/(R429-R428))*R431)*((U422)-R428))*(N412)),2),ROUND(IF(SUM(B413:F421)&lt;(SUM(S413:S421)),IF((SUM(B413:F422))&gt;(SUM(S413:S422)),(((SUM(S413:S422))-(SUM(B413:F422)-C421))*N412)+((SUM(B422:F422)-C421)*N412),SUM(B422:F422)*N412),IF(SUM(B413:F422)&gt;(SUM(S413:S422)),S422*N412,SUM(B422:F422)*N412)),2)))</f>
        <v>0</v>
      </c>
      <c r="O422" s="21">
        <f>ROUND(SUM(B422+C422+F422)*O412,2)</f>
        <v>0</v>
      </c>
      <c r="P422" s="25">
        <f t="shared" si="69"/>
        <v>0</v>
      </c>
      <c r="Q422" s="936"/>
      <c r="R422" s="140">
        <f>ROUND(IF(M391="",R407,R407/M391*P399),2)</f>
        <v>5175</v>
      </c>
      <c r="S422" s="140">
        <f>ROUND(IF(M391="",R408,R408/M391*P399),2)</f>
        <v>7450</v>
      </c>
      <c r="U422" s="950">
        <f t="shared" si="70"/>
        <v>0</v>
      </c>
      <c r="V422" s="950">
        <f>SUM(B413:F422)</f>
        <v>0</v>
      </c>
      <c r="X422" s="1"/>
    </row>
    <row r="423" spans="1:24" s="11" customFormat="1" x14ac:dyDescent="0.2">
      <c r="A423" s="76" t="str">
        <f>CONCATENATE("Nov ",O389)</f>
        <v>Nov 2025</v>
      </c>
      <c r="B423" s="22">
        <f>ROUND(IF(P400=0,0,IFERROR(((LOOKUP(2,1/(A398:A401=A423),G398:G401))*P400*4.348),B422/P399*P400)),2)</f>
        <v>0</v>
      </c>
      <c r="C423" s="21">
        <f>ROUND(IFERROR((LOOKUP(2,1/(A404=A423),E404)),0)+(IFERROR((LOOKUP(2,1/(A405=A423),E405)),0)),2)</f>
        <v>0</v>
      </c>
      <c r="D423" s="21">
        <f>ROUND(IF(B423=0,0,D412/M391*P400),2)</f>
        <v>0</v>
      </c>
      <c r="E423" s="21">
        <f>ROUND(IF(B423=0,0,E412/N387*P400),2)</f>
        <v>0</v>
      </c>
      <c r="F423" s="22">
        <f>ROUND(IF(P400=0,0,IFERROR(((LOOKUP(2,1/(A398:A401=A423),I398:I401))/N387*P400),F422/P399*P400)),2)</f>
        <v>0</v>
      </c>
      <c r="G423" s="25">
        <f t="shared" si="68"/>
        <v>0</v>
      </c>
      <c r="H423" s="64">
        <f>IF(B423=0,0,IF(AND(H404="ja",((U423)&lt;R429)),ROUND(((R431*R428+((R429/(R429-R428))-(R428/(R429-R428))*R431)*((U423)-R428))*(H412*2))-(((R429/(R429-R428))*((U423)-R428))*H412),2),ROUND(IF(V422&lt;(SUM(R413:R422)),IF((V423)&gt;(SUM(R413:R423)),(((SUM(R413:R423))-(V423-C422))*H412)+((U423-C422)*H412),U423*H412),IF(V423&gt;(SUM(R413:R423)),R423*H412,U423*H412)),2)))</f>
        <v>0</v>
      </c>
      <c r="I423" s="64">
        <f>IF(B423=0,0,IF(AND(H404="ja",((U423)&lt;R429)),ROUND(((R431*R428+((R429/(R429-R428))-(R428/(R429-R428))*R431)*((U423)-R428))*(I412*2))-(((R429/(R429-R428))*((U423)-R428))*I412),2),ROUND(IF(V422&lt;(SUM(S413:S422)),IF((V423)&gt;(SUM(S413:S423)),(((SUM(S413:S423))-(V423-C422))*I412)+((U423-C422)*I412),U423*I412),IF(V423&gt;(SUM(S413:S423)),S423*I412,U423*I412)),2)))</f>
        <v>0</v>
      </c>
      <c r="J423" s="64">
        <f>IF(B423=0,0,IF(AND(H404="ja",((U423)&lt;R429)),ROUND(((R431*R428+((R429/(R429-R428))-(R428/(R429-R428))*R431)*((U423)-R428))*(J412*2))-(((R429/(R429-R428))*((U423)-R428))*J412),2),ROUND(IF(V422&lt;(SUM(S413:S422)),IF((V423)&gt;(SUM(S413:S423)),(((SUM(S413:S423))-(V423-C422))*J412)+((U423-C422)*J412),U423*J412),IF(V423&gt;(SUM(S413:S423)),S423*J412,U423*J412)),2)))</f>
        <v>0</v>
      </c>
      <c r="K423" s="64">
        <f>IF(B423=0,0,IF(AND(H404="ja",((U423)&lt;R429)),ROUND(((R431*R428+((R429/(R429-R428))-(R428/(R429-R428))*R431)*((U423)-R428))*(K412*2))-(((R429/(R429-R428))*((U423)-R428))*K412),2),ROUND(IF(V422&lt;(SUM(R413:R422)),IF((V423)&gt;(SUM(R413:R423)),(((SUM(R413:R423))-(V423-C422))*K412)+((U423-C422)*K412),U423*K412),IF(V423&gt;(SUM(R413:R423)),R423*K412,U423*K412)),2)))</f>
        <v>0</v>
      </c>
      <c r="L423" s="64">
        <f>IF(B423=0,0,IF(AND(H404="ja",((U423-C423)&lt;R429)),ROUND(((R431*R428+((R429/(R429-R428))-(R428/(R429-R428))*R431)*((U423-C423)-R428))*(L412)),2),ROUND(IF(SUM(B413:F422)&lt;(SUM(S413:S422)),IF((SUM(B413:F423))&gt;(SUM(S413:S423)),(((SUM(S413:S423))-(SUM(B413:F423)-C423))*L412)+((SUM(B423:F423)-C423)*L412),(SUM(B423:F423)-C423)*L412),IF(SUM(B413:F423)&gt;(SUM(S413:S423)),S423*L412,SUM(B423:F423)*L412)),2)))</f>
        <v>0</v>
      </c>
      <c r="M423" s="64">
        <f>IF(B423=0,0,IF(AND(H404="ja",((U423-C423)&lt;R429)),ROUND(((R431*R428+((R429/(R429-R428))-(R428/(R429-R428))*R431)*((U423-C423)-R428))*(M412)),2),ROUND(IF(SUM(B413:F422)&lt;(SUM(S413:S422)),IF((SUM(B413:F423))&gt;(SUM(S413:S423)),(((SUM(S413:S423))-(SUM(B413:F423)-C423))*M412)+((SUM(B423:F423)-C423)*M412),(SUM(B423:F423)-C423)*M412),IF(SUM(B413:F423)&gt;(SUM(S413:S423)),S423*M412,SUM(B423:F423)*M412)),2)))</f>
        <v>0</v>
      </c>
      <c r="N423" s="64">
        <f>IF(B423=0,0,IF(AND(H404="ja",((U423)&lt;R429)),ROUND(((R431*R428+((R429/(R429-R428))-(R428/(R429-R428))*R431)*((U423)-R428))*(N412)),2),ROUND(IF(SUM(B413:F422)&lt;(SUM(S413:S422)),IF((SUM(B413:F423))&gt;(SUM(S413:S423)),(((SUM(S413:S423))-(SUM(B413:F423)-C422))*N412)+((SUM(B423:F423)-C422)*N412),SUM(B423:F423)*N412),IF(SUM(B413:F423)&gt;(SUM(S413:S423)),S423*N412,SUM(B423:F423)*N412)),2)))</f>
        <v>0</v>
      </c>
      <c r="O423" s="21">
        <f>ROUND(SUM(B423+C423+F423)*O412,2)</f>
        <v>0</v>
      </c>
      <c r="P423" s="25">
        <f t="shared" si="69"/>
        <v>0</v>
      </c>
      <c r="R423" s="140">
        <f>ROUND(IF(M391="",R407,R407/M391*P400),2)</f>
        <v>5175</v>
      </c>
      <c r="S423" s="140">
        <f>ROUND(IF(M391="",R408,R408/M391*P400),2)</f>
        <v>7450</v>
      </c>
      <c r="U423" s="950">
        <f t="shared" si="70"/>
        <v>0</v>
      </c>
      <c r="V423" s="950">
        <f>SUM(B413:F423)</f>
        <v>0</v>
      </c>
      <c r="X423" s="1"/>
    </row>
    <row r="424" spans="1:24" s="1" customFormat="1" ht="14.25" customHeight="1" x14ac:dyDescent="0.2">
      <c r="A424" s="76" t="str">
        <f>CONCATENATE("Dez ",O389)</f>
        <v>Dez 2025</v>
      </c>
      <c r="B424" s="22">
        <f>ROUND(IF(P401=0,0,IFERROR(((LOOKUP(2,1/(A398:A401=A424),G398:G401))*P401*4.348),B423/P400*P401)),2)</f>
        <v>0</v>
      </c>
      <c r="C424" s="21">
        <f>ROUND(IFERROR((LOOKUP(2,1/(A404=A424),E404)),0)+IFERROR((LOOKUP(2,1/(A405=A424),E405)),0),2)</f>
        <v>0</v>
      </c>
      <c r="D424" s="21">
        <f>ROUND(IF(B424=0,0,D412/M391*P401),2)</f>
        <v>0</v>
      </c>
      <c r="E424" s="21">
        <f>ROUND(IF(B424=0,0,E412/N387*P401),2)</f>
        <v>0</v>
      </c>
      <c r="F424" s="22">
        <f>ROUND(IF(P401=0,0,IFERROR(((LOOKUP(2,1/(A398:A401=A424),I398:I401))/N387*P401),F423/P400*P401)),2)</f>
        <v>0</v>
      </c>
      <c r="G424" s="25">
        <f t="shared" si="68"/>
        <v>0</v>
      </c>
      <c r="H424" s="64">
        <f>IF(B424=0,0,IF(AND(H404="ja",((U424)&lt;R429)),ROUND(((R431*R428+((R429/(R429-R428))-(R428/(R429-R428))*R431)*((U424)-R428))*(H412*2))-(((R429/(R429-R428))*((U424)-R428))*H412),2),ROUND(IF(V423&lt;(SUM(R413:R423)),IF((V424)&gt;(SUM(R413:R424)),(((SUM(R413:R424))-(V424-C423))*H412)+((U424-C423)*H412),U424*H412),IF(V424&gt;(SUM(R413:R424)),R424*H412,U424*H412)),2)))</f>
        <v>0</v>
      </c>
      <c r="I424" s="64">
        <f>IF(B424=0,0,IF(AND(H404="ja",((U424)&lt;R429)),ROUND(((R431*R428+((R429/(R429-R428))-(R428/(R429-R428))*R431)*((U424)-R428))*(I412*2))-(((R429/(R429-R428))*((U424)-R428))*I412),2),ROUND(IF(V423&lt;(SUM(S413:S423)),IF((V424)&gt;(SUM(S413:S424)),(((SUM(S413:S424))-(V424-C423))*I412)+((U424-C423)*I412),U424*I412),IF(V424&gt;(SUM(S413:S424)),S424*I412,U424*I412)),2)))</f>
        <v>0</v>
      </c>
      <c r="J424" s="64">
        <f>IF(B424=0,0,IF(AND(H404="ja",((U424)&lt;R429)),ROUND(((R431*R428+((R429/(R429-R428))-(R428/(R429-R428))*R431)*((U424)-R428))*(J412*2))-(((R429/(R429-R428))*((U424)-R428))*J412),2),ROUND(IF(V423&lt;(SUM(S413:S423)),IF((V424)&gt;(SUM(S413:S424)),(((SUM(S413:S424))-(V424-C423))*J412)+((U424-C423)*J412),U424*J412),IF(V424&gt;(SUM(S413:S424)),S424*J412,U424*J412)),2)))</f>
        <v>0</v>
      </c>
      <c r="K424" s="64">
        <f>IF(B424=0,0,IF(AND(H404="ja",((U424)&lt;R429)),ROUND(((R431*R428+((R429/(R429-R428))-(R428/(R429-R428))*R431)*((U424)-R428))*(K412*2))-(((R429/(R429-R428))*((U424)-R428))*K412),2),ROUND(IF(V423&lt;(SUM(R413:R423)),IF((V424)&gt;(SUM(R413:R424)),(((SUM(R413:R424))-(V424-C423))*K412)+((U424-C423)*K412),U424*K412),IF(V424&gt;(SUM(R413:R424)),R424*K412,U424*K412)),2)))</f>
        <v>0</v>
      </c>
      <c r="L424" s="64">
        <f>IF(B424=0,0,IF(AND(H404="ja",((U424-C424)&lt;R429)),ROUND(((R431*R428+((R429/(R429-R428))-(R428/(R429-R428))*R431)*((U424-C424)-R428))*(L412)),2),ROUND(IF(SUM(B413:F423)&lt;(SUM(S413:S423)),IF((SUM(B413:F424))&gt;(SUM(S413:S424)),(((SUM(S413:S424))-(SUM(B413:F424)-C424))*L412)+((SUM(B424:F424)-C424)*L412),(SUM(B424:F424)-C424)*L412),IF(SUM(B413:F424)&gt;(SUM(S413:S424)),S424*L412,SUM(B424:F424)*L412)),2)))</f>
        <v>0</v>
      </c>
      <c r="M424" s="64">
        <f>IF(B424=0,0,IF(AND(H404="ja",((U424-C424)&lt;R429)),ROUND(((R431*R428+((R429/(R429-R428))-(R428/(R429-R428))*R431)*((U424-C424)-R428))*(M412)),2),ROUND(IF(SUM(B413:F423)&lt;(SUM(S413:S423)),IF((SUM(B413:F424))&gt;(SUM(S413:S424)),(((SUM(S413:S424))-(SUM(B413:F424)-C424))*M412)+((SUM(B424:F424)-C424)*M412),(SUM(B424:F424)-C424)*M412),IF(SUM(B413:F424)&gt;(SUM(S413:S424)),S424*M412,SUM(B424:F424)*M412)),2)))</f>
        <v>0</v>
      </c>
      <c r="N424" s="64">
        <f>IF(B424=0,0,IF(AND(H404="ja",((U424)&lt;R429)),ROUND(((R431*R428+((R429/(R429-R428))-(R428/(R429-R428))*R431)*((U424)-R428))*(N412)),2),ROUND(IF(SUM(B413:F423)&lt;(SUM(S413:S423)),IF((SUM(B413:F424))&gt;(SUM(S413:S424)),(((SUM(S413:S424))-(SUM(B413:F424)-C423))*N412)+((SUM(B424:F424)-C423)*N412),SUM(B424:F424)*N412),IF(SUM(B413:F424)&gt;(SUM(S413:S424)),S424*N412,SUM(B424:F424)*N412)),2)))</f>
        <v>0</v>
      </c>
      <c r="O424" s="21">
        <f>ROUND(SUM(B424+C424+F424)*O412,2)</f>
        <v>0</v>
      </c>
      <c r="P424" s="25">
        <f t="shared" si="69"/>
        <v>0</v>
      </c>
      <c r="Q424" s="11"/>
      <c r="R424" s="140">
        <f>ROUND(IF(M391="",R407,R407/M391*P401),2)</f>
        <v>5175</v>
      </c>
      <c r="S424" s="140">
        <f>ROUND(IF(M391="",R408,R408/M391*P401),2)</f>
        <v>7450</v>
      </c>
      <c r="U424" s="950">
        <f t="shared" si="70"/>
        <v>0</v>
      </c>
      <c r="V424" s="950">
        <f>SUM(B413:F424)</f>
        <v>0</v>
      </c>
    </row>
    <row r="425" spans="1:24" s="1" customFormat="1" ht="15" customHeight="1" x14ac:dyDescent="0.2">
      <c r="A425" s="2" t="s">
        <v>1</v>
      </c>
      <c r="B425" s="25">
        <f t="shared" ref="B425:G425" si="71">SUM(B413:B424)</f>
        <v>0</v>
      </c>
      <c r="C425" s="25">
        <f t="shared" si="71"/>
        <v>0</v>
      </c>
      <c r="D425" s="25">
        <f t="shared" si="71"/>
        <v>0</v>
      </c>
      <c r="E425" s="25">
        <f t="shared" si="71"/>
        <v>0</v>
      </c>
      <c r="F425" s="25">
        <f t="shared" si="71"/>
        <v>0</v>
      </c>
      <c r="G425" s="25">
        <f t="shared" si="71"/>
        <v>0</v>
      </c>
      <c r="H425" s="1309">
        <f>SUM(H413:N424)</f>
        <v>0</v>
      </c>
      <c r="I425" s="1310"/>
      <c r="J425" s="1310"/>
      <c r="K425" s="1310"/>
      <c r="L425" s="1310"/>
      <c r="M425" s="1310"/>
      <c r="N425" s="1311"/>
      <c r="O425" s="25">
        <f>SUM(O413:O424)</f>
        <v>0</v>
      </c>
      <c r="P425" s="25">
        <f>SUM(P413:P424)</f>
        <v>0</v>
      </c>
    </row>
    <row r="426" spans="1:24" s="1" customFormat="1" ht="12" customHeight="1" x14ac:dyDescent="0.2"/>
    <row r="427" spans="1:24" s="1" customFormat="1" ht="14.25" customHeight="1" x14ac:dyDescent="0.2">
      <c r="B427" s="906"/>
      <c r="H427" s="905"/>
      <c r="I427" s="62"/>
      <c r="J427" s="914" t="s">
        <v>123</v>
      </c>
      <c r="L427" s="900" t="s">
        <v>124</v>
      </c>
      <c r="M427" s="974" t="str">
        <f>IF(IF(G425=0,"",'päd.Personal - Leitung'!$M$43)=0,"",IF(G425=0,"",'päd.Personal - Leitung'!$M$43))</f>
        <v/>
      </c>
      <c r="N427" s="902" t="s">
        <v>125</v>
      </c>
      <c r="O427" s="963" t="str">
        <f>IF(IF(G425=0,"",'päd.Personal - Leitung'!$O$43)=0,"",IF(G425=0,"",'päd.Personal - Leitung'!$O$43))</f>
        <v/>
      </c>
      <c r="P427" s="25">
        <f>ROUND(IF(M427="",0,G425*M427*O427/1000),2)</f>
        <v>0</v>
      </c>
      <c r="Q427" s="937"/>
      <c r="R427" s="938">
        <v>2025</v>
      </c>
      <c r="S427" s="939"/>
    </row>
    <row r="428" spans="1:24" s="1" customFormat="1" ht="14.25" customHeight="1" x14ac:dyDescent="0.2">
      <c r="H428" s="907"/>
      <c r="I428" s="42"/>
      <c r="M428" s="915" t="s">
        <v>129</v>
      </c>
      <c r="N428" s="80" t="s">
        <v>125</v>
      </c>
      <c r="O428" s="75" t="str">
        <f>IF(IF(G425=0,"",'päd.Personal - Leitung'!$O$44)=0,"",IF(G425=0,"",'päd.Personal - Leitung'!$O$44))</f>
        <v/>
      </c>
      <c r="P428" s="25">
        <f>ROUND(IF(O428="",0,G425*O428/1000),2)</f>
        <v>0</v>
      </c>
      <c r="Q428" s="942" t="s">
        <v>737</v>
      </c>
      <c r="R428" s="141">
        <f>'päd.Personal - Leitung'!$R$44</f>
        <v>556</v>
      </c>
      <c r="S428" s="955">
        <f>'päd.Personal - Leitung'!$S$44</f>
        <v>12.82</v>
      </c>
    </row>
    <row r="429" spans="1:24" s="1" customFormat="1" ht="14.25" customHeight="1" x14ac:dyDescent="0.2">
      <c r="H429" s="912" t="s">
        <v>126</v>
      </c>
      <c r="I429" s="1013" t="s">
        <v>127</v>
      </c>
      <c r="J429" s="975" t="str">
        <f>IF(IF(G425=0,"",'päd.Personal - Leitung'!$J$45)=0,"",IF(G425=0,"",'päd.Personal - Leitung'!$J$45))</f>
        <v/>
      </c>
      <c r="K429" s="902" t="s">
        <v>128</v>
      </c>
      <c r="L429" s="964" t="str">
        <f>IF(IF(G425=0,"",'päd.Personal - Leitung'!$L$45)=0,"",IF(G425=0,"",'päd.Personal - Leitung'!$L$45))</f>
        <v/>
      </c>
      <c r="M429" s="16"/>
      <c r="N429" s="900" t="s">
        <v>132</v>
      </c>
      <c r="O429" s="965" t="str">
        <f>IF(IF(G425=0,"",'päd.Personal - Leitung'!$O$45)=0,"",IF(G425=0,"",'päd.Personal - Leitung'!$O$45))</f>
        <v/>
      </c>
      <c r="P429" s="25">
        <f>ROUND(IF(J429="",0,(J429*L429/O429)/M393*M394),2)</f>
        <v>0</v>
      </c>
      <c r="Q429" s="942" t="s">
        <v>738</v>
      </c>
      <c r="R429" s="140">
        <f>'päd.Personal - Leitung'!$R$45</f>
        <v>2000</v>
      </c>
      <c r="S429" s="939"/>
    </row>
    <row r="430" spans="1:24" s="1" customFormat="1" ht="14.25" customHeight="1" x14ac:dyDescent="0.2">
      <c r="D430" s="16"/>
      <c r="I430" s="16"/>
      <c r="J430" s="16"/>
      <c r="K430" s="63"/>
      <c r="L430" s="67"/>
      <c r="M430" s="915" t="s">
        <v>130</v>
      </c>
      <c r="N430" s="80" t="s">
        <v>131</v>
      </c>
      <c r="O430" s="904">
        <f>IF(IF(G425="",0,'päd.Personal - Leitung'!$O$94)=0,0,IF(G425="",0,'päd.Personal - Leitung'!$O$94))</f>
        <v>0</v>
      </c>
      <c r="P430" s="21">
        <f>ROUND(IF(G425=0,0,O430/M391*M392),2)</f>
        <v>0</v>
      </c>
      <c r="Q430" s="942" t="s">
        <v>740</v>
      </c>
      <c r="R430" s="956">
        <f>'päd.Personal - Leitung'!$R$46</f>
        <v>0.40900000000000003</v>
      </c>
    </row>
    <row r="431" spans="1:24" s="1" customFormat="1" ht="14.25" customHeight="1" x14ac:dyDescent="0.2">
      <c r="A431" s="16"/>
      <c r="B431" s="16"/>
      <c r="I431" s="905"/>
      <c r="J431" s="961" t="s">
        <v>176</v>
      </c>
      <c r="K431" s="1312" t="str">
        <f>IF($K$47="","",$K$47)</f>
        <v/>
      </c>
      <c r="L431" s="1312"/>
      <c r="M431" s="1312"/>
      <c r="N431" s="80" t="s">
        <v>131</v>
      </c>
      <c r="O431" s="904">
        <f>IF(IF(G425="",0,'päd.Personal - Leitung'!$O$95)=0,0,IF(G425="",0,'päd.Personal - Leitung'!$O$95))</f>
        <v>0</v>
      </c>
      <c r="P431" s="21">
        <f>ROUND(IF(G425=0,0,O431/M391*M392),2)</f>
        <v>0</v>
      </c>
      <c r="Q431" s="942" t="s">
        <v>739</v>
      </c>
      <c r="R431" s="940">
        <f>'päd.Personal - Leitung'!$R$47</f>
        <v>0.68459999999999999</v>
      </c>
      <c r="S431" s="957">
        <f>'päd.Personal - Leitung'!$S$47</f>
        <v>0.28000000000000003</v>
      </c>
    </row>
    <row r="432" spans="1:24" s="1" customFormat="1" ht="14.25" customHeight="1" x14ac:dyDescent="0.2">
      <c r="A432" s="908"/>
      <c r="B432" s="908"/>
      <c r="C432" s="1013"/>
      <c r="D432" s="1013"/>
      <c r="I432" s="913"/>
      <c r="J432" s="913"/>
      <c r="K432" s="916"/>
      <c r="L432" s="27"/>
      <c r="M432" s="27"/>
      <c r="N432" s="27"/>
      <c r="O432" s="26" t="s">
        <v>0</v>
      </c>
      <c r="P432" s="25">
        <f>P425+SUM(P427:P431)</f>
        <v>0</v>
      </c>
    </row>
    <row r="433" spans="1:19" s="10" customFormat="1" ht="13.5" customHeight="1" x14ac:dyDescent="0.2">
      <c r="A433" s="1321" t="s">
        <v>17</v>
      </c>
      <c r="B433" s="1321"/>
      <c r="C433" s="1321"/>
      <c r="D433" s="1320" t="str">
        <f>IF('päd.Personal - Leitung'!$D$1="","",'päd.Personal - Leitung'!$D$1)</f>
        <v/>
      </c>
      <c r="E433" s="1320"/>
      <c r="F433" s="1320"/>
      <c r="G433" s="1320"/>
      <c r="H433" s="1320"/>
      <c r="I433" s="1320"/>
      <c r="J433" s="1320"/>
      <c r="K433" s="1320"/>
      <c r="L433" s="1320"/>
      <c r="M433" s="1320"/>
      <c r="N433" s="1320"/>
    </row>
    <row r="434" spans="1:19" s="10" customFormat="1" ht="15" customHeight="1" x14ac:dyDescent="0.2">
      <c r="A434" s="1321" t="s">
        <v>16</v>
      </c>
      <c r="B434" s="1321"/>
      <c r="C434" s="1321" t="s">
        <v>14</v>
      </c>
      <c r="D434" s="1320" t="str">
        <f>IF('päd.Personal - Leitung'!$D$2="","",'päd.Personal - Leitung'!$D$2)</f>
        <v/>
      </c>
      <c r="E434" s="1320"/>
      <c r="F434" s="1320"/>
      <c r="G434" s="1320"/>
      <c r="H434" s="1320"/>
      <c r="I434" s="1320"/>
      <c r="J434" s="1320"/>
      <c r="K434" s="1320"/>
      <c r="L434" s="1320"/>
      <c r="M434" s="1320"/>
      <c r="N434" s="1320"/>
    </row>
    <row r="435" spans="1:19" s="10" customFormat="1" ht="15" customHeight="1" x14ac:dyDescent="0.2">
      <c r="A435" s="1321" t="s">
        <v>15</v>
      </c>
      <c r="B435" s="1321"/>
      <c r="C435" s="1321" t="s">
        <v>14</v>
      </c>
      <c r="D435" s="1320" t="str">
        <f>IF('päd.Personal - Leitung'!$D$3="","",'päd.Personal - Leitung'!$D$3)</f>
        <v/>
      </c>
      <c r="E435" s="1320"/>
      <c r="F435" s="1320"/>
      <c r="G435" s="1320"/>
      <c r="H435" s="1320"/>
      <c r="I435" s="1320"/>
      <c r="J435" s="1320"/>
      <c r="K435" s="1321" t="s">
        <v>100</v>
      </c>
      <c r="L435" s="1321"/>
      <c r="M435" s="1321"/>
      <c r="N435" s="38" t="str">
        <f>IF('päd.Personal - Leitung'!$N$3="","",'päd.Personal - Leitung'!$N$3)</f>
        <v/>
      </c>
    </row>
    <row r="436" spans="1:19" s="923" customFormat="1" ht="7.5" customHeight="1" x14ac:dyDescent="0.15">
      <c r="A436" s="1353"/>
      <c r="B436" s="1353"/>
      <c r="C436" s="1353"/>
      <c r="D436" s="1354"/>
      <c r="E436" s="1354"/>
      <c r="F436" s="1354"/>
      <c r="G436" s="1354"/>
      <c r="H436" s="1354"/>
      <c r="I436" s="1354"/>
      <c r="J436" s="1354"/>
      <c r="K436" s="922"/>
      <c r="L436" s="922"/>
      <c r="M436" s="922"/>
      <c r="N436" s="922"/>
      <c r="O436" s="922"/>
      <c r="P436" s="922"/>
    </row>
    <row r="437" spans="1:19" s="13" customFormat="1" ht="13.5" customHeight="1" x14ac:dyDescent="0.2">
      <c r="A437" s="1355" t="s">
        <v>151</v>
      </c>
      <c r="B437" s="1355"/>
      <c r="C437" s="1355"/>
      <c r="D437" s="1355"/>
      <c r="E437" s="1355"/>
      <c r="F437" s="1355"/>
      <c r="G437" s="1355"/>
      <c r="H437" s="1355"/>
      <c r="I437" s="1355"/>
      <c r="J437" s="1355"/>
      <c r="K437" s="7"/>
      <c r="L437" s="7"/>
      <c r="M437" s="7"/>
      <c r="N437" s="52"/>
      <c r="O437" s="138">
        <f>'päd.Personal - Leitung'!$O$5</f>
        <v>2025</v>
      </c>
      <c r="P437" s="52" t="s">
        <v>140</v>
      </c>
    </row>
    <row r="438" spans="1:19" s="8" customFormat="1" ht="13.5" customHeight="1" x14ac:dyDescent="0.25">
      <c r="B438" s="29"/>
      <c r="C438" s="29"/>
      <c r="D438" s="3" t="s">
        <v>45</v>
      </c>
      <c r="E438" s="28"/>
      <c r="F438" s="28"/>
      <c r="G438" s="28"/>
      <c r="H438" s="28"/>
      <c r="I438" s="24"/>
      <c r="K438" s="1327" t="s">
        <v>13</v>
      </c>
      <c r="L438" s="1327"/>
      <c r="M438" s="131"/>
      <c r="O438" s="928" t="str">
        <f>A461</f>
        <v>Jan 2025</v>
      </c>
      <c r="P438" s="1402">
        <f>IF(M440="","",M440)</f>
        <v>0</v>
      </c>
    </row>
    <row r="439" spans="1:19" s="5" customFormat="1" ht="13.5" customHeight="1" x14ac:dyDescent="0.25">
      <c r="A439" s="1328" t="s">
        <v>754</v>
      </c>
      <c r="B439" s="1328"/>
      <c r="C439" s="1328"/>
      <c r="D439" s="1345"/>
      <c r="E439" s="1345"/>
      <c r="F439" s="1345"/>
      <c r="G439" s="1345"/>
      <c r="H439" s="1345"/>
      <c r="I439" s="1345"/>
      <c r="K439" s="1327" t="s">
        <v>101</v>
      </c>
      <c r="L439" s="1327"/>
      <c r="M439" s="101"/>
      <c r="O439" s="928" t="str">
        <f t="shared" ref="O439:O449" si="72">A462</f>
        <v>Feb 2025</v>
      </c>
      <c r="P439" s="1403">
        <f t="shared" ref="P439:P446" si="73">IF(P438="","",P438)</f>
        <v>0</v>
      </c>
    </row>
    <row r="440" spans="1:19" s="1" customFormat="1" ht="13.5" customHeight="1" x14ac:dyDescent="0.2">
      <c r="A440" s="1328" t="s">
        <v>12</v>
      </c>
      <c r="B440" s="1328"/>
      <c r="C440" s="1328"/>
      <c r="D440" s="1345"/>
      <c r="E440" s="1345"/>
      <c r="F440" s="1345"/>
      <c r="G440" s="1345"/>
      <c r="H440" s="1345"/>
      <c r="I440" s="1345"/>
      <c r="K440" s="1327" t="s">
        <v>149</v>
      </c>
      <c r="L440" s="1327"/>
      <c r="M440" s="101">
        <f>IF((M441+M442)&gt;M439,0,M439-M441-M442)</f>
        <v>0</v>
      </c>
      <c r="O440" s="928" t="str">
        <f t="shared" si="72"/>
        <v>Mrz 2025</v>
      </c>
      <c r="P440" s="1403">
        <f t="shared" si="73"/>
        <v>0</v>
      </c>
    </row>
    <row r="441" spans="1:19" s="1" customFormat="1" ht="13.5" customHeight="1" x14ac:dyDescent="0.2">
      <c r="A441" s="1328" t="s">
        <v>11</v>
      </c>
      <c r="B441" s="1328"/>
      <c r="C441" s="1328"/>
      <c r="D441" s="1345"/>
      <c r="E441" s="1345"/>
      <c r="F441" s="1345"/>
      <c r="G441" s="1345"/>
      <c r="H441" s="1345"/>
      <c r="I441" s="1345"/>
      <c r="K441" s="1327" t="s">
        <v>150</v>
      </c>
      <c r="L441" s="1327"/>
      <c r="M441" s="101"/>
      <c r="O441" s="928" t="str">
        <f t="shared" si="72"/>
        <v>Apr 2025</v>
      </c>
      <c r="P441" s="1403">
        <f t="shared" si="73"/>
        <v>0</v>
      </c>
    </row>
    <row r="442" spans="1:19" s="1" customFormat="1" ht="13.5" customHeight="1" x14ac:dyDescent="0.2">
      <c r="A442" s="1328" t="s">
        <v>18</v>
      </c>
      <c r="B442" s="1328"/>
      <c r="C442" s="1328"/>
      <c r="D442" s="1345"/>
      <c r="E442" s="1345"/>
      <c r="F442" s="1345"/>
      <c r="G442" s="1345"/>
      <c r="H442" s="1345"/>
      <c r="I442" s="1345"/>
      <c r="K442" s="1327" t="s">
        <v>222</v>
      </c>
      <c r="L442" s="1327"/>
      <c r="M442" s="101"/>
      <c r="O442" s="928" t="str">
        <f t="shared" si="72"/>
        <v>Mai 2025</v>
      </c>
      <c r="P442" s="1403">
        <f t="shared" si="73"/>
        <v>0</v>
      </c>
    </row>
    <row r="443" spans="1:19" s="1" customFormat="1" ht="13.5" customHeight="1" x14ac:dyDescent="0.2">
      <c r="B443" s="6"/>
      <c r="C443" s="1029" t="s">
        <v>147</v>
      </c>
      <c r="D443" s="1324"/>
      <c r="E443" s="1324"/>
      <c r="F443" s="1359" t="s">
        <v>103</v>
      </c>
      <c r="G443" s="1359"/>
      <c r="H443" s="1361"/>
      <c r="I443" s="1361"/>
      <c r="K443" s="1327" t="s">
        <v>94</v>
      </c>
      <c r="L443" s="1327"/>
      <c r="M443" s="15" t="str">
        <f>IF(IF((COUNTIF(B461:B472,"&gt;0"))=0,0,(COUNTIF(B461:B472,"&gt;0")))&gt;Grundlagen!$C$26,Grundlagen!$C$26,IF((COUNTIF(B461:B472,"&gt;0"))=0,"",(COUNTIF(B461:B472,"&gt;0"))))</f>
        <v/>
      </c>
      <c r="O443" s="928" t="str">
        <f t="shared" si="72"/>
        <v>Jun 2025</v>
      </c>
      <c r="P443" s="1403">
        <f t="shared" si="73"/>
        <v>0</v>
      </c>
    </row>
    <row r="444" spans="1:19" s="1" customFormat="1" ht="13.5" customHeight="1" x14ac:dyDescent="0.2">
      <c r="I444" s="4"/>
      <c r="M444" s="102" t="str">
        <f>IF((SUM(F446:F449))=0,"",IF(P450&gt;M440,M440,IF(M440="","",IF(M443="","",P450))))</f>
        <v/>
      </c>
      <c r="O444" s="928" t="str">
        <f t="shared" si="72"/>
        <v>Jul 2025</v>
      </c>
      <c r="P444" s="1403">
        <f t="shared" si="73"/>
        <v>0</v>
      </c>
    </row>
    <row r="445" spans="1:19" s="46" customFormat="1" ht="13.5" customHeight="1" x14ac:dyDescent="0.2">
      <c r="A445" s="54" t="s">
        <v>134</v>
      </c>
      <c r="B445" s="1356" t="s">
        <v>135</v>
      </c>
      <c r="C445" s="1356"/>
      <c r="D445" s="55" t="s">
        <v>136</v>
      </c>
      <c r="E445" s="56" t="s">
        <v>137</v>
      </c>
      <c r="F445" s="57" t="str">
        <f>CONCATENATE("Entg. ",N435," h/Wo")</f>
        <v>Entg.  h/Wo</v>
      </c>
      <c r="G445" s="58" t="s">
        <v>138</v>
      </c>
      <c r="I445" s="58" t="s">
        <v>139</v>
      </c>
      <c r="K445" s="970"/>
      <c r="L445" s="970"/>
      <c r="M445" s="59"/>
      <c r="N445" s="968"/>
      <c r="O445" s="928" t="str">
        <f t="shared" si="72"/>
        <v>Aug 2025</v>
      </c>
      <c r="P445" s="1403">
        <f t="shared" si="73"/>
        <v>0</v>
      </c>
      <c r="Q445" s="85"/>
      <c r="R445" s="85"/>
      <c r="S445" s="85"/>
    </row>
    <row r="446" spans="1:19" s="46" customFormat="1" ht="13.5" customHeight="1" x14ac:dyDescent="0.25">
      <c r="A446" s="48" t="str">
        <f>'päd.Personal - Leitung'!$A$14</f>
        <v>Jan 2025</v>
      </c>
      <c r="B446" s="1357" t="str">
        <f>IF($D$3="","",$D$3)</f>
        <v/>
      </c>
      <c r="C446" s="1358"/>
      <c r="D446" s="132"/>
      <c r="E446" s="132"/>
      <c r="F446" s="71"/>
      <c r="G446" s="50">
        <f>IF(N435="",0,F446/N435/4.348)</f>
        <v>0</v>
      </c>
      <c r="I446" s="125">
        <f>SUM(J446:M446)</f>
        <v>0</v>
      </c>
      <c r="J446" s="124"/>
      <c r="K446" s="124"/>
      <c r="L446" s="124"/>
      <c r="M446" s="124"/>
      <c r="N446" s="969"/>
      <c r="O446" s="928" t="str">
        <f t="shared" si="72"/>
        <v>Sep 2025</v>
      </c>
      <c r="P446" s="1403">
        <f t="shared" si="73"/>
        <v>0</v>
      </c>
      <c r="Q446" s="85"/>
      <c r="R446" s="85"/>
      <c r="S446" s="85"/>
    </row>
    <row r="447" spans="1:19" s="46" customFormat="1" ht="13.5" customHeight="1" x14ac:dyDescent="0.25">
      <c r="A447" s="49"/>
      <c r="B447" s="1322" t="str">
        <f>IF(A447="","",B446)</f>
        <v/>
      </c>
      <c r="C447" s="1323"/>
      <c r="D447" s="132"/>
      <c r="E447" s="132"/>
      <c r="F447" s="71"/>
      <c r="G447" s="50">
        <f>IF(N435="",0,F447/N435/4.348)</f>
        <v>0</v>
      </c>
      <c r="I447" s="125">
        <f t="shared" ref="I447:I449" si="74">SUM(J447:M447)</f>
        <v>0</v>
      </c>
      <c r="J447" s="124"/>
      <c r="K447" s="124"/>
      <c r="L447" s="124"/>
      <c r="M447" s="124"/>
      <c r="N447" s="969"/>
      <c r="O447" s="928" t="str">
        <f t="shared" si="72"/>
        <v>Okt 2025</v>
      </c>
      <c r="P447" s="1403">
        <f t="shared" ref="P447:P449" si="75">IF(P446="","",P446)</f>
        <v>0</v>
      </c>
      <c r="Q447" s="85"/>
      <c r="R447" s="85"/>
      <c r="S447" s="85"/>
    </row>
    <row r="448" spans="1:19" s="46" customFormat="1" ht="13.5" customHeight="1" x14ac:dyDescent="0.25">
      <c r="A448" s="49"/>
      <c r="B448" s="1322" t="str">
        <f>IF(A448="","",B447)</f>
        <v/>
      </c>
      <c r="C448" s="1323"/>
      <c r="D448" s="132"/>
      <c r="E448" s="132"/>
      <c r="F448" s="71"/>
      <c r="G448" s="50">
        <f>IF(N435="",0,F448/N435/4.348)</f>
        <v>0</v>
      </c>
      <c r="I448" s="125">
        <f t="shared" si="74"/>
        <v>0</v>
      </c>
      <c r="J448" s="124"/>
      <c r="K448" s="124"/>
      <c r="L448" s="124"/>
      <c r="M448" s="124"/>
      <c r="N448" s="969"/>
      <c r="O448" s="928" t="str">
        <f t="shared" si="72"/>
        <v>Nov 2025</v>
      </c>
      <c r="P448" s="1403">
        <f t="shared" si="75"/>
        <v>0</v>
      </c>
      <c r="Q448" s="85"/>
      <c r="R448" s="85"/>
      <c r="S448" s="85"/>
    </row>
    <row r="449" spans="1:22" s="46" customFormat="1" ht="13.5" customHeight="1" x14ac:dyDescent="0.25">
      <c r="A449" s="49"/>
      <c r="B449" s="1322" t="str">
        <f>IF(A449="","",B448)</f>
        <v/>
      </c>
      <c r="C449" s="1323"/>
      <c r="D449" s="132"/>
      <c r="E449" s="132"/>
      <c r="F449" s="71"/>
      <c r="G449" s="50">
        <f>IF(N435="",0,F449/N435/4.348)</f>
        <v>0</v>
      </c>
      <c r="I449" s="125">
        <f t="shared" si="74"/>
        <v>0</v>
      </c>
      <c r="J449" s="124"/>
      <c r="K449" s="124"/>
      <c r="L449" s="124"/>
      <c r="M449" s="124"/>
      <c r="N449" s="969"/>
      <c r="O449" s="928" t="str">
        <f t="shared" si="72"/>
        <v>Dez 2025</v>
      </c>
      <c r="P449" s="1403">
        <f t="shared" si="75"/>
        <v>0</v>
      </c>
      <c r="Q449" s="85"/>
      <c r="R449" s="85"/>
      <c r="S449" s="85"/>
    </row>
    <row r="450" spans="1:22" s="46" customFormat="1" ht="13.5" customHeight="1" x14ac:dyDescent="0.25">
      <c r="B450" s="972"/>
      <c r="C450" s="972"/>
      <c r="E450" s="972"/>
      <c r="F450" s="972"/>
      <c r="I450" s="930" t="s">
        <v>730</v>
      </c>
      <c r="J450" s="1060"/>
      <c r="K450" s="1060"/>
      <c r="L450" s="1060"/>
      <c r="M450" s="1060"/>
      <c r="N450" s="971"/>
      <c r="O450" s="126" t="s">
        <v>221</v>
      </c>
      <c r="P450" s="127">
        <f>IF(M443="",0,((IF(SUMIF(B461,"&gt;0"),P438,0))+(IF(SUMIF(B462,"&gt;0"),P439,0))+(IF(SUMIF(B463,"&gt;0"),P440,0))+(IF(SUMIF(B464,"&gt;0"),P441,0))+(IF(SUMIF(B465,"&gt;0"),P442,0))+(IF(SUMIF(B466,"&gt;0"),P443,0))+(IF(SUMIF(B467,"&gt;0"),P444,0))+(IF(SUMIF(B468,"&gt;0"),P445,0))+(IF(SUMIF(B469,"&gt;0"),P446,0))+(IF(SUMIF(B470,"&gt;0"),P447,0))+(IF(SUMIF(B471,"&gt;0"),P448,0))+(IF(SUMIF(B472,"&gt;0"),P449,0)))/Grundlagen!$C$26)</f>
        <v>0</v>
      </c>
      <c r="Q450" s="944" t="str">
        <f>CONCATENATE("BBG"," anteilig ",O452)</f>
        <v>BBG anteilig 2025</v>
      </c>
      <c r="R450" s="931" t="s">
        <v>659</v>
      </c>
      <c r="S450" s="931" t="s">
        <v>398</v>
      </c>
      <c r="T450" s="107"/>
    </row>
    <row r="451" spans="1:22" s="46" customFormat="1" ht="13.5" customHeight="1" x14ac:dyDescent="0.2">
      <c r="A451" s="924" t="s">
        <v>732</v>
      </c>
      <c r="D451" s="55" t="s">
        <v>369</v>
      </c>
      <c r="E451" s="56" t="s">
        <v>368</v>
      </c>
      <c r="F451" s="58"/>
      <c r="J451" s="61"/>
      <c r="Q451" s="932" t="s">
        <v>144</v>
      </c>
      <c r="R451" s="140">
        <f>IF(M440=0,R455,IF(M439="",R455,(SUM(R461:R472)/M443)))</f>
        <v>5175</v>
      </c>
      <c r="S451" s="933">
        <f>IF(M440=0,S455,IF(M439="",S455,SUM(R461:R472)))</f>
        <v>0</v>
      </c>
      <c r="T451" s="107"/>
    </row>
    <row r="452" spans="1:22" s="46" customFormat="1" ht="13.5" customHeight="1" x14ac:dyDescent="0.25">
      <c r="A452" s="60"/>
      <c r="B452" s="1314" t="str">
        <f>IF($B$20="","",$B$20)</f>
        <v>Jahressonderzahlung (JSZ)</v>
      </c>
      <c r="C452" s="1315"/>
      <c r="D452" s="926"/>
      <c r="E452" s="929" t="str">
        <f>IF(A452="","",ROUND((((SUM(B467:B469)+SUM(F467:F469))/3)*D452)/Grundlagen!$C$26*M443,2))</f>
        <v/>
      </c>
      <c r="G452" s="941" t="s">
        <v>733</v>
      </c>
      <c r="H452" s="943"/>
      <c r="I452" s="1316" t="str">
        <f>CONCATENATE(R475,":"," Übergangsbereich von ",R476+0.01," €"," bis ",R477," €")</f>
        <v>2025: Übergangsbereich von 556,01 € bis 2000 €</v>
      </c>
      <c r="J452" s="1317"/>
      <c r="K452" s="1317"/>
      <c r="L452" s="1067"/>
      <c r="M452" s="1067"/>
      <c r="N452" s="1068" t="s">
        <v>736</v>
      </c>
      <c r="O452" s="1069">
        <f>P452+1</f>
        <v>2025</v>
      </c>
      <c r="P452" s="1069" t="s">
        <v>721</v>
      </c>
      <c r="Q452" s="932" t="s">
        <v>145</v>
      </c>
      <c r="R452" s="140">
        <f>IF(M440=0,R456,IF(M439="",R456,(SUM(S461:S472)/M443)))</f>
        <v>7450</v>
      </c>
      <c r="S452" s="933">
        <f>IF(M440=0,S456,IF(M439="",S456,SUM(S461:S472)))</f>
        <v>0</v>
      </c>
      <c r="T452" s="109"/>
    </row>
    <row r="453" spans="1:22" s="1" customFormat="1" ht="14.25" customHeight="1" x14ac:dyDescent="0.2">
      <c r="A453" s="60"/>
      <c r="B453" s="1314" t="str">
        <f>IF($B$21="","",$B$21)</f>
        <v>Leistungsentgelt (LOB)</v>
      </c>
      <c r="C453" s="1315"/>
      <c r="D453" s="926"/>
      <c r="E453" s="929" t="str">
        <f>IF(A453="","",ROUND(((B473+F473)*D453)/Grundlagen!$C$26*M443,2))</f>
        <v/>
      </c>
      <c r="G453" s="941" t="str">
        <f>IF(OR(H452="",H452="nein")=TRUE,"","Faktor (F):")</f>
        <v/>
      </c>
      <c r="H453" s="949" t="str">
        <f>IF(OR(H452="",H452="nein")=TRUE,"",IF(H452="","",R479))</f>
        <v/>
      </c>
      <c r="I453" s="1318" t="str">
        <f>IF(OR(H452="",H452="nein")=TRUE,"",IF(H453="","",CONCATENATE(S479*100,"%"," / ","(",R478*100,"%"," Gesamt-SV-Beitragssatz 2024)")))</f>
        <v/>
      </c>
      <c r="J453" s="1319"/>
      <c r="K453" s="1319"/>
      <c r="L453" s="1070"/>
      <c r="M453" s="1070"/>
      <c r="N453" s="1071" t="s">
        <v>144</v>
      </c>
      <c r="O453" s="1072">
        <f>'päd.Personal - Leitung'!$O$21</f>
        <v>5175</v>
      </c>
      <c r="P453" s="1072">
        <f>'päd.Personal - Leitung'!$P$21</f>
        <v>5175</v>
      </c>
      <c r="Q453" s="11"/>
      <c r="R453" s="11"/>
      <c r="S453" s="11"/>
      <c r="T453" s="109"/>
    </row>
    <row r="454" spans="1:22" s="1" customFormat="1" ht="14.25" customHeight="1" x14ac:dyDescent="0.2">
      <c r="C454" s="925" t="s">
        <v>731</v>
      </c>
      <c r="L454" s="1070"/>
      <c r="M454" s="1070"/>
      <c r="N454" s="1071" t="s">
        <v>145</v>
      </c>
      <c r="O454" s="1073">
        <f>'päd.Personal - Leitung'!$O$22</f>
        <v>7450</v>
      </c>
      <c r="P454" s="1073">
        <f>'päd.Personal - Leitung'!$P$22</f>
        <v>7450</v>
      </c>
      <c r="Q454" s="944" t="str">
        <f>CONCATENATE("BBG"," ",O452)</f>
        <v>BBG 2025</v>
      </c>
      <c r="R454" s="11"/>
      <c r="S454" s="11"/>
      <c r="T454" s="109"/>
    </row>
    <row r="455" spans="1:22" s="1" customFormat="1" ht="14.25" customHeight="1" x14ac:dyDescent="0.2">
      <c r="A455" s="53" t="s">
        <v>141</v>
      </c>
      <c r="B455" s="46"/>
      <c r="C455" s="46"/>
      <c r="D455" s="46"/>
      <c r="E455" s="46"/>
      <c r="F455" s="46"/>
      <c r="G455" s="46"/>
      <c r="H455" s="46"/>
      <c r="I455" s="46"/>
      <c r="J455" s="46"/>
      <c r="K455" s="46"/>
      <c r="L455" s="46"/>
      <c r="M455" s="46"/>
      <c r="N455" s="46"/>
      <c r="O455" s="46"/>
      <c r="P455" s="46"/>
      <c r="Q455" s="932" t="s">
        <v>144</v>
      </c>
      <c r="R455" s="141">
        <f>IF($O$21="",0,$O$21)</f>
        <v>5175</v>
      </c>
      <c r="S455" s="933">
        <f>R455*IF(M443="",0,M443)</f>
        <v>0</v>
      </c>
      <c r="T455" s="295"/>
    </row>
    <row r="456" spans="1:22" s="1" customFormat="1" ht="14.25" customHeight="1" x14ac:dyDescent="0.2">
      <c r="A456" s="1346"/>
      <c r="B456" s="1348" t="s">
        <v>8</v>
      </c>
      <c r="C456" s="1349"/>
      <c r="D456" s="1349"/>
      <c r="E456" s="1349"/>
      <c r="F456" s="1349"/>
      <c r="G456" s="1350"/>
      <c r="H456" s="1351" t="s">
        <v>113</v>
      </c>
      <c r="I456" s="1352"/>
      <c r="J456" s="1352"/>
      <c r="K456" s="1352"/>
      <c r="L456" s="1352"/>
      <c r="M456" s="1352"/>
      <c r="N456" s="1352"/>
      <c r="O456" s="30"/>
      <c r="P456" s="1330" t="s">
        <v>0</v>
      </c>
      <c r="Q456" s="932" t="s">
        <v>145</v>
      </c>
      <c r="R456" s="141">
        <f>IF($O$22="",0,$O$22)</f>
        <v>7450</v>
      </c>
      <c r="S456" s="933">
        <f>R456*IF(M443="",0,M443)</f>
        <v>0</v>
      </c>
      <c r="T456" s="830"/>
    </row>
    <row r="457" spans="1:22" s="1" customFormat="1" ht="14.25" customHeight="1" x14ac:dyDescent="0.2">
      <c r="A457" s="1347"/>
      <c r="B457" s="1333" t="s">
        <v>111</v>
      </c>
      <c r="C457" s="1335" t="s">
        <v>743</v>
      </c>
      <c r="D457" s="1337" t="s">
        <v>226</v>
      </c>
      <c r="E457" s="1339" t="s">
        <v>133</v>
      </c>
      <c r="F457" s="1030" t="s">
        <v>6</v>
      </c>
      <c r="G457" s="1340" t="s">
        <v>5</v>
      </c>
      <c r="H457" s="1339" t="s">
        <v>119</v>
      </c>
      <c r="I457" s="1339" t="s">
        <v>4</v>
      </c>
      <c r="J457" s="1339" t="s">
        <v>3</v>
      </c>
      <c r="K457" s="1339" t="s">
        <v>2</v>
      </c>
      <c r="L457" s="1339" t="s">
        <v>114</v>
      </c>
      <c r="M457" s="1339" t="s">
        <v>115</v>
      </c>
      <c r="N457" s="1339" t="s">
        <v>116</v>
      </c>
      <c r="O457" s="1338" t="s">
        <v>109</v>
      </c>
      <c r="P457" s="1331"/>
      <c r="Q457" s="456"/>
      <c r="R457" s="11"/>
      <c r="S457" s="11"/>
      <c r="T457" s="621"/>
    </row>
    <row r="458" spans="1:22" s="1" customFormat="1" ht="14.25" customHeight="1" x14ac:dyDescent="0.2">
      <c r="A458" s="1347"/>
      <c r="B458" s="1333"/>
      <c r="C458" s="1335"/>
      <c r="D458" s="1338"/>
      <c r="E458" s="1339"/>
      <c r="F458" s="1343" t="str">
        <f>I450</f>
        <v>Zuschläge / Zulagen / o.ä.:</v>
      </c>
      <c r="G458" s="1340"/>
      <c r="H458" s="1342" t="s">
        <v>117</v>
      </c>
      <c r="I458" s="1342"/>
      <c r="J458" s="1342"/>
      <c r="K458" s="1342"/>
      <c r="L458" s="1342"/>
      <c r="M458" s="1342"/>
      <c r="N458" s="1342"/>
      <c r="O458" s="1338"/>
      <c r="P458" s="1331"/>
      <c r="Q458" s="456"/>
      <c r="R458" s="1306" t="str">
        <f>Q450</f>
        <v>BBG anteilig 2025</v>
      </c>
      <c r="S458" s="1306"/>
      <c r="T458" s="829"/>
    </row>
    <row r="459" spans="1:22" s="1" customFormat="1" ht="14.25" customHeight="1" x14ac:dyDescent="0.2">
      <c r="A459" s="1347"/>
      <c r="B459" s="1333"/>
      <c r="C459" s="1335"/>
      <c r="D459" s="1338"/>
      <c r="E459" s="1339"/>
      <c r="F459" s="1343"/>
      <c r="G459" s="1340"/>
      <c r="H459" s="39" t="str">
        <f>'päd.Personal - Leitung'!$H$27</f>
        <v>(7,30% + Zusatz)</v>
      </c>
      <c r="I459" s="39" t="str">
        <f>'päd.Personal - Leitung'!$I$27</f>
        <v xml:space="preserve"> (2024: 9,30%)</v>
      </c>
      <c r="J459" s="39" t="str">
        <f>'päd.Personal - Leitung'!$J$27</f>
        <v>(2024: 1,30%)</v>
      </c>
      <c r="K459" s="39" t="str">
        <f>'päd.Personal - Leitung'!$K$27</f>
        <v>(2024: 1,700%)</v>
      </c>
      <c r="L459" s="39"/>
      <c r="M459" s="39"/>
      <c r="N459" s="39" t="str">
        <f>'päd.Personal - Leitung'!$N$27</f>
        <v>(2024: 0,06%)</v>
      </c>
      <c r="O459" s="1338"/>
      <c r="P459" s="1331"/>
      <c r="Q459" s="456"/>
      <c r="R459" s="1307" t="s">
        <v>659</v>
      </c>
      <c r="S459" s="1307"/>
      <c r="T459" s="829"/>
      <c r="U459" s="1308" t="s">
        <v>1</v>
      </c>
      <c r="V459" s="1308" t="s">
        <v>741</v>
      </c>
    </row>
    <row r="460" spans="1:22" s="1" customFormat="1" x14ac:dyDescent="0.2">
      <c r="A460" s="1347"/>
      <c r="B460" s="1334"/>
      <c r="C460" s="1336"/>
      <c r="D460" s="45"/>
      <c r="E460" s="45"/>
      <c r="F460" s="1344"/>
      <c r="G460" s="1341"/>
      <c r="H460" s="74"/>
      <c r="I460" s="99">
        <f>'päd.Personal - Leitung'!$I$28</f>
        <v>0</v>
      </c>
      <c r="J460" s="99">
        <f>'päd.Personal - Leitung'!$J$28</f>
        <v>0</v>
      </c>
      <c r="K460" s="40">
        <f>'päd.Personal - Leitung'!$K$28</f>
        <v>0</v>
      </c>
      <c r="L460" s="19"/>
      <c r="M460" s="19"/>
      <c r="N460" s="99">
        <f>'päd.Personal - Leitung'!$N$28</f>
        <v>0</v>
      </c>
      <c r="O460" s="23"/>
      <c r="P460" s="1332"/>
      <c r="Q460" s="456"/>
      <c r="R460" s="935" t="s">
        <v>144</v>
      </c>
      <c r="S460" s="935" t="s">
        <v>145</v>
      </c>
      <c r="T460" s="829"/>
      <c r="U460" s="1308"/>
      <c r="V460" s="1308"/>
    </row>
    <row r="461" spans="1:22" s="1" customFormat="1" x14ac:dyDescent="0.2">
      <c r="A461" s="76" t="str">
        <f>CONCATENATE("Jan ",O437)</f>
        <v>Jan 2025</v>
      </c>
      <c r="B461" s="22">
        <f>ROUND(IF(P438=0,0,(LOOKUP(2,1/(A446:A449=A461),G446:G449))*P438*4.348),2)</f>
        <v>0</v>
      </c>
      <c r="C461" s="21">
        <f>ROUND(IFERROR((LOOKUP(2,1/(A452=A461),E452)),0)+IFERROR((LOOKUP(2,1/(A453=A461),E453)),0),2)</f>
        <v>0</v>
      </c>
      <c r="D461" s="21">
        <f>ROUND(IF(B461=0,0,D460/M439*P438),2)</f>
        <v>0</v>
      </c>
      <c r="E461" s="21">
        <f>ROUND(IF(B461=0,0,E460/N435*P438),2)</f>
        <v>0</v>
      </c>
      <c r="F461" s="22">
        <f>ROUND(IF(P438=0,0,(LOOKUP(2,1/(A446:A449=A461),I446:I449))/N435*P438),2)</f>
        <v>0</v>
      </c>
      <c r="G461" s="25">
        <f t="shared" ref="G461:G472" si="76">SUM(B461+C461+E461+F461)</f>
        <v>0</v>
      </c>
      <c r="H461" s="64">
        <f>IF(B461=0,0,IF(AND(H452="ja",((U461)&lt;R477)),ROUND(((R479*R476+((R477/(R477-R476))-(R476/(R477-R476))*R479)*((U461)-R476))*(H460*2))-(((R477/(R477-R476))*((U461)-R476))*H460),2),ROUND(IF((U461)&gt;R461,R461*H460,U461*H460),2)))</f>
        <v>0</v>
      </c>
      <c r="I461" s="64">
        <f>IF(B461=0,0,IF(AND(H452="ja",((U461)&lt;R477)),ROUND(((R479*R476+((R477/(R477-R476))-(R476/(R477-R476))*R479)*((U461)-R476))*(I460*2))-(((R477/(R477-R476))*((U461)-R476))*I460),2),ROUND(IF((U461)&gt;S461,S461*I460,U461*I460),2)))</f>
        <v>0</v>
      </c>
      <c r="J461" s="64">
        <f>IF(B461=0,0,IF(AND(H452="ja",((U461)&lt;R477)),ROUND(((R479*R476+((R477/(R477-R476))-(R476/(R477-R476))*R479)*((U461)-R476))*(J460*2))-(((R477/(R477-R476))*((U461)-R476))*J460),2),ROUND(IF((U461)&gt;S461,S461*J460,U461*J460),2)))</f>
        <v>0</v>
      </c>
      <c r="K461" s="64">
        <f>IF(B461=0,0,IF(AND(H452="ja",((U461)&lt;R477)),ROUND(((R479*R476+((R477/(R477-R476))-(R476/(R477-R476))*R479)*((U461)-R476))*(K460*2))-(((R477/(R477-R476))*((U461)-R476))*K460),2),ROUND(IF((U461)&gt;R461,R461*K460,U461*K460),2)))</f>
        <v>0</v>
      </c>
      <c r="L461" s="64">
        <f>IF(B461=0,0,IF(AND(H452="ja",((U461-C461)&lt;R477)),ROUND(((R479*R476+((R477/(R477-R476))-(R476/(R477-R476))*R479)*((U461-C461)-R476))*(L460)),2),ROUND(IF((SUM(B461:F461))&gt;S461,S461*L460,(SUM(B461:F461)-C461)*L460),2)))</f>
        <v>0</v>
      </c>
      <c r="M461" s="64">
        <f>IF(B461=0,0,IF(AND(H452="ja",((U461-C461)&lt;R477)),ROUND(((R479*R476+((R477/(R477-R476))-(R476/(R477-R476))*R479)*((U461-C461)-R476))*(M460)),2),ROUND(IF((SUM(B461:F461))&gt;S461,S461*M460,(SUM(B461:F461)-C461)*M460),2)))</f>
        <v>0</v>
      </c>
      <c r="N461" s="64">
        <f>IF(B461=0,0,IF(AND(H452="ja",((U461)&lt;R477)),ROUND(((R479*R476+((R477/(R477-R476))-(R476/(R477-R476))*R479)*((U461)-R476))*(N460)),2),ROUND(IF((SUM(B461:F461))&gt;S461,S461*N460,SUM(B461:F461)*N460),2)))</f>
        <v>0</v>
      </c>
      <c r="O461" s="21">
        <f>ROUND(SUM(B461+C461+F461)*O460,2)</f>
        <v>0</v>
      </c>
      <c r="P461" s="25">
        <f>SUM(G461:O461)</f>
        <v>0</v>
      </c>
      <c r="Q461" s="456"/>
      <c r="R461" s="140">
        <f>ROUND(IF(M439="",R455,R455/M439*P438),2)</f>
        <v>5175</v>
      </c>
      <c r="S461" s="140">
        <f>ROUND(IF(M439="",R456,R456/M439*P438),2)</f>
        <v>7450</v>
      </c>
      <c r="U461" s="950">
        <f>SUM(B461:F461)</f>
        <v>0</v>
      </c>
      <c r="V461" s="950">
        <f>SUM(B461:F461)</f>
        <v>0</v>
      </c>
    </row>
    <row r="462" spans="1:22" s="1" customFormat="1" x14ac:dyDescent="0.2">
      <c r="A462" s="76" t="str">
        <f>CONCATENATE("Feb ",O437)</f>
        <v>Feb 2025</v>
      </c>
      <c r="B462" s="22">
        <f>ROUND(IF(P439=0,0,IFERROR(((LOOKUP(2,1/(A446:A449=A462),G446:G449))*P439*4.348),B461/P438*P439)),2)</f>
        <v>0</v>
      </c>
      <c r="C462" s="21">
        <f>ROUND(IFERROR((LOOKUP(2,1/(A452=A462),E452)),0)+IFERROR((LOOKUP(2,1/(A453=A462),E453)),0),2)</f>
        <v>0</v>
      </c>
      <c r="D462" s="21">
        <f>ROUND(IF(B462=0,0,D460/M439*P439),2)</f>
        <v>0</v>
      </c>
      <c r="E462" s="21">
        <f>ROUND(IF(B462=0,0,E460/N435*P439),2)</f>
        <v>0</v>
      </c>
      <c r="F462" s="22">
        <f>ROUND(IF(P439=0,0,IFERROR(((LOOKUP(2,1/(A446:A449=A462),I446:I449))/N435*P439),F461/P438*P439)),2)</f>
        <v>0</v>
      </c>
      <c r="G462" s="25">
        <f t="shared" si="76"/>
        <v>0</v>
      </c>
      <c r="H462" s="64">
        <f>IF(B462=0,0,IF(AND(H452="ja",((U462)&lt;R477)),ROUND(((R479*R476+((R477/(R477-R476))-(R476/(R477-R476))*R479)*((U462)-R476))*(H460*2))-(((R477/(R477-R476))*((U462)-R476))*H460),2),ROUND(IF(U461&lt;(R461),IF((V462)&gt;(SUM(R461:R462)),(((SUM(R461:R462))-(V462-C461))*H460)+((U462-C461)*H460),U462*H460),IF(V462&gt;(SUM(R461:R462)),R462*H460,U462*H460)),2)))</f>
        <v>0</v>
      </c>
      <c r="I462" s="64">
        <f>IF(B462=0,0,IF(AND(H452="ja",((U462)&lt;R477)),ROUND(((R479*R476+((R477/(R477-R476))-(R476/(R477-R476))*R479)*((U462)-R476))*(I460*2))-(((R477/(R477-R476))*((U462)-R476))*I460),2),ROUND(IF(U461&lt;(S461),IF((V462)&gt;(SUM(S461:S462)),(((SUM(S461:S462))-(V462-C461))*I460)+((U462-C461)*I460),U462*I460),IF(V462&gt;(SUM(S461:S462)),S462*I460,U462*I460)),2)))</f>
        <v>0</v>
      </c>
      <c r="J462" s="64">
        <f>IF(B462=0,0,IF(AND(H452="ja",((U462)&lt;R477)),ROUND(((R479*R476+((R477/(R477-R476))-(R476/(R477-R476))*R479)*((U462)-R476))*(J460*2))-(((R477/(R477-R476))*((U462)-R476))*J460),2),ROUND(IF(U461&lt;(S461),IF((V462)&gt;(SUM(S461:S462)),(((SUM(S461:S462))-(V462-C461))*J460)+((U462-C461)*J460),U462*J460),IF(V462&gt;(SUM(S461:S462)),S462*J460,U462*J460)),2)))</f>
        <v>0</v>
      </c>
      <c r="K462" s="64">
        <f>IF(B462=0,0,IF(AND(H452="ja",((U462)&lt;R477)),ROUND(((R479*R476+((R477/(R477-R476))-(R476/(R477-R476))*R479)*((U462)-R476))*(K460*2))-(((R477/(R477-R476))*((U462)-R476))*K460),2),ROUND(IF(U461&lt;(R461),IF((V462)&gt;(SUM(R461:R462)),(((SUM(R461:R462))-(V462-C461))*K460)+((U462-C461)*K460),U462*K460),IF(V462&gt;(SUM(R461:R462)),R462*K460,U462*K460)),2)))</f>
        <v>0</v>
      </c>
      <c r="L462" s="64">
        <f>IF(B462=0,0,IF(AND(H452="ja",((U462-C462)&lt;R477)),ROUND(((R479*R476+((R477/(R477-R476))-(R476/(R477-R476))*R479)*((U462-C462)-R476))*(L460)),2),ROUND(IF(SUM(B461:F461)&lt;(S461),IF((SUM(B461:F462))&gt;(SUM(S461:S462)),(((SUM(S461:S462))-(SUM(B461:F462)-C462))*L460)+((SUM(B462:F462)-C462)*L460),(SUM(B462:F462)-C462)*L460),IF(SUM(B461:F462)&gt;(SUM(S461:S462)),S462*L460,SUM(B462:F462)*L460)),2)))</f>
        <v>0</v>
      </c>
      <c r="M462" s="64">
        <f>IF(B462=0,0,IF(AND(H452="ja",((U462-C462)&lt;R477)),ROUND(((R479*R476+((R477/(R477-R476))-(R476/(R477-R476))*R479)*((U462-C462)-R476))*(M460)),2),ROUND(IF(SUM(B461:F461)&lt;(S461),IF((SUM(B461:F462))&gt;(SUM(S461:S462)),(((SUM(S461:S462))-(SUM(B461:F462)-C462))*M460)+((SUM(B462:F462)-C462)*M460),(SUM(B462:F462)-C462)*M460),IF(SUM(B461:F462)&gt;(SUM(S461:S462)),S462*M460,SUM(B462:F462)*M460)),2)))</f>
        <v>0</v>
      </c>
      <c r="N462" s="64">
        <f>IF(B462=0,0,IF(AND(H452="ja",((U462)&lt;R477)),ROUND(((R479*R476+((R477/(R477-R476))-(R476/(R477-R476))*R479)*((U462)-R476))*(N460)),2),ROUND(IF(SUM(B461:F461)&lt;(S461),IF((SUM(B461:F462))&gt;(SUM(S461:S462)),(((SUM(S461:S462))-(SUM(B461:F462)-C461))*N460)+((SUM(B462:F462)-C461)*N460),SUM(B462:F462)*N460),IF(SUM(B461:F462)&gt;(SUM(S461:S462)),S462*N460,SUM(B462:F462)*N460)),2)))</f>
        <v>0</v>
      </c>
      <c r="O462" s="21">
        <f>ROUND(SUM(B462+C462+F462)*O460,2)</f>
        <v>0</v>
      </c>
      <c r="P462" s="25">
        <f t="shared" ref="P462:P472" si="77">SUM(G462:O462)</f>
        <v>0</v>
      </c>
      <c r="Q462" s="456"/>
      <c r="R462" s="140">
        <f>ROUND(IF(M439="",R455,R455/M439*P439),2)</f>
        <v>5175</v>
      </c>
      <c r="S462" s="140">
        <f>ROUND(IF(M439="",R456,R456/M439*P439),2)</f>
        <v>7450</v>
      </c>
      <c r="U462" s="950">
        <f t="shared" ref="U462:U472" si="78">SUM(B462:F462)</f>
        <v>0</v>
      </c>
      <c r="V462" s="950">
        <f>SUM(B461:F462)</f>
        <v>0</v>
      </c>
    </row>
    <row r="463" spans="1:22" s="1" customFormat="1" x14ac:dyDescent="0.2">
      <c r="A463" s="76" t="str">
        <f>CONCATENATE("Mrz ",O437)</f>
        <v>Mrz 2025</v>
      </c>
      <c r="B463" s="22">
        <f>ROUND(IF(P440=0,0,IFERROR(((LOOKUP(2,1/(A446:A449=A463),G446:G449))*P440*4.348),B462/P439*P440)),2)</f>
        <v>0</v>
      </c>
      <c r="C463" s="21">
        <f>ROUND(IFERROR((LOOKUP(2,1/(A452=A463),E452)),0)+IFERROR((LOOKUP(2,1/(A453=A463),E453)),0),2)</f>
        <v>0</v>
      </c>
      <c r="D463" s="21">
        <f>ROUND(IF(B463=0,0,D460/M439*P440),2)</f>
        <v>0</v>
      </c>
      <c r="E463" s="21">
        <f>ROUND(IF(B463=0,0,E460/N435*P440),2)</f>
        <v>0</v>
      </c>
      <c r="F463" s="22">
        <f>ROUND(IF(P440=0,0,IFERROR(((LOOKUP(2,1/(A446:A449=A463),I446:I449))/N435*P440),F462/P439*P440)),2)</f>
        <v>0</v>
      </c>
      <c r="G463" s="25">
        <f t="shared" si="76"/>
        <v>0</v>
      </c>
      <c r="H463" s="64">
        <f>IF(B463=0,0,IF(AND(H452="ja",((U463)&lt;R477)),ROUND(((R479*R476+((R477/(R477-R476))-(R476/(R477-R476))*R479)*((U463)-R476))*(H460*2))-(((R477/(R477-R476))*((U463)-R476))*H460),2),ROUND(IF(V462&lt;(SUM(R461:R462)),IF((V463)&gt;(SUM(R461:R463)),(((SUM(R461:R463))-(V463-C462))*H460)+((U463-C462)*H460),U463*H460),IF(V463&gt;(SUM(R461:R463)),R463*H460,U463*H460)),2)))</f>
        <v>0</v>
      </c>
      <c r="I463" s="64">
        <f>IF(B463=0,0,IF(AND(H452="ja",((U463)&lt;R477)),ROUND(((R479*R476+((R477/(R477-R476))-(R476/(R477-R476))*R479)*((U463)-R476))*(I460*2))-(((R477/(R477-R476))*((U463)-R476))*I460),2),ROUND(IF(V462&lt;(SUM(S461:S462)),IF((V463)&gt;(SUM(S461:S463)),(((SUM(S461:S463))-(V463-C462))*I460)+((U463-C462)*I460),U463*I460),IF(V463&gt;(SUM(S461:S463)),S463*I460,U463*I460)),2)))</f>
        <v>0</v>
      </c>
      <c r="J463" s="64">
        <f>IF(B463=0,0,IF(AND(H452="ja",((U463)&lt;R477)),ROUND(((R479*R476+((R477/(R477-R476))-(R476/(R477-R476))*R479)*((U463)-R476))*(J460*2))-(((R477/(R477-R476))*((U463)-R476))*J460),2),ROUND(IF(V462&lt;(SUM(S461:S462)),IF((V463)&gt;(SUM(S461:S463)),(((SUM(S461:S463))-(V463-C462))*J460)+((U463-C462)*J460),U463*J460),IF(V463&gt;(SUM(S461:S463)),S463*J460,U463*J460)),2)))</f>
        <v>0</v>
      </c>
      <c r="K463" s="64">
        <f>IF(B463=0,0,IF(AND(H452="ja",((U463)&lt;R477)),ROUND(((R479*R476+((R477/(R477-R476))-(R476/(R477-R476))*R479)*((U463)-R476))*(K460*2))-(((R477/(R477-R476))*((U463)-R476))*K460),2),ROUND(IF(V462&lt;(SUM(R461:R462)),IF((V463)&gt;(SUM(R461:R463)),(((SUM(R461:R463))-(V463-C462))*K460)+((U463-C462)*K460),U463*K460),IF(V463&gt;(SUM(R461:R463)),R463*K460,U463*K460)),2)))</f>
        <v>0</v>
      </c>
      <c r="L463" s="64">
        <f>IF(B463=0,0,IF(AND(H452="ja",((U463-C463)&lt;R477)),ROUND(((R479*R476+((R477/(R477-R476))-(R476/(R477-R476))*R479)*((U463-C463)-R476))*(L460)),2),ROUND(IF(SUM(B461:F462)&lt;(SUM(S461:S462)),IF((SUM(B461:F463))&gt;(SUM(S461:S463)),(((SUM(S461:S463))-(SUM(B461:F463)-C463))*L460)+((SUM(B463:F463)-C463)*L460),(SUM(B463:F463)-C463)*L460),IF(SUM(B461:F463)&gt;(SUM(S461:S463)),S463*L460,SUM(B463:F463)*L460)),2)))</f>
        <v>0</v>
      </c>
      <c r="M463" s="64">
        <f>IF(B463=0,0,IF(AND(H452="ja",((U463-C463)&lt;R477)),ROUND(((R479*R476+((R477/(R477-R476))-(R476/(R477-R476))*R479)*((U463-C463)-R476))*(M460)),2),ROUND(IF(SUM(B461:F462)&lt;(SUM(S461:S462)),IF((SUM(B461:F463))&gt;(SUM(S461:S463)),(((SUM(S461:S463))-(SUM(B461:F463)-C463))*M460)+((SUM(B463:F463)-C463)*M460),(SUM(B463:F463)-C463)*M460),IF(SUM(B461:F463)&gt;(SUM(S461:S463)),S463*M460,SUM(B463:F463)*M460)),2)))</f>
        <v>0</v>
      </c>
      <c r="N463" s="64">
        <f>IF(B463=0,0,IF(AND(H452="ja",((U463)&lt;R477)),ROUND(((R479*R476+((R477/(R477-R476))-(R476/(R477-R476))*R479)*((U463)-R476))*(N460)),2),ROUND(IF(SUM(B461:F462)&lt;(SUM(S461:S462)),IF((SUM(B461:F463))&gt;(SUM(S461:S463)),(((SUM(S461:S463))-(SUM(B461:F463)-C462))*N460)+((SUM(B463:F463)-C462)*N460),SUM(B463:F463)*N460),IF(SUM(B461:F463)&gt;(SUM(S461:S463)),S463*N460,SUM(B463:F463)*N460)),2)))</f>
        <v>0</v>
      </c>
      <c r="O463" s="21">
        <f>ROUND(SUM(B463+C463+F463)*O460,2)</f>
        <v>0</v>
      </c>
      <c r="P463" s="25">
        <f t="shared" si="77"/>
        <v>0</v>
      </c>
      <c r="Q463" s="456"/>
      <c r="R463" s="140">
        <f>ROUND(IF(M439="",R455,R455/M439*P440),2)</f>
        <v>5175</v>
      </c>
      <c r="S463" s="140">
        <f>ROUND(IF(M439="",R456,R456/M439*P440),2)</f>
        <v>7450</v>
      </c>
      <c r="U463" s="950">
        <f t="shared" si="78"/>
        <v>0</v>
      </c>
      <c r="V463" s="950">
        <f>SUM(B461:F463)</f>
        <v>0</v>
      </c>
    </row>
    <row r="464" spans="1:22" s="1" customFormat="1" x14ac:dyDescent="0.2">
      <c r="A464" s="76" t="str">
        <f>CONCATENATE("Apr ",O437)</f>
        <v>Apr 2025</v>
      </c>
      <c r="B464" s="22">
        <f>ROUND(IF(P441=0,0,IFERROR(((LOOKUP(2,1/(A446:A449=A464),G446:G449))*P441*4.348),B463/P440*P441)),2)</f>
        <v>0</v>
      </c>
      <c r="C464" s="21">
        <f>ROUND(IFERROR((LOOKUP(2,1/(A452=A464),E452)),0)+IFERROR((LOOKUP(2,1/(A453=A464),E453)),0),2)</f>
        <v>0</v>
      </c>
      <c r="D464" s="21">
        <f>ROUND(IF(B464=0,0,D460/M439*P441),2)</f>
        <v>0</v>
      </c>
      <c r="E464" s="21">
        <f>ROUND(IF(B464=0,0,E460/N435*P441),2)</f>
        <v>0</v>
      </c>
      <c r="F464" s="22">
        <f>ROUND(IF(P441=0,0,IFERROR(((LOOKUP(2,1/(A446:A449=A464),I446:I449))/N435*P441),F463/P440*P441)),2)</f>
        <v>0</v>
      </c>
      <c r="G464" s="25">
        <f t="shared" si="76"/>
        <v>0</v>
      </c>
      <c r="H464" s="64">
        <f>IF(B464=0,0,IF(AND(H452="ja",((U464)&lt;R477)),ROUND(((R479*R476+((R477/(R477-R476))-(R476/(R477-R476))*R479)*((U464)-R476))*(H460*2))-(((R477/(R477-R476))*((U464)-R476))*H460),2),ROUND(IF(V463&lt;(SUM(R461:R463)),IF((V464)&gt;(SUM(R461:R464)),(((SUM(R461:R464))-(V464-C463))*H460)+((U464-C463)*H460),U464*H460),IF(V464&gt;(SUM(R461:R464)),R464*H460,U464*H460)),2)))</f>
        <v>0</v>
      </c>
      <c r="I464" s="64">
        <f>IF(B464=0,0,IF(AND(H452="ja",((U464)&lt;R477)),ROUND(((R479*R476+((R477/(R477-R476))-(R476/(R477-R476))*R479)*((U464)-R476))*(I460*2))-(((R477/(R477-R476))*((U464)-R476))*I460),2),ROUND(IF(V463&lt;(SUM(S461:S463)),IF((V464)&gt;(SUM(S461:S464)),(((SUM(S461:S464))-(V464-C463))*I460)+((U464-C463)*I460),U464*I460),IF(V464&gt;(SUM(S461:S464)),S464*I460,U464*I460)),2)))</f>
        <v>0</v>
      </c>
      <c r="J464" s="64">
        <f>IF(B464=0,0,IF(AND(H452="ja",((U464)&lt;R477)),ROUND(((R479*R476+((R477/(R477-R476))-(R476/(R477-R476))*R479)*((U464)-R476))*(J460*2))-(((R477/(R477-R476))*((U464)-R476))*J460),2),ROUND(IF(U463&lt;(SUM(S461:S463)),IF((V464)&gt;(SUM(S461:S464)),(((SUM(S461:S464))-(V464-C463))*J460)+((U464-C463)*J460),U464*J460),IF(V464&gt;(SUM(S461:S464)),S464*J460,U464*J460)),2)))</f>
        <v>0</v>
      </c>
      <c r="K464" s="64">
        <f>IF(B464=0,0,IF(AND(H452="ja",((U464)&lt;R477)),ROUND(((R479*R476+((R477/(R477-R476))-(R476/(R477-R476))*R479)*((U464)-R476))*(K460*2))-(((R477/(R477-R476))*((U464)-R476))*K460),2),ROUND(IF(V463&lt;(SUM(R461:R463)),IF((V464)&gt;(SUM(R461:R464)),(((SUM(R461:R464))-(V464-C463))*K460)+((U464-C463)*K460),U464*K460),IF(V464&gt;(SUM(R461:R464)),R464*K460,U464*K460)),2)))</f>
        <v>0</v>
      </c>
      <c r="L464" s="64">
        <f>IF(B464=0,0,IF(AND(H452="ja",((U464-C464)&lt;R477)),ROUND(((R479*R476+((R477/(R477-R476))-(R476/(R477-R476))*R479)*((U464-C464)-R476))*(L460)),2),ROUND(IF(SUM(B461:F463)&lt;(SUM(S461:S463)),IF((SUM(B461:F464))&gt;(SUM(S461:S464)),(((SUM(S461:S464))-(SUM(B461:F464)-C464))*L460)+((SUM(B464:F464)-C464)*L460),(SUM(B464:F464)-C464)*L460),IF(SUM(B461:F464)&gt;(SUM(S461:S464)),S464*L460,SUM(B464:F464)*L460)),2)))</f>
        <v>0</v>
      </c>
      <c r="M464" s="64">
        <f>IF(B464=0,0,IF(AND(H452="ja",((U464-C464)&lt;R477)),ROUND(((R479*R476+((R477/(R477-R476))-(R476/(R477-R476))*R479)*((U464-C464)-R476))*(M460)),2),ROUND(IF(SUM(B461:F463)&lt;(SUM(S461:S463)),IF((SUM(B461:F464))&gt;(SUM(S461:S464)),(((SUM(S461:S464))-(SUM(B461:F464)-C464))*M460)+((SUM(B464:F464)-C464)*M460),(SUM(B464:F464)-C464)*M460),IF(SUM(B461:F464)&gt;(SUM(S461:S464)),S464*M460,SUM(B464:F464)*M460)),2)))</f>
        <v>0</v>
      </c>
      <c r="N464" s="64">
        <f>IF(B464=0,0,IF(AND(H452="ja",((U464)&lt;R477)),ROUND(((R479*R476+((R477/(R477-R476))-(R476/(R477-R476))*R479)*((U464)-R476))*(N460)),2),ROUND(IF(SUM(B461:F463)&lt;(SUM(S461:S463)),IF((SUM(B461:F464))&gt;(SUM(S461:S464)),(((SUM(S461:S464))-(SUM(B461:F464)-C463))*N460)+((SUM(B464:F464)-C463)*N460),SUM(B464:F464)*N460),IF(SUM(B461:F464)&gt;(SUM(S461:S464)),S464*N460,SUM(B464:F464)*N460)),2)))</f>
        <v>0</v>
      </c>
      <c r="O464" s="21">
        <f>ROUND(SUM(B464+C464+F464)*O460,2)</f>
        <v>0</v>
      </c>
      <c r="P464" s="25">
        <f t="shared" si="77"/>
        <v>0</v>
      </c>
      <c r="Q464" s="456"/>
      <c r="R464" s="140">
        <f>ROUND(IF(M439="",R455,R455/M439*P441),2)</f>
        <v>5175</v>
      </c>
      <c r="S464" s="140">
        <f>ROUND(IF(M439="",R456,R456/M439*P441),2)</f>
        <v>7450</v>
      </c>
      <c r="U464" s="950">
        <f t="shared" si="78"/>
        <v>0</v>
      </c>
      <c r="V464" s="950">
        <f>SUM(B461:F464)</f>
        <v>0</v>
      </c>
    </row>
    <row r="465" spans="1:24" s="1" customFormat="1" x14ac:dyDescent="0.2">
      <c r="A465" s="76" t="str">
        <f>CONCATENATE("Mai ",O437)</f>
        <v>Mai 2025</v>
      </c>
      <c r="B465" s="22">
        <f>ROUND(IF(P442=0,0,IFERROR(((LOOKUP(2,1/(A446:A449=A465),G446:G449))*P442*4.348),B464/P441*P442)),2)</f>
        <v>0</v>
      </c>
      <c r="C465" s="21">
        <f>ROUND(IFERROR((LOOKUP(2,1/(A452=A465),E452)),0)+IFERROR((LOOKUP(2,1/(A453=A465),E453)),0),2)</f>
        <v>0</v>
      </c>
      <c r="D465" s="21">
        <f>ROUND(IF(B465=0,0,D460/M439*P442),2)</f>
        <v>0</v>
      </c>
      <c r="E465" s="21">
        <f>ROUND(IF(B465=0,0,E460/N435*P442),2)</f>
        <v>0</v>
      </c>
      <c r="F465" s="22">
        <f>ROUND(IF(P442=0,0,IFERROR(((LOOKUP(2,1/(A446:A449=A465),I446:I449))/N435*P442),F464/P441*P442)),2)</f>
        <v>0</v>
      </c>
      <c r="G465" s="25">
        <f t="shared" si="76"/>
        <v>0</v>
      </c>
      <c r="H465" s="64">
        <f>IF(B465=0,0,IF(AND(H452="ja",((U465)&lt;R477)),ROUND(((R479*R476+((R477/(R477-R476))-(R476/(R477-R476))*R479)*((U465)-R476))*(H460*2))-(((R477/(R477-R476))*((U465)-R476))*H460),2),ROUND(IF(V464&lt;(SUM(R461:R464)),IF((V465)&gt;(SUM(R461:R465)),(((SUM(R461:R465))-(V465-C464))*H460)+((U465-C464)*H460),U465*H460),IF(V465&gt;(SUM(R461:R465)),R465*H460,U465*H460)),2)))</f>
        <v>0</v>
      </c>
      <c r="I465" s="64">
        <f>IF(B465=0,0,IF(AND(H452="ja",((U465)&lt;R477)),ROUND(((R479*R476+((R477/(R477-R476))-(R476/(R477-R476))*R479)*((U465)-R476))*(I460*2))-(((R477/(R477-R476))*((U465)-R476))*I460),2),ROUND(IF(V464&lt;(SUM(S461:S464)),IF((V465)&gt;(SUM(S461:S465)),(((SUM(S461:S465))-(V465-C464))*I460)+((U465-C464)*I460),U465*I460),IF(V465&gt;(SUM(S461:S465)),S465*I460,U465*I460)),2)))</f>
        <v>0</v>
      </c>
      <c r="J465" s="64">
        <f>IF(B465=0,0,IF(AND(H452="ja",((U465)&lt;R477)),ROUND(((R479*R476+((R477/(R477-R476))-(R476/(R477-R476))*R479)*((U465)-R476))*(J460*2))-(((R477/(R477-R476))*((U465)-R476))*J460),2),ROUND(IF(V464&lt;(SUM(S461:S464)),IF((V465)&gt;(SUM(S461:S465)),(((SUM(S461:S465))-(V465-C464))*J460)+((U465-C464)*J460),U465*J460),IF(V465&gt;(SUM(S461:S465)),S465*J460,U465*J460)),2)))</f>
        <v>0</v>
      </c>
      <c r="K465" s="64">
        <f>IF(B465=0,0,IF(AND(H452="ja",((U465)&lt;R477)),ROUND(((R479*R476+((R477/(R477-R476))-(R476/(R477-R476))*R479)*((U465)-R476))*(K460*2))-(((R477/(R477-R476))*((U465)-R476))*K460),2),ROUND(IF(V464&lt;(SUM(R461:R464)),IF((V465)&gt;(SUM(R461:R465)),(((SUM(R461:R465))-(V465-C464))*K460)+((U465-C464)*K460),U465*K460),IF(V465&gt;(SUM(R461:R465)),R465*K460,U465*K460)),2)))</f>
        <v>0</v>
      </c>
      <c r="L465" s="64">
        <f>IF(B465=0,0,IF(AND(H452="ja",((U465-C465)&lt;R477)),ROUND(((R479*R476+((R477/(R477-R476))-(R476/(R477-R476))*R479)*((U465-C465)-R476))*(L460)),2),ROUND(IF(SUM(B461:F464)&lt;(SUM(S461:S464)),IF((SUM(B461:F465))&gt;(SUM(S461:S465)),(((SUM(S461:S465))-(SUM(B461:F465)-C465))*L460)+((SUM(B465:F465)-C465)*L460),(SUM(B465:F465)-C465)*L460),IF(SUM(B461:F465)&gt;(SUM(S461:S465)),S465*L460,SUM(B465:F465)*L460)),2)))</f>
        <v>0</v>
      </c>
      <c r="M465" s="64">
        <f>IF(B465=0,0,IF(AND(H452="ja",((U465-C465)&lt;R477)),ROUND(((R479*R476+((R477/(R477-R476))-(R476/(R477-R476))*R479)*((U465-C465)-R476))*(M460)),2),ROUND(IF(SUM(B461:F464)&lt;(SUM(S461:S464)),IF((SUM(B461:F465))&gt;(SUM(S461:S465)),(((SUM(S461:S465))-(SUM(B461:F465)-C465))*M460)+((SUM(B465:F465)-C465)*M460),(SUM(B465:F465)-C465)*M460),IF(SUM(B461:F465)&gt;(SUM(S461:S465)),S465*M460,SUM(B465:F465)*M460)),2)))</f>
        <v>0</v>
      </c>
      <c r="N465" s="64">
        <f>IF(B465=0,0,IF(AND(H452="ja",((U465)&lt;R477)),ROUND(((R479*R476+((R477/(R477-R476))-(R476/(R477-R476))*R479)*((U465)-R476))*(N460)),2),ROUND(IF(SUM(B461:F464)&lt;(SUM(S461:S464)),IF((SUM(B461:F465))&gt;(SUM(S461:S465)),(((SUM(S461:S465))-(SUM(B461:F465)-C464))*N460)+((SUM(B465:F465)-C464)*N460),SUM(B465:F465)*N460),IF(SUM(B461:F465)&gt;(SUM(S461:S465)),S465*N460,SUM(B465:F465)*N460)),2)))</f>
        <v>0</v>
      </c>
      <c r="O465" s="21">
        <f>ROUND(SUM(B465+C465+F465)*O460,2)</f>
        <v>0</v>
      </c>
      <c r="P465" s="25">
        <f t="shared" si="77"/>
        <v>0</v>
      </c>
      <c r="Q465" s="456"/>
      <c r="R465" s="140">
        <f>ROUND(IF(M439="",R455,R455/M439*P442),2)</f>
        <v>5175</v>
      </c>
      <c r="S465" s="140">
        <f>ROUND(IF(M439="",R456,R456/M439*P442),2)</f>
        <v>7450</v>
      </c>
      <c r="U465" s="950">
        <f t="shared" si="78"/>
        <v>0</v>
      </c>
      <c r="V465" s="950">
        <f>SUM(B461:F465)</f>
        <v>0</v>
      </c>
    </row>
    <row r="466" spans="1:24" s="1" customFormat="1" x14ac:dyDescent="0.2">
      <c r="A466" s="76" t="str">
        <f>CONCATENATE("Jun ",O437)</f>
        <v>Jun 2025</v>
      </c>
      <c r="B466" s="22">
        <f>ROUND(IF(P443=0,0,IFERROR(((LOOKUP(2,1/(A446:A449=A466),G446:G449))*P443*4.348),B465/P442*P443)),2)</f>
        <v>0</v>
      </c>
      <c r="C466" s="21">
        <f>ROUND(IFERROR((LOOKUP(2,1/(A452=A466),E452)),0)+IFERROR((LOOKUP(2,1/(A453=A466),E453)),0),2)</f>
        <v>0</v>
      </c>
      <c r="D466" s="21">
        <f>ROUND(IF(B466=0,0,D460/M439*P443),2)</f>
        <v>0</v>
      </c>
      <c r="E466" s="21">
        <f>ROUND(IF(B466=0,0,E460/N435*P443),2)</f>
        <v>0</v>
      </c>
      <c r="F466" s="22">
        <f>ROUND(IF(P443=0,0,IFERROR(((LOOKUP(2,1/(A446:A449=A466),I446:I449))/N435*P443),F465/P442*P443)),2)</f>
        <v>0</v>
      </c>
      <c r="G466" s="25">
        <f t="shared" si="76"/>
        <v>0</v>
      </c>
      <c r="H466" s="64">
        <f>IF(B466=0,0,IF(AND(H452="ja",((U466)&lt;R477)),ROUND(((R479*R476+((R477/(R477-R476))-(R476/(R477-R476))*R479)*((U466)-R476))*(H460*2))-(((R477/(R477-R476))*((U466)-R476))*H460),2),ROUND(IF(V465&lt;(SUM(R461:R465)),IF((V466)&gt;(SUM(R461:R466)),(((SUM(R461:R466))-(V466-C465))*H460)+((U466-C465)*H460),U466*H460),IF(V466&gt;(SUM(R461:R466)),R466*H460,U466*H460)),2)))</f>
        <v>0</v>
      </c>
      <c r="I466" s="64">
        <f>IF(B466=0,0,IF(AND(H452="ja",((U466)&lt;R477)),ROUND(((R479*R476+((R477/(R477-R476))-(R476/(R477-R476))*R479)*((U466)-R476))*(I460*2))-(((R477/(R477-R476))*((U466)-R476))*I460),2),ROUND(IF(V465&lt;(SUM(S461:S465)),IF((V466)&gt;(SUM(S461:S466)),(((SUM(S461:S466))-(V466-C465))*I460)+((U466-C465)*I460),U466*I460),IF(V466&gt;(SUM(S461:S466)),S466*I460,U466*I460)),2)))</f>
        <v>0</v>
      </c>
      <c r="J466" s="64">
        <f>IF(B466=0,0,IF(AND(H452="ja",((U466)&lt;R477)),ROUND(((R479*R476+((R477/(R477-R476))-(R476/(R477-R476))*R479)*((U466)-R476))*(J460*2))-(((R477/(R477-R476))*((U466)-R476))*J460),2),ROUND(IF(V465&lt;(SUM(S461:S465)),IF((V466)&gt;(SUM(S461:S466)),(((SUM(S461:S466))-(V466-C465))*J460)+((U466-C465)*J460),U466*J460),IF(V466&gt;(SUM(S461:S466)),S466*J460,U466*J460)),2)))</f>
        <v>0</v>
      </c>
      <c r="K466" s="64">
        <f>IF(B466=0,0,IF(AND(H452="ja",((U466)&lt;R477)),ROUND(((R479*R476+((R477/(R477-R476))-(R476/(R477-R476))*R479)*((U466)-R476))*(K460*2))-(((R477/(R477-R476))*((U466)-R476))*K460),2),ROUND(IF(V465&lt;(SUM(R461:R465)),IF((V466)&gt;(SUM(R461:R466)),(((SUM(R461:R466))-(V466-C465))*K460)+((U466-C465)*K460),U466*K460),IF(V466&gt;(SUM(R461:R466)),R466*K460,U466*K460)),2)))</f>
        <v>0</v>
      </c>
      <c r="L466" s="64">
        <f>IF(B466=0,0,IF(AND(H452="ja",((U466-C466)&lt;R477)),ROUND(((R479*R476+((R477/(R477-R476))-(R476/(R477-R476))*R479)*((U466-C466)-R476))*(L460)),2),ROUND(IF(SUM(B461:F465)&lt;(SUM(S461:S465)),IF((SUM(B461:F466))&gt;(SUM(S461:S466)),(((SUM(S461:S466))-(SUM(B461:F466)-C466))*L460)+((SUM(B466:F466)-C466)*L460),(SUM(B466:F466)-C466)*L460),IF(SUM(B461:F466)&gt;(SUM(S461:S466)),S466*L460,SUM(B466:F466)*L460)),2)))</f>
        <v>0</v>
      </c>
      <c r="M466" s="64">
        <f>IF(B466=0,0,IF(AND(H452="ja",((U466-C466)&lt;R477)),ROUND(((R479*R476+((R477/(R477-R476))-(R476/(R477-R476))*R479)*((U466-C466)-R476))*(M460)),2),ROUND(IF(SUM(B461:F465)&lt;(SUM(S461:S465)),IF((SUM(B461:F466))&gt;(SUM(S461:S466)),(((SUM(S461:S466))-(SUM(B461:F466)-C466))*M460)+((SUM(B466:F466)-C466)*M460),(SUM(B466:F466)-C466)*M460),IF(SUM(B461:F466)&gt;(SUM(S461:S466)),S466*M460,SUM(B466:F466)*M460)),2)))</f>
        <v>0</v>
      </c>
      <c r="N466" s="64">
        <f>IF(B466=0,0,IF(AND(H452="ja",((U466)&lt;R477)),ROUND(((R479*R476+((R477/(R477-R476))-(R476/(R477-R476))*R479)*((U466)-R476))*(N460)),2),ROUND(IF(SUM(B461:F465)&lt;(SUM(S461:S465)),IF((SUM(B461:F466))&gt;(SUM(S461:S466)),(((SUM(S461:S466))-(SUM(B461:F466)-C465))*N460)+((SUM(B466:F466)-C465)*N460),SUM(B466:F466)*N460),IF(SUM(B461:F466)&gt;(SUM(S461:S466)),S466*N460,SUM(B466:F466)*N460)),2)))</f>
        <v>0</v>
      </c>
      <c r="O466" s="21">
        <f>ROUND(SUM(B466+C466+F466)*O460,2)</f>
        <v>0</v>
      </c>
      <c r="P466" s="25">
        <f t="shared" si="77"/>
        <v>0</v>
      </c>
      <c r="Q466" s="456"/>
      <c r="R466" s="140">
        <f>ROUND(IF(M439="",R455,R455/M439*P443),2)</f>
        <v>5175</v>
      </c>
      <c r="S466" s="140">
        <f>ROUND(IF(M439="",R456,R456/M439*P443),2)</f>
        <v>7450</v>
      </c>
      <c r="U466" s="950">
        <f t="shared" si="78"/>
        <v>0</v>
      </c>
      <c r="V466" s="950">
        <f>SUM(B461:F466)</f>
        <v>0</v>
      </c>
    </row>
    <row r="467" spans="1:24" s="1" customFormat="1" x14ac:dyDescent="0.2">
      <c r="A467" s="76" t="str">
        <f>CONCATENATE("Jul ",O437)</f>
        <v>Jul 2025</v>
      </c>
      <c r="B467" s="22">
        <f>ROUND(IF(P444=0,0,IFERROR(((LOOKUP(2,1/(A446:A449=A467),G446:G449))*P444*4.348),B466/P443*P444)),2)</f>
        <v>0</v>
      </c>
      <c r="C467" s="21">
        <f>ROUND(IFERROR((LOOKUP(2,1/(A452=A467),E452)),0)+IFERROR((LOOKUP(2,1/(A453=A467),E453)),0),2)</f>
        <v>0</v>
      </c>
      <c r="D467" s="21">
        <f>ROUND(IF(B467=0,0,D460/M439*P444),2)</f>
        <v>0</v>
      </c>
      <c r="E467" s="21">
        <f>ROUND(IF(B467=0,0,E460/N435*P444),2)</f>
        <v>0</v>
      </c>
      <c r="F467" s="22">
        <f>ROUND(IF(P444=0,0,IFERROR(((LOOKUP(2,1/(A446:A449=A467),I446:I449))/N435*P444),F466/P443*P444)),2)</f>
        <v>0</v>
      </c>
      <c r="G467" s="25">
        <f t="shared" si="76"/>
        <v>0</v>
      </c>
      <c r="H467" s="64">
        <f>IF(B467=0,0,IF(AND(H452="ja",((U467)&lt;R477)),ROUND(((R479*R476+((R477/(R477-R476))-(R476/(R477-R476))*R479)*((U467)-R476))*(H460*2))-(((R477/(R477-R476))*((U467)-R476))*H460),2),ROUND(IF(V466&lt;(SUM(R461:R466)),IF((V467)&gt;(SUM(R461:R467)),(((SUM(R461:R467))-(V467-C466))*H460)+((U467-C466)*H460),U467*H460),IF(V467&gt;(SUM(R461:R467)),R467*H460,U467*H460)),2)))</f>
        <v>0</v>
      </c>
      <c r="I467" s="64">
        <f>IF(B467=0,0,IF(AND(H452="ja",((U467)&lt;R477)),ROUND(((R479*R476+((R477/(R477-R476))-(R476/(R477-R476))*R479)*((U467)-R476))*(I460*2))-(((R477/(R477-R476))*((U467)-R476))*I460),2),ROUND(IF(V466&lt;(SUM(S461:S466)),IF((V467)&gt;(SUM(S461:S467)),(((SUM(S461:S467))-(V467-C466))*I460)+((U467-C466)*I460),U467*I460),IF(V467&gt;(SUM(S461:S467)),S467*I460,U467*I460)),2)))</f>
        <v>0</v>
      </c>
      <c r="J467" s="64">
        <f>IF(B467=0,0,IF(AND(H452="ja",((U467)&lt;R477)),ROUND(((R479*R476+((R477/(R477-R476))-(R476/(R477-R476))*R479)*((U467)-R476))*(J460*2))-(((R477/(R477-R476))*((U467)-R476))*J460),2),ROUND(IF(V466&lt;(SUM(S461:S466)),IF((V467)&gt;(SUM(S461:S467)),(((SUM(S461:S467))-(V467-C466))*J460)+((U467-C466)*J460),U467*J460),IF(V467&gt;(SUM(S461:S467)),S467*J460,U467*J460)),2)))</f>
        <v>0</v>
      </c>
      <c r="K467" s="64">
        <f>IF(B467=0,0,IF(AND(H452="ja",((U467)&lt;R477)),ROUND(((R479*R476+((R477/(R477-R476))-(R476/(R477-R476))*R479)*((U467)-R476))*(K460*2))-(((R477/(R477-R476))*((U467)-R476))*K460),2),ROUND(IF(V466&lt;(SUM(R461:R466)),IF((V467)&gt;(SUM(R461:R467)),(((SUM(R461:R467))-(V467-C466))*K460)+((U467-C466)*K460),U467*K460),IF(V467&gt;(SUM(R461:R467)),R467*K460,U467*K460)),2)))</f>
        <v>0</v>
      </c>
      <c r="L467" s="64">
        <f>IF(B467=0,0,IF(AND(H452="ja",((U467-C467)&lt;R477)),ROUND(((R479*R476+((R477/(R477-R476))-(R476/(R477-R476))*R479)*((U467-C467)-R476))*(L460)),2),ROUND(IF(SUM(B461:F466)&lt;(SUM(S461:S466)),IF((SUM(B461:F467))&gt;(SUM(S461:S467)),(((SUM(S461:S467))-(SUM(B461:F467)-C467))*L460)+((SUM(B467:F467)-C467)*L460),(SUM(B467:F467)-C467)*L460),IF(SUM(B461:F467)&gt;(SUM(S461:S467)),S467*L460,SUM(B467:F467)*L460)),2)))</f>
        <v>0</v>
      </c>
      <c r="M467" s="64">
        <f>IF(B467=0,0,IF(AND(H452="ja",((U467-C467)&lt;R477)),ROUND(((R479*R476+((R477/(R477-R476))-(R476/(R477-R476))*R479)*((U467-C467)-R476))*(M460)),2),ROUND(IF(SUM(B461:F466)&lt;(SUM(S461:S466)),IF((SUM(B461:F467))&gt;(SUM(S461:S467)),(((SUM(S461:S467))-(SUM(B461:F467)-C467))*M460)+((SUM(B467:F467)-C467)*M460),(SUM(B467:F467)-C467)*M460),IF(SUM(B461:F467)&gt;(SUM(S461:S467)),S467*M460,SUM(B467:F467)*M460)),2)))</f>
        <v>0</v>
      </c>
      <c r="N467" s="64">
        <f>IF(B467=0,0,IF(AND(H452="ja",((U467)&lt;R477)),ROUND(((R479*R476+((R477/(R477-R476))-(R476/(R477-R476))*R479)*((U467)-R476))*(N460)),2),ROUND(IF(SUM(B461:F466)&lt;(SUM(S461:S466)),IF((SUM(B461:F467))&gt;(SUM(S461:S467)),(((SUM(S461:S467))-(SUM(B461:F467)-C466))*N460)+((SUM(B467:F467)-C466)*N460),SUM(B467:F467)*N460),IF(SUM(B461:F467)&gt;(SUM(S461:S467)),S467*N460,SUM(B467:F467)*N460)),2)))</f>
        <v>0</v>
      </c>
      <c r="O467" s="21">
        <f>ROUND(SUM(B467+C467+F467)*O460,2)</f>
        <v>0</v>
      </c>
      <c r="P467" s="25">
        <f t="shared" si="77"/>
        <v>0</v>
      </c>
      <c r="Q467" s="456"/>
      <c r="R467" s="140">
        <f>ROUND(IF(M439="",R455,R455/M439*P444),2)</f>
        <v>5175</v>
      </c>
      <c r="S467" s="140">
        <f>ROUND(IF(M439="",R456,R456/M439*P444),2)</f>
        <v>7450</v>
      </c>
      <c r="U467" s="950">
        <f t="shared" si="78"/>
        <v>0</v>
      </c>
      <c r="V467" s="950">
        <f>SUM(B461:F467)</f>
        <v>0</v>
      </c>
    </row>
    <row r="468" spans="1:24" s="1" customFormat="1" x14ac:dyDescent="0.2">
      <c r="A468" s="76" t="str">
        <f>CONCATENATE("Aug ",O437)</f>
        <v>Aug 2025</v>
      </c>
      <c r="B468" s="22">
        <f>ROUND(IF(P445=0,0,IFERROR(((LOOKUP(2,1/(A446:A449=A468),G446:G449))*P445*4.348),B467/P444*P445)),2)</f>
        <v>0</v>
      </c>
      <c r="C468" s="21">
        <f>ROUND(IFERROR((LOOKUP(2,1/(A452=A468),E452)),0)+IFERROR((LOOKUP(2,1/(A453=A468),E453)),0),2)</f>
        <v>0</v>
      </c>
      <c r="D468" s="21">
        <f>ROUND(IF(B468=0,0,D460/M439*P445),2)</f>
        <v>0</v>
      </c>
      <c r="E468" s="21">
        <f>ROUND(IF(B468=0,0,E460/N435*P445),2)</f>
        <v>0</v>
      </c>
      <c r="F468" s="22">
        <f>ROUND(IF(P445=0,0,IFERROR(((LOOKUP(2,1/(A446:A449=A468),I446:I449))/N435*P445),F467/P444*P445)),2)</f>
        <v>0</v>
      </c>
      <c r="G468" s="25">
        <f t="shared" si="76"/>
        <v>0</v>
      </c>
      <c r="H468" s="64">
        <f>IF(B468=0,0,IF(AND(H452="ja",((U468)&lt;R477)),ROUND(((R479*R476+((R477/(R477-R476))-(R476/(R477-R476))*R479)*((U468)-R476))*(H460*2))-(((R477/(R477-R476))*((U468)-R476))*H460),2),ROUND(IF(V467&lt;(SUM(R461:R467)),IF((V468)&gt;(SUM(R461:R468)),(((SUM(R461:R468))-(V468-C467))*H460)+((U468-C467)*H460),U468*H460),IF(V468&gt;(SUM(R461:R468)),R468*H460,U468*H460)),2)))</f>
        <v>0</v>
      </c>
      <c r="I468" s="64">
        <f>IF(B468=0,0,IF(AND(H452="ja",((U468)&lt;R477)),ROUND(((R479*R476+((R477/(R477-R476))-(R476/(R477-R476))*R479)*((U468)-R476))*(I460*2))-(((R477/(R477-R476))*((U468)-R476))*I460),2),ROUND(IF(V467&lt;(SUM(S461:S467)),IF((V468)&gt;(SUM(S461:S468)),(((SUM(S461:S468))-(V468-C467))*I460)+((U468-C467)*I460),U468*I460),IF(V468&gt;(SUM(S461:S468)),S468*I460,U468*I460)),2)))</f>
        <v>0</v>
      </c>
      <c r="J468" s="64">
        <f>IF(B468=0,0,IF(AND(H452="ja",((U468)&lt;R477)),ROUND(((R479*R476+((R477/(R477-R476))-(R476/(R477-R476))*R479)*((U468)-R476))*(J460*2))-(((R477/(R477-R476))*((U468)-R476))*J460),2),ROUND(IF(V467&lt;(SUM(S461:S467)),IF((V468)&gt;(SUM(S461:S468)),(((SUM(S461:S468))-(V468-C467))*J460)+((U468-C467)*J460),U468*J460),IF(V468&gt;(SUM(S461:S468)),S468*J460,U468*J460)),2)))</f>
        <v>0</v>
      </c>
      <c r="K468" s="64">
        <f>IF(B468=0,0,IF(AND(H452="ja",((U468)&lt;R477)),ROUND(((R479*R476+((R477/(R477-R476))-(R476/(R477-R476))*R479)*((U468)-R476))*(K460*2))-(((R477/(R477-R476))*((U468)-R476))*K460),2),ROUND(IF(V467&lt;(SUM(R461:R467)),IF((V468)&gt;(SUM(R461:R468)),(((SUM(R461:R468))-(V468-C467))*K460)+((U468-C467)*K460),U468*K460),IF(V468&gt;(SUM(R461:R468)),R468*K460,U468*K460)),2)))</f>
        <v>0</v>
      </c>
      <c r="L468" s="64">
        <f>IF(B468=0,0,IF(AND(H452="ja",((U468-C468)&lt;R477)),ROUND(((R479*R476+((R477/(R477-R476))-(R476/(R477-R476))*R479)*((U468-C468)-R476))*(L460)),2),ROUND(IF(SUM(B461:F467)&lt;(SUM(S461:S467)),IF((SUM(B461:F468))&gt;(SUM(S461:S468)),(((SUM(S461:S468))-(SUM(B461:F468)-C468))*L460)+((SUM(B468:F468)-C468)*L460),(SUM(B468:F468)-C468)*L460),IF(SUM(B461:F468)&gt;(SUM(S461:S468)),S468*L460,SUM(B468:F468)*L460)),2)))</f>
        <v>0</v>
      </c>
      <c r="M468" s="64">
        <f>IF(B468=0,0,IF(AND(H452="ja",((U468-C468)&lt;R477)),ROUND(((R479*R476+((R477/(R477-R476))-(R476/(R477-R476))*R479)*((U468-C468)-R476))*(M460)),2),ROUND(IF(SUM(B461:F467)&lt;(SUM(S461:S467)),IF((SUM(B461:F468))&gt;(SUM(S461:S468)),(((SUM(S461:S468))-(SUM(B461:F468)-C468))*M460)+((SUM(B468:F468)-C468)*M460),(SUM(B468:F468)-C468)*M460),IF(SUM(B461:F468)&gt;(SUM(S461:S468)),S468*M460,SUM(B468:F468)*M460)),2)))</f>
        <v>0</v>
      </c>
      <c r="N468" s="64">
        <f>IF(B468=0,0,IF(AND(H452="ja",((U468)&lt;R477)),ROUND(((R479*R476+((R477/(R477-R476))-(R476/(R477-R476))*R479)*((U468)-R476))*(N460)),2),ROUND(IF(SUM(B461:F467)&lt;(SUM(S461:S467)),IF((SUM(B461:F468))&gt;(SUM(S461:S468)),(((SUM(S461:S468))-(SUM(B461:F468)-C467))*N460)+((SUM(B468:F468)-C467)*N460),SUM(B468:F468)*N460),IF(SUM(B461:F468)&gt;(SUM(S461:S468)),S468*N460,SUM(B468:F468)*N460)),2)))</f>
        <v>0</v>
      </c>
      <c r="O468" s="21">
        <f>ROUND(SUM(B468+C468+F468)*O460,2)</f>
        <v>0</v>
      </c>
      <c r="P468" s="25">
        <f t="shared" si="77"/>
        <v>0</v>
      </c>
      <c r="Q468" s="456"/>
      <c r="R468" s="140">
        <f>ROUND(IF(M439="",R455,R455/M439*P445),2)</f>
        <v>5175</v>
      </c>
      <c r="S468" s="140">
        <f>ROUND(IF(M439="",R456,R456/M439*P445),2)</f>
        <v>7450</v>
      </c>
      <c r="U468" s="950">
        <f t="shared" si="78"/>
        <v>0</v>
      </c>
      <c r="V468" s="950">
        <f>SUM(B461:F468)</f>
        <v>0</v>
      </c>
    </row>
    <row r="469" spans="1:24" s="1" customFormat="1" x14ac:dyDescent="0.2">
      <c r="A469" s="76" t="str">
        <f>CONCATENATE("Sep ",O437)</f>
        <v>Sep 2025</v>
      </c>
      <c r="B469" s="22">
        <f>ROUND(IF(P446=0,0,IFERROR(((LOOKUP(2,1/(A446:A449=A469),G446:G449))*P446*4.348),B468/P445*P446)),2)</f>
        <v>0</v>
      </c>
      <c r="C469" s="21">
        <f>ROUND(IFERROR((LOOKUP(2,1/(A452=A469),E452)),0)+IFERROR((LOOKUP(2,1/(A453=A469),E453)),0),2)</f>
        <v>0</v>
      </c>
      <c r="D469" s="21">
        <f>ROUND(IF(B469=0,0,D460/M439*P446),2)</f>
        <v>0</v>
      </c>
      <c r="E469" s="21">
        <f>ROUND(IF(B469=0,0,E460/N435*P446),2)</f>
        <v>0</v>
      </c>
      <c r="F469" s="22">
        <f>ROUND(IF(P446=0,0,IFERROR(((LOOKUP(2,1/(A446:A449=A469),I446:I449))/N435*P446),F468/P445*P446)),2)</f>
        <v>0</v>
      </c>
      <c r="G469" s="25">
        <f t="shared" si="76"/>
        <v>0</v>
      </c>
      <c r="H469" s="64">
        <f>IF(B469=0,0,IF(AND(H452="ja",((U469)&lt;R477)),ROUND(((R479*R476+((R477/(R477-R476))-(R476/(R477-R476))*R479)*((U469)-R476))*(H460*2))-(((R477/(R477-R476))*((U469)-R476))*H460),2),ROUND(IF(V468&lt;(SUM(R461:R468)),IF((V469)&gt;(SUM(R461:R469)),(((SUM(R461:R469))-(V469-C468))*H460)+((U469-C468)*H460),U469*H460),IF(V469&gt;(SUM(R461:R469)),R469*H460,U469*H460)),2)))</f>
        <v>0</v>
      </c>
      <c r="I469" s="64">
        <f>IF(B469=0,0,IF(AND(H452="ja",((U469)&lt;R477)),ROUND(((R479*R476+((R477/(R477-R476))-(R476/(R477-R476))*R479)*((U469)-R476))*(I460*2))-(((R477/(R477-R476))*((U469)-R476))*I460),2),ROUND(IF(V468&lt;(SUM(S461:S468)),IF((V469)&gt;(SUM(S461:S469)),(((SUM(S461:S469))-(V469-C468))*I460)+((U469-C468)*I460),U469*I460),IF(V469&gt;(SUM(S461:S469)),S469*I460,U469*I460)),2)))</f>
        <v>0</v>
      </c>
      <c r="J469" s="64">
        <f>IF(B469=0,0,IF(AND(H452="ja",((U469)&lt;R477)),ROUND(((R479*R476+((R477/(R477-R476))-(R476/(R477-R476))*R479)*((U469)-R476))*(J460*2))-(((R477/(R477-R476))*((U469)-R476))*J460),2),ROUND(IF(V468&lt;(SUM(S461:S468)),IF((V469)&gt;(SUM(S461:S469)),(((SUM(S461:S469))-(V469-C468))*J460)+((U469-C468)*J460),U469*J460),IF(V469&gt;(SUM(S461:S469)),S469*J460,U469*J460)),2)))</f>
        <v>0</v>
      </c>
      <c r="K469" s="64">
        <f>IF(B469=0,0,IF(AND(H452="ja",((U469)&lt;R477)),ROUND(((R479*R476+((R477/(R477-R476))-(R476/(R477-R476))*R479)*((U469)-R476))*(K460*2))-(((R477/(R477-R476))*((U469)-R476))*K460),2),ROUND(IF(V468&lt;(SUM(R461:R468)),IF((V469)&gt;(SUM(R461:R469)),(((SUM(R461:R469))-(V469-C468))*K460)+((U469-C468)*K460),U469*K460),IF(V469&gt;(SUM(R461:R469)),R469*K460,U469*K460)),2)))</f>
        <v>0</v>
      </c>
      <c r="L469" s="64">
        <f>IF(B469=0,0,IF(AND(H452="ja",((U469-C469)&lt;R477)),ROUND(((R479*R476+((R477/(R477-R476))-(R476/(R477-R476))*R479)*((U469-C469)-R476))*(L460)),2),ROUND(IF(SUM(B461:F468)&lt;(SUM(S461:S468)),IF((SUM(B461:F469))&gt;(SUM(S461:S469)),(((SUM(S461:S469))-(SUM(B461:F469)-C469))*L460)+((SUM(B469:F469)-C469)*L460),(SUM(B469:F469)-C469)*L460),IF(SUM(B461:F469)&gt;(SUM(S461:S469)),S469*L460,SUM(B469:F469)*L460)),2)))</f>
        <v>0</v>
      </c>
      <c r="M469" s="64">
        <f>IF(B469=0,0,IF(AND(H452="ja",((U469-C469)&lt;R477)),ROUND(((R479*R476+((R477/(R477-R476))-(R476/(R477-R476))*R479)*((U469-C469)-R476))*(M460)),2),ROUND(IF(SUM(B461:F468)&lt;(SUM(S461:S468)),IF((SUM(B461:F469))&gt;(SUM(S461:S469)),(((SUM(S461:S469))-(SUM(B461:F469)-C469))*M460)+((SUM(B469:F469)-C469)*M460),(SUM(B469:F469)-C469)*M460),IF(SUM(B461:F469)&gt;(SUM(S461:S469)),S469*M460,SUM(B469:F469)*M460)),2)))</f>
        <v>0</v>
      </c>
      <c r="N469" s="64">
        <f>IF(B469=0,0,IF(AND(H452="ja",((U469)&lt;R477)),ROUND(((R479*R476+((R477/(R477-R476))-(R476/(R477-R476))*R479)*((U469)-R476))*(N460)),2),ROUND(IF(SUM(B461:F468)&lt;(SUM(S461:S468)),IF((SUM(B461:F469))&gt;(SUM(S461:S469)),(((SUM(S461:S469))-(SUM(B461:F469)-C468))*N460)+((SUM(B469:F469)-C468)*N460),SUM(B469:F469)*N460),IF(SUM(B461:F469)&gt;(SUM(S461:S469)),S469*N460,SUM(B469:F469)*N460)),2)))</f>
        <v>0</v>
      </c>
      <c r="O469" s="21">
        <f>ROUND(SUM(B469+C469+F469)*O460,2)</f>
        <v>0</v>
      </c>
      <c r="P469" s="25">
        <f t="shared" si="77"/>
        <v>0</v>
      </c>
      <c r="Q469" s="456"/>
      <c r="R469" s="140">
        <f>ROUND(IF(M439="",R455,R455/M439*P446),2)</f>
        <v>5175</v>
      </c>
      <c r="S469" s="140">
        <f>ROUND(IF(M439="",R456,R456/M439*P446),2)</f>
        <v>7450</v>
      </c>
      <c r="U469" s="950">
        <f t="shared" si="78"/>
        <v>0</v>
      </c>
      <c r="V469" s="950">
        <f>SUM(B461:F469)</f>
        <v>0</v>
      </c>
    </row>
    <row r="470" spans="1:24" s="12" customFormat="1" ht="15" x14ac:dyDescent="0.25">
      <c r="A470" s="76" t="str">
        <f>CONCATENATE("Okt ",O437)</f>
        <v>Okt 2025</v>
      </c>
      <c r="B470" s="22">
        <f>ROUND(IF(P447=0,0,IFERROR(((LOOKUP(2,1/(A446:A449=A470),G446:G449))*P447*4.348),B469/P446*P447)),2)</f>
        <v>0</v>
      </c>
      <c r="C470" s="21">
        <f>ROUND(IFERROR((LOOKUP(2,1/(A452=A470),E452)),0)+IFERROR((LOOKUP(2,1/(A453=A470),E453)),0),2)</f>
        <v>0</v>
      </c>
      <c r="D470" s="21">
        <f>ROUND(IF(B470=0,0,D460/M439*P447),2)</f>
        <v>0</v>
      </c>
      <c r="E470" s="21">
        <f>ROUND(IF(B470=0,0,E460/N435*P447),2)</f>
        <v>0</v>
      </c>
      <c r="F470" s="22">
        <f>ROUND(IF(P447=0,0,IFERROR(((LOOKUP(2,1/(A446:A449=A470),I446:I449))/N435*P447),F469/P446*P447)),2)</f>
        <v>0</v>
      </c>
      <c r="G470" s="25">
        <f t="shared" si="76"/>
        <v>0</v>
      </c>
      <c r="H470" s="64">
        <f>IF(B470=0,0,IF(AND(H452="ja",((U470)&lt;R477)),ROUND(((R479*R476+((R477/(R477-R476))-(R476/(R477-R476))*R479)*((U470)-R476))*(H460*2))-(((R477/(R477-R476))*((U470)-R476))*H460),2),ROUND(IF(V469&lt;(SUM(R461:R469)),IF((V470)&gt;(SUM(R461:R470)),(((SUM(R461:R470))-(V470-C469))*H460)+((U470-C469)*H460),U470*H460),IF(V470&gt;(SUM(R461:R470)),R470*H460,U470*H460)),2)))</f>
        <v>0</v>
      </c>
      <c r="I470" s="64">
        <f>IF(B470=0,0,IF(AND(H452="ja",((U470)&lt;R477)),ROUND(((R479*R476+((R477/(R477-R476))-(R476/(R477-R476))*R479)*((U470)-R476))*(I460*2))-(((R477/(R477-R476))*((U470)-R476))*I460),2),ROUND(IF(V469&lt;(SUM(S461:S469)),IF((V470)&gt;(SUM(S461:S470)),(((SUM(S461:S470))-(V470-C469))*I460)+((U470-C469)*I460),U470*I460),IF(V470&gt;(SUM(S461:S470)),S470*I460,U470*I460)),2)))</f>
        <v>0</v>
      </c>
      <c r="J470" s="64">
        <f>IF(B470=0,0,IF(AND(H452="ja",((U470)&lt;R477)),ROUND(((R479*R476+((R477/(R477-R476))-(R476/(R477-R476))*R479)*((U470)-R476))*(J460*2))-(((R477/(R477-R476))*((U470)-R476))*J460),2),ROUND(IF(V469&lt;(SUM(S461:S469)),IF((V470)&gt;(SUM(S461:S470)),(((SUM(S461:S470))-(V470-C469))*J460)+((U470-C469)*J460),U470*J460),IF(V470&gt;(SUM(S461:S470)),S470*J460,U470*J460)),2)))</f>
        <v>0</v>
      </c>
      <c r="K470" s="64">
        <f>IF(B470=0,0,IF(AND(H452="ja",((U470)&lt;R477)),ROUND(((R479*R476+((R477/(R477-R476))-(R476/(R477-R476))*R479)*((U470)-R476))*(K460*2))-(((R477/(R477-R476))*((U470)-R476))*K460),2),ROUND(IF(V469&lt;(SUM(R461:R469)),IF((V470)&gt;(SUM(R461:R470)),(((SUM(R461:R470))-(V470-C469))*K460)+((U470-C469)*K460),U470*K460),IF(V470&gt;(SUM(R461:R470)),R470*K460,U470*K460)),2)))</f>
        <v>0</v>
      </c>
      <c r="L470" s="64">
        <f>IF(B470=0,0,IF(AND(H452="ja",((U470-C470)&lt;R477)),ROUND(((R479*R476+((R477/(R477-R476))-(R476/(R477-R476))*R479)*((U470-C470)-R476))*(L460)),2),ROUND(IF(SUM(B461:F469)&lt;(SUM(S461:S469)),IF((SUM(B461:F470))&gt;(SUM(S461:S470)),(((SUM(S461:S470))-(SUM(B461:F470)-C470))*L460)+((SUM(B470:F470)-C470)*L460),(SUM(B470:F470)-C470)*L460),IF(SUM(B461:F470)&gt;(SUM(S461:S470)),S470*L460,SUM(B470:F470)*L460)),2)))</f>
        <v>0</v>
      </c>
      <c r="M470" s="64">
        <f>IF(B470=0,0,IF(AND(H452="ja",((U470-C470)&lt;R477)),ROUND(((R479*R476+((R477/(R477-R476))-(R476/(R477-R476))*R479)*((U470-C470)-R476))*(M460)),2),ROUND(IF(SUM(B461:F469)&lt;(SUM(S461:S469)),IF((SUM(B461:F470))&gt;(SUM(S461:S470)),(((SUM(S461:S470))-(SUM(B461:F470)-C470))*M460)+((SUM(B470:F470)-C470)*M460),(SUM(B470:F470)-C470)*M460),IF(SUM(B461:F470)&gt;(SUM(S461:S470)),S470*M460,SUM(B470:F470)*M460)),2)))</f>
        <v>0</v>
      </c>
      <c r="N470" s="64">
        <f>IF(B470=0,0,IF(AND(H452="ja",((U470)&lt;R477)),ROUND(((R479*R476+((R477/(R477-R476))-(R476/(R477-R476))*R479)*((U470)-R476))*(N460)),2),ROUND(IF(SUM(B461:F469)&lt;(SUM(S461:S469)),IF((SUM(B461:F470))&gt;(SUM(S461:S470)),(((SUM(S461:S470))-(SUM(B461:F470)-C469))*N460)+((SUM(B470:F470)-C469)*N460),SUM(B470:F470)*N460),IF(SUM(B461:F470)&gt;(SUM(S461:S470)),S470*N460,SUM(B470:F470)*N460)),2)))</f>
        <v>0</v>
      </c>
      <c r="O470" s="21">
        <f>ROUND(SUM(B470+C470+F470)*O460,2)</f>
        <v>0</v>
      </c>
      <c r="P470" s="25">
        <f t="shared" si="77"/>
        <v>0</v>
      </c>
      <c r="Q470" s="936"/>
      <c r="R470" s="140">
        <f>ROUND(IF(M439="",R455,R455/M439*P447),2)</f>
        <v>5175</v>
      </c>
      <c r="S470" s="140">
        <f>ROUND(IF(M439="",R456,R456/M439*P447),2)</f>
        <v>7450</v>
      </c>
      <c r="U470" s="950">
        <f t="shared" si="78"/>
        <v>0</v>
      </c>
      <c r="V470" s="950">
        <f>SUM(B461:F470)</f>
        <v>0</v>
      </c>
      <c r="X470" s="1"/>
    </row>
    <row r="471" spans="1:24" s="11" customFormat="1" x14ac:dyDescent="0.2">
      <c r="A471" s="76" t="str">
        <f>CONCATENATE("Nov ",O437)</f>
        <v>Nov 2025</v>
      </c>
      <c r="B471" s="22">
        <f>ROUND(IF(P448=0,0,IFERROR(((LOOKUP(2,1/(A446:A449=A471),G446:G449))*P448*4.348),B470/P447*P448)),2)</f>
        <v>0</v>
      </c>
      <c r="C471" s="21">
        <f>ROUND(IFERROR((LOOKUP(2,1/(A452=A471),E452)),0)+(IFERROR((LOOKUP(2,1/(A453=A471),E453)),0)),2)</f>
        <v>0</v>
      </c>
      <c r="D471" s="21">
        <f>ROUND(IF(B471=0,0,D460/M439*P448),2)</f>
        <v>0</v>
      </c>
      <c r="E471" s="21">
        <f>ROUND(IF(B471=0,0,E460/N435*P448),2)</f>
        <v>0</v>
      </c>
      <c r="F471" s="22">
        <f>ROUND(IF(P448=0,0,IFERROR(((LOOKUP(2,1/(A446:A449=A471),I446:I449))/N435*P448),F470/P447*P448)),2)</f>
        <v>0</v>
      </c>
      <c r="G471" s="25">
        <f t="shared" si="76"/>
        <v>0</v>
      </c>
      <c r="H471" s="64">
        <f>IF(B471=0,0,IF(AND(H452="ja",((U471)&lt;R477)),ROUND(((R479*R476+((R477/(R477-R476))-(R476/(R477-R476))*R479)*((U471)-R476))*(H460*2))-(((R477/(R477-R476))*((U471)-R476))*H460),2),ROUND(IF(V470&lt;(SUM(R461:R470)),IF((V471)&gt;(SUM(R461:R471)),(((SUM(R461:R471))-(V471-C470))*H460)+((U471-C470)*H460),U471*H460),IF(V471&gt;(SUM(R461:R471)),R471*H460,U471*H460)),2)))</f>
        <v>0</v>
      </c>
      <c r="I471" s="64">
        <f>IF(B471=0,0,IF(AND(H452="ja",((U471)&lt;R477)),ROUND(((R479*R476+((R477/(R477-R476))-(R476/(R477-R476))*R479)*((U471)-R476))*(I460*2))-(((R477/(R477-R476))*((U471)-R476))*I460),2),ROUND(IF(V470&lt;(SUM(S461:S470)),IF((V471)&gt;(SUM(S461:S471)),(((SUM(S461:S471))-(V471-C470))*I460)+((U471-C470)*I460),U471*I460),IF(V471&gt;(SUM(S461:S471)),S471*I460,U471*I460)),2)))</f>
        <v>0</v>
      </c>
      <c r="J471" s="64">
        <f>IF(B471=0,0,IF(AND(H452="ja",((U471)&lt;R477)),ROUND(((R479*R476+((R477/(R477-R476))-(R476/(R477-R476))*R479)*((U471)-R476))*(J460*2))-(((R477/(R477-R476))*((U471)-R476))*J460),2),ROUND(IF(V470&lt;(SUM(S461:S470)),IF((V471)&gt;(SUM(S461:S471)),(((SUM(S461:S471))-(V471-C470))*J460)+((U471-C470)*J460),U471*J460),IF(V471&gt;(SUM(S461:S471)),S471*J460,U471*J460)),2)))</f>
        <v>0</v>
      </c>
      <c r="K471" s="64">
        <f>IF(B471=0,0,IF(AND(H452="ja",((U471)&lt;R477)),ROUND(((R479*R476+((R477/(R477-R476))-(R476/(R477-R476))*R479)*((U471)-R476))*(K460*2))-(((R477/(R477-R476))*((U471)-R476))*K460),2),ROUND(IF(V470&lt;(SUM(R461:R470)),IF((V471)&gt;(SUM(R461:R471)),(((SUM(R461:R471))-(V471-C470))*K460)+((U471-C470)*K460),U471*K460),IF(V471&gt;(SUM(R461:R471)),R471*K460,U471*K460)),2)))</f>
        <v>0</v>
      </c>
      <c r="L471" s="64">
        <f>IF(B471=0,0,IF(AND(H452="ja",((U471-C471)&lt;R477)),ROUND(((R479*R476+((R477/(R477-R476))-(R476/(R477-R476))*R479)*((U471-C471)-R476))*(L460)),2),ROUND(IF(SUM(B461:F470)&lt;(SUM(S461:S470)),IF((SUM(B461:F471))&gt;(SUM(S461:S471)),(((SUM(S461:S471))-(SUM(B461:F471)-C471))*L460)+((SUM(B471:F471)-C471)*L460),(SUM(B471:F471)-C471)*L460),IF(SUM(B461:F471)&gt;(SUM(S461:S471)),S471*L460,SUM(B471:F471)*L460)),2)))</f>
        <v>0</v>
      </c>
      <c r="M471" s="64">
        <f>IF(B471=0,0,IF(AND(H452="ja",((U471-C471)&lt;R477)),ROUND(((R479*R476+((R477/(R477-R476))-(R476/(R477-R476))*R479)*((U471-C471)-R476))*(M460)),2),ROUND(IF(SUM(B461:F470)&lt;(SUM(S461:S470)),IF((SUM(B461:F471))&gt;(SUM(S461:S471)),(((SUM(S461:S471))-(SUM(B461:F471)-C471))*M460)+((SUM(B471:F471)-C471)*M460),(SUM(B471:F471)-C471)*M460),IF(SUM(B461:F471)&gt;(SUM(S461:S471)),S471*M460,SUM(B471:F471)*M460)),2)))</f>
        <v>0</v>
      </c>
      <c r="N471" s="64">
        <f>IF(B471=0,0,IF(AND(H452="ja",((U471)&lt;R477)),ROUND(((R479*R476+((R477/(R477-R476))-(R476/(R477-R476))*R479)*((U471)-R476))*(N460)),2),ROUND(IF(SUM(B461:F470)&lt;(SUM(S461:S470)),IF((SUM(B461:F471))&gt;(SUM(S461:S471)),(((SUM(S461:S471))-(SUM(B461:F471)-C470))*N460)+((SUM(B471:F471)-C470)*N460),SUM(B471:F471)*N460),IF(SUM(B461:F471)&gt;(SUM(S461:S471)),S471*N460,SUM(B471:F471)*N460)),2)))</f>
        <v>0</v>
      </c>
      <c r="O471" s="21">
        <f>ROUND(SUM(B471+C471+F471)*O460,2)</f>
        <v>0</v>
      </c>
      <c r="P471" s="25">
        <f t="shared" si="77"/>
        <v>0</v>
      </c>
      <c r="R471" s="140">
        <f>ROUND(IF(M439="",R455,R455/M439*P448),2)</f>
        <v>5175</v>
      </c>
      <c r="S471" s="140">
        <f>ROUND(IF(M439="",R456,R456/M439*P448),2)</f>
        <v>7450</v>
      </c>
      <c r="U471" s="950">
        <f t="shared" si="78"/>
        <v>0</v>
      </c>
      <c r="V471" s="950">
        <f>SUM(B461:F471)</f>
        <v>0</v>
      </c>
      <c r="X471" s="1"/>
    </row>
    <row r="472" spans="1:24" s="1" customFormat="1" ht="14.25" customHeight="1" x14ac:dyDescent="0.2">
      <c r="A472" s="76" t="str">
        <f>CONCATENATE("Dez ",O437)</f>
        <v>Dez 2025</v>
      </c>
      <c r="B472" s="22">
        <f>ROUND(IF(P449=0,0,IFERROR(((LOOKUP(2,1/(A446:A449=A472),G446:G449))*P449*4.348),B471/P448*P449)),2)</f>
        <v>0</v>
      </c>
      <c r="C472" s="21">
        <f>ROUND(IFERROR((LOOKUP(2,1/(A452=A472),E452)),0)+IFERROR((LOOKUP(2,1/(A453=A472),E453)),0),2)</f>
        <v>0</v>
      </c>
      <c r="D472" s="21">
        <f>ROUND(IF(B472=0,0,D460/M439*P449),2)</f>
        <v>0</v>
      </c>
      <c r="E472" s="21">
        <f>ROUND(IF(B472=0,0,E460/N435*P449),2)</f>
        <v>0</v>
      </c>
      <c r="F472" s="22">
        <f>ROUND(IF(P449=0,0,IFERROR(((LOOKUP(2,1/(A446:A449=A472),I446:I449))/N435*P449),F471/P448*P449)),2)</f>
        <v>0</v>
      </c>
      <c r="G472" s="25">
        <f t="shared" si="76"/>
        <v>0</v>
      </c>
      <c r="H472" s="64">
        <f>IF(B472=0,0,IF(AND(H452="ja",((U472)&lt;R477)),ROUND(((R479*R476+((R477/(R477-R476))-(R476/(R477-R476))*R479)*((U472)-R476))*(H460*2))-(((R477/(R477-R476))*((U472)-R476))*H460),2),ROUND(IF(V471&lt;(SUM(R461:R471)),IF((V472)&gt;(SUM(R461:R472)),(((SUM(R461:R472))-(V472-C471))*H460)+((U472-C471)*H460),U472*H460),IF(V472&gt;(SUM(R461:R472)),R472*H460,U472*H460)),2)))</f>
        <v>0</v>
      </c>
      <c r="I472" s="64">
        <f>IF(B472=0,0,IF(AND(H452="ja",((U472)&lt;R477)),ROUND(((R479*R476+((R477/(R477-R476))-(R476/(R477-R476))*R479)*((U472)-R476))*(I460*2))-(((R477/(R477-R476))*((U472)-R476))*I460),2),ROUND(IF(V471&lt;(SUM(S461:S471)),IF((V472)&gt;(SUM(S461:S472)),(((SUM(S461:S472))-(V472-C471))*I460)+((U472-C471)*I460),U472*I460),IF(V472&gt;(SUM(S461:S472)),S472*I460,U472*I460)),2)))</f>
        <v>0</v>
      </c>
      <c r="J472" s="64">
        <f>IF(B472=0,0,IF(AND(H452="ja",((U472)&lt;R477)),ROUND(((R479*R476+((R477/(R477-R476))-(R476/(R477-R476))*R479)*((U472)-R476))*(J460*2))-(((R477/(R477-R476))*((U472)-R476))*J460),2),ROUND(IF(V471&lt;(SUM(S461:S471)),IF((V472)&gt;(SUM(S461:S472)),(((SUM(S461:S472))-(V472-C471))*J460)+((U472-C471)*J460),U472*J460),IF(V472&gt;(SUM(S461:S472)),S472*J460,U472*J460)),2)))</f>
        <v>0</v>
      </c>
      <c r="K472" s="64">
        <f>IF(B472=0,0,IF(AND(H452="ja",((U472)&lt;R477)),ROUND(((R479*R476+((R477/(R477-R476))-(R476/(R477-R476))*R479)*((U472)-R476))*(K460*2))-(((R477/(R477-R476))*((U472)-R476))*K460),2),ROUND(IF(V471&lt;(SUM(R461:R471)),IF((V472)&gt;(SUM(R461:R472)),(((SUM(R461:R472))-(V472-C471))*K460)+((U472-C471)*K460),U472*K460),IF(V472&gt;(SUM(R461:R472)),R472*K460,U472*K460)),2)))</f>
        <v>0</v>
      </c>
      <c r="L472" s="64">
        <f>IF(B472=0,0,IF(AND(H452="ja",((U472-C472)&lt;R477)),ROUND(((R479*R476+((R477/(R477-R476))-(R476/(R477-R476))*R479)*((U472-C472)-R476))*(L460)),2),ROUND(IF(SUM(B461:F471)&lt;(SUM(S461:S471)),IF((SUM(B461:F472))&gt;(SUM(S461:S472)),(((SUM(S461:S472))-(SUM(B461:F472)-C472))*L460)+((SUM(B472:F472)-C472)*L460),(SUM(B472:F472)-C472)*L460),IF(SUM(B461:F472)&gt;(SUM(S461:S472)),S472*L460,SUM(B472:F472)*L460)),2)))</f>
        <v>0</v>
      </c>
      <c r="M472" s="64">
        <f>IF(B472=0,0,IF(AND(H452="ja",((U472-C472)&lt;R477)),ROUND(((R479*R476+((R477/(R477-R476))-(R476/(R477-R476))*R479)*((U472-C472)-R476))*(M460)),2),ROUND(IF(SUM(B461:F471)&lt;(SUM(S461:S471)),IF((SUM(B461:F472))&gt;(SUM(S461:S472)),(((SUM(S461:S472))-(SUM(B461:F472)-C472))*M460)+((SUM(B472:F472)-C472)*M460),(SUM(B472:F472)-C472)*M460),IF(SUM(B461:F472)&gt;(SUM(S461:S472)),S472*M460,SUM(B472:F472)*M460)),2)))</f>
        <v>0</v>
      </c>
      <c r="N472" s="64">
        <f>IF(B472=0,0,IF(AND(H452="ja",((U472)&lt;R477)),ROUND(((R479*R476+((R477/(R477-R476))-(R476/(R477-R476))*R479)*((U472)-R476))*(N460)),2),ROUND(IF(SUM(B461:F471)&lt;(SUM(S461:S471)),IF((SUM(B461:F472))&gt;(SUM(S461:S472)),(((SUM(S461:S472))-(SUM(B461:F472)-C471))*N460)+((SUM(B472:F472)-C471)*N460),SUM(B472:F472)*N460),IF(SUM(B461:F472)&gt;(SUM(S461:S472)),S472*N460,SUM(B472:F472)*N460)),2)))</f>
        <v>0</v>
      </c>
      <c r="O472" s="21">
        <f>ROUND(SUM(B472+C472+F472)*O460,2)</f>
        <v>0</v>
      </c>
      <c r="P472" s="25">
        <f t="shared" si="77"/>
        <v>0</v>
      </c>
      <c r="Q472" s="11"/>
      <c r="R472" s="140">
        <f>ROUND(IF(M439="",R455,R455/M439*P449),2)</f>
        <v>5175</v>
      </c>
      <c r="S472" s="140">
        <f>ROUND(IF(M439="",R456,R456/M439*P449),2)</f>
        <v>7450</v>
      </c>
      <c r="U472" s="950">
        <f t="shared" si="78"/>
        <v>0</v>
      </c>
      <c r="V472" s="950">
        <f>SUM(B461:F472)</f>
        <v>0</v>
      </c>
    </row>
    <row r="473" spans="1:24" s="1" customFormat="1" ht="15" customHeight="1" x14ac:dyDescent="0.2">
      <c r="A473" s="2" t="s">
        <v>1</v>
      </c>
      <c r="B473" s="25">
        <f t="shared" ref="B473:G473" si="79">SUM(B461:B472)</f>
        <v>0</v>
      </c>
      <c r="C473" s="25">
        <f t="shared" si="79"/>
        <v>0</v>
      </c>
      <c r="D473" s="25">
        <f t="shared" si="79"/>
        <v>0</v>
      </c>
      <c r="E473" s="25">
        <f t="shared" si="79"/>
        <v>0</v>
      </c>
      <c r="F473" s="25">
        <f t="shared" si="79"/>
        <v>0</v>
      </c>
      <c r="G473" s="25">
        <f t="shared" si="79"/>
        <v>0</v>
      </c>
      <c r="H473" s="1309">
        <f>SUM(H461:N472)</f>
        <v>0</v>
      </c>
      <c r="I473" s="1310"/>
      <c r="J473" s="1310"/>
      <c r="K473" s="1310"/>
      <c r="L473" s="1310"/>
      <c r="M473" s="1310"/>
      <c r="N473" s="1311"/>
      <c r="O473" s="25">
        <f>SUM(O461:O472)</f>
        <v>0</v>
      </c>
      <c r="P473" s="25">
        <f>SUM(P461:P472)</f>
        <v>0</v>
      </c>
    </row>
    <row r="474" spans="1:24" s="1" customFormat="1" ht="12" customHeight="1" x14ac:dyDescent="0.2"/>
    <row r="475" spans="1:24" s="1" customFormat="1" ht="14.25" customHeight="1" x14ac:dyDescent="0.2">
      <c r="B475" s="906"/>
      <c r="H475" s="905"/>
      <c r="I475" s="62"/>
      <c r="J475" s="914" t="s">
        <v>123</v>
      </c>
      <c r="L475" s="900" t="s">
        <v>124</v>
      </c>
      <c r="M475" s="974" t="str">
        <f>IF(IF(G473=0,"",'päd.Personal - Leitung'!$M$43)=0,"",IF(G473=0,"",'päd.Personal - Leitung'!$M$43))</f>
        <v/>
      </c>
      <c r="N475" s="902" t="s">
        <v>125</v>
      </c>
      <c r="O475" s="963" t="str">
        <f>IF(IF(G473=0,"",'päd.Personal - Leitung'!$O$43)=0,"",IF(G473=0,"",'päd.Personal - Leitung'!$O$43))</f>
        <v/>
      </c>
      <c r="P475" s="25">
        <f>ROUND(IF(M475="",0,G473*M475*O475/1000),2)</f>
        <v>0</v>
      </c>
      <c r="Q475" s="937"/>
      <c r="R475" s="938">
        <v>2025</v>
      </c>
      <c r="S475" s="939"/>
    </row>
    <row r="476" spans="1:24" s="1" customFormat="1" ht="14.25" customHeight="1" x14ac:dyDescent="0.2">
      <c r="H476" s="907"/>
      <c r="I476" s="42"/>
      <c r="M476" s="915" t="s">
        <v>129</v>
      </c>
      <c r="N476" s="80" t="s">
        <v>125</v>
      </c>
      <c r="O476" s="75" t="str">
        <f>IF(IF(G473=0,"",'päd.Personal - Leitung'!$O$44)=0,"",IF(G473=0,"",'päd.Personal - Leitung'!$O$44))</f>
        <v/>
      </c>
      <c r="P476" s="25">
        <f>ROUND(IF(O476="",0,G473*O476/1000),2)</f>
        <v>0</v>
      </c>
      <c r="Q476" s="942" t="s">
        <v>737</v>
      </c>
      <c r="R476" s="141">
        <f>'päd.Personal - Leitung'!$R$44</f>
        <v>556</v>
      </c>
      <c r="S476" s="955">
        <f>'päd.Personal - Leitung'!$S$44</f>
        <v>12.82</v>
      </c>
    </row>
    <row r="477" spans="1:24" s="1" customFormat="1" ht="14.25" customHeight="1" x14ac:dyDescent="0.2">
      <c r="H477" s="912" t="s">
        <v>126</v>
      </c>
      <c r="I477" s="1013" t="s">
        <v>127</v>
      </c>
      <c r="J477" s="975" t="str">
        <f>IF(IF(G473=0,"",'päd.Personal - Leitung'!$J$45)=0,"",IF(G473=0,"",'päd.Personal - Leitung'!$J$45))</f>
        <v/>
      </c>
      <c r="K477" s="902" t="s">
        <v>128</v>
      </c>
      <c r="L477" s="964" t="str">
        <f>IF(IF(G473=0,"",'päd.Personal - Leitung'!$L$45)=0,"",IF(G473=0,"",'päd.Personal - Leitung'!$L$45))</f>
        <v/>
      </c>
      <c r="M477" s="16"/>
      <c r="N477" s="900" t="s">
        <v>132</v>
      </c>
      <c r="O477" s="965" t="str">
        <f>IF(IF(G473=0,"",'päd.Personal - Leitung'!$O$45)=0,"",IF(G473=0,"",'päd.Personal - Leitung'!$O$45))</f>
        <v/>
      </c>
      <c r="P477" s="25">
        <f>ROUND(IF(J477="",0,(J477*L477/O477)/M441*M442),2)</f>
        <v>0</v>
      </c>
      <c r="Q477" s="942" t="s">
        <v>738</v>
      </c>
      <c r="R477" s="140">
        <f>'päd.Personal - Leitung'!$R$45</f>
        <v>2000</v>
      </c>
      <c r="S477" s="939"/>
    </row>
    <row r="478" spans="1:24" s="1" customFormat="1" ht="14.25" customHeight="1" x14ac:dyDescent="0.2">
      <c r="D478" s="16"/>
      <c r="I478" s="16"/>
      <c r="J478" s="16"/>
      <c r="K478" s="63"/>
      <c r="L478" s="67"/>
      <c r="M478" s="915" t="s">
        <v>130</v>
      </c>
      <c r="N478" s="80" t="s">
        <v>131</v>
      </c>
      <c r="O478" s="904">
        <f>IF(IF(G473="",0,'päd.Personal - Leitung'!$O$94)=0,0,IF(G473="",0,'päd.Personal - Leitung'!$O$94))</f>
        <v>0</v>
      </c>
      <c r="P478" s="21">
        <f>ROUND(IF(G473=0,0,O478/M439*M440),2)</f>
        <v>0</v>
      </c>
      <c r="Q478" s="942" t="s">
        <v>740</v>
      </c>
      <c r="R478" s="956">
        <f>'päd.Personal - Leitung'!$R$46</f>
        <v>0.40900000000000003</v>
      </c>
    </row>
    <row r="479" spans="1:24" s="1" customFormat="1" ht="14.25" customHeight="1" x14ac:dyDescent="0.2">
      <c r="A479" s="16"/>
      <c r="B479" s="16"/>
      <c r="I479" s="905"/>
      <c r="J479" s="961" t="s">
        <v>176</v>
      </c>
      <c r="K479" s="1312" t="str">
        <f>IF($K$47="","",$K$47)</f>
        <v/>
      </c>
      <c r="L479" s="1312"/>
      <c r="M479" s="1312"/>
      <c r="N479" s="80" t="s">
        <v>131</v>
      </c>
      <c r="O479" s="904">
        <f>IF(IF(G473="",0,'päd.Personal - Leitung'!$O$95)=0,0,IF(G473="",0,'päd.Personal - Leitung'!$O$95))</f>
        <v>0</v>
      </c>
      <c r="P479" s="21">
        <f>ROUND(IF(G473=0,0,O479/M439*M440),2)</f>
        <v>0</v>
      </c>
      <c r="Q479" s="942" t="s">
        <v>739</v>
      </c>
      <c r="R479" s="940">
        <f>'päd.Personal - Leitung'!$R$47</f>
        <v>0.68459999999999999</v>
      </c>
      <c r="S479" s="957">
        <f>'päd.Personal - Leitung'!$S$47</f>
        <v>0.28000000000000003</v>
      </c>
    </row>
    <row r="480" spans="1:24" s="1" customFormat="1" ht="14.25" customHeight="1" x14ac:dyDescent="0.2">
      <c r="A480" s="908"/>
      <c r="B480" s="908"/>
      <c r="C480" s="1013"/>
      <c r="D480" s="1013"/>
      <c r="I480" s="913"/>
      <c r="J480" s="913"/>
      <c r="K480" s="916"/>
      <c r="L480" s="27"/>
      <c r="M480" s="27"/>
      <c r="N480" s="27"/>
      <c r="O480" s="26" t="s">
        <v>0</v>
      </c>
      <c r="P480" s="25">
        <f>P473+SUM(P475:P479)</f>
        <v>0</v>
      </c>
    </row>
    <row r="481" spans="1:19" s="10" customFormat="1" ht="13.5" customHeight="1" x14ac:dyDescent="0.2">
      <c r="A481" s="1321" t="s">
        <v>17</v>
      </c>
      <c r="B481" s="1321"/>
      <c r="C481" s="1321"/>
      <c r="D481" s="1320" t="str">
        <f>IF('päd.Personal - Leitung'!$D$1="","",'päd.Personal - Leitung'!$D$1)</f>
        <v/>
      </c>
      <c r="E481" s="1320"/>
      <c r="F481" s="1320"/>
      <c r="G481" s="1320"/>
      <c r="H481" s="1320"/>
      <c r="I481" s="1320"/>
      <c r="J481" s="1320"/>
      <c r="K481" s="1320"/>
      <c r="L481" s="1320"/>
      <c r="M481" s="1320"/>
      <c r="N481" s="1320"/>
    </row>
    <row r="482" spans="1:19" s="10" customFormat="1" ht="15" customHeight="1" x14ac:dyDescent="0.2">
      <c r="A482" s="1321" t="s">
        <v>16</v>
      </c>
      <c r="B482" s="1321"/>
      <c r="C482" s="1321" t="s">
        <v>14</v>
      </c>
      <c r="D482" s="1320" t="str">
        <f>IF('päd.Personal - Leitung'!$D$2="","",'päd.Personal - Leitung'!$D$2)</f>
        <v/>
      </c>
      <c r="E482" s="1320"/>
      <c r="F482" s="1320"/>
      <c r="G482" s="1320"/>
      <c r="H482" s="1320"/>
      <c r="I482" s="1320"/>
      <c r="J482" s="1320"/>
      <c r="K482" s="1320"/>
      <c r="L482" s="1320"/>
      <c r="M482" s="1320"/>
      <c r="N482" s="1320"/>
    </row>
    <row r="483" spans="1:19" s="10" customFormat="1" ht="15" customHeight="1" x14ac:dyDescent="0.2">
      <c r="A483" s="1321" t="s">
        <v>15</v>
      </c>
      <c r="B483" s="1321"/>
      <c r="C483" s="1321" t="s">
        <v>14</v>
      </c>
      <c r="D483" s="1320" t="str">
        <f>IF('päd.Personal - Leitung'!$D$3="","",'päd.Personal - Leitung'!$D$3)</f>
        <v/>
      </c>
      <c r="E483" s="1320"/>
      <c r="F483" s="1320"/>
      <c r="G483" s="1320"/>
      <c r="H483" s="1320"/>
      <c r="I483" s="1320"/>
      <c r="J483" s="1320"/>
      <c r="K483" s="1321" t="s">
        <v>100</v>
      </c>
      <c r="L483" s="1321"/>
      <c r="M483" s="1321"/>
      <c r="N483" s="38" t="str">
        <f>IF('päd.Personal - Leitung'!$N$3="","",'päd.Personal - Leitung'!$N$3)</f>
        <v/>
      </c>
    </row>
    <row r="484" spans="1:19" s="923" customFormat="1" ht="7.5" customHeight="1" x14ac:dyDescent="0.15">
      <c r="A484" s="1353"/>
      <c r="B484" s="1353"/>
      <c r="C484" s="1353"/>
      <c r="D484" s="1354"/>
      <c r="E484" s="1354"/>
      <c r="F484" s="1354"/>
      <c r="G484" s="1354"/>
      <c r="H484" s="1354"/>
      <c r="I484" s="1354"/>
      <c r="J484" s="1354"/>
      <c r="K484" s="922"/>
      <c r="L484" s="922"/>
      <c r="M484" s="922"/>
      <c r="N484" s="922"/>
      <c r="O484" s="922"/>
      <c r="P484" s="922"/>
    </row>
    <row r="485" spans="1:19" s="13" customFormat="1" ht="13.5" customHeight="1" x14ac:dyDescent="0.2">
      <c r="A485" s="1355" t="s">
        <v>151</v>
      </c>
      <c r="B485" s="1355"/>
      <c r="C485" s="1355"/>
      <c r="D485" s="1355"/>
      <c r="E485" s="1355"/>
      <c r="F485" s="1355"/>
      <c r="G485" s="1355"/>
      <c r="H485" s="1355"/>
      <c r="I485" s="1355"/>
      <c r="J485" s="1355"/>
      <c r="K485" s="7"/>
      <c r="L485" s="7"/>
      <c r="M485" s="7"/>
      <c r="N485" s="52"/>
      <c r="O485" s="138">
        <f>'päd.Personal - Leitung'!$O$5</f>
        <v>2025</v>
      </c>
      <c r="P485" s="52" t="s">
        <v>140</v>
      </c>
    </row>
    <row r="486" spans="1:19" s="8" customFormat="1" ht="13.5" customHeight="1" x14ac:dyDescent="0.25">
      <c r="B486" s="29"/>
      <c r="C486" s="29"/>
      <c r="D486" s="3" t="s">
        <v>46</v>
      </c>
      <c r="E486" s="28"/>
      <c r="F486" s="28"/>
      <c r="G486" s="28"/>
      <c r="H486" s="28"/>
      <c r="I486" s="24"/>
      <c r="K486" s="1327" t="s">
        <v>13</v>
      </c>
      <c r="L486" s="1327"/>
      <c r="M486" s="131"/>
      <c r="O486" s="928" t="str">
        <f>A509</f>
        <v>Jan 2025</v>
      </c>
      <c r="P486" s="1402">
        <f>IF(M488="","",M488)</f>
        <v>0</v>
      </c>
    </row>
    <row r="487" spans="1:19" s="5" customFormat="1" ht="13.5" customHeight="1" x14ac:dyDescent="0.25">
      <c r="A487" s="1328" t="s">
        <v>754</v>
      </c>
      <c r="B487" s="1328"/>
      <c r="C487" s="1328"/>
      <c r="D487" s="1345"/>
      <c r="E487" s="1345"/>
      <c r="F487" s="1345"/>
      <c r="G487" s="1345"/>
      <c r="H487" s="1345"/>
      <c r="I487" s="1345"/>
      <c r="K487" s="1327" t="s">
        <v>101</v>
      </c>
      <c r="L487" s="1327"/>
      <c r="M487" s="101"/>
      <c r="O487" s="928" t="str">
        <f t="shared" ref="O487:O497" si="80">A510</f>
        <v>Feb 2025</v>
      </c>
      <c r="P487" s="1403">
        <f t="shared" ref="P487:P494" si="81">IF(P486="","",P486)</f>
        <v>0</v>
      </c>
    </row>
    <row r="488" spans="1:19" s="1" customFormat="1" ht="13.5" customHeight="1" x14ac:dyDescent="0.2">
      <c r="A488" s="1328" t="s">
        <v>12</v>
      </c>
      <c r="B488" s="1328"/>
      <c r="C488" s="1328"/>
      <c r="D488" s="1345"/>
      <c r="E488" s="1345"/>
      <c r="F488" s="1345"/>
      <c r="G488" s="1345"/>
      <c r="H488" s="1345"/>
      <c r="I488" s="1345"/>
      <c r="K488" s="1327" t="s">
        <v>149</v>
      </c>
      <c r="L488" s="1327"/>
      <c r="M488" s="101">
        <f>IF((M489+M490)&gt;M487,0,M487-M489-M490)</f>
        <v>0</v>
      </c>
      <c r="O488" s="928" t="str">
        <f t="shared" si="80"/>
        <v>Mrz 2025</v>
      </c>
      <c r="P488" s="1403">
        <f t="shared" si="81"/>
        <v>0</v>
      </c>
    </row>
    <row r="489" spans="1:19" s="1" customFormat="1" ht="13.5" customHeight="1" x14ac:dyDescent="0.2">
      <c r="A489" s="1328" t="s">
        <v>11</v>
      </c>
      <c r="B489" s="1328"/>
      <c r="C489" s="1328"/>
      <c r="D489" s="1345"/>
      <c r="E489" s="1345"/>
      <c r="F489" s="1345"/>
      <c r="G489" s="1345"/>
      <c r="H489" s="1345"/>
      <c r="I489" s="1345"/>
      <c r="K489" s="1327" t="s">
        <v>150</v>
      </c>
      <c r="L489" s="1327"/>
      <c r="M489" s="101"/>
      <c r="O489" s="928" t="str">
        <f t="shared" si="80"/>
        <v>Apr 2025</v>
      </c>
      <c r="P489" s="1403">
        <f t="shared" si="81"/>
        <v>0</v>
      </c>
    </row>
    <row r="490" spans="1:19" s="1" customFormat="1" ht="13.5" customHeight="1" x14ac:dyDescent="0.2">
      <c r="A490" s="1328" t="s">
        <v>18</v>
      </c>
      <c r="B490" s="1328"/>
      <c r="C490" s="1328"/>
      <c r="D490" s="1345"/>
      <c r="E490" s="1345"/>
      <c r="F490" s="1345"/>
      <c r="G490" s="1345"/>
      <c r="H490" s="1345"/>
      <c r="I490" s="1345"/>
      <c r="K490" s="1327" t="s">
        <v>222</v>
      </c>
      <c r="L490" s="1327"/>
      <c r="M490" s="101"/>
      <c r="O490" s="928" t="str">
        <f t="shared" si="80"/>
        <v>Mai 2025</v>
      </c>
      <c r="P490" s="1403">
        <f t="shared" si="81"/>
        <v>0</v>
      </c>
    </row>
    <row r="491" spans="1:19" s="1" customFormat="1" ht="13.5" customHeight="1" x14ac:dyDescent="0.2">
      <c r="B491" s="6"/>
      <c r="C491" s="1029" t="s">
        <v>147</v>
      </c>
      <c r="D491" s="1324"/>
      <c r="E491" s="1324"/>
      <c r="F491" s="1359" t="s">
        <v>103</v>
      </c>
      <c r="G491" s="1359"/>
      <c r="H491" s="1361"/>
      <c r="I491" s="1361"/>
      <c r="K491" s="1327" t="s">
        <v>94</v>
      </c>
      <c r="L491" s="1327"/>
      <c r="M491" s="15" t="str">
        <f>IF(IF((COUNTIF(B509:B520,"&gt;0"))=0,0,(COUNTIF(B509:B520,"&gt;0")))&gt;Grundlagen!$C$26,Grundlagen!$C$26,IF((COUNTIF(B509:B520,"&gt;0"))=0,"",(COUNTIF(B509:B520,"&gt;0"))))</f>
        <v/>
      </c>
      <c r="O491" s="928" t="str">
        <f t="shared" si="80"/>
        <v>Jun 2025</v>
      </c>
      <c r="P491" s="1403">
        <f t="shared" si="81"/>
        <v>0</v>
      </c>
    </row>
    <row r="492" spans="1:19" s="1" customFormat="1" ht="13.5" customHeight="1" x14ac:dyDescent="0.2">
      <c r="I492" s="4"/>
      <c r="M492" s="102" t="str">
        <f>IF((SUM(F494:F497))=0,"",IF(P498&gt;M488,M488,IF(M488="","",IF(M491="","",P498))))</f>
        <v/>
      </c>
      <c r="O492" s="928" t="str">
        <f t="shared" si="80"/>
        <v>Jul 2025</v>
      </c>
      <c r="P492" s="1403">
        <f t="shared" si="81"/>
        <v>0</v>
      </c>
    </row>
    <row r="493" spans="1:19" s="46" customFormat="1" ht="13.5" customHeight="1" x14ac:dyDescent="0.2">
      <c r="A493" s="54" t="s">
        <v>134</v>
      </c>
      <c r="B493" s="1356" t="s">
        <v>135</v>
      </c>
      <c r="C493" s="1356"/>
      <c r="D493" s="55" t="s">
        <v>136</v>
      </c>
      <c r="E493" s="56" t="s">
        <v>137</v>
      </c>
      <c r="F493" s="57" t="str">
        <f>CONCATENATE("Entg. ",N483," h/Wo")</f>
        <v>Entg.  h/Wo</v>
      </c>
      <c r="G493" s="58" t="s">
        <v>138</v>
      </c>
      <c r="I493" s="58" t="s">
        <v>139</v>
      </c>
      <c r="K493" s="970"/>
      <c r="L493" s="970"/>
      <c r="M493" s="59"/>
      <c r="N493" s="968"/>
      <c r="O493" s="928" t="str">
        <f t="shared" si="80"/>
        <v>Aug 2025</v>
      </c>
      <c r="P493" s="1403">
        <f t="shared" si="81"/>
        <v>0</v>
      </c>
      <c r="Q493" s="85"/>
      <c r="R493" s="85"/>
      <c r="S493" s="85"/>
    </row>
    <row r="494" spans="1:19" s="46" customFormat="1" ht="13.5" customHeight="1" x14ac:dyDescent="0.25">
      <c r="A494" s="48" t="str">
        <f>'päd.Personal - Leitung'!$A$14</f>
        <v>Jan 2025</v>
      </c>
      <c r="B494" s="1357" t="str">
        <f>IF($D$3="","",$D$3)</f>
        <v/>
      </c>
      <c r="C494" s="1358"/>
      <c r="D494" s="132"/>
      <c r="E494" s="132"/>
      <c r="F494" s="71"/>
      <c r="G494" s="50">
        <f>IF(N483="",0,F494/N483/4.348)</f>
        <v>0</v>
      </c>
      <c r="I494" s="125">
        <f>SUM(J494:M494)</f>
        <v>0</v>
      </c>
      <c r="J494" s="124"/>
      <c r="K494" s="124"/>
      <c r="L494" s="124"/>
      <c r="M494" s="124"/>
      <c r="N494" s="969"/>
      <c r="O494" s="928" t="str">
        <f t="shared" si="80"/>
        <v>Sep 2025</v>
      </c>
      <c r="P494" s="1403">
        <f t="shared" si="81"/>
        <v>0</v>
      </c>
      <c r="Q494" s="85"/>
      <c r="R494" s="85"/>
      <c r="S494" s="85"/>
    </row>
    <row r="495" spans="1:19" s="46" customFormat="1" ht="13.5" customHeight="1" x14ac:dyDescent="0.25">
      <c r="A495" s="49"/>
      <c r="B495" s="1322" t="str">
        <f>IF(A495="","",B494)</f>
        <v/>
      </c>
      <c r="C495" s="1323"/>
      <c r="D495" s="132"/>
      <c r="E495" s="132"/>
      <c r="F495" s="71"/>
      <c r="G495" s="50">
        <f>IF(N483="",0,F495/N483/4.348)</f>
        <v>0</v>
      </c>
      <c r="I495" s="125">
        <f t="shared" ref="I495:I497" si="82">SUM(J495:M495)</f>
        <v>0</v>
      </c>
      <c r="J495" s="124"/>
      <c r="K495" s="124"/>
      <c r="L495" s="124"/>
      <c r="M495" s="124"/>
      <c r="N495" s="969"/>
      <c r="O495" s="928" t="str">
        <f t="shared" si="80"/>
        <v>Okt 2025</v>
      </c>
      <c r="P495" s="1403">
        <f t="shared" ref="P495:P497" si="83">IF(P494="","",P494)</f>
        <v>0</v>
      </c>
      <c r="Q495" s="85"/>
      <c r="R495" s="85"/>
      <c r="S495" s="85"/>
    </row>
    <row r="496" spans="1:19" s="46" customFormat="1" ht="13.5" customHeight="1" x14ac:dyDescent="0.25">
      <c r="A496" s="49"/>
      <c r="B496" s="1322" t="str">
        <f>IF(A496="","",B495)</f>
        <v/>
      </c>
      <c r="C496" s="1323"/>
      <c r="D496" s="132"/>
      <c r="E496" s="132"/>
      <c r="F496" s="71"/>
      <c r="G496" s="50">
        <f>IF(N483="",0,F496/N483/4.348)</f>
        <v>0</v>
      </c>
      <c r="I496" s="125">
        <f t="shared" si="82"/>
        <v>0</v>
      </c>
      <c r="J496" s="124"/>
      <c r="K496" s="124"/>
      <c r="L496" s="124"/>
      <c r="M496" s="124"/>
      <c r="N496" s="969"/>
      <c r="O496" s="928" t="str">
        <f t="shared" si="80"/>
        <v>Nov 2025</v>
      </c>
      <c r="P496" s="1403">
        <f t="shared" si="83"/>
        <v>0</v>
      </c>
      <c r="Q496" s="85"/>
      <c r="R496" s="85"/>
      <c r="S496" s="85"/>
    </row>
    <row r="497" spans="1:22" s="46" customFormat="1" ht="13.5" customHeight="1" x14ac:dyDescent="0.25">
      <c r="A497" s="49"/>
      <c r="B497" s="1322" t="str">
        <f>IF(A497="","",B496)</f>
        <v/>
      </c>
      <c r="C497" s="1323"/>
      <c r="D497" s="132"/>
      <c r="E497" s="132"/>
      <c r="F497" s="71"/>
      <c r="G497" s="50">
        <f>IF(N483="",0,F497/N483/4.348)</f>
        <v>0</v>
      </c>
      <c r="I497" s="125">
        <f t="shared" si="82"/>
        <v>0</v>
      </c>
      <c r="J497" s="124"/>
      <c r="K497" s="124"/>
      <c r="L497" s="124"/>
      <c r="M497" s="124"/>
      <c r="N497" s="969"/>
      <c r="O497" s="928" t="str">
        <f t="shared" si="80"/>
        <v>Dez 2025</v>
      </c>
      <c r="P497" s="1403">
        <f t="shared" si="83"/>
        <v>0</v>
      </c>
      <c r="Q497" s="85"/>
      <c r="R497" s="85"/>
      <c r="S497" s="85"/>
    </row>
    <row r="498" spans="1:22" s="46" customFormat="1" ht="13.5" customHeight="1" x14ac:dyDescent="0.25">
      <c r="B498" s="972"/>
      <c r="C498" s="972"/>
      <c r="E498" s="972"/>
      <c r="F498" s="972"/>
      <c r="I498" s="930" t="s">
        <v>730</v>
      </c>
      <c r="J498" s="1060"/>
      <c r="K498" s="1060"/>
      <c r="L498" s="1060"/>
      <c r="M498" s="1060"/>
      <c r="N498" s="971"/>
      <c r="O498" s="126" t="s">
        <v>221</v>
      </c>
      <c r="P498" s="127">
        <f>IF(M491="",0,((IF(SUMIF(B509,"&gt;0"),P486,0))+(IF(SUMIF(B510,"&gt;0"),P487,0))+(IF(SUMIF(B511,"&gt;0"),P488,0))+(IF(SUMIF(B512,"&gt;0"),P489,0))+(IF(SUMIF(B513,"&gt;0"),P490,0))+(IF(SUMIF(B514,"&gt;0"),P491,0))+(IF(SUMIF(B515,"&gt;0"),P492,0))+(IF(SUMIF(B516,"&gt;0"),P493,0))+(IF(SUMIF(B517,"&gt;0"),P494,0))+(IF(SUMIF(B518,"&gt;0"),P495,0))+(IF(SUMIF(B519,"&gt;0"),P496,0))+(IF(SUMIF(B520,"&gt;0"),P497,0)))/Grundlagen!$C$26)</f>
        <v>0</v>
      </c>
      <c r="Q498" s="944" t="str">
        <f>CONCATENATE("BBG"," anteilig ",O500)</f>
        <v>BBG anteilig 2025</v>
      </c>
      <c r="R498" s="931" t="s">
        <v>659</v>
      </c>
      <c r="S498" s="931" t="s">
        <v>398</v>
      </c>
      <c r="T498" s="107"/>
    </row>
    <row r="499" spans="1:22" s="46" customFormat="1" ht="13.5" customHeight="1" x14ac:dyDescent="0.2">
      <c r="A499" s="924" t="s">
        <v>732</v>
      </c>
      <c r="D499" s="55" t="s">
        <v>369</v>
      </c>
      <c r="E499" s="56" t="s">
        <v>368</v>
      </c>
      <c r="F499" s="58"/>
      <c r="J499" s="61"/>
      <c r="Q499" s="932" t="s">
        <v>144</v>
      </c>
      <c r="R499" s="140">
        <f>IF(M488=0,R503,IF(M487="",R503,(SUM(R509:R520)/M491)))</f>
        <v>5175</v>
      </c>
      <c r="S499" s="933">
        <f>IF(M488=0,S503,IF(M487="",S503,SUM(R509:R520)))</f>
        <v>0</v>
      </c>
      <c r="T499" s="107"/>
    </row>
    <row r="500" spans="1:22" s="46" customFormat="1" ht="13.5" customHeight="1" x14ac:dyDescent="0.25">
      <c r="A500" s="60"/>
      <c r="B500" s="1314" t="str">
        <f>IF($B$20="","",$B$20)</f>
        <v>Jahressonderzahlung (JSZ)</v>
      </c>
      <c r="C500" s="1315"/>
      <c r="D500" s="926"/>
      <c r="E500" s="929" t="str">
        <f>IF(A500="","",ROUND((((SUM(B515:B517)+SUM(F515:F517))/3)*D500)/Grundlagen!$C$26*M491,2))</f>
        <v/>
      </c>
      <c r="G500" s="941" t="s">
        <v>733</v>
      </c>
      <c r="H500" s="943"/>
      <c r="I500" s="1316" t="str">
        <f>CONCATENATE(R523,":"," Übergangsbereich von ",R524+0.01," €"," bis ",R525," €")</f>
        <v>2025: Übergangsbereich von 556,01 € bis 2000 €</v>
      </c>
      <c r="J500" s="1317"/>
      <c r="K500" s="1317"/>
      <c r="L500" s="1067"/>
      <c r="M500" s="1067"/>
      <c r="N500" s="1068" t="s">
        <v>736</v>
      </c>
      <c r="O500" s="1069">
        <f>P500+1</f>
        <v>2025</v>
      </c>
      <c r="P500" s="1069" t="s">
        <v>721</v>
      </c>
      <c r="Q500" s="932" t="s">
        <v>145</v>
      </c>
      <c r="R500" s="140">
        <f>IF(M488=0,R504,IF(M487="",R504,(SUM(S509:S520)/M491)))</f>
        <v>7450</v>
      </c>
      <c r="S500" s="933">
        <f>IF(M488=0,S504,IF(M487="",S504,SUM(S509:S520)))</f>
        <v>0</v>
      </c>
      <c r="T500" s="109"/>
    </row>
    <row r="501" spans="1:22" s="1" customFormat="1" ht="14.25" customHeight="1" x14ac:dyDescent="0.2">
      <c r="A501" s="60"/>
      <c r="B501" s="1314" t="str">
        <f>IF($B$21="","",$B$21)</f>
        <v>Leistungsentgelt (LOB)</v>
      </c>
      <c r="C501" s="1315"/>
      <c r="D501" s="926"/>
      <c r="E501" s="929" t="str">
        <f>IF(A501="","",ROUND(((B521+F521)*D501)/Grundlagen!$C$26*M491,2))</f>
        <v/>
      </c>
      <c r="G501" s="941" t="str">
        <f>IF(OR(H500="",H500="nein")=TRUE,"","Faktor (F):")</f>
        <v/>
      </c>
      <c r="H501" s="949" t="str">
        <f>IF(OR(H500="",H500="nein")=TRUE,"",IF(H500="","",R527))</f>
        <v/>
      </c>
      <c r="I501" s="1318" t="str">
        <f>IF(OR(H500="",H500="nein")=TRUE,"",IF(H501="","",CONCATENATE(S527*100,"%"," / ","(",R526*100,"%"," Gesamt-SV-Beitragssatz 2024)")))</f>
        <v/>
      </c>
      <c r="J501" s="1319"/>
      <c r="K501" s="1319"/>
      <c r="L501" s="1070"/>
      <c r="M501" s="1070"/>
      <c r="N501" s="1071" t="s">
        <v>144</v>
      </c>
      <c r="O501" s="1072">
        <f>'päd.Personal - Leitung'!$O$21</f>
        <v>5175</v>
      </c>
      <c r="P501" s="1072">
        <f>'päd.Personal - Leitung'!$P$21</f>
        <v>5175</v>
      </c>
      <c r="Q501" s="11"/>
      <c r="R501" s="11"/>
      <c r="S501" s="11"/>
      <c r="T501" s="109"/>
    </row>
    <row r="502" spans="1:22" s="1" customFormat="1" ht="14.25" customHeight="1" x14ac:dyDescent="0.2">
      <c r="C502" s="925" t="s">
        <v>731</v>
      </c>
      <c r="L502" s="1070"/>
      <c r="M502" s="1070"/>
      <c r="N502" s="1071" t="s">
        <v>145</v>
      </c>
      <c r="O502" s="1073">
        <f>'päd.Personal - Leitung'!$O$22</f>
        <v>7450</v>
      </c>
      <c r="P502" s="1073">
        <f>'päd.Personal - Leitung'!$P$22</f>
        <v>7450</v>
      </c>
      <c r="Q502" s="944" t="str">
        <f>CONCATENATE("BBG"," ",O500)</f>
        <v>BBG 2025</v>
      </c>
      <c r="R502" s="11"/>
      <c r="S502" s="11"/>
      <c r="T502" s="109"/>
    </row>
    <row r="503" spans="1:22" s="1" customFormat="1" ht="14.25" customHeight="1" x14ac:dyDescent="0.2">
      <c r="A503" s="53" t="s">
        <v>141</v>
      </c>
      <c r="B503" s="46"/>
      <c r="C503" s="46"/>
      <c r="D503" s="46"/>
      <c r="E503" s="46"/>
      <c r="F503" s="46"/>
      <c r="G503" s="46"/>
      <c r="H503" s="46"/>
      <c r="I503" s="46"/>
      <c r="J503" s="46"/>
      <c r="K503" s="46"/>
      <c r="L503" s="46"/>
      <c r="M503" s="46"/>
      <c r="N503" s="46"/>
      <c r="O503" s="46"/>
      <c r="P503" s="46"/>
      <c r="Q503" s="932" t="s">
        <v>144</v>
      </c>
      <c r="R503" s="141">
        <f>IF($O$21="",0,$O$21)</f>
        <v>5175</v>
      </c>
      <c r="S503" s="933">
        <f>R503*IF(M491="",0,M491)</f>
        <v>0</v>
      </c>
      <c r="T503" s="295"/>
    </row>
    <row r="504" spans="1:22" s="1" customFormat="1" ht="14.25" customHeight="1" x14ac:dyDescent="0.2">
      <c r="A504" s="1346"/>
      <c r="B504" s="1348" t="s">
        <v>8</v>
      </c>
      <c r="C504" s="1349"/>
      <c r="D504" s="1349"/>
      <c r="E504" s="1349"/>
      <c r="F504" s="1349"/>
      <c r="G504" s="1350"/>
      <c r="H504" s="1351" t="s">
        <v>113</v>
      </c>
      <c r="I504" s="1352"/>
      <c r="J504" s="1352"/>
      <c r="K504" s="1352"/>
      <c r="L504" s="1352"/>
      <c r="M504" s="1352"/>
      <c r="N504" s="1352"/>
      <c r="O504" s="30"/>
      <c r="P504" s="1330" t="s">
        <v>0</v>
      </c>
      <c r="Q504" s="932" t="s">
        <v>145</v>
      </c>
      <c r="R504" s="141">
        <f>IF($O$22="",0,$O$22)</f>
        <v>7450</v>
      </c>
      <c r="S504" s="933">
        <f>R504*IF(M491="",0,M491)</f>
        <v>0</v>
      </c>
      <c r="T504" s="830"/>
    </row>
    <row r="505" spans="1:22" s="1" customFormat="1" ht="14.25" customHeight="1" x14ac:dyDescent="0.2">
      <c r="A505" s="1347"/>
      <c r="B505" s="1333" t="s">
        <v>111</v>
      </c>
      <c r="C505" s="1335" t="s">
        <v>743</v>
      </c>
      <c r="D505" s="1337" t="s">
        <v>226</v>
      </c>
      <c r="E505" s="1339" t="s">
        <v>133</v>
      </c>
      <c r="F505" s="1030" t="s">
        <v>6</v>
      </c>
      <c r="G505" s="1340" t="s">
        <v>5</v>
      </c>
      <c r="H505" s="1339" t="s">
        <v>119</v>
      </c>
      <c r="I505" s="1339" t="s">
        <v>4</v>
      </c>
      <c r="J505" s="1339" t="s">
        <v>3</v>
      </c>
      <c r="K505" s="1339" t="s">
        <v>2</v>
      </c>
      <c r="L505" s="1339" t="s">
        <v>114</v>
      </c>
      <c r="M505" s="1339" t="s">
        <v>115</v>
      </c>
      <c r="N505" s="1339" t="s">
        <v>116</v>
      </c>
      <c r="O505" s="1338" t="s">
        <v>109</v>
      </c>
      <c r="P505" s="1331"/>
      <c r="Q505" s="456"/>
      <c r="R505" s="11"/>
      <c r="S505" s="11"/>
      <c r="T505" s="621"/>
    </row>
    <row r="506" spans="1:22" s="1" customFormat="1" ht="14.25" customHeight="1" x14ac:dyDescent="0.2">
      <c r="A506" s="1347"/>
      <c r="B506" s="1333"/>
      <c r="C506" s="1335"/>
      <c r="D506" s="1338"/>
      <c r="E506" s="1339"/>
      <c r="F506" s="1343" t="str">
        <f>I498</f>
        <v>Zuschläge / Zulagen / o.ä.:</v>
      </c>
      <c r="G506" s="1340"/>
      <c r="H506" s="1342" t="s">
        <v>117</v>
      </c>
      <c r="I506" s="1342"/>
      <c r="J506" s="1342"/>
      <c r="K506" s="1342"/>
      <c r="L506" s="1342"/>
      <c r="M506" s="1342"/>
      <c r="N506" s="1342"/>
      <c r="O506" s="1338"/>
      <c r="P506" s="1331"/>
      <c r="Q506" s="456"/>
      <c r="R506" s="1306" t="str">
        <f>Q498</f>
        <v>BBG anteilig 2025</v>
      </c>
      <c r="S506" s="1306"/>
      <c r="T506" s="829"/>
    </row>
    <row r="507" spans="1:22" s="1" customFormat="1" ht="14.25" customHeight="1" x14ac:dyDescent="0.2">
      <c r="A507" s="1347"/>
      <c r="B507" s="1333"/>
      <c r="C507" s="1335"/>
      <c r="D507" s="1338"/>
      <c r="E507" s="1339"/>
      <c r="F507" s="1343"/>
      <c r="G507" s="1340"/>
      <c r="H507" s="39" t="str">
        <f>'päd.Personal - Leitung'!$H$27</f>
        <v>(7,30% + Zusatz)</v>
      </c>
      <c r="I507" s="39" t="str">
        <f>'päd.Personal - Leitung'!$I$27</f>
        <v xml:space="preserve"> (2024: 9,30%)</v>
      </c>
      <c r="J507" s="39" t="str">
        <f>'päd.Personal - Leitung'!$J$27</f>
        <v>(2024: 1,30%)</v>
      </c>
      <c r="K507" s="39" t="str">
        <f>'päd.Personal - Leitung'!$K$27</f>
        <v>(2024: 1,700%)</v>
      </c>
      <c r="L507" s="39"/>
      <c r="M507" s="39"/>
      <c r="N507" s="39" t="str">
        <f>'päd.Personal - Leitung'!$N$27</f>
        <v>(2024: 0,06%)</v>
      </c>
      <c r="O507" s="1338"/>
      <c r="P507" s="1331"/>
      <c r="Q507" s="456"/>
      <c r="R507" s="1307" t="s">
        <v>659</v>
      </c>
      <c r="S507" s="1307"/>
      <c r="T507" s="829"/>
      <c r="U507" s="1308" t="s">
        <v>1</v>
      </c>
      <c r="V507" s="1308" t="s">
        <v>741</v>
      </c>
    </row>
    <row r="508" spans="1:22" s="1" customFormat="1" x14ac:dyDescent="0.2">
      <c r="A508" s="1347"/>
      <c r="B508" s="1334"/>
      <c r="C508" s="1336"/>
      <c r="D508" s="45"/>
      <c r="E508" s="45"/>
      <c r="F508" s="1344"/>
      <c r="G508" s="1341"/>
      <c r="H508" s="74"/>
      <c r="I508" s="99">
        <f>'päd.Personal - Leitung'!$I$28</f>
        <v>0</v>
      </c>
      <c r="J508" s="99">
        <f>'päd.Personal - Leitung'!$J$28</f>
        <v>0</v>
      </c>
      <c r="K508" s="40">
        <f>'päd.Personal - Leitung'!$K$28</f>
        <v>0</v>
      </c>
      <c r="L508" s="19"/>
      <c r="M508" s="19"/>
      <c r="N508" s="99">
        <f>'päd.Personal - Leitung'!$N$28</f>
        <v>0</v>
      </c>
      <c r="O508" s="23"/>
      <c r="P508" s="1332"/>
      <c r="Q508" s="456"/>
      <c r="R508" s="935" t="s">
        <v>144</v>
      </c>
      <c r="S508" s="935" t="s">
        <v>145</v>
      </c>
      <c r="T508" s="829"/>
      <c r="U508" s="1308"/>
      <c r="V508" s="1308"/>
    </row>
    <row r="509" spans="1:22" s="1" customFormat="1" x14ac:dyDescent="0.2">
      <c r="A509" s="76" t="str">
        <f>CONCATENATE("Jan ",O485)</f>
        <v>Jan 2025</v>
      </c>
      <c r="B509" s="22">
        <f>ROUND(IF(P486=0,0,(LOOKUP(2,1/(A494:A497=A509),G494:G497))*P486*4.348),2)</f>
        <v>0</v>
      </c>
      <c r="C509" s="21">
        <f>ROUND(IFERROR((LOOKUP(2,1/(A500=A509),E500)),0)+IFERROR((LOOKUP(2,1/(A501=A509),E501)),0),2)</f>
        <v>0</v>
      </c>
      <c r="D509" s="21">
        <f>ROUND(IF(B509=0,0,D508/M487*P486),2)</f>
        <v>0</v>
      </c>
      <c r="E509" s="21">
        <f>ROUND(IF(B509=0,0,E508/N483*P486),2)</f>
        <v>0</v>
      </c>
      <c r="F509" s="22">
        <f>ROUND(IF(P486=0,0,(LOOKUP(2,1/(A494:A497=A509),I494:I497))/N483*P486),2)</f>
        <v>0</v>
      </c>
      <c r="G509" s="25">
        <f t="shared" ref="G509:G520" si="84">SUM(B509+C509+E509+F509)</f>
        <v>0</v>
      </c>
      <c r="H509" s="64">
        <f>IF(B509=0,0,IF(AND(H500="ja",((U509)&lt;R525)),ROUND(((R527*R524+((R525/(R525-R524))-(R524/(R525-R524))*R527)*((U509)-R524))*(H508*2))-(((R525/(R525-R524))*((U509)-R524))*H508),2),ROUND(IF((U509)&gt;R509,R509*H508,U509*H508),2)))</f>
        <v>0</v>
      </c>
      <c r="I509" s="64">
        <f>IF(B509=0,0,IF(AND(H500="ja",((U509)&lt;R525)),ROUND(((R527*R524+((R525/(R525-R524))-(R524/(R525-R524))*R527)*((U509)-R524))*(I508*2))-(((R525/(R525-R524))*((U509)-R524))*I508),2),ROUND(IF((U509)&gt;S509,S509*I508,U509*I508),2)))</f>
        <v>0</v>
      </c>
      <c r="J509" s="64">
        <f>IF(B509=0,0,IF(AND(H500="ja",((U509)&lt;R525)),ROUND(((R527*R524+((R525/(R525-R524))-(R524/(R525-R524))*R527)*((U509)-R524))*(J508*2))-(((R525/(R525-R524))*((U509)-R524))*J508),2),ROUND(IF((U509)&gt;S509,S509*J508,U509*J508),2)))</f>
        <v>0</v>
      </c>
      <c r="K509" s="64">
        <f>IF(B509=0,0,IF(AND(H500="ja",((U509)&lt;R525)),ROUND(((R527*R524+((R525/(R525-R524))-(R524/(R525-R524))*R527)*((U509)-R524))*(K508*2))-(((R525/(R525-R524))*((U509)-R524))*K508),2),ROUND(IF((U509)&gt;R509,R509*K508,U509*K508),2)))</f>
        <v>0</v>
      </c>
      <c r="L509" s="64">
        <f>IF(B509=0,0,IF(AND(H500="ja",((U509-C509)&lt;R525)),ROUND(((R527*R524+((R525/(R525-R524))-(R524/(R525-R524))*R527)*((U509-C509)-R524))*(L508)),2),ROUND(IF((SUM(B509:F509))&gt;S509,S509*L508,(SUM(B509:F509)-C509)*L508),2)))</f>
        <v>0</v>
      </c>
      <c r="M509" s="64">
        <f>IF(B509=0,0,IF(AND(H500="ja",((U509-C509)&lt;R525)),ROUND(((R527*R524+((R525/(R525-R524))-(R524/(R525-R524))*R527)*((U509-C509)-R524))*(M508)),2),ROUND(IF((SUM(B509:F509))&gt;S509,S509*M508,(SUM(B509:F509)-C509)*M508),2)))</f>
        <v>0</v>
      </c>
      <c r="N509" s="64">
        <f>IF(B509=0,0,IF(AND(H500="ja",((U509)&lt;R525)),ROUND(((R527*R524+((R525/(R525-R524))-(R524/(R525-R524))*R527)*((U509)-R524))*(N508)),2),ROUND(IF((SUM(B509:F509))&gt;S509,S509*N508,SUM(B509:F509)*N508),2)))</f>
        <v>0</v>
      </c>
      <c r="O509" s="21">
        <f>ROUND(SUM(B509+C509+F509)*O508,2)</f>
        <v>0</v>
      </c>
      <c r="P509" s="25">
        <f>SUM(G509:O509)</f>
        <v>0</v>
      </c>
      <c r="Q509" s="456"/>
      <c r="R509" s="140">
        <f>ROUND(IF(M487="",R503,R503/M487*P486),2)</f>
        <v>5175</v>
      </c>
      <c r="S509" s="140">
        <f>ROUND(IF(M487="",R504,R504/M487*P486),2)</f>
        <v>7450</v>
      </c>
      <c r="U509" s="950">
        <f>SUM(B509:F509)</f>
        <v>0</v>
      </c>
      <c r="V509" s="950">
        <f>SUM(B509:F509)</f>
        <v>0</v>
      </c>
    </row>
    <row r="510" spans="1:22" s="1" customFormat="1" x14ac:dyDescent="0.2">
      <c r="A510" s="76" t="str">
        <f>CONCATENATE("Feb ",O485)</f>
        <v>Feb 2025</v>
      </c>
      <c r="B510" s="22">
        <f>ROUND(IF(P487=0,0,IFERROR(((LOOKUP(2,1/(A494:A497=A510),G494:G497))*P487*4.348),B509/P486*P487)),2)</f>
        <v>0</v>
      </c>
      <c r="C510" s="21">
        <f>ROUND(IFERROR((LOOKUP(2,1/(A500=A510),E500)),0)+IFERROR((LOOKUP(2,1/(A501=A510),E501)),0),2)</f>
        <v>0</v>
      </c>
      <c r="D510" s="21">
        <f>ROUND(IF(B510=0,0,D508/M487*P487),2)</f>
        <v>0</v>
      </c>
      <c r="E510" s="21">
        <f>ROUND(IF(B510=0,0,E508/N483*P487),2)</f>
        <v>0</v>
      </c>
      <c r="F510" s="22">
        <f>ROUND(IF(P487=0,0,IFERROR(((LOOKUP(2,1/(A494:A497=A510),I494:I497))/N483*P487),F509/P486*P487)),2)</f>
        <v>0</v>
      </c>
      <c r="G510" s="25">
        <f t="shared" si="84"/>
        <v>0</v>
      </c>
      <c r="H510" s="64">
        <f>IF(B510=0,0,IF(AND(H500="ja",((U510)&lt;R525)),ROUND(((R527*R524+((R525/(R525-R524))-(R524/(R525-R524))*R527)*((U510)-R524))*(H508*2))-(((R525/(R525-R524))*((U510)-R524))*H508),2),ROUND(IF(U509&lt;(R509),IF((V510)&gt;(SUM(R509:R510)),(((SUM(R509:R510))-(V510-C509))*H508)+((U510-C509)*H508),U510*H508),IF(V510&gt;(SUM(R509:R510)),R510*H508,U510*H508)),2)))</f>
        <v>0</v>
      </c>
      <c r="I510" s="64">
        <f>IF(B510=0,0,IF(AND(H500="ja",((U510)&lt;R525)),ROUND(((R527*R524+((R525/(R525-R524))-(R524/(R525-R524))*R527)*((U510)-R524))*(I508*2))-(((R525/(R525-R524))*((U510)-R524))*I508),2),ROUND(IF(U509&lt;(S509),IF((V510)&gt;(SUM(S509:S510)),(((SUM(S509:S510))-(V510-C509))*I508)+((U510-C509)*I508),U510*I508),IF(V510&gt;(SUM(S509:S510)),S510*I508,U510*I508)),2)))</f>
        <v>0</v>
      </c>
      <c r="J510" s="64">
        <f>IF(B510=0,0,IF(AND(H500="ja",((U510)&lt;R525)),ROUND(((R527*R524+((R525/(R525-R524))-(R524/(R525-R524))*R527)*((U510)-R524))*(J508*2))-(((R525/(R525-R524))*((U510)-R524))*J508),2),ROUND(IF(U509&lt;(S509),IF((V510)&gt;(SUM(S509:S510)),(((SUM(S509:S510))-(V510-C509))*J508)+((U510-C509)*J508),U510*J508),IF(V510&gt;(SUM(S509:S510)),S510*J508,U510*J508)),2)))</f>
        <v>0</v>
      </c>
      <c r="K510" s="64">
        <f>IF(B510=0,0,IF(AND(H500="ja",((U510)&lt;R525)),ROUND(((R527*R524+((R525/(R525-R524))-(R524/(R525-R524))*R527)*((U510)-R524))*(K508*2))-(((R525/(R525-R524))*((U510)-R524))*K508),2),ROUND(IF(U509&lt;(R509),IF((V510)&gt;(SUM(R509:R510)),(((SUM(R509:R510))-(V510-C509))*K508)+((U510-C509)*K508),U510*K508),IF(V510&gt;(SUM(R509:R510)),R510*K508,U510*K508)),2)))</f>
        <v>0</v>
      </c>
      <c r="L510" s="64">
        <f>IF(B510=0,0,IF(AND(H500="ja",((U510-C510)&lt;R525)),ROUND(((R527*R524+((R525/(R525-R524))-(R524/(R525-R524))*R527)*((U510-C510)-R524))*(L508)),2),ROUND(IF(SUM(B509:F509)&lt;(S509),IF((SUM(B509:F510))&gt;(SUM(S509:S510)),(((SUM(S509:S510))-(SUM(B509:F510)-C510))*L508)+((SUM(B510:F510)-C510)*L508),(SUM(B510:F510)-C510)*L508),IF(SUM(B509:F510)&gt;(SUM(S509:S510)),S510*L508,SUM(B510:F510)*L508)),2)))</f>
        <v>0</v>
      </c>
      <c r="M510" s="64">
        <f>IF(B510=0,0,IF(AND(H500="ja",((U510-C510)&lt;R525)),ROUND(((R527*R524+((R525/(R525-R524))-(R524/(R525-R524))*R527)*((U510-C510)-R524))*(M508)),2),ROUND(IF(SUM(B509:F509)&lt;(S509),IF((SUM(B509:F510))&gt;(SUM(S509:S510)),(((SUM(S509:S510))-(SUM(B509:F510)-C510))*M508)+((SUM(B510:F510)-C510)*M508),(SUM(B510:F510)-C510)*M508),IF(SUM(B509:F510)&gt;(SUM(S509:S510)),S510*M508,SUM(B510:F510)*M508)),2)))</f>
        <v>0</v>
      </c>
      <c r="N510" s="64">
        <f>IF(B510=0,0,IF(AND(H500="ja",((U510)&lt;R525)),ROUND(((R527*R524+((R525/(R525-R524))-(R524/(R525-R524))*R527)*((U510)-R524))*(N508)),2),ROUND(IF(SUM(B509:F509)&lt;(S509),IF((SUM(B509:F510))&gt;(SUM(S509:S510)),(((SUM(S509:S510))-(SUM(B509:F510)-C509))*N508)+((SUM(B510:F510)-C509)*N508),SUM(B510:F510)*N508),IF(SUM(B509:F510)&gt;(SUM(S509:S510)),S510*N508,SUM(B510:F510)*N508)),2)))</f>
        <v>0</v>
      </c>
      <c r="O510" s="21">
        <f>ROUND(SUM(B510+C510+F510)*O508,2)</f>
        <v>0</v>
      </c>
      <c r="P510" s="25">
        <f t="shared" ref="P510:P520" si="85">SUM(G510:O510)</f>
        <v>0</v>
      </c>
      <c r="Q510" s="456"/>
      <c r="R510" s="140">
        <f>ROUND(IF(M487="",R503,R503/M487*P487),2)</f>
        <v>5175</v>
      </c>
      <c r="S510" s="140">
        <f>ROUND(IF(M487="",R504,R504/M487*P487),2)</f>
        <v>7450</v>
      </c>
      <c r="U510" s="950">
        <f t="shared" ref="U510:U520" si="86">SUM(B510:F510)</f>
        <v>0</v>
      </c>
      <c r="V510" s="950">
        <f>SUM(B509:F510)</f>
        <v>0</v>
      </c>
    </row>
    <row r="511" spans="1:22" s="1" customFormat="1" x14ac:dyDescent="0.2">
      <c r="A511" s="76" t="str">
        <f>CONCATENATE("Mrz ",O485)</f>
        <v>Mrz 2025</v>
      </c>
      <c r="B511" s="22">
        <f>ROUND(IF(P488=0,0,IFERROR(((LOOKUP(2,1/(A494:A497=A511),G494:G497))*P488*4.348),B510/P487*P488)),2)</f>
        <v>0</v>
      </c>
      <c r="C511" s="21">
        <f>ROUND(IFERROR((LOOKUP(2,1/(A500=A511),E500)),0)+IFERROR((LOOKUP(2,1/(A501=A511),E501)),0),2)</f>
        <v>0</v>
      </c>
      <c r="D511" s="21">
        <f>ROUND(IF(B511=0,0,D508/M487*P488),2)</f>
        <v>0</v>
      </c>
      <c r="E511" s="21">
        <f>ROUND(IF(B511=0,0,E508/N483*P488),2)</f>
        <v>0</v>
      </c>
      <c r="F511" s="22">
        <f>ROUND(IF(P488=0,0,IFERROR(((LOOKUP(2,1/(A494:A497=A511),I494:I497))/N483*P488),F510/P487*P488)),2)</f>
        <v>0</v>
      </c>
      <c r="G511" s="25">
        <f t="shared" si="84"/>
        <v>0</v>
      </c>
      <c r="H511" s="64">
        <f>IF(B511=0,0,IF(AND(H500="ja",((U511)&lt;R525)),ROUND(((R527*R524+((R525/(R525-R524))-(R524/(R525-R524))*R527)*((U511)-R524))*(H508*2))-(((R525/(R525-R524))*((U511)-R524))*H508),2),ROUND(IF(V510&lt;(SUM(R509:R510)),IF((V511)&gt;(SUM(R509:R511)),(((SUM(R509:R511))-(V511-C510))*H508)+((U511-C510)*H508),U511*H508),IF(V511&gt;(SUM(R509:R511)),R511*H508,U511*H508)),2)))</f>
        <v>0</v>
      </c>
      <c r="I511" s="64">
        <f>IF(B511=0,0,IF(AND(H500="ja",((U511)&lt;R525)),ROUND(((R527*R524+((R525/(R525-R524))-(R524/(R525-R524))*R527)*((U511)-R524))*(I508*2))-(((R525/(R525-R524))*((U511)-R524))*I508),2),ROUND(IF(V510&lt;(SUM(S509:S510)),IF((V511)&gt;(SUM(S509:S511)),(((SUM(S509:S511))-(V511-C510))*I508)+((U511-C510)*I508),U511*I508),IF(V511&gt;(SUM(S509:S511)),S511*I508,U511*I508)),2)))</f>
        <v>0</v>
      </c>
      <c r="J511" s="64">
        <f>IF(B511=0,0,IF(AND(H500="ja",((U511)&lt;R525)),ROUND(((R527*R524+((R525/(R525-R524))-(R524/(R525-R524))*R527)*((U511)-R524))*(J508*2))-(((R525/(R525-R524))*((U511)-R524))*J508),2),ROUND(IF(V510&lt;(SUM(S509:S510)),IF((V511)&gt;(SUM(S509:S511)),(((SUM(S509:S511))-(V511-C510))*J508)+((U511-C510)*J508),U511*J508),IF(V511&gt;(SUM(S509:S511)),S511*J508,U511*J508)),2)))</f>
        <v>0</v>
      </c>
      <c r="K511" s="64">
        <f>IF(B511=0,0,IF(AND(H500="ja",((U511)&lt;R525)),ROUND(((R527*R524+((R525/(R525-R524))-(R524/(R525-R524))*R527)*((U511)-R524))*(K508*2))-(((R525/(R525-R524))*((U511)-R524))*K508),2),ROUND(IF(V510&lt;(SUM(R509:R510)),IF((V511)&gt;(SUM(R509:R511)),(((SUM(R509:R511))-(V511-C510))*K508)+((U511-C510)*K508),U511*K508),IF(V511&gt;(SUM(R509:R511)),R511*K508,U511*K508)),2)))</f>
        <v>0</v>
      </c>
      <c r="L511" s="64">
        <f>IF(B511=0,0,IF(AND(H500="ja",((U511-C511)&lt;R525)),ROUND(((R527*R524+((R525/(R525-R524))-(R524/(R525-R524))*R527)*((U511-C511)-R524))*(L508)),2),ROUND(IF(SUM(B509:F510)&lt;(SUM(S509:S510)),IF((SUM(B509:F511))&gt;(SUM(S509:S511)),(((SUM(S509:S511))-(SUM(B509:F511)-C511))*L508)+((SUM(B511:F511)-C511)*L508),(SUM(B511:F511)-C511)*L508),IF(SUM(B509:F511)&gt;(SUM(S509:S511)),S511*L508,SUM(B511:F511)*L508)),2)))</f>
        <v>0</v>
      </c>
      <c r="M511" s="64">
        <f>IF(B511=0,0,IF(AND(H500="ja",((U511-C511)&lt;R525)),ROUND(((R527*R524+((R525/(R525-R524))-(R524/(R525-R524))*R527)*((U511-C511)-R524))*(M508)),2),ROUND(IF(SUM(B509:F510)&lt;(SUM(S509:S510)),IF((SUM(B509:F511))&gt;(SUM(S509:S511)),(((SUM(S509:S511))-(SUM(B509:F511)-C511))*M508)+((SUM(B511:F511)-C511)*M508),(SUM(B511:F511)-C511)*M508),IF(SUM(B509:F511)&gt;(SUM(S509:S511)),S511*M508,SUM(B511:F511)*M508)),2)))</f>
        <v>0</v>
      </c>
      <c r="N511" s="64">
        <f>IF(B511=0,0,IF(AND(H500="ja",((U511)&lt;R525)),ROUND(((R527*R524+((R525/(R525-R524))-(R524/(R525-R524))*R527)*((U511)-R524))*(N508)),2),ROUND(IF(SUM(B509:F510)&lt;(SUM(S509:S510)),IF((SUM(B509:F511))&gt;(SUM(S509:S511)),(((SUM(S509:S511))-(SUM(B509:F511)-C510))*N508)+((SUM(B511:F511)-C510)*N508),SUM(B511:F511)*N508),IF(SUM(B509:F511)&gt;(SUM(S509:S511)),S511*N508,SUM(B511:F511)*N508)),2)))</f>
        <v>0</v>
      </c>
      <c r="O511" s="21">
        <f>ROUND(SUM(B511+C511+F511)*O508,2)</f>
        <v>0</v>
      </c>
      <c r="P511" s="25">
        <f t="shared" si="85"/>
        <v>0</v>
      </c>
      <c r="Q511" s="456"/>
      <c r="R511" s="140">
        <f>ROUND(IF(M487="",R503,R503/M487*P488),2)</f>
        <v>5175</v>
      </c>
      <c r="S511" s="140">
        <f>ROUND(IF(M487="",R504,R504/M487*P488),2)</f>
        <v>7450</v>
      </c>
      <c r="U511" s="950">
        <f t="shared" si="86"/>
        <v>0</v>
      </c>
      <c r="V511" s="950">
        <f>SUM(B509:F511)</f>
        <v>0</v>
      </c>
    </row>
    <row r="512" spans="1:22" s="1" customFormat="1" x14ac:dyDescent="0.2">
      <c r="A512" s="76" t="str">
        <f>CONCATENATE("Apr ",O485)</f>
        <v>Apr 2025</v>
      </c>
      <c r="B512" s="22">
        <f>ROUND(IF(P489=0,0,IFERROR(((LOOKUP(2,1/(A494:A497=A512),G494:G497))*P489*4.348),B511/P488*P489)),2)</f>
        <v>0</v>
      </c>
      <c r="C512" s="21">
        <f>ROUND(IFERROR((LOOKUP(2,1/(A500=A512),E500)),0)+IFERROR((LOOKUP(2,1/(A501=A512),E501)),0),2)</f>
        <v>0</v>
      </c>
      <c r="D512" s="21">
        <f>ROUND(IF(B512=0,0,D508/M487*P489),2)</f>
        <v>0</v>
      </c>
      <c r="E512" s="21">
        <f>ROUND(IF(B512=0,0,E508/N483*P489),2)</f>
        <v>0</v>
      </c>
      <c r="F512" s="22">
        <f>ROUND(IF(P489=0,0,IFERROR(((LOOKUP(2,1/(A494:A497=A512),I494:I497))/N483*P489),F511/P488*P489)),2)</f>
        <v>0</v>
      </c>
      <c r="G512" s="25">
        <f t="shared" si="84"/>
        <v>0</v>
      </c>
      <c r="H512" s="64">
        <f>IF(B512=0,0,IF(AND(H500="ja",((U512)&lt;R525)),ROUND(((R527*R524+((R525/(R525-R524))-(R524/(R525-R524))*R527)*((U512)-R524))*(H508*2))-(((R525/(R525-R524))*((U512)-R524))*H508),2),ROUND(IF(V511&lt;(SUM(R509:R511)),IF((V512)&gt;(SUM(R509:R512)),(((SUM(R509:R512))-(V512-C511))*H508)+((U512-C511)*H508),U512*H508),IF(V512&gt;(SUM(R509:R512)),R512*H508,U512*H508)),2)))</f>
        <v>0</v>
      </c>
      <c r="I512" s="64">
        <f>IF(B512=0,0,IF(AND(H500="ja",((U512)&lt;R525)),ROUND(((R527*R524+((R525/(R525-R524))-(R524/(R525-R524))*R527)*((U512)-R524))*(I508*2))-(((R525/(R525-R524))*((U512)-R524))*I508),2),ROUND(IF(V511&lt;(SUM(S509:S511)),IF((V512)&gt;(SUM(S509:S512)),(((SUM(S509:S512))-(V512-C511))*I508)+((U512-C511)*I508),U512*I508),IF(V512&gt;(SUM(S509:S512)),S512*I508,U512*I508)),2)))</f>
        <v>0</v>
      </c>
      <c r="J512" s="64">
        <f>IF(B512=0,0,IF(AND(H500="ja",((U512)&lt;R525)),ROUND(((R527*R524+((R525/(R525-R524))-(R524/(R525-R524))*R527)*((U512)-R524))*(J508*2))-(((R525/(R525-R524))*((U512)-R524))*J508),2),ROUND(IF(U511&lt;(SUM(S509:S511)),IF((V512)&gt;(SUM(S509:S512)),(((SUM(S509:S512))-(V512-C511))*J508)+((U512-C511)*J508),U512*J508),IF(V512&gt;(SUM(S509:S512)),S512*J508,U512*J508)),2)))</f>
        <v>0</v>
      </c>
      <c r="K512" s="64">
        <f>IF(B512=0,0,IF(AND(H500="ja",((U512)&lt;R525)),ROUND(((R527*R524+((R525/(R525-R524))-(R524/(R525-R524))*R527)*((U512)-R524))*(K508*2))-(((R525/(R525-R524))*((U512)-R524))*K508),2),ROUND(IF(V511&lt;(SUM(R509:R511)),IF((V512)&gt;(SUM(R509:R512)),(((SUM(R509:R512))-(V512-C511))*K508)+((U512-C511)*K508),U512*K508),IF(V512&gt;(SUM(R509:R512)),R512*K508,U512*K508)),2)))</f>
        <v>0</v>
      </c>
      <c r="L512" s="64">
        <f>IF(B512=0,0,IF(AND(H500="ja",((U512-C512)&lt;R525)),ROUND(((R527*R524+((R525/(R525-R524))-(R524/(R525-R524))*R527)*((U512-C512)-R524))*(L508)),2),ROUND(IF(SUM(B509:F511)&lt;(SUM(S509:S511)),IF((SUM(B509:F512))&gt;(SUM(S509:S512)),(((SUM(S509:S512))-(SUM(B509:F512)-C512))*L508)+((SUM(B512:F512)-C512)*L508),(SUM(B512:F512)-C512)*L508),IF(SUM(B509:F512)&gt;(SUM(S509:S512)),S512*L508,SUM(B512:F512)*L508)),2)))</f>
        <v>0</v>
      </c>
      <c r="M512" s="64">
        <f>IF(B512=0,0,IF(AND(H500="ja",((U512-C512)&lt;R525)),ROUND(((R527*R524+((R525/(R525-R524))-(R524/(R525-R524))*R527)*((U512-C512)-R524))*(M508)),2),ROUND(IF(SUM(B509:F511)&lt;(SUM(S509:S511)),IF((SUM(B509:F512))&gt;(SUM(S509:S512)),(((SUM(S509:S512))-(SUM(B509:F512)-C512))*M508)+((SUM(B512:F512)-C512)*M508),(SUM(B512:F512)-C512)*M508),IF(SUM(B509:F512)&gt;(SUM(S509:S512)),S512*M508,SUM(B512:F512)*M508)),2)))</f>
        <v>0</v>
      </c>
      <c r="N512" s="64">
        <f>IF(B512=0,0,IF(AND(H500="ja",((U512)&lt;R525)),ROUND(((R527*R524+((R525/(R525-R524))-(R524/(R525-R524))*R527)*((U512)-R524))*(N508)),2),ROUND(IF(SUM(B509:F511)&lt;(SUM(S509:S511)),IF((SUM(B509:F512))&gt;(SUM(S509:S512)),(((SUM(S509:S512))-(SUM(B509:F512)-C511))*N508)+((SUM(B512:F512)-C511)*N508),SUM(B512:F512)*N508),IF(SUM(B509:F512)&gt;(SUM(S509:S512)),S512*N508,SUM(B512:F512)*N508)),2)))</f>
        <v>0</v>
      </c>
      <c r="O512" s="21">
        <f>ROUND(SUM(B512+C512+F512)*O508,2)</f>
        <v>0</v>
      </c>
      <c r="P512" s="25">
        <f t="shared" si="85"/>
        <v>0</v>
      </c>
      <c r="Q512" s="456"/>
      <c r="R512" s="140">
        <f>ROUND(IF(M487="",R503,R503/M487*P489),2)</f>
        <v>5175</v>
      </c>
      <c r="S512" s="140">
        <f>ROUND(IF(M487="",R504,R504/M487*P489),2)</f>
        <v>7450</v>
      </c>
      <c r="U512" s="950">
        <f t="shared" si="86"/>
        <v>0</v>
      </c>
      <c r="V512" s="950">
        <f>SUM(B509:F512)</f>
        <v>0</v>
      </c>
    </row>
    <row r="513" spans="1:24" s="1" customFormat="1" x14ac:dyDescent="0.2">
      <c r="A513" s="76" t="str">
        <f>CONCATENATE("Mai ",O485)</f>
        <v>Mai 2025</v>
      </c>
      <c r="B513" s="22">
        <f>ROUND(IF(P490=0,0,IFERROR(((LOOKUP(2,1/(A494:A497=A513),G494:G497))*P490*4.348),B512/P489*P490)),2)</f>
        <v>0</v>
      </c>
      <c r="C513" s="21">
        <f>ROUND(IFERROR((LOOKUP(2,1/(A500=A513),E500)),0)+IFERROR((LOOKUP(2,1/(A501=A513),E501)),0),2)</f>
        <v>0</v>
      </c>
      <c r="D513" s="21">
        <f>ROUND(IF(B513=0,0,D508/M487*P490),2)</f>
        <v>0</v>
      </c>
      <c r="E513" s="21">
        <f>ROUND(IF(B513=0,0,E508/N483*P490),2)</f>
        <v>0</v>
      </c>
      <c r="F513" s="22">
        <f>ROUND(IF(P490=0,0,IFERROR(((LOOKUP(2,1/(A494:A497=A513),I494:I497))/N483*P490),F512/P489*P490)),2)</f>
        <v>0</v>
      </c>
      <c r="G513" s="25">
        <f t="shared" si="84"/>
        <v>0</v>
      </c>
      <c r="H513" s="64">
        <f>IF(B513=0,0,IF(AND(H500="ja",((U513)&lt;R525)),ROUND(((R527*R524+((R525/(R525-R524))-(R524/(R525-R524))*R527)*((U513)-R524))*(H508*2))-(((R525/(R525-R524))*((U513)-R524))*H508),2),ROUND(IF(V512&lt;(SUM(R509:R512)),IF((V513)&gt;(SUM(R509:R513)),(((SUM(R509:R513))-(V513-C512))*H508)+((U513-C512)*H508),U513*H508),IF(V513&gt;(SUM(R509:R513)),R513*H508,U513*H508)),2)))</f>
        <v>0</v>
      </c>
      <c r="I513" s="64">
        <f>IF(B513=0,0,IF(AND(H500="ja",((U513)&lt;R525)),ROUND(((R527*R524+((R525/(R525-R524))-(R524/(R525-R524))*R527)*((U513)-R524))*(I508*2))-(((R525/(R525-R524))*((U513)-R524))*I508),2),ROUND(IF(V512&lt;(SUM(S509:S512)),IF((V513)&gt;(SUM(S509:S513)),(((SUM(S509:S513))-(V513-C512))*I508)+((U513-C512)*I508),U513*I508),IF(V513&gt;(SUM(S509:S513)),S513*I508,U513*I508)),2)))</f>
        <v>0</v>
      </c>
      <c r="J513" s="64">
        <f>IF(B513=0,0,IF(AND(H500="ja",((U513)&lt;R525)),ROUND(((R527*R524+((R525/(R525-R524))-(R524/(R525-R524))*R527)*((U513)-R524))*(J508*2))-(((R525/(R525-R524))*((U513)-R524))*J508),2),ROUND(IF(V512&lt;(SUM(S509:S512)),IF((V513)&gt;(SUM(S509:S513)),(((SUM(S509:S513))-(V513-C512))*J508)+((U513-C512)*J508),U513*J508),IF(V513&gt;(SUM(S509:S513)),S513*J508,U513*J508)),2)))</f>
        <v>0</v>
      </c>
      <c r="K513" s="64">
        <f>IF(B513=0,0,IF(AND(H500="ja",((U513)&lt;R525)),ROUND(((R527*R524+((R525/(R525-R524))-(R524/(R525-R524))*R527)*((U513)-R524))*(K508*2))-(((R525/(R525-R524))*((U513)-R524))*K508),2),ROUND(IF(V512&lt;(SUM(R509:R512)),IF((V513)&gt;(SUM(R509:R513)),(((SUM(R509:R513))-(V513-C512))*K508)+((U513-C512)*K508),U513*K508),IF(V513&gt;(SUM(R509:R513)),R513*K508,U513*K508)),2)))</f>
        <v>0</v>
      </c>
      <c r="L513" s="64">
        <f>IF(B513=0,0,IF(AND(H500="ja",((U513-C513)&lt;R525)),ROUND(((R527*R524+((R525/(R525-R524))-(R524/(R525-R524))*R527)*((U513-C513)-R524))*(L508)),2),ROUND(IF(SUM(B509:F512)&lt;(SUM(S509:S512)),IF((SUM(B509:F513))&gt;(SUM(S509:S513)),(((SUM(S509:S513))-(SUM(B509:F513)-C513))*L508)+((SUM(B513:F513)-C513)*L508),(SUM(B513:F513)-C513)*L508),IF(SUM(B509:F513)&gt;(SUM(S509:S513)),S513*L508,SUM(B513:F513)*L508)),2)))</f>
        <v>0</v>
      </c>
      <c r="M513" s="64">
        <f>IF(B513=0,0,IF(AND(H500="ja",((U513-C513)&lt;R525)),ROUND(((R527*R524+((R525/(R525-R524))-(R524/(R525-R524))*R527)*((U513-C513)-R524))*(M508)),2),ROUND(IF(SUM(B509:F512)&lt;(SUM(S509:S512)),IF((SUM(B509:F513))&gt;(SUM(S509:S513)),(((SUM(S509:S513))-(SUM(B509:F513)-C513))*M508)+((SUM(B513:F513)-C513)*M508),(SUM(B513:F513)-C513)*M508),IF(SUM(B509:F513)&gt;(SUM(S509:S513)),S513*M508,SUM(B513:F513)*M508)),2)))</f>
        <v>0</v>
      </c>
      <c r="N513" s="64">
        <f>IF(B513=0,0,IF(AND(H500="ja",((U513)&lt;R525)),ROUND(((R527*R524+((R525/(R525-R524))-(R524/(R525-R524))*R527)*((U513)-R524))*(N508)),2),ROUND(IF(SUM(B509:F512)&lt;(SUM(S509:S512)),IF((SUM(B509:F513))&gt;(SUM(S509:S513)),(((SUM(S509:S513))-(SUM(B509:F513)-C512))*N508)+((SUM(B513:F513)-C512)*N508),SUM(B513:F513)*N508),IF(SUM(B509:F513)&gt;(SUM(S509:S513)),S513*N508,SUM(B513:F513)*N508)),2)))</f>
        <v>0</v>
      </c>
      <c r="O513" s="21">
        <f>ROUND(SUM(B513+C513+F513)*O508,2)</f>
        <v>0</v>
      </c>
      <c r="P513" s="25">
        <f t="shared" si="85"/>
        <v>0</v>
      </c>
      <c r="Q513" s="456"/>
      <c r="R513" s="140">
        <f>ROUND(IF(M487="",R503,R503/M487*P490),2)</f>
        <v>5175</v>
      </c>
      <c r="S513" s="140">
        <f>ROUND(IF(M487="",R504,R504/M487*P490),2)</f>
        <v>7450</v>
      </c>
      <c r="U513" s="950">
        <f t="shared" si="86"/>
        <v>0</v>
      </c>
      <c r="V513" s="950">
        <f>SUM(B509:F513)</f>
        <v>0</v>
      </c>
    </row>
    <row r="514" spans="1:24" s="1" customFormat="1" x14ac:dyDescent="0.2">
      <c r="A514" s="76" t="str">
        <f>CONCATENATE("Jun ",O485)</f>
        <v>Jun 2025</v>
      </c>
      <c r="B514" s="22">
        <f>ROUND(IF(P491=0,0,IFERROR(((LOOKUP(2,1/(A494:A497=A514),G494:G497))*P491*4.348),B513/P490*P491)),2)</f>
        <v>0</v>
      </c>
      <c r="C514" s="21">
        <f>ROUND(IFERROR((LOOKUP(2,1/(A500=A514),E500)),0)+IFERROR((LOOKUP(2,1/(A501=A514),E501)),0),2)</f>
        <v>0</v>
      </c>
      <c r="D514" s="21">
        <f>ROUND(IF(B514=0,0,D508/M487*P491),2)</f>
        <v>0</v>
      </c>
      <c r="E514" s="21">
        <f>ROUND(IF(B514=0,0,E508/N483*P491),2)</f>
        <v>0</v>
      </c>
      <c r="F514" s="22">
        <f>ROUND(IF(P491=0,0,IFERROR(((LOOKUP(2,1/(A494:A497=A514),I494:I497))/N483*P491),F513/P490*P491)),2)</f>
        <v>0</v>
      </c>
      <c r="G514" s="25">
        <f t="shared" si="84"/>
        <v>0</v>
      </c>
      <c r="H514" s="64">
        <f>IF(B514=0,0,IF(AND(H500="ja",((U514)&lt;R525)),ROUND(((R527*R524+((R525/(R525-R524))-(R524/(R525-R524))*R527)*((U514)-R524))*(H508*2))-(((R525/(R525-R524))*((U514)-R524))*H508),2),ROUND(IF(V513&lt;(SUM(R509:R513)),IF((V514)&gt;(SUM(R509:R514)),(((SUM(R509:R514))-(V514-C513))*H508)+((U514-C513)*H508),U514*H508),IF(V514&gt;(SUM(R509:R514)),R514*H508,U514*H508)),2)))</f>
        <v>0</v>
      </c>
      <c r="I514" s="64">
        <f>IF(B514=0,0,IF(AND(H500="ja",((U514)&lt;R525)),ROUND(((R527*R524+((R525/(R525-R524))-(R524/(R525-R524))*R527)*((U514)-R524))*(I508*2))-(((R525/(R525-R524))*((U514)-R524))*I508),2),ROUND(IF(V513&lt;(SUM(S509:S513)),IF((V514)&gt;(SUM(S509:S514)),(((SUM(S509:S514))-(V514-C513))*I508)+((U514-C513)*I508),U514*I508),IF(V514&gt;(SUM(S509:S514)),S514*I508,U514*I508)),2)))</f>
        <v>0</v>
      </c>
      <c r="J514" s="64">
        <f>IF(B514=0,0,IF(AND(H500="ja",((U514)&lt;R525)),ROUND(((R527*R524+((R525/(R525-R524))-(R524/(R525-R524))*R527)*((U514)-R524))*(J508*2))-(((R525/(R525-R524))*((U514)-R524))*J508),2),ROUND(IF(V513&lt;(SUM(S509:S513)),IF((V514)&gt;(SUM(S509:S514)),(((SUM(S509:S514))-(V514-C513))*J508)+((U514-C513)*J508),U514*J508),IF(V514&gt;(SUM(S509:S514)),S514*J508,U514*J508)),2)))</f>
        <v>0</v>
      </c>
      <c r="K514" s="64">
        <f>IF(B514=0,0,IF(AND(H500="ja",((U514)&lt;R525)),ROUND(((R527*R524+((R525/(R525-R524))-(R524/(R525-R524))*R527)*((U514)-R524))*(K508*2))-(((R525/(R525-R524))*((U514)-R524))*K508),2),ROUND(IF(V513&lt;(SUM(R509:R513)),IF((V514)&gt;(SUM(R509:R514)),(((SUM(R509:R514))-(V514-C513))*K508)+((U514-C513)*K508),U514*K508),IF(V514&gt;(SUM(R509:R514)),R514*K508,U514*K508)),2)))</f>
        <v>0</v>
      </c>
      <c r="L514" s="64">
        <f>IF(B514=0,0,IF(AND(H500="ja",((U514-C514)&lt;R525)),ROUND(((R527*R524+((R525/(R525-R524))-(R524/(R525-R524))*R527)*((U514-C514)-R524))*(L508)),2),ROUND(IF(SUM(B509:F513)&lt;(SUM(S509:S513)),IF((SUM(B509:F514))&gt;(SUM(S509:S514)),(((SUM(S509:S514))-(SUM(B509:F514)-C514))*L508)+((SUM(B514:F514)-C514)*L508),(SUM(B514:F514)-C514)*L508),IF(SUM(B509:F514)&gt;(SUM(S509:S514)),S514*L508,SUM(B514:F514)*L508)),2)))</f>
        <v>0</v>
      </c>
      <c r="M514" s="64">
        <f>IF(B514=0,0,IF(AND(H500="ja",((U514-C514)&lt;R525)),ROUND(((R527*R524+((R525/(R525-R524))-(R524/(R525-R524))*R527)*((U514-C514)-R524))*(M508)),2),ROUND(IF(SUM(B509:F513)&lt;(SUM(S509:S513)),IF((SUM(B509:F514))&gt;(SUM(S509:S514)),(((SUM(S509:S514))-(SUM(B509:F514)-C514))*M508)+((SUM(B514:F514)-C514)*M508),(SUM(B514:F514)-C514)*M508),IF(SUM(B509:F514)&gt;(SUM(S509:S514)),S514*M508,SUM(B514:F514)*M508)),2)))</f>
        <v>0</v>
      </c>
      <c r="N514" s="64">
        <f>IF(B514=0,0,IF(AND(H500="ja",((U514)&lt;R525)),ROUND(((R527*R524+((R525/(R525-R524))-(R524/(R525-R524))*R527)*((U514)-R524))*(N508)),2),ROUND(IF(SUM(B509:F513)&lt;(SUM(S509:S513)),IF((SUM(B509:F514))&gt;(SUM(S509:S514)),(((SUM(S509:S514))-(SUM(B509:F514)-C513))*N508)+((SUM(B514:F514)-C513)*N508),SUM(B514:F514)*N508),IF(SUM(B509:F514)&gt;(SUM(S509:S514)),S514*N508,SUM(B514:F514)*N508)),2)))</f>
        <v>0</v>
      </c>
      <c r="O514" s="21">
        <f>ROUND(SUM(B514+C514+F514)*O508,2)</f>
        <v>0</v>
      </c>
      <c r="P514" s="25">
        <f t="shared" si="85"/>
        <v>0</v>
      </c>
      <c r="Q514" s="456"/>
      <c r="R514" s="140">
        <f>ROUND(IF(M487="",R503,R503/M487*P491),2)</f>
        <v>5175</v>
      </c>
      <c r="S514" s="140">
        <f>ROUND(IF(M487="",R504,R504/M487*P491),2)</f>
        <v>7450</v>
      </c>
      <c r="U514" s="950">
        <f t="shared" si="86"/>
        <v>0</v>
      </c>
      <c r="V514" s="950">
        <f>SUM(B509:F514)</f>
        <v>0</v>
      </c>
    </row>
    <row r="515" spans="1:24" s="1" customFormat="1" x14ac:dyDescent="0.2">
      <c r="A515" s="76" t="str">
        <f>CONCATENATE("Jul ",O485)</f>
        <v>Jul 2025</v>
      </c>
      <c r="B515" s="22">
        <f>ROUND(IF(P492=0,0,IFERROR(((LOOKUP(2,1/(A494:A497=A515),G494:G497))*P492*4.348),B514/P491*P492)),2)</f>
        <v>0</v>
      </c>
      <c r="C515" s="21">
        <f>ROUND(IFERROR((LOOKUP(2,1/(A500=A515),E500)),0)+IFERROR((LOOKUP(2,1/(A501=A515),E501)),0),2)</f>
        <v>0</v>
      </c>
      <c r="D515" s="21">
        <f>ROUND(IF(B515=0,0,D508/M487*P492),2)</f>
        <v>0</v>
      </c>
      <c r="E515" s="21">
        <f>ROUND(IF(B515=0,0,E508/N483*P492),2)</f>
        <v>0</v>
      </c>
      <c r="F515" s="22">
        <f>ROUND(IF(P492=0,0,IFERROR(((LOOKUP(2,1/(A494:A497=A515),I494:I497))/N483*P492),F514/P491*P492)),2)</f>
        <v>0</v>
      </c>
      <c r="G515" s="25">
        <f t="shared" si="84"/>
        <v>0</v>
      </c>
      <c r="H515" s="64">
        <f>IF(B515=0,0,IF(AND(H500="ja",((U515)&lt;R525)),ROUND(((R527*R524+((R525/(R525-R524))-(R524/(R525-R524))*R527)*((U515)-R524))*(H508*2))-(((R525/(R525-R524))*((U515)-R524))*H508),2),ROUND(IF(V514&lt;(SUM(R509:R514)),IF((V515)&gt;(SUM(R509:R515)),(((SUM(R509:R515))-(V515-C514))*H508)+((U515-C514)*H508),U515*H508),IF(V515&gt;(SUM(R509:R515)),R515*H508,U515*H508)),2)))</f>
        <v>0</v>
      </c>
      <c r="I515" s="64">
        <f>IF(B515=0,0,IF(AND(H500="ja",((U515)&lt;R525)),ROUND(((R527*R524+((R525/(R525-R524))-(R524/(R525-R524))*R527)*((U515)-R524))*(I508*2))-(((R525/(R525-R524))*((U515)-R524))*I508),2),ROUND(IF(V514&lt;(SUM(S509:S514)),IF((V515)&gt;(SUM(S509:S515)),(((SUM(S509:S515))-(V515-C514))*I508)+((U515-C514)*I508),U515*I508),IF(V515&gt;(SUM(S509:S515)),S515*I508,U515*I508)),2)))</f>
        <v>0</v>
      </c>
      <c r="J515" s="64">
        <f>IF(B515=0,0,IF(AND(H500="ja",((U515)&lt;R525)),ROUND(((R527*R524+((R525/(R525-R524))-(R524/(R525-R524))*R527)*((U515)-R524))*(J508*2))-(((R525/(R525-R524))*((U515)-R524))*J508),2),ROUND(IF(V514&lt;(SUM(S509:S514)),IF((V515)&gt;(SUM(S509:S515)),(((SUM(S509:S515))-(V515-C514))*J508)+((U515-C514)*J508),U515*J508),IF(V515&gt;(SUM(S509:S515)),S515*J508,U515*J508)),2)))</f>
        <v>0</v>
      </c>
      <c r="K515" s="64">
        <f>IF(B515=0,0,IF(AND(H500="ja",((U515)&lt;R525)),ROUND(((R527*R524+((R525/(R525-R524))-(R524/(R525-R524))*R527)*((U515)-R524))*(K508*2))-(((R525/(R525-R524))*((U515)-R524))*K508),2),ROUND(IF(V514&lt;(SUM(R509:R514)),IF((V515)&gt;(SUM(R509:R515)),(((SUM(R509:R515))-(V515-C514))*K508)+((U515-C514)*K508),U515*K508),IF(V515&gt;(SUM(R509:R515)),R515*K508,U515*K508)),2)))</f>
        <v>0</v>
      </c>
      <c r="L515" s="64">
        <f>IF(B515=0,0,IF(AND(H500="ja",((U515-C515)&lt;R525)),ROUND(((R527*R524+((R525/(R525-R524))-(R524/(R525-R524))*R527)*((U515-C515)-R524))*(L508)),2),ROUND(IF(SUM(B509:F514)&lt;(SUM(S509:S514)),IF((SUM(B509:F515))&gt;(SUM(S509:S515)),(((SUM(S509:S515))-(SUM(B509:F515)-C515))*L508)+((SUM(B515:F515)-C515)*L508),(SUM(B515:F515)-C515)*L508),IF(SUM(B509:F515)&gt;(SUM(S509:S515)),S515*L508,SUM(B515:F515)*L508)),2)))</f>
        <v>0</v>
      </c>
      <c r="M515" s="64">
        <f>IF(B515=0,0,IF(AND(H500="ja",((U515-C515)&lt;R525)),ROUND(((R527*R524+((R525/(R525-R524))-(R524/(R525-R524))*R527)*((U515-C515)-R524))*(M508)),2),ROUND(IF(SUM(B509:F514)&lt;(SUM(S509:S514)),IF((SUM(B509:F515))&gt;(SUM(S509:S515)),(((SUM(S509:S515))-(SUM(B509:F515)-C515))*M508)+((SUM(B515:F515)-C515)*M508),(SUM(B515:F515)-C515)*M508),IF(SUM(B509:F515)&gt;(SUM(S509:S515)),S515*M508,SUM(B515:F515)*M508)),2)))</f>
        <v>0</v>
      </c>
      <c r="N515" s="64">
        <f>IF(B515=0,0,IF(AND(H500="ja",((U515)&lt;R525)),ROUND(((R527*R524+((R525/(R525-R524))-(R524/(R525-R524))*R527)*((U515)-R524))*(N508)),2),ROUND(IF(SUM(B509:F514)&lt;(SUM(S509:S514)),IF((SUM(B509:F515))&gt;(SUM(S509:S515)),(((SUM(S509:S515))-(SUM(B509:F515)-C514))*N508)+((SUM(B515:F515)-C514)*N508),SUM(B515:F515)*N508),IF(SUM(B509:F515)&gt;(SUM(S509:S515)),S515*N508,SUM(B515:F515)*N508)),2)))</f>
        <v>0</v>
      </c>
      <c r="O515" s="21">
        <f>ROUND(SUM(B515+C515+F515)*O508,2)</f>
        <v>0</v>
      </c>
      <c r="P515" s="25">
        <f t="shared" si="85"/>
        <v>0</v>
      </c>
      <c r="Q515" s="456"/>
      <c r="R515" s="140">
        <f>ROUND(IF(M487="",R503,R503/M487*P492),2)</f>
        <v>5175</v>
      </c>
      <c r="S515" s="140">
        <f>ROUND(IF(M487="",R504,R504/M487*P492),2)</f>
        <v>7450</v>
      </c>
      <c r="U515" s="950">
        <f t="shared" si="86"/>
        <v>0</v>
      </c>
      <c r="V515" s="950">
        <f>SUM(B509:F515)</f>
        <v>0</v>
      </c>
    </row>
    <row r="516" spans="1:24" s="1" customFormat="1" x14ac:dyDescent="0.2">
      <c r="A516" s="76" t="str">
        <f>CONCATENATE("Aug ",O485)</f>
        <v>Aug 2025</v>
      </c>
      <c r="B516" s="22">
        <f>ROUND(IF(P493=0,0,IFERROR(((LOOKUP(2,1/(A494:A497=A516),G494:G497))*P493*4.348),B515/P492*P493)),2)</f>
        <v>0</v>
      </c>
      <c r="C516" s="21">
        <f>ROUND(IFERROR((LOOKUP(2,1/(A500=A516),E500)),0)+IFERROR((LOOKUP(2,1/(A501=A516),E501)),0),2)</f>
        <v>0</v>
      </c>
      <c r="D516" s="21">
        <f>ROUND(IF(B516=0,0,D508/M487*P493),2)</f>
        <v>0</v>
      </c>
      <c r="E516" s="21">
        <f>ROUND(IF(B516=0,0,E508/N483*P493),2)</f>
        <v>0</v>
      </c>
      <c r="F516" s="22">
        <f>ROUND(IF(P493=0,0,IFERROR(((LOOKUP(2,1/(A494:A497=A516),I494:I497))/N483*P493),F515/P492*P493)),2)</f>
        <v>0</v>
      </c>
      <c r="G516" s="25">
        <f t="shared" si="84"/>
        <v>0</v>
      </c>
      <c r="H516" s="64">
        <f>IF(B516=0,0,IF(AND(H500="ja",((U516)&lt;R525)),ROUND(((R527*R524+((R525/(R525-R524))-(R524/(R525-R524))*R527)*((U516)-R524))*(H508*2))-(((R525/(R525-R524))*((U516)-R524))*H508),2),ROUND(IF(V515&lt;(SUM(R509:R515)),IF((V516)&gt;(SUM(R509:R516)),(((SUM(R509:R516))-(V516-C515))*H508)+((U516-C515)*H508),U516*H508),IF(V516&gt;(SUM(R509:R516)),R516*H508,U516*H508)),2)))</f>
        <v>0</v>
      </c>
      <c r="I516" s="64">
        <f>IF(B516=0,0,IF(AND(H500="ja",((U516)&lt;R525)),ROUND(((R527*R524+((R525/(R525-R524))-(R524/(R525-R524))*R527)*((U516)-R524))*(I508*2))-(((R525/(R525-R524))*((U516)-R524))*I508),2),ROUND(IF(V515&lt;(SUM(S509:S515)),IF((V516)&gt;(SUM(S509:S516)),(((SUM(S509:S516))-(V516-C515))*I508)+((U516-C515)*I508),U516*I508),IF(V516&gt;(SUM(S509:S516)),S516*I508,U516*I508)),2)))</f>
        <v>0</v>
      </c>
      <c r="J516" s="64">
        <f>IF(B516=0,0,IF(AND(H500="ja",((U516)&lt;R525)),ROUND(((R527*R524+((R525/(R525-R524))-(R524/(R525-R524))*R527)*((U516)-R524))*(J508*2))-(((R525/(R525-R524))*((U516)-R524))*J508),2),ROUND(IF(V515&lt;(SUM(S509:S515)),IF((V516)&gt;(SUM(S509:S516)),(((SUM(S509:S516))-(V516-C515))*J508)+((U516-C515)*J508),U516*J508),IF(V516&gt;(SUM(S509:S516)),S516*J508,U516*J508)),2)))</f>
        <v>0</v>
      </c>
      <c r="K516" s="64">
        <f>IF(B516=0,0,IF(AND(H500="ja",((U516)&lt;R525)),ROUND(((R527*R524+((R525/(R525-R524))-(R524/(R525-R524))*R527)*((U516)-R524))*(K508*2))-(((R525/(R525-R524))*((U516)-R524))*K508),2),ROUND(IF(V515&lt;(SUM(R509:R515)),IF((V516)&gt;(SUM(R509:R516)),(((SUM(R509:R516))-(V516-C515))*K508)+((U516-C515)*K508),U516*K508),IF(V516&gt;(SUM(R509:R516)),R516*K508,U516*K508)),2)))</f>
        <v>0</v>
      </c>
      <c r="L516" s="64">
        <f>IF(B516=0,0,IF(AND(H500="ja",((U516-C516)&lt;R525)),ROUND(((R527*R524+((R525/(R525-R524))-(R524/(R525-R524))*R527)*((U516-C516)-R524))*(L508)),2),ROUND(IF(SUM(B509:F515)&lt;(SUM(S509:S515)),IF((SUM(B509:F516))&gt;(SUM(S509:S516)),(((SUM(S509:S516))-(SUM(B509:F516)-C516))*L508)+((SUM(B516:F516)-C516)*L508),(SUM(B516:F516)-C516)*L508),IF(SUM(B509:F516)&gt;(SUM(S509:S516)),S516*L508,SUM(B516:F516)*L508)),2)))</f>
        <v>0</v>
      </c>
      <c r="M516" s="64">
        <f>IF(B516=0,0,IF(AND(H500="ja",((U516-C516)&lt;R525)),ROUND(((R527*R524+((R525/(R525-R524))-(R524/(R525-R524))*R527)*((U516-C516)-R524))*(M508)),2),ROUND(IF(SUM(B509:F515)&lt;(SUM(S509:S515)),IF((SUM(B509:F516))&gt;(SUM(S509:S516)),(((SUM(S509:S516))-(SUM(B509:F516)-C516))*M508)+((SUM(B516:F516)-C516)*M508),(SUM(B516:F516)-C516)*M508),IF(SUM(B509:F516)&gt;(SUM(S509:S516)),S516*M508,SUM(B516:F516)*M508)),2)))</f>
        <v>0</v>
      </c>
      <c r="N516" s="64">
        <f>IF(B516=0,0,IF(AND(H500="ja",((U516)&lt;R525)),ROUND(((R527*R524+((R525/(R525-R524))-(R524/(R525-R524))*R527)*((U516)-R524))*(N508)),2),ROUND(IF(SUM(B509:F515)&lt;(SUM(S509:S515)),IF((SUM(B509:F516))&gt;(SUM(S509:S516)),(((SUM(S509:S516))-(SUM(B509:F516)-C515))*N508)+((SUM(B516:F516)-C515)*N508),SUM(B516:F516)*N508),IF(SUM(B509:F516)&gt;(SUM(S509:S516)),S516*N508,SUM(B516:F516)*N508)),2)))</f>
        <v>0</v>
      </c>
      <c r="O516" s="21">
        <f>ROUND(SUM(B516+C516+F516)*O508,2)</f>
        <v>0</v>
      </c>
      <c r="P516" s="25">
        <f t="shared" si="85"/>
        <v>0</v>
      </c>
      <c r="Q516" s="456"/>
      <c r="R516" s="140">
        <f>ROUND(IF(M487="",R503,R503/M487*P493),2)</f>
        <v>5175</v>
      </c>
      <c r="S516" s="140">
        <f>ROUND(IF(M487="",R504,R504/M487*P493),2)</f>
        <v>7450</v>
      </c>
      <c r="U516" s="950">
        <f t="shared" si="86"/>
        <v>0</v>
      </c>
      <c r="V516" s="950">
        <f>SUM(B509:F516)</f>
        <v>0</v>
      </c>
    </row>
    <row r="517" spans="1:24" s="1" customFormat="1" x14ac:dyDescent="0.2">
      <c r="A517" s="76" t="str">
        <f>CONCATENATE("Sep ",O485)</f>
        <v>Sep 2025</v>
      </c>
      <c r="B517" s="22">
        <f>ROUND(IF(P494=0,0,IFERROR(((LOOKUP(2,1/(A494:A497=A517),G494:G497))*P494*4.348),B516/P493*P494)),2)</f>
        <v>0</v>
      </c>
      <c r="C517" s="21">
        <f>ROUND(IFERROR((LOOKUP(2,1/(A500=A517),E500)),0)+IFERROR((LOOKUP(2,1/(A501=A517),E501)),0),2)</f>
        <v>0</v>
      </c>
      <c r="D517" s="21">
        <f>ROUND(IF(B517=0,0,D508/M487*P494),2)</f>
        <v>0</v>
      </c>
      <c r="E517" s="21">
        <f>ROUND(IF(B517=0,0,E508/N483*P494),2)</f>
        <v>0</v>
      </c>
      <c r="F517" s="22">
        <f>ROUND(IF(P494=0,0,IFERROR(((LOOKUP(2,1/(A494:A497=A517),I494:I497))/N483*P494),F516/P493*P494)),2)</f>
        <v>0</v>
      </c>
      <c r="G517" s="25">
        <f t="shared" si="84"/>
        <v>0</v>
      </c>
      <c r="H517" s="64">
        <f>IF(B517=0,0,IF(AND(H500="ja",((U517)&lt;R525)),ROUND(((R527*R524+((R525/(R525-R524))-(R524/(R525-R524))*R527)*((U517)-R524))*(H508*2))-(((R525/(R525-R524))*((U517)-R524))*H508),2),ROUND(IF(V516&lt;(SUM(R509:R516)),IF((V517)&gt;(SUM(R509:R517)),(((SUM(R509:R517))-(V517-C516))*H508)+((U517-C516)*H508),U517*H508),IF(V517&gt;(SUM(R509:R517)),R517*H508,U517*H508)),2)))</f>
        <v>0</v>
      </c>
      <c r="I517" s="64">
        <f>IF(B517=0,0,IF(AND(H500="ja",((U517)&lt;R525)),ROUND(((R527*R524+((R525/(R525-R524))-(R524/(R525-R524))*R527)*((U517)-R524))*(I508*2))-(((R525/(R525-R524))*((U517)-R524))*I508),2),ROUND(IF(V516&lt;(SUM(S509:S516)),IF((V517)&gt;(SUM(S509:S517)),(((SUM(S509:S517))-(V517-C516))*I508)+((U517-C516)*I508),U517*I508),IF(V517&gt;(SUM(S509:S517)),S517*I508,U517*I508)),2)))</f>
        <v>0</v>
      </c>
      <c r="J517" s="64">
        <f>IF(B517=0,0,IF(AND(H500="ja",((U517)&lt;R525)),ROUND(((R527*R524+((R525/(R525-R524))-(R524/(R525-R524))*R527)*((U517)-R524))*(J508*2))-(((R525/(R525-R524))*((U517)-R524))*J508),2),ROUND(IF(V516&lt;(SUM(S509:S516)),IF((V517)&gt;(SUM(S509:S517)),(((SUM(S509:S517))-(V517-C516))*J508)+((U517-C516)*J508),U517*J508),IF(V517&gt;(SUM(S509:S517)),S517*J508,U517*J508)),2)))</f>
        <v>0</v>
      </c>
      <c r="K517" s="64">
        <f>IF(B517=0,0,IF(AND(H500="ja",((U517)&lt;R525)),ROUND(((R527*R524+((R525/(R525-R524))-(R524/(R525-R524))*R527)*((U517)-R524))*(K508*2))-(((R525/(R525-R524))*((U517)-R524))*K508),2),ROUND(IF(V516&lt;(SUM(R509:R516)),IF((V517)&gt;(SUM(R509:R517)),(((SUM(R509:R517))-(V517-C516))*K508)+((U517-C516)*K508),U517*K508),IF(V517&gt;(SUM(R509:R517)),R517*K508,U517*K508)),2)))</f>
        <v>0</v>
      </c>
      <c r="L517" s="64">
        <f>IF(B517=0,0,IF(AND(H500="ja",((U517-C517)&lt;R525)),ROUND(((R527*R524+((R525/(R525-R524))-(R524/(R525-R524))*R527)*((U517-C517)-R524))*(L508)),2),ROUND(IF(SUM(B509:F516)&lt;(SUM(S509:S516)),IF((SUM(B509:F517))&gt;(SUM(S509:S517)),(((SUM(S509:S517))-(SUM(B509:F517)-C517))*L508)+((SUM(B517:F517)-C517)*L508),(SUM(B517:F517)-C517)*L508),IF(SUM(B509:F517)&gt;(SUM(S509:S517)),S517*L508,SUM(B517:F517)*L508)),2)))</f>
        <v>0</v>
      </c>
      <c r="M517" s="64">
        <f>IF(B517=0,0,IF(AND(H500="ja",((U517-C517)&lt;R525)),ROUND(((R527*R524+((R525/(R525-R524))-(R524/(R525-R524))*R527)*((U517-C517)-R524))*(M508)),2),ROUND(IF(SUM(B509:F516)&lt;(SUM(S509:S516)),IF((SUM(B509:F517))&gt;(SUM(S509:S517)),(((SUM(S509:S517))-(SUM(B509:F517)-C517))*M508)+((SUM(B517:F517)-C517)*M508),(SUM(B517:F517)-C517)*M508),IF(SUM(B509:F517)&gt;(SUM(S509:S517)),S517*M508,SUM(B517:F517)*M508)),2)))</f>
        <v>0</v>
      </c>
      <c r="N517" s="64">
        <f>IF(B517=0,0,IF(AND(H500="ja",((U517)&lt;R525)),ROUND(((R527*R524+((R525/(R525-R524))-(R524/(R525-R524))*R527)*((U517)-R524))*(N508)),2),ROUND(IF(SUM(B509:F516)&lt;(SUM(S509:S516)),IF((SUM(B509:F517))&gt;(SUM(S509:S517)),(((SUM(S509:S517))-(SUM(B509:F517)-C516))*N508)+((SUM(B517:F517)-C516)*N508),SUM(B517:F517)*N508),IF(SUM(B509:F517)&gt;(SUM(S509:S517)),S517*N508,SUM(B517:F517)*N508)),2)))</f>
        <v>0</v>
      </c>
      <c r="O517" s="21">
        <f>ROUND(SUM(B517+C517+F517)*O508,2)</f>
        <v>0</v>
      </c>
      <c r="P517" s="25">
        <f t="shared" si="85"/>
        <v>0</v>
      </c>
      <c r="Q517" s="456"/>
      <c r="R517" s="140">
        <f>ROUND(IF(M487="",R503,R503/M487*P494),2)</f>
        <v>5175</v>
      </c>
      <c r="S517" s="140">
        <f>ROUND(IF(M487="",R504,R504/M487*P494),2)</f>
        <v>7450</v>
      </c>
      <c r="U517" s="950">
        <f t="shared" si="86"/>
        <v>0</v>
      </c>
      <c r="V517" s="950">
        <f>SUM(B509:F517)</f>
        <v>0</v>
      </c>
    </row>
    <row r="518" spans="1:24" s="12" customFormat="1" ht="15" x14ac:dyDescent="0.25">
      <c r="A518" s="76" t="str">
        <f>CONCATENATE("Okt ",O485)</f>
        <v>Okt 2025</v>
      </c>
      <c r="B518" s="22">
        <f>ROUND(IF(P495=0,0,IFERROR(((LOOKUP(2,1/(A494:A497=A518),G494:G497))*P495*4.348),B517/P494*P495)),2)</f>
        <v>0</v>
      </c>
      <c r="C518" s="21">
        <f>ROUND(IFERROR((LOOKUP(2,1/(A500=A518),E500)),0)+IFERROR((LOOKUP(2,1/(A501=A518),E501)),0),2)</f>
        <v>0</v>
      </c>
      <c r="D518" s="21">
        <f>ROUND(IF(B518=0,0,D508/M487*P495),2)</f>
        <v>0</v>
      </c>
      <c r="E518" s="21">
        <f>ROUND(IF(B518=0,0,E508/N483*P495),2)</f>
        <v>0</v>
      </c>
      <c r="F518" s="22">
        <f>ROUND(IF(P495=0,0,IFERROR(((LOOKUP(2,1/(A494:A497=A518),I494:I497))/N483*P495),F517/P494*P495)),2)</f>
        <v>0</v>
      </c>
      <c r="G518" s="25">
        <f t="shared" si="84"/>
        <v>0</v>
      </c>
      <c r="H518" s="64">
        <f>IF(B518=0,0,IF(AND(H500="ja",((U518)&lt;R525)),ROUND(((R527*R524+((R525/(R525-R524))-(R524/(R525-R524))*R527)*((U518)-R524))*(H508*2))-(((R525/(R525-R524))*((U518)-R524))*H508),2),ROUND(IF(V517&lt;(SUM(R509:R517)),IF((V518)&gt;(SUM(R509:R518)),(((SUM(R509:R518))-(V518-C517))*H508)+((U518-C517)*H508),U518*H508),IF(V518&gt;(SUM(R509:R518)),R518*H508,U518*H508)),2)))</f>
        <v>0</v>
      </c>
      <c r="I518" s="64">
        <f>IF(B518=0,0,IF(AND(H500="ja",((U518)&lt;R525)),ROUND(((R527*R524+((R525/(R525-R524))-(R524/(R525-R524))*R527)*((U518)-R524))*(I508*2))-(((R525/(R525-R524))*((U518)-R524))*I508),2),ROUND(IF(V517&lt;(SUM(S509:S517)),IF((V518)&gt;(SUM(S509:S518)),(((SUM(S509:S518))-(V518-C517))*I508)+((U518-C517)*I508),U518*I508),IF(V518&gt;(SUM(S509:S518)),S518*I508,U518*I508)),2)))</f>
        <v>0</v>
      </c>
      <c r="J518" s="64">
        <f>IF(B518=0,0,IF(AND(H500="ja",((U518)&lt;R525)),ROUND(((R527*R524+((R525/(R525-R524))-(R524/(R525-R524))*R527)*((U518)-R524))*(J508*2))-(((R525/(R525-R524))*((U518)-R524))*J508),2),ROUND(IF(V517&lt;(SUM(S509:S517)),IF((V518)&gt;(SUM(S509:S518)),(((SUM(S509:S518))-(V518-C517))*J508)+((U518-C517)*J508),U518*J508),IF(V518&gt;(SUM(S509:S518)),S518*J508,U518*J508)),2)))</f>
        <v>0</v>
      </c>
      <c r="K518" s="64">
        <f>IF(B518=0,0,IF(AND(H500="ja",((U518)&lt;R525)),ROUND(((R527*R524+((R525/(R525-R524))-(R524/(R525-R524))*R527)*((U518)-R524))*(K508*2))-(((R525/(R525-R524))*((U518)-R524))*K508),2),ROUND(IF(V517&lt;(SUM(R509:R517)),IF((V518)&gt;(SUM(R509:R518)),(((SUM(R509:R518))-(V518-C517))*K508)+((U518-C517)*K508),U518*K508),IF(V518&gt;(SUM(R509:R518)),R518*K508,U518*K508)),2)))</f>
        <v>0</v>
      </c>
      <c r="L518" s="64">
        <f>IF(B518=0,0,IF(AND(H500="ja",((U518-C518)&lt;R525)),ROUND(((R527*R524+((R525/(R525-R524))-(R524/(R525-R524))*R527)*((U518-C518)-R524))*(L508)),2),ROUND(IF(SUM(B509:F517)&lt;(SUM(S509:S517)),IF((SUM(B509:F518))&gt;(SUM(S509:S518)),(((SUM(S509:S518))-(SUM(B509:F518)-C518))*L508)+((SUM(B518:F518)-C518)*L508),(SUM(B518:F518)-C518)*L508),IF(SUM(B509:F518)&gt;(SUM(S509:S518)),S518*L508,SUM(B518:F518)*L508)),2)))</f>
        <v>0</v>
      </c>
      <c r="M518" s="64">
        <f>IF(B518=0,0,IF(AND(H500="ja",((U518-C518)&lt;R525)),ROUND(((R527*R524+((R525/(R525-R524))-(R524/(R525-R524))*R527)*((U518-C518)-R524))*(M508)),2),ROUND(IF(SUM(B509:F517)&lt;(SUM(S509:S517)),IF((SUM(B509:F518))&gt;(SUM(S509:S518)),(((SUM(S509:S518))-(SUM(B509:F518)-C518))*M508)+((SUM(B518:F518)-C518)*M508),(SUM(B518:F518)-C518)*M508),IF(SUM(B509:F518)&gt;(SUM(S509:S518)),S518*M508,SUM(B518:F518)*M508)),2)))</f>
        <v>0</v>
      </c>
      <c r="N518" s="64">
        <f>IF(B518=0,0,IF(AND(H500="ja",((U518)&lt;R525)),ROUND(((R527*R524+((R525/(R525-R524))-(R524/(R525-R524))*R527)*((U518)-R524))*(N508)),2),ROUND(IF(SUM(B509:F517)&lt;(SUM(S509:S517)),IF((SUM(B509:F518))&gt;(SUM(S509:S518)),(((SUM(S509:S518))-(SUM(B509:F518)-C517))*N508)+((SUM(B518:F518)-C517)*N508),SUM(B518:F518)*N508),IF(SUM(B509:F518)&gt;(SUM(S509:S518)),S518*N508,SUM(B518:F518)*N508)),2)))</f>
        <v>0</v>
      </c>
      <c r="O518" s="21">
        <f>ROUND(SUM(B518+C518+F518)*O508,2)</f>
        <v>0</v>
      </c>
      <c r="P518" s="25">
        <f t="shared" si="85"/>
        <v>0</v>
      </c>
      <c r="Q518" s="936"/>
      <c r="R518" s="140">
        <f>ROUND(IF(M487="",R503,R503/M487*P495),2)</f>
        <v>5175</v>
      </c>
      <c r="S518" s="140">
        <f>ROUND(IF(M487="",R504,R504/M487*P495),2)</f>
        <v>7450</v>
      </c>
      <c r="U518" s="950">
        <f t="shared" si="86"/>
        <v>0</v>
      </c>
      <c r="V518" s="950">
        <f>SUM(B509:F518)</f>
        <v>0</v>
      </c>
      <c r="X518" s="1"/>
    </row>
    <row r="519" spans="1:24" s="11" customFormat="1" x14ac:dyDescent="0.2">
      <c r="A519" s="76" t="str">
        <f>CONCATENATE("Nov ",O485)</f>
        <v>Nov 2025</v>
      </c>
      <c r="B519" s="22">
        <f>ROUND(IF(P496=0,0,IFERROR(((LOOKUP(2,1/(A494:A497=A519),G494:G497))*P496*4.348),B518/P495*P496)),2)</f>
        <v>0</v>
      </c>
      <c r="C519" s="21">
        <f>ROUND(IFERROR((LOOKUP(2,1/(A500=A519),E500)),0)+(IFERROR((LOOKUP(2,1/(A501=A519),E501)),0)),2)</f>
        <v>0</v>
      </c>
      <c r="D519" s="21">
        <f>ROUND(IF(B519=0,0,D508/M487*P496),2)</f>
        <v>0</v>
      </c>
      <c r="E519" s="21">
        <f>ROUND(IF(B519=0,0,E508/N483*P496),2)</f>
        <v>0</v>
      </c>
      <c r="F519" s="22">
        <f>ROUND(IF(P496=0,0,IFERROR(((LOOKUP(2,1/(A494:A497=A519),I494:I497))/N483*P496),F518/P495*P496)),2)</f>
        <v>0</v>
      </c>
      <c r="G519" s="25">
        <f t="shared" si="84"/>
        <v>0</v>
      </c>
      <c r="H519" s="64">
        <f>IF(B519=0,0,IF(AND(H500="ja",((U519)&lt;R525)),ROUND(((R527*R524+((R525/(R525-R524))-(R524/(R525-R524))*R527)*((U519)-R524))*(H508*2))-(((R525/(R525-R524))*((U519)-R524))*H508),2),ROUND(IF(V518&lt;(SUM(R509:R518)),IF((V519)&gt;(SUM(R509:R519)),(((SUM(R509:R519))-(V519-C518))*H508)+((U519-C518)*H508),U519*H508),IF(V519&gt;(SUM(R509:R519)),R519*H508,U519*H508)),2)))</f>
        <v>0</v>
      </c>
      <c r="I519" s="64">
        <f>IF(B519=0,0,IF(AND(H500="ja",((U519)&lt;R525)),ROUND(((R527*R524+((R525/(R525-R524))-(R524/(R525-R524))*R527)*((U519)-R524))*(I508*2))-(((R525/(R525-R524))*((U519)-R524))*I508),2),ROUND(IF(V518&lt;(SUM(S509:S518)),IF((V519)&gt;(SUM(S509:S519)),(((SUM(S509:S519))-(V519-C518))*I508)+((U519-C518)*I508),U519*I508),IF(V519&gt;(SUM(S509:S519)),S519*I508,U519*I508)),2)))</f>
        <v>0</v>
      </c>
      <c r="J519" s="64">
        <f>IF(B519=0,0,IF(AND(H500="ja",((U519)&lt;R525)),ROUND(((R527*R524+((R525/(R525-R524))-(R524/(R525-R524))*R527)*((U519)-R524))*(J508*2))-(((R525/(R525-R524))*((U519)-R524))*J508),2),ROUND(IF(V518&lt;(SUM(S509:S518)),IF((V519)&gt;(SUM(S509:S519)),(((SUM(S509:S519))-(V519-C518))*J508)+((U519-C518)*J508),U519*J508),IF(V519&gt;(SUM(S509:S519)),S519*J508,U519*J508)),2)))</f>
        <v>0</v>
      </c>
      <c r="K519" s="64">
        <f>IF(B519=0,0,IF(AND(H500="ja",((U519)&lt;R525)),ROUND(((R527*R524+((R525/(R525-R524))-(R524/(R525-R524))*R527)*((U519)-R524))*(K508*2))-(((R525/(R525-R524))*((U519)-R524))*K508),2),ROUND(IF(V518&lt;(SUM(R509:R518)),IF((V519)&gt;(SUM(R509:R519)),(((SUM(R509:R519))-(V519-C518))*K508)+((U519-C518)*K508),U519*K508),IF(V519&gt;(SUM(R509:R519)),R519*K508,U519*K508)),2)))</f>
        <v>0</v>
      </c>
      <c r="L519" s="64">
        <f>IF(B519=0,0,IF(AND(H500="ja",((U519-C519)&lt;R525)),ROUND(((R527*R524+((R525/(R525-R524))-(R524/(R525-R524))*R527)*((U519-C519)-R524))*(L508)),2),ROUND(IF(SUM(B509:F518)&lt;(SUM(S509:S518)),IF((SUM(B509:F519))&gt;(SUM(S509:S519)),(((SUM(S509:S519))-(SUM(B509:F519)-C519))*L508)+((SUM(B519:F519)-C519)*L508),(SUM(B519:F519)-C519)*L508),IF(SUM(B509:F519)&gt;(SUM(S509:S519)),S519*L508,SUM(B519:F519)*L508)),2)))</f>
        <v>0</v>
      </c>
      <c r="M519" s="64">
        <f>IF(B519=0,0,IF(AND(H500="ja",((U519-C519)&lt;R525)),ROUND(((R527*R524+((R525/(R525-R524))-(R524/(R525-R524))*R527)*((U519-C519)-R524))*(M508)),2),ROUND(IF(SUM(B509:F518)&lt;(SUM(S509:S518)),IF((SUM(B509:F519))&gt;(SUM(S509:S519)),(((SUM(S509:S519))-(SUM(B509:F519)-C519))*M508)+((SUM(B519:F519)-C519)*M508),(SUM(B519:F519)-C519)*M508),IF(SUM(B509:F519)&gt;(SUM(S509:S519)),S519*M508,SUM(B519:F519)*M508)),2)))</f>
        <v>0</v>
      </c>
      <c r="N519" s="64">
        <f>IF(B519=0,0,IF(AND(H500="ja",((U519)&lt;R525)),ROUND(((R527*R524+((R525/(R525-R524))-(R524/(R525-R524))*R527)*((U519)-R524))*(N508)),2),ROUND(IF(SUM(B509:F518)&lt;(SUM(S509:S518)),IF((SUM(B509:F519))&gt;(SUM(S509:S519)),(((SUM(S509:S519))-(SUM(B509:F519)-C518))*N508)+((SUM(B519:F519)-C518)*N508),SUM(B519:F519)*N508),IF(SUM(B509:F519)&gt;(SUM(S509:S519)),S519*N508,SUM(B519:F519)*N508)),2)))</f>
        <v>0</v>
      </c>
      <c r="O519" s="21">
        <f>ROUND(SUM(B519+C519+F519)*O508,2)</f>
        <v>0</v>
      </c>
      <c r="P519" s="25">
        <f t="shared" si="85"/>
        <v>0</v>
      </c>
      <c r="R519" s="140">
        <f>ROUND(IF(M487="",R503,R503/M487*P496),2)</f>
        <v>5175</v>
      </c>
      <c r="S519" s="140">
        <f>ROUND(IF(M487="",R504,R504/M487*P496),2)</f>
        <v>7450</v>
      </c>
      <c r="U519" s="950">
        <f t="shared" si="86"/>
        <v>0</v>
      </c>
      <c r="V519" s="950">
        <f>SUM(B509:F519)</f>
        <v>0</v>
      </c>
      <c r="X519" s="1"/>
    </row>
    <row r="520" spans="1:24" s="1" customFormat="1" ht="14.25" customHeight="1" x14ac:dyDescent="0.2">
      <c r="A520" s="76" t="str">
        <f>CONCATENATE("Dez ",O485)</f>
        <v>Dez 2025</v>
      </c>
      <c r="B520" s="22">
        <f>ROUND(IF(P497=0,0,IFERROR(((LOOKUP(2,1/(A494:A497=A520),G494:G497))*P497*4.348),B519/P496*P497)),2)</f>
        <v>0</v>
      </c>
      <c r="C520" s="21">
        <f>ROUND(IFERROR((LOOKUP(2,1/(A500=A520),E500)),0)+IFERROR((LOOKUP(2,1/(A501=A520),E501)),0),2)</f>
        <v>0</v>
      </c>
      <c r="D520" s="21">
        <f>ROUND(IF(B520=0,0,D508/M487*P497),2)</f>
        <v>0</v>
      </c>
      <c r="E520" s="21">
        <f>ROUND(IF(B520=0,0,E508/N483*P497),2)</f>
        <v>0</v>
      </c>
      <c r="F520" s="22">
        <f>ROUND(IF(P497=0,0,IFERROR(((LOOKUP(2,1/(A494:A497=A520),I494:I497))/N483*P497),F519/P496*P497)),2)</f>
        <v>0</v>
      </c>
      <c r="G520" s="25">
        <f t="shared" si="84"/>
        <v>0</v>
      </c>
      <c r="H520" s="64">
        <f>IF(B520=0,0,IF(AND(H500="ja",((U520)&lt;R525)),ROUND(((R527*R524+((R525/(R525-R524))-(R524/(R525-R524))*R527)*((U520)-R524))*(H508*2))-(((R525/(R525-R524))*((U520)-R524))*H508),2),ROUND(IF(V519&lt;(SUM(R509:R519)),IF((V520)&gt;(SUM(R509:R520)),(((SUM(R509:R520))-(V520-C519))*H508)+((U520-C519)*H508),U520*H508),IF(V520&gt;(SUM(R509:R520)),R520*H508,U520*H508)),2)))</f>
        <v>0</v>
      </c>
      <c r="I520" s="64">
        <f>IF(B520=0,0,IF(AND(H500="ja",((U520)&lt;R525)),ROUND(((R527*R524+((R525/(R525-R524))-(R524/(R525-R524))*R527)*((U520)-R524))*(I508*2))-(((R525/(R525-R524))*((U520)-R524))*I508),2),ROUND(IF(V519&lt;(SUM(S509:S519)),IF((V520)&gt;(SUM(S509:S520)),(((SUM(S509:S520))-(V520-C519))*I508)+((U520-C519)*I508),U520*I508),IF(V520&gt;(SUM(S509:S520)),S520*I508,U520*I508)),2)))</f>
        <v>0</v>
      </c>
      <c r="J520" s="64">
        <f>IF(B520=0,0,IF(AND(H500="ja",((U520)&lt;R525)),ROUND(((R527*R524+((R525/(R525-R524))-(R524/(R525-R524))*R527)*((U520)-R524))*(J508*2))-(((R525/(R525-R524))*((U520)-R524))*J508),2),ROUND(IF(V519&lt;(SUM(S509:S519)),IF((V520)&gt;(SUM(S509:S520)),(((SUM(S509:S520))-(V520-C519))*J508)+((U520-C519)*J508),U520*J508),IF(V520&gt;(SUM(S509:S520)),S520*J508,U520*J508)),2)))</f>
        <v>0</v>
      </c>
      <c r="K520" s="64">
        <f>IF(B520=0,0,IF(AND(H500="ja",((U520)&lt;R525)),ROUND(((R527*R524+((R525/(R525-R524))-(R524/(R525-R524))*R527)*((U520)-R524))*(K508*2))-(((R525/(R525-R524))*((U520)-R524))*K508),2),ROUND(IF(V519&lt;(SUM(R509:R519)),IF((V520)&gt;(SUM(R509:R520)),(((SUM(R509:R520))-(V520-C519))*K508)+((U520-C519)*K508),U520*K508),IF(V520&gt;(SUM(R509:R520)),R520*K508,U520*K508)),2)))</f>
        <v>0</v>
      </c>
      <c r="L520" s="64">
        <f>IF(B520=0,0,IF(AND(H500="ja",((U520-C520)&lt;R525)),ROUND(((R527*R524+((R525/(R525-R524))-(R524/(R525-R524))*R527)*((U520-C520)-R524))*(L508)),2),ROUND(IF(SUM(B509:F519)&lt;(SUM(S509:S519)),IF((SUM(B509:F520))&gt;(SUM(S509:S520)),(((SUM(S509:S520))-(SUM(B509:F520)-C520))*L508)+((SUM(B520:F520)-C520)*L508),(SUM(B520:F520)-C520)*L508),IF(SUM(B509:F520)&gt;(SUM(S509:S520)),S520*L508,SUM(B520:F520)*L508)),2)))</f>
        <v>0</v>
      </c>
      <c r="M520" s="64">
        <f>IF(B520=0,0,IF(AND(H500="ja",((U520-C520)&lt;R525)),ROUND(((R527*R524+((R525/(R525-R524))-(R524/(R525-R524))*R527)*((U520-C520)-R524))*(M508)),2),ROUND(IF(SUM(B509:F519)&lt;(SUM(S509:S519)),IF((SUM(B509:F520))&gt;(SUM(S509:S520)),(((SUM(S509:S520))-(SUM(B509:F520)-C520))*M508)+((SUM(B520:F520)-C520)*M508),(SUM(B520:F520)-C520)*M508),IF(SUM(B509:F520)&gt;(SUM(S509:S520)),S520*M508,SUM(B520:F520)*M508)),2)))</f>
        <v>0</v>
      </c>
      <c r="N520" s="64">
        <f>IF(B520=0,0,IF(AND(H500="ja",((U520)&lt;R525)),ROUND(((R527*R524+((R525/(R525-R524))-(R524/(R525-R524))*R527)*((U520)-R524))*(N508)),2),ROUND(IF(SUM(B509:F519)&lt;(SUM(S509:S519)),IF((SUM(B509:F520))&gt;(SUM(S509:S520)),(((SUM(S509:S520))-(SUM(B509:F520)-C519))*N508)+((SUM(B520:F520)-C519)*N508),SUM(B520:F520)*N508),IF(SUM(B509:F520)&gt;(SUM(S509:S520)),S520*N508,SUM(B520:F520)*N508)),2)))</f>
        <v>0</v>
      </c>
      <c r="O520" s="21">
        <f>ROUND(SUM(B520+C520+F520)*O508,2)</f>
        <v>0</v>
      </c>
      <c r="P520" s="25">
        <f t="shared" si="85"/>
        <v>0</v>
      </c>
      <c r="Q520" s="11"/>
      <c r="R520" s="140">
        <f>ROUND(IF(M487="",R503,R503/M487*P497),2)</f>
        <v>5175</v>
      </c>
      <c r="S520" s="140">
        <f>ROUND(IF(M487="",R504,R504/M487*P497),2)</f>
        <v>7450</v>
      </c>
      <c r="U520" s="950">
        <f t="shared" si="86"/>
        <v>0</v>
      </c>
      <c r="V520" s="950">
        <f>SUM(B509:F520)</f>
        <v>0</v>
      </c>
    </row>
    <row r="521" spans="1:24" s="1" customFormat="1" ht="15" customHeight="1" x14ac:dyDescent="0.2">
      <c r="A521" s="2" t="s">
        <v>1</v>
      </c>
      <c r="B521" s="25">
        <f t="shared" ref="B521:G521" si="87">SUM(B509:B520)</f>
        <v>0</v>
      </c>
      <c r="C521" s="25">
        <f t="shared" si="87"/>
        <v>0</v>
      </c>
      <c r="D521" s="25">
        <f t="shared" si="87"/>
        <v>0</v>
      </c>
      <c r="E521" s="25">
        <f t="shared" si="87"/>
        <v>0</v>
      </c>
      <c r="F521" s="25">
        <f t="shared" si="87"/>
        <v>0</v>
      </c>
      <c r="G521" s="25">
        <f t="shared" si="87"/>
        <v>0</v>
      </c>
      <c r="H521" s="1309">
        <f>SUM(H509:N520)</f>
        <v>0</v>
      </c>
      <c r="I521" s="1310"/>
      <c r="J521" s="1310"/>
      <c r="K521" s="1310"/>
      <c r="L521" s="1310"/>
      <c r="M521" s="1310"/>
      <c r="N521" s="1311"/>
      <c r="O521" s="25">
        <f>SUM(O509:O520)</f>
        <v>0</v>
      </c>
      <c r="P521" s="25">
        <f>SUM(P509:P520)</f>
        <v>0</v>
      </c>
    </row>
    <row r="522" spans="1:24" s="1" customFormat="1" ht="12" customHeight="1" x14ac:dyDescent="0.2"/>
    <row r="523" spans="1:24" s="1" customFormat="1" ht="14.25" customHeight="1" x14ac:dyDescent="0.2">
      <c r="B523" s="906"/>
      <c r="H523" s="905"/>
      <c r="I523" s="62"/>
      <c r="J523" s="914" t="s">
        <v>123</v>
      </c>
      <c r="L523" s="900" t="s">
        <v>124</v>
      </c>
      <c r="M523" s="974" t="str">
        <f>IF(IF(G521=0,"",'päd.Personal - Leitung'!$M$43)=0,"",IF(G521=0,"",'päd.Personal - Leitung'!$M$43))</f>
        <v/>
      </c>
      <c r="N523" s="902" t="s">
        <v>125</v>
      </c>
      <c r="O523" s="963" t="str">
        <f>IF(IF(G521=0,"",'päd.Personal - Leitung'!$O$43)=0,"",IF(G521=0,"",'päd.Personal - Leitung'!$O$43))</f>
        <v/>
      </c>
      <c r="P523" s="25">
        <f>ROUND(IF(M523="",0,G521*M523*O523/1000),2)</f>
        <v>0</v>
      </c>
      <c r="Q523" s="937"/>
      <c r="R523" s="938">
        <v>2025</v>
      </c>
      <c r="S523" s="939"/>
    </row>
    <row r="524" spans="1:24" s="1" customFormat="1" ht="14.25" customHeight="1" x14ac:dyDescent="0.2">
      <c r="H524" s="907"/>
      <c r="I524" s="42"/>
      <c r="M524" s="915" t="s">
        <v>129</v>
      </c>
      <c r="N524" s="80" t="s">
        <v>125</v>
      </c>
      <c r="O524" s="75" t="str">
        <f>IF(IF(G521=0,"",'päd.Personal - Leitung'!$O$44)=0,"",IF(G521=0,"",'päd.Personal - Leitung'!$O$44))</f>
        <v/>
      </c>
      <c r="P524" s="25">
        <f>ROUND(IF(O524="",0,G521*O524/1000),2)</f>
        <v>0</v>
      </c>
      <c r="Q524" s="942" t="s">
        <v>737</v>
      </c>
      <c r="R524" s="141">
        <f>'päd.Personal - Leitung'!$R$44</f>
        <v>556</v>
      </c>
      <c r="S524" s="955">
        <f>'päd.Personal - Leitung'!$S$44</f>
        <v>12.82</v>
      </c>
    </row>
    <row r="525" spans="1:24" s="1" customFormat="1" ht="14.25" customHeight="1" x14ac:dyDescent="0.2">
      <c r="H525" s="912" t="s">
        <v>126</v>
      </c>
      <c r="I525" s="1013" t="s">
        <v>127</v>
      </c>
      <c r="J525" s="975" t="str">
        <f>IF(IF(G521=0,"",'päd.Personal - Leitung'!$J$45)=0,"",IF(G521=0,"",'päd.Personal - Leitung'!$J$45))</f>
        <v/>
      </c>
      <c r="K525" s="902" t="s">
        <v>128</v>
      </c>
      <c r="L525" s="964" t="str">
        <f>IF(IF(G521=0,"",'päd.Personal - Leitung'!$L$45)=0,"",IF(G521=0,"",'päd.Personal - Leitung'!$L$45))</f>
        <v/>
      </c>
      <c r="M525" s="16"/>
      <c r="N525" s="900" t="s">
        <v>132</v>
      </c>
      <c r="O525" s="965" t="str">
        <f>IF(IF(G521=0,"",'päd.Personal - Leitung'!$O$45)=0,"",IF(G521=0,"",'päd.Personal - Leitung'!$O$45))</f>
        <v/>
      </c>
      <c r="P525" s="25">
        <f>ROUND(IF(J525="",0,(J525*L525/O525)/M489*M490),2)</f>
        <v>0</v>
      </c>
      <c r="Q525" s="942" t="s">
        <v>738</v>
      </c>
      <c r="R525" s="140">
        <f>'päd.Personal - Leitung'!$R$45</f>
        <v>2000</v>
      </c>
      <c r="S525" s="939"/>
    </row>
    <row r="526" spans="1:24" s="1" customFormat="1" ht="14.25" customHeight="1" x14ac:dyDescent="0.2">
      <c r="D526" s="16"/>
      <c r="I526" s="16"/>
      <c r="J526" s="16"/>
      <c r="K526" s="63"/>
      <c r="L526" s="67"/>
      <c r="M526" s="915" t="s">
        <v>130</v>
      </c>
      <c r="N526" s="80" t="s">
        <v>131</v>
      </c>
      <c r="O526" s="904">
        <f>IF(IF(G521="",0,'päd.Personal - Leitung'!$O$94)=0,0,IF(G521="",0,'päd.Personal - Leitung'!$O$94))</f>
        <v>0</v>
      </c>
      <c r="P526" s="21">
        <f>ROUND(IF(G521=0,0,O526/M487*M488),2)</f>
        <v>0</v>
      </c>
      <c r="Q526" s="942" t="s">
        <v>740</v>
      </c>
      <c r="R526" s="956">
        <f>'päd.Personal - Leitung'!$R$46</f>
        <v>0.40900000000000003</v>
      </c>
    </row>
    <row r="527" spans="1:24" s="1" customFormat="1" ht="14.25" customHeight="1" x14ac:dyDescent="0.2">
      <c r="A527" s="16"/>
      <c r="B527" s="16"/>
      <c r="I527" s="905"/>
      <c r="J527" s="961" t="s">
        <v>176</v>
      </c>
      <c r="K527" s="1312" t="str">
        <f>IF($K$47="","",$K$47)</f>
        <v/>
      </c>
      <c r="L527" s="1312"/>
      <c r="M527" s="1312"/>
      <c r="N527" s="80" t="s">
        <v>131</v>
      </c>
      <c r="O527" s="904">
        <f>IF(IF(G521="",0,'päd.Personal - Leitung'!$O$95)=0,0,IF(G521="",0,'päd.Personal - Leitung'!$O$95))</f>
        <v>0</v>
      </c>
      <c r="P527" s="21">
        <f>ROUND(IF(G521=0,0,O527/M487*M488),2)</f>
        <v>0</v>
      </c>
      <c r="Q527" s="942" t="s">
        <v>739</v>
      </c>
      <c r="R527" s="940">
        <f>'päd.Personal - Leitung'!$R$47</f>
        <v>0.68459999999999999</v>
      </c>
      <c r="S527" s="957">
        <f>'päd.Personal - Leitung'!$S$47</f>
        <v>0.28000000000000003</v>
      </c>
    </row>
    <row r="528" spans="1:24" s="1" customFormat="1" ht="14.25" customHeight="1" x14ac:dyDescent="0.2">
      <c r="A528" s="908"/>
      <c r="B528" s="908"/>
      <c r="C528" s="1013"/>
      <c r="D528" s="1013"/>
      <c r="I528" s="913"/>
      <c r="J528" s="913"/>
      <c r="K528" s="916"/>
      <c r="L528" s="27"/>
      <c r="M528" s="27"/>
      <c r="N528" s="27"/>
      <c r="O528" s="26" t="s">
        <v>0</v>
      </c>
      <c r="P528" s="25">
        <f>P521+SUM(P523:P527)</f>
        <v>0</v>
      </c>
    </row>
    <row r="529" spans="1:19" s="10" customFormat="1" ht="13.5" customHeight="1" x14ac:dyDescent="0.2">
      <c r="A529" s="1321" t="s">
        <v>17</v>
      </c>
      <c r="B529" s="1321"/>
      <c r="C529" s="1321"/>
      <c r="D529" s="1320" t="str">
        <f>IF('päd.Personal - Leitung'!$D$1="","",'päd.Personal - Leitung'!$D$1)</f>
        <v/>
      </c>
      <c r="E529" s="1320"/>
      <c r="F529" s="1320"/>
      <c r="G529" s="1320"/>
      <c r="H529" s="1320"/>
      <c r="I529" s="1320"/>
      <c r="J529" s="1320"/>
      <c r="K529" s="1320"/>
      <c r="L529" s="1320"/>
      <c r="M529" s="1320"/>
      <c r="N529" s="1320"/>
    </row>
    <row r="530" spans="1:19" s="10" customFormat="1" ht="15" customHeight="1" x14ac:dyDescent="0.2">
      <c r="A530" s="1321" t="s">
        <v>16</v>
      </c>
      <c r="B530" s="1321"/>
      <c r="C530" s="1321" t="s">
        <v>14</v>
      </c>
      <c r="D530" s="1320" t="str">
        <f>IF('päd.Personal - Leitung'!$D$2="","",'päd.Personal - Leitung'!$D$2)</f>
        <v/>
      </c>
      <c r="E530" s="1320"/>
      <c r="F530" s="1320"/>
      <c r="G530" s="1320"/>
      <c r="H530" s="1320"/>
      <c r="I530" s="1320"/>
      <c r="J530" s="1320"/>
      <c r="K530" s="1320"/>
      <c r="L530" s="1320"/>
      <c r="M530" s="1320"/>
      <c r="N530" s="1320"/>
    </row>
    <row r="531" spans="1:19" s="10" customFormat="1" ht="15" customHeight="1" x14ac:dyDescent="0.2">
      <c r="A531" s="1321" t="s">
        <v>15</v>
      </c>
      <c r="B531" s="1321"/>
      <c r="C531" s="1321" t="s">
        <v>14</v>
      </c>
      <c r="D531" s="1320" t="str">
        <f>IF('päd.Personal - Leitung'!$D$3="","",'päd.Personal - Leitung'!$D$3)</f>
        <v/>
      </c>
      <c r="E531" s="1320"/>
      <c r="F531" s="1320"/>
      <c r="G531" s="1320"/>
      <c r="H531" s="1320"/>
      <c r="I531" s="1320"/>
      <c r="J531" s="1320"/>
      <c r="K531" s="1321" t="s">
        <v>100</v>
      </c>
      <c r="L531" s="1321"/>
      <c r="M531" s="1321"/>
      <c r="N531" s="38" t="str">
        <f>IF('päd.Personal - Leitung'!$N$3="","",'päd.Personal - Leitung'!$N$3)</f>
        <v/>
      </c>
    </row>
    <row r="532" spans="1:19" s="923" customFormat="1" ht="7.5" customHeight="1" x14ac:dyDescent="0.15">
      <c r="A532" s="1353"/>
      <c r="B532" s="1353"/>
      <c r="C532" s="1353"/>
      <c r="D532" s="1354"/>
      <c r="E532" s="1354"/>
      <c r="F532" s="1354"/>
      <c r="G532" s="1354"/>
      <c r="H532" s="1354"/>
      <c r="I532" s="1354"/>
      <c r="J532" s="1354"/>
      <c r="K532" s="922"/>
      <c r="L532" s="922"/>
      <c r="M532" s="922"/>
      <c r="N532" s="922"/>
      <c r="O532" s="922"/>
      <c r="P532" s="922"/>
    </row>
    <row r="533" spans="1:19" s="13" customFormat="1" ht="13.5" customHeight="1" x14ac:dyDescent="0.2">
      <c r="A533" s="1355" t="s">
        <v>151</v>
      </c>
      <c r="B533" s="1355"/>
      <c r="C533" s="1355"/>
      <c r="D533" s="1355"/>
      <c r="E533" s="1355"/>
      <c r="F533" s="1355"/>
      <c r="G533" s="1355"/>
      <c r="H533" s="1355"/>
      <c r="I533" s="1355"/>
      <c r="J533" s="1355"/>
      <c r="K533" s="7"/>
      <c r="L533" s="7"/>
      <c r="M533" s="7"/>
      <c r="N533" s="52"/>
      <c r="O533" s="138">
        <f>'päd.Personal - Leitung'!$O$5</f>
        <v>2025</v>
      </c>
      <c r="P533" s="52" t="s">
        <v>140</v>
      </c>
    </row>
    <row r="534" spans="1:19" s="8" customFormat="1" ht="13.5" customHeight="1" x14ac:dyDescent="0.25">
      <c r="B534" s="29"/>
      <c r="C534" s="29"/>
      <c r="D534" s="3" t="s">
        <v>47</v>
      </c>
      <c r="E534" s="28"/>
      <c r="F534" s="28"/>
      <c r="G534" s="28"/>
      <c r="H534" s="28"/>
      <c r="I534" s="24"/>
      <c r="K534" s="1327" t="s">
        <v>13</v>
      </c>
      <c r="L534" s="1327"/>
      <c r="M534" s="131"/>
      <c r="O534" s="928" t="str">
        <f>A557</f>
        <v>Jan 2025</v>
      </c>
      <c r="P534" s="1402">
        <f>IF(M536="","",M536)</f>
        <v>0</v>
      </c>
    </row>
    <row r="535" spans="1:19" s="5" customFormat="1" ht="13.5" customHeight="1" x14ac:dyDescent="0.25">
      <c r="A535" s="1328" t="s">
        <v>754</v>
      </c>
      <c r="B535" s="1328"/>
      <c r="C535" s="1328"/>
      <c r="D535" s="1345"/>
      <c r="E535" s="1345"/>
      <c r="F535" s="1345"/>
      <c r="G535" s="1345"/>
      <c r="H535" s="1345"/>
      <c r="I535" s="1345"/>
      <c r="K535" s="1327" t="s">
        <v>101</v>
      </c>
      <c r="L535" s="1327"/>
      <c r="M535" s="101"/>
      <c r="O535" s="928" t="str">
        <f t="shared" ref="O535:O545" si="88">A558</f>
        <v>Feb 2025</v>
      </c>
      <c r="P535" s="1403">
        <f t="shared" ref="P535:P542" si="89">IF(P534="","",P534)</f>
        <v>0</v>
      </c>
    </row>
    <row r="536" spans="1:19" s="1" customFormat="1" ht="13.5" customHeight="1" x14ac:dyDescent="0.2">
      <c r="A536" s="1328" t="s">
        <v>12</v>
      </c>
      <c r="B536" s="1328"/>
      <c r="C536" s="1328"/>
      <c r="D536" s="1345"/>
      <c r="E536" s="1345"/>
      <c r="F536" s="1345"/>
      <c r="G536" s="1345"/>
      <c r="H536" s="1345"/>
      <c r="I536" s="1345"/>
      <c r="K536" s="1327" t="s">
        <v>149</v>
      </c>
      <c r="L536" s="1327"/>
      <c r="M536" s="101">
        <f>IF((M537+M538)&gt;M535,0,M535-M537-M538)</f>
        <v>0</v>
      </c>
      <c r="O536" s="928" t="str">
        <f t="shared" si="88"/>
        <v>Mrz 2025</v>
      </c>
      <c r="P536" s="1403">
        <f t="shared" si="89"/>
        <v>0</v>
      </c>
    </row>
    <row r="537" spans="1:19" s="1" customFormat="1" ht="13.5" customHeight="1" x14ac:dyDescent="0.2">
      <c r="A537" s="1328" t="s">
        <v>11</v>
      </c>
      <c r="B537" s="1328"/>
      <c r="C537" s="1328"/>
      <c r="D537" s="1345"/>
      <c r="E537" s="1345"/>
      <c r="F537" s="1345"/>
      <c r="G537" s="1345"/>
      <c r="H537" s="1345"/>
      <c r="I537" s="1345"/>
      <c r="K537" s="1327" t="s">
        <v>150</v>
      </c>
      <c r="L537" s="1327"/>
      <c r="M537" s="101"/>
      <c r="O537" s="928" t="str">
        <f t="shared" si="88"/>
        <v>Apr 2025</v>
      </c>
      <c r="P537" s="1403">
        <f t="shared" si="89"/>
        <v>0</v>
      </c>
    </row>
    <row r="538" spans="1:19" s="1" customFormat="1" ht="13.5" customHeight="1" x14ac:dyDescent="0.2">
      <c r="A538" s="1328" t="s">
        <v>18</v>
      </c>
      <c r="B538" s="1328"/>
      <c r="C538" s="1328"/>
      <c r="D538" s="1345"/>
      <c r="E538" s="1345"/>
      <c r="F538" s="1345"/>
      <c r="G538" s="1345"/>
      <c r="H538" s="1345"/>
      <c r="I538" s="1345"/>
      <c r="K538" s="1327" t="s">
        <v>222</v>
      </c>
      <c r="L538" s="1327"/>
      <c r="M538" s="101"/>
      <c r="O538" s="928" t="str">
        <f t="shared" si="88"/>
        <v>Mai 2025</v>
      </c>
      <c r="P538" s="1403">
        <f t="shared" si="89"/>
        <v>0</v>
      </c>
    </row>
    <row r="539" spans="1:19" s="1" customFormat="1" ht="13.5" customHeight="1" x14ac:dyDescent="0.2">
      <c r="B539" s="6"/>
      <c r="C539" s="1029" t="s">
        <v>147</v>
      </c>
      <c r="D539" s="1324"/>
      <c r="E539" s="1324"/>
      <c r="F539" s="1359" t="s">
        <v>103</v>
      </c>
      <c r="G539" s="1359"/>
      <c r="H539" s="1361"/>
      <c r="I539" s="1361"/>
      <c r="K539" s="1327" t="s">
        <v>94</v>
      </c>
      <c r="L539" s="1327"/>
      <c r="M539" s="15" t="str">
        <f>IF(IF((COUNTIF(B557:B568,"&gt;0"))=0,0,(COUNTIF(B557:B568,"&gt;0")))&gt;Grundlagen!$C$26,Grundlagen!$C$26,IF((COUNTIF(B557:B568,"&gt;0"))=0,"",(COUNTIF(B557:B568,"&gt;0"))))</f>
        <v/>
      </c>
      <c r="O539" s="928" t="str">
        <f t="shared" si="88"/>
        <v>Jun 2025</v>
      </c>
      <c r="P539" s="1403">
        <f t="shared" si="89"/>
        <v>0</v>
      </c>
    </row>
    <row r="540" spans="1:19" s="1" customFormat="1" ht="13.5" customHeight="1" x14ac:dyDescent="0.2">
      <c r="I540" s="4"/>
      <c r="M540" s="102" t="str">
        <f>IF((SUM(F542:F545))=0,"",IF(P546&gt;M536,M536,IF(M536="","",IF(M539="","",P546))))</f>
        <v/>
      </c>
      <c r="O540" s="928" t="str">
        <f t="shared" si="88"/>
        <v>Jul 2025</v>
      </c>
      <c r="P540" s="1403">
        <f t="shared" si="89"/>
        <v>0</v>
      </c>
    </row>
    <row r="541" spans="1:19" s="46" customFormat="1" ht="13.5" customHeight="1" x14ac:dyDescent="0.2">
      <c r="A541" s="54" t="s">
        <v>134</v>
      </c>
      <c r="B541" s="1356" t="s">
        <v>135</v>
      </c>
      <c r="C541" s="1356"/>
      <c r="D541" s="55" t="s">
        <v>136</v>
      </c>
      <c r="E541" s="56" t="s">
        <v>137</v>
      </c>
      <c r="F541" s="57" t="str">
        <f>CONCATENATE("Entg. ",N531," h/Wo")</f>
        <v>Entg.  h/Wo</v>
      </c>
      <c r="G541" s="58" t="s">
        <v>138</v>
      </c>
      <c r="I541" s="58" t="s">
        <v>139</v>
      </c>
      <c r="K541" s="970"/>
      <c r="L541" s="970"/>
      <c r="M541" s="59"/>
      <c r="N541" s="968"/>
      <c r="O541" s="928" t="str">
        <f t="shared" si="88"/>
        <v>Aug 2025</v>
      </c>
      <c r="P541" s="1403">
        <f t="shared" si="89"/>
        <v>0</v>
      </c>
      <c r="Q541" s="85"/>
      <c r="R541" s="85"/>
      <c r="S541" s="85"/>
    </row>
    <row r="542" spans="1:19" s="46" customFormat="1" ht="13.5" customHeight="1" x14ac:dyDescent="0.25">
      <c r="A542" s="48" t="str">
        <f>'päd.Personal - Leitung'!$A$14</f>
        <v>Jan 2025</v>
      </c>
      <c r="B542" s="1357" t="str">
        <f>IF($D$3="","",$D$3)</f>
        <v/>
      </c>
      <c r="C542" s="1358"/>
      <c r="D542" s="132"/>
      <c r="E542" s="132"/>
      <c r="F542" s="71"/>
      <c r="G542" s="50">
        <f>IF(N531="",0,F542/N531/4.348)</f>
        <v>0</v>
      </c>
      <c r="I542" s="125">
        <f>SUM(J542:M542)</f>
        <v>0</v>
      </c>
      <c r="J542" s="124"/>
      <c r="K542" s="124"/>
      <c r="L542" s="124"/>
      <c r="M542" s="124"/>
      <c r="N542" s="969"/>
      <c r="O542" s="928" t="str">
        <f t="shared" si="88"/>
        <v>Sep 2025</v>
      </c>
      <c r="P542" s="1403">
        <f t="shared" si="89"/>
        <v>0</v>
      </c>
      <c r="Q542" s="85"/>
      <c r="R542" s="85"/>
      <c r="S542" s="85"/>
    </row>
    <row r="543" spans="1:19" s="46" customFormat="1" ht="13.5" customHeight="1" x14ac:dyDescent="0.25">
      <c r="A543" s="49"/>
      <c r="B543" s="1322" t="str">
        <f>IF(A543="","",B542)</f>
        <v/>
      </c>
      <c r="C543" s="1323"/>
      <c r="D543" s="132"/>
      <c r="E543" s="132"/>
      <c r="F543" s="71"/>
      <c r="G543" s="50">
        <f>IF(N531="",0,F543/N531/4.348)</f>
        <v>0</v>
      </c>
      <c r="I543" s="125">
        <f t="shared" ref="I543:I545" si="90">SUM(J543:M543)</f>
        <v>0</v>
      </c>
      <c r="J543" s="124"/>
      <c r="K543" s="124"/>
      <c r="L543" s="124"/>
      <c r="M543" s="124"/>
      <c r="N543" s="969"/>
      <c r="O543" s="928" t="str">
        <f t="shared" si="88"/>
        <v>Okt 2025</v>
      </c>
      <c r="P543" s="1403">
        <f t="shared" ref="P543:P545" si="91">IF(P542="","",P542)</f>
        <v>0</v>
      </c>
      <c r="Q543" s="85"/>
      <c r="R543" s="85"/>
      <c r="S543" s="85"/>
    </row>
    <row r="544" spans="1:19" s="46" customFormat="1" ht="13.5" customHeight="1" x14ac:dyDescent="0.25">
      <c r="A544" s="49"/>
      <c r="B544" s="1322" t="str">
        <f>IF(A544="","",B543)</f>
        <v/>
      </c>
      <c r="C544" s="1323"/>
      <c r="D544" s="132"/>
      <c r="E544" s="132"/>
      <c r="F544" s="71"/>
      <c r="G544" s="50">
        <f>IF(N531="",0,F544/N531/4.348)</f>
        <v>0</v>
      </c>
      <c r="I544" s="125">
        <f t="shared" si="90"/>
        <v>0</v>
      </c>
      <c r="J544" s="124"/>
      <c r="K544" s="124"/>
      <c r="L544" s="124"/>
      <c r="M544" s="124"/>
      <c r="N544" s="969"/>
      <c r="O544" s="928" t="str">
        <f t="shared" si="88"/>
        <v>Nov 2025</v>
      </c>
      <c r="P544" s="1403">
        <f t="shared" si="91"/>
        <v>0</v>
      </c>
      <c r="Q544" s="85"/>
      <c r="R544" s="85"/>
      <c r="S544" s="85"/>
    </row>
    <row r="545" spans="1:22" s="46" customFormat="1" ht="13.5" customHeight="1" x14ac:dyDescent="0.25">
      <c r="A545" s="49"/>
      <c r="B545" s="1322" t="str">
        <f>IF(A545="","",B544)</f>
        <v/>
      </c>
      <c r="C545" s="1323"/>
      <c r="D545" s="132"/>
      <c r="E545" s="132"/>
      <c r="F545" s="71"/>
      <c r="G545" s="50">
        <f>IF(N531="",0,F545/N531/4.348)</f>
        <v>0</v>
      </c>
      <c r="I545" s="125">
        <f t="shared" si="90"/>
        <v>0</v>
      </c>
      <c r="J545" s="124"/>
      <c r="K545" s="124"/>
      <c r="L545" s="124"/>
      <c r="M545" s="124"/>
      <c r="N545" s="969"/>
      <c r="O545" s="928" t="str">
        <f t="shared" si="88"/>
        <v>Dez 2025</v>
      </c>
      <c r="P545" s="1403">
        <f t="shared" si="91"/>
        <v>0</v>
      </c>
      <c r="Q545" s="85"/>
      <c r="R545" s="85"/>
      <c r="S545" s="85"/>
    </row>
    <row r="546" spans="1:22" s="46" customFormat="1" ht="13.5" customHeight="1" x14ac:dyDescent="0.25">
      <c r="B546" s="972"/>
      <c r="C546" s="972"/>
      <c r="E546" s="972"/>
      <c r="F546" s="972"/>
      <c r="I546" s="930" t="s">
        <v>730</v>
      </c>
      <c r="J546" s="1060"/>
      <c r="K546" s="1060"/>
      <c r="L546" s="1060"/>
      <c r="M546" s="1060"/>
      <c r="N546" s="971"/>
      <c r="O546" s="126" t="s">
        <v>221</v>
      </c>
      <c r="P546" s="127">
        <f>IF(M539="",0,((IF(SUMIF(B557,"&gt;0"),P534,0))+(IF(SUMIF(B558,"&gt;0"),P535,0))+(IF(SUMIF(B559,"&gt;0"),P536,0))+(IF(SUMIF(B560,"&gt;0"),P537,0))+(IF(SUMIF(B561,"&gt;0"),P538,0))+(IF(SUMIF(B562,"&gt;0"),P539,0))+(IF(SUMIF(B563,"&gt;0"),P540,0))+(IF(SUMIF(B564,"&gt;0"),P541,0))+(IF(SUMIF(B565,"&gt;0"),P542,0))+(IF(SUMIF(B566,"&gt;0"),P543,0))+(IF(SUMIF(B567,"&gt;0"),P544,0))+(IF(SUMIF(B568,"&gt;0"),P545,0)))/Grundlagen!$C$26)</f>
        <v>0</v>
      </c>
      <c r="Q546" s="944" t="str">
        <f>CONCATENATE("BBG"," anteilig ",O548)</f>
        <v>BBG anteilig 2025</v>
      </c>
      <c r="R546" s="931" t="s">
        <v>659</v>
      </c>
      <c r="S546" s="931" t="s">
        <v>398</v>
      </c>
      <c r="T546" s="107"/>
    </row>
    <row r="547" spans="1:22" s="46" customFormat="1" ht="13.5" customHeight="1" x14ac:dyDescent="0.2">
      <c r="A547" s="924" t="s">
        <v>732</v>
      </c>
      <c r="D547" s="55" t="s">
        <v>369</v>
      </c>
      <c r="E547" s="56" t="s">
        <v>368</v>
      </c>
      <c r="F547" s="58"/>
      <c r="J547" s="61"/>
      <c r="Q547" s="932" t="s">
        <v>144</v>
      </c>
      <c r="R547" s="140">
        <f>IF(M536=0,R551,IF(M535="",R551,(SUM(R557:R568)/M539)))</f>
        <v>5175</v>
      </c>
      <c r="S547" s="933">
        <f>IF(M536=0,S551,IF(M535="",S551,SUM(R557:R568)))</f>
        <v>0</v>
      </c>
      <c r="T547" s="107"/>
    </row>
    <row r="548" spans="1:22" s="46" customFormat="1" ht="13.5" customHeight="1" x14ac:dyDescent="0.25">
      <c r="A548" s="60"/>
      <c r="B548" s="1314" t="str">
        <f>IF($B$20="","",$B$20)</f>
        <v>Jahressonderzahlung (JSZ)</v>
      </c>
      <c r="C548" s="1315"/>
      <c r="D548" s="926"/>
      <c r="E548" s="929" t="str">
        <f>IF(A548="","",ROUND((((SUM(B563:B565)+SUM(F563:F565))/3)*D548)/Grundlagen!$C$26*M539,2))</f>
        <v/>
      </c>
      <c r="G548" s="941" t="s">
        <v>733</v>
      </c>
      <c r="H548" s="943"/>
      <c r="I548" s="1316" t="str">
        <f>CONCATENATE(R571,":"," Übergangsbereich von ",R572+0.01," €"," bis ",R573," €")</f>
        <v>2025: Übergangsbereich von 556,01 € bis 2000 €</v>
      </c>
      <c r="J548" s="1317"/>
      <c r="K548" s="1317"/>
      <c r="L548" s="1067"/>
      <c r="M548" s="1067"/>
      <c r="N548" s="1068" t="s">
        <v>736</v>
      </c>
      <c r="O548" s="1069">
        <f>P548+1</f>
        <v>2025</v>
      </c>
      <c r="P548" s="1069" t="s">
        <v>721</v>
      </c>
      <c r="Q548" s="932" t="s">
        <v>145</v>
      </c>
      <c r="R548" s="140">
        <f>IF(M536=0,R552,IF(M535="",R552,(SUM(S557:S568)/M539)))</f>
        <v>7450</v>
      </c>
      <c r="S548" s="933">
        <f>IF(M536=0,S552,IF(M535="",S552,SUM(S557:S568)))</f>
        <v>0</v>
      </c>
      <c r="T548" s="109"/>
    </row>
    <row r="549" spans="1:22" s="1" customFormat="1" ht="14.25" customHeight="1" x14ac:dyDescent="0.2">
      <c r="A549" s="60"/>
      <c r="B549" s="1314" t="str">
        <f>IF($B$21="","",$B$21)</f>
        <v>Leistungsentgelt (LOB)</v>
      </c>
      <c r="C549" s="1315"/>
      <c r="D549" s="926"/>
      <c r="E549" s="929" t="str">
        <f>IF(A549="","",ROUND(((B569+F569)*D549)/Grundlagen!$C$26*M539,2))</f>
        <v/>
      </c>
      <c r="G549" s="941" t="str">
        <f>IF(OR(H548="",H548="nein")=TRUE,"","Faktor (F):")</f>
        <v/>
      </c>
      <c r="H549" s="949" t="str">
        <f>IF(OR(H548="",H548="nein")=TRUE,"",IF(H548="","",R575))</f>
        <v/>
      </c>
      <c r="I549" s="1318" t="str">
        <f>IF(OR(H548="",H548="nein")=TRUE,"",IF(H549="","",CONCATENATE(S575*100,"%"," / ","(",R574*100,"%"," Gesamt-SV-Beitragssatz 2024)")))</f>
        <v/>
      </c>
      <c r="J549" s="1319"/>
      <c r="K549" s="1319"/>
      <c r="L549" s="1070"/>
      <c r="M549" s="1070"/>
      <c r="N549" s="1071" t="s">
        <v>144</v>
      </c>
      <c r="O549" s="1072">
        <f>'päd.Personal - Leitung'!$O$21</f>
        <v>5175</v>
      </c>
      <c r="P549" s="1072">
        <f>'päd.Personal - Leitung'!$P$21</f>
        <v>5175</v>
      </c>
      <c r="Q549" s="11"/>
      <c r="R549" s="11"/>
      <c r="S549" s="11"/>
      <c r="T549" s="109"/>
    </row>
    <row r="550" spans="1:22" s="1" customFormat="1" ht="14.25" customHeight="1" x14ac:dyDescent="0.2">
      <c r="C550" s="925" t="s">
        <v>731</v>
      </c>
      <c r="L550" s="1070"/>
      <c r="M550" s="1070"/>
      <c r="N550" s="1071" t="s">
        <v>145</v>
      </c>
      <c r="O550" s="1073">
        <f>'päd.Personal - Leitung'!$O$22</f>
        <v>7450</v>
      </c>
      <c r="P550" s="1073">
        <f>'päd.Personal - Leitung'!$P$22</f>
        <v>7450</v>
      </c>
      <c r="Q550" s="944" t="str">
        <f>CONCATENATE("BBG"," ",O548)</f>
        <v>BBG 2025</v>
      </c>
      <c r="R550" s="11"/>
      <c r="S550" s="11"/>
      <c r="T550" s="109"/>
    </row>
    <row r="551" spans="1:22" s="1" customFormat="1" ht="14.25" customHeight="1" x14ac:dyDescent="0.2">
      <c r="A551" s="53" t="s">
        <v>141</v>
      </c>
      <c r="B551" s="46"/>
      <c r="C551" s="46"/>
      <c r="D551" s="46"/>
      <c r="E551" s="46"/>
      <c r="F551" s="46"/>
      <c r="G551" s="46"/>
      <c r="H551" s="46"/>
      <c r="I551" s="46"/>
      <c r="J551" s="46"/>
      <c r="K551" s="46"/>
      <c r="L551" s="46"/>
      <c r="M551" s="46"/>
      <c r="N551" s="46"/>
      <c r="O551" s="46"/>
      <c r="P551" s="46"/>
      <c r="Q551" s="932" t="s">
        <v>144</v>
      </c>
      <c r="R551" s="141">
        <f>IF($O$21="",0,$O$21)</f>
        <v>5175</v>
      </c>
      <c r="S551" s="933">
        <f>R551*IF(M539="",0,M539)</f>
        <v>0</v>
      </c>
      <c r="T551" s="295"/>
    </row>
    <row r="552" spans="1:22" s="1" customFormat="1" ht="14.25" customHeight="1" x14ac:dyDescent="0.2">
      <c r="A552" s="1346"/>
      <c r="B552" s="1348" t="s">
        <v>8</v>
      </c>
      <c r="C552" s="1349"/>
      <c r="D552" s="1349"/>
      <c r="E552" s="1349"/>
      <c r="F552" s="1349"/>
      <c r="G552" s="1350"/>
      <c r="H552" s="1351" t="s">
        <v>113</v>
      </c>
      <c r="I552" s="1352"/>
      <c r="J552" s="1352"/>
      <c r="K552" s="1352"/>
      <c r="L552" s="1352"/>
      <c r="M552" s="1352"/>
      <c r="N552" s="1352"/>
      <c r="O552" s="30"/>
      <c r="P552" s="1330" t="s">
        <v>0</v>
      </c>
      <c r="Q552" s="932" t="s">
        <v>145</v>
      </c>
      <c r="R552" s="141">
        <f>IF($O$22="",0,$O$22)</f>
        <v>7450</v>
      </c>
      <c r="S552" s="933">
        <f>R552*IF(M539="",0,M539)</f>
        <v>0</v>
      </c>
      <c r="T552" s="830"/>
    </row>
    <row r="553" spans="1:22" s="1" customFormat="1" ht="14.25" customHeight="1" x14ac:dyDescent="0.2">
      <c r="A553" s="1347"/>
      <c r="B553" s="1333" t="s">
        <v>111</v>
      </c>
      <c r="C553" s="1335" t="s">
        <v>743</v>
      </c>
      <c r="D553" s="1337" t="s">
        <v>226</v>
      </c>
      <c r="E553" s="1339" t="s">
        <v>133</v>
      </c>
      <c r="F553" s="1030" t="s">
        <v>6</v>
      </c>
      <c r="G553" s="1340" t="s">
        <v>5</v>
      </c>
      <c r="H553" s="1339" t="s">
        <v>119</v>
      </c>
      <c r="I553" s="1339" t="s">
        <v>4</v>
      </c>
      <c r="J553" s="1339" t="s">
        <v>3</v>
      </c>
      <c r="K553" s="1339" t="s">
        <v>2</v>
      </c>
      <c r="L553" s="1339" t="s">
        <v>114</v>
      </c>
      <c r="M553" s="1339" t="s">
        <v>115</v>
      </c>
      <c r="N553" s="1339" t="s">
        <v>116</v>
      </c>
      <c r="O553" s="1338" t="s">
        <v>109</v>
      </c>
      <c r="P553" s="1331"/>
      <c r="Q553" s="456"/>
      <c r="R553" s="11"/>
      <c r="S553" s="11"/>
      <c r="T553" s="621"/>
    </row>
    <row r="554" spans="1:22" s="1" customFormat="1" ht="14.25" customHeight="1" x14ac:dyDescent="0.2">
      <c r="A554" s="1347"/>
      <c r="B554" s="1333"/>
      <c r="C554" s="1335"/>
      <c r="D554" s="1338"/>
      <c r="E554" s="1339"/>
      <c r="F554" s="1343" t="str">
        <f>I546</f>
        <v>Zuschläge / Zulagen / o.ä.:</v>
      </c>
      <c r="G554" s="1340"/>
      <c r="H554" s="1342" t="s">
        <v>117</v>
      </c>
      <c r="I554" s="1342"/>
      <c r="J554" s="1342"/>
      <c r="K554" s="1342"/>
      <c r="L554" s="1342"/>
      <c r="M554" s="1342"/>
      <c r="N554" s="1342"/>
      <c r="O554" s="1338"/>
      <c r="P554" s="1331"/>
      <c r="Q554" s="456"/>
      <c r="R554" s="1306" t="str">
        <f>Q546</f>
        <v>BBG anteilig 2025</v>
      </c>
      <c r="S554" s="1306"/>
      <c r="T554" s="829"/>
    </row>
    <row r="555" spans="1:22" s="1" customFormat="1" ht="14.25" customHeight="1" x14ac:dyDescent="0.2">
      <c r="A555" s="1347"/>
      <c r="B555" s="1333"/>
      <c r="C555" s="1335"/>
      <c r="D555" s="1338"/>
      <c r="E555" s="1339"/>
      <c r="F555" s="1343"/>
      <c r="G555" s="1340"/>
      <c r="H555" s="39" t="str">
        <f>'päd.Personal - Leitung'!$H$27</f>
        <v>(7,30% + Zusatz)</v>
      </c>
      <c r="I555" s="39" t="str">
        <f>'päd.Personal - Leitung'!$I$27</f>
        <v xml:space="preserve"> (2024: 9,30%)</v>
      </c>
      <c r="J555" s="39" t="str">
        <f>'päd.Personal - Leitung'!$J$27</f>
        <v>(2024: 1,30%)</v>
      </c>
      <c r="K555" s="39" t="str">
        <f>'päd.Personal - Leitung'!$K$27</f>
        <v>(2024: 1,700%)</v>
      </c>
      <c r="L555" s="39"/>
      <c r="M555" s="39"/>
      <c r="N555" s="39" t="str">
        <f>'päd.Personal - Leitung'!$N$27</f>
        <v>(2024: 0,06%)</v>
      </c>
      <c r="O555" s="1338"/>
      <c r="P555" s="1331"/>
      <c r="Q555" s="456"/>
      <c r="R555" s="1307" t="s">
        <v>659</v>
      </c>
      <c r="S555" s="1307"/>
      <c r="T555" s="829"/>
      <c r="U555" s="1308" t="s">
        <v>1</v>
      </c>
      <c r="V555" s="1308" t="s">
        <v>741</v>
      </c>
    </row>
    <row r="556" spans="1:22" s="1" customFormat="1" x14ac:dyDescent="0.2">
      <c r="A556" s="1347"/>
      <c r="B556" s="1334"/>
      <c r="C556" s="1336"/>
      <c r="D556" s="45"/>
      <c r="E556" s="45"/>
      <c r="F556" s="1344"/>
      <c r="G556" s="1341"/>
      <c r="H556" s="74"/>
      <c r="I556" s="99">
        <f>'päd.Personal - Leitung'!$I$28</f>
        <v>0</v>
      </c>
      <c r="J556" s="99">
        <f>'päd.Personal - Leitung'!$J$28</f>
        <v>0</v>
      </c>
      <c r="K556" s="40">
        <f>'päd.Personal - Leitung'!$K$28</f>
        <v>0</v>
      </c>
      <c r="L556" s="19"/>
      <c r="M556" s="19"/>
      <c r="N556" s="99">
        <f>'päd.Personal - Leitung'!$N$28</f>
        <v>0</v>
      </c>
      <c r="O556" s="23"/>
      <c r="P556" s="1332"/>
      <c r="Q556" s="456"/>
      <c r="R556" s="935" t="s">
        <v>144</v>
      </c>
      <c r="S556" s="935" t="s">
        <v>145</v>
      </c>
      <c r="T556" s="829"/>
      <c r="U556" s="1308"/>
      <c r="V556" s="1308"/>
    </row>
    <row r="557" spans="1:22" s="1" customFormat="1" x14ac:dyDescent="0.2">
      <c r="A557" s="76" t="str">
        <f>CONCATENATE("Jan ",O533)</f>
        <v>Jan 2025</v>
      </c>
      <c r="B557" s="22">
        <f>ROUND(IF(P534=0,0,(LOOKUP(2,1/(A542:A545=A557),G542:G545))*P534*4.348),2)</f>
        <v>0</v>
      </c>
      <c r="C557" s="21">
        <f>ROUND(IFERROR((LOOKUP(2,1/(A548=A557),E548)),0)+IFERROR((LOOKUP(2,1/(A549=A557),E549)),0),2)</f>
        <v>0</v>
      </c>
      <c r="D557" s="21">
        <f>ROUND(IF(B557=0,0,D556/M535*P534),2)</f>
        <v>0</v>
      </c>
      <c r="E557" s="21">
        <f>ROUND(IF(B557=0,0,E556/N531*P534),2)</f>
        <v>0</v>
      </c>
      <c r="F557" s="22">
        <f>ROUND(IF(P534=0,0,(LOOKUP(2,1/(A542:A545=A557),I542:I545))/N531*P534),2)</f>
        <v>0</v>
      </c>
      <c r="G557" s="25">
        <f t="shared" ref="G557:G568" si="92">SUM(B557+C557+E557+F557)</f>
        <v>0</v>
      </c>
      <c r="H557" s="64">
        <f>IF(B557=0,0,IF(AND(H548="ja",((U557)&lt;R573)),ROUND(((R575*R572+((R573/(R573-R572))-(R572/(R573-R572))*R575)*((U557)-R572))*(H556*2))-(((R573/(R573-R572))*((U557)-R572))*H556),2),ROUND(IF((U557)&gt;R557,R557*H556,U557*H556),2)))</f>
        <v>0</v>
      </c>
      <c r="I557" s="64">
        <f>IF(B557=0,0,IF(AND(H548="ja",((U557)&lt;R573)),ROUND(((R575*R572+((R573/(R573-R572))-(R572/(R573-R572))*R575)*((U557)-R572))*(I556*2))-(((R573/(R573-R572))*((U557)-R572))*I556),2),ROUND(IF((U557)&gt;S557,S557*I556,U557*I556),2)))</f>
        <v>0</v>
      </c>
      <c r="J557" s="64">
        <f>IF(B557=0,0,IF(AND(H548="ja",((U557)&lt;R573)),ROUND(((R575*R572+((R573/(R573-R572))-(R572/(R573-R572))*R575)*((U557)-R572))*(J556*2))-(((R573/(R573-R572))*((U557)-R572))*J556),2),ROUND(IF((U557)&gt;S557,S557*J556,U557*J556),2)))</f>
        <v>0</v>
      </c>
      <c r="K557" s="64">
        <f>IF(B557=0,0,IF(AND(H548="ja",((U557)&lt;R573)),ROUND(((R575*R572+((R573/(R573-R572))-(R572/(R573-R572))*R575)*((U557)-R572))*(K556*2))-(((R573/(R573-R572))*((U557)-R572))*K556),2),ROUND(IF((U557)&gt;R557,R557*K556,U557*K556),2)))</f>
        <v>0</v>
      </c>
      <c r="L557" s="64">
        <f>IF(B557=0,0,IF(AND(H548="ja",((U557-C557)&lt;R573)),ROUND(((R575*R572+((R573/(R573-R572))-(R572/(R573-R572))*R575)*((U557-C557)-R572))*(L556)),2),ROUND(IF((SUM(B557:F557))&gt;S557,S557*L556,(SUM(B557:F557)-C557)*L556),2)))</f>
        <v>0</v>
      </c>
      <c r="M557" s="64">
        <f>IF(B557=0,0,IF(AND(H548="ja",((U557-C557)&lt;R573)),ROUND(((R575*R572+((R573/(R573-R572))-(R572/(R573-R572))*R575)*((U557-C557)-R572))*(M556)),2),ROUND(IF((SUM(B557:F557))&gt;S557,S557*M556,(SUM(B557:F557)-C557)*M556),2)))</f>
        <v>0</v>
      </c>
      <c r="N557" s="64">
        <f>IF(B557=0,0,IF(AND(H548="ja",((U557)&lt;R573)),ROUND(((R575*R572+((R573/(R573-R572))-(R572/(R573-R572))*R575)*((U557)-R572))*(N556)),2),ROUND(IF((SUM(B557:F557))&gt;S557,S557*N556,SUM(B557:F557)*N556),2)))</f>
        <v>0</v>
      </c>
      <c r="O557" s="21">
        <f>ROUND(SUM(B557+C557+F557)*O556,2)</f>
        <v>0</v>
      </c>
      <c r="P557" s="25">
        <f>SUM(G557:O557)</f>
        <v>0</v>
      </c>
      <c r="Q557" s="456"/>
      <c r="R557" s="140">
        <f>ROUND(IF(M535="",R551,R551/M535*P534),2)</f>
        <v>5175</v>
      </c>
      <c r="S557" s="140">
        <f>ROUND(IF(M535="",R552,R552/M535*P534),2)</f>
        <v>7450</v>
      </c>
      <c r="U557" s="950">
        <f>SUM(B557:F557)</f>
        <v>0</v>
      </c>
      <c r="V557" s="950">
        <f>SUM(B557:F557)</f>
        <v>0</v>
      </c>
    </row>
    <row r="558" spans="1:22" s="1" customFormat="1" x14ac:dyDescent="0.2">
      <c r="A558" s="76" t="str">
        <f>CONCATENATE("Feb ",O533)</f>
        <v>Feb 2025</v>
      </c>
      <c r="B558" s="22">
        <f>ROUND(IF(P535=0,0,IFERROR(((LOOKUP(2,1/(A542:A545=A558),G542:G545))*P535*4.348),B557/P534*P535)),2)</f>
        <v>0</v>
      </c>
      <c r="C558" s="21">
        <f>ROUND(IFERROR((LOOKUP(2,1/(A548=A558),E548)),0)+IFERROR((LOOKUP(2,1/(A549=A558),E549)),0),2)</f>
        <v>0</v>
      </c>
      <c r="D558" s="21">
        <f>ROUND(IF(B558=0,0,D556/M535*P535),2)</f>
        <v>0</v>
      </c>
      <c r="E558" s="21">
        <f>ROUND(IF(B558=0,0,E556/N531*P535),2)</f>
        <v>0</v>
      </c>
      <c r="F558" s="22">
        <f>ROUND(IF(P535=0,0,IFERROR(((LOOKUP(2,1/(A542:A545=A558),I542:I545))/N531*P535),F557/P534*P535)),2)</f>
        <v>0</v>
      </c>
      <c r="G558" s="25">
        <f t="shared" si="92"/>
        <v>0</v>
      </c>
      <c r="H558" s="64">
        <f>IF(B558=0,0,IF(AND(H548="ja",((U558)&lt;R573)),ROUND(((R575*R572+((R573/(R573-R572))-(R572/(R573-R572))*R575)*((U558)-R572))*(H556*2))-(((R573/(R573-R572))*((U558)-R572))*H556),2),ROUND(IF(U557&lt;(R557),IF((V558)&gt;(SUM(R557:R558)),(((SUM(R557:R558))-(V558-C557))*H556)+((U558-C557)*H556),U558*H556),IF(V558&gt;(SUM(R557:R558)),R558*H556,U558*H556)),2)))</f>
        <v>0</v>
      </c>
      <c r="I558" s="64">
        <f>IF(B558=0,0,IF(AND(H548="ja",((U558)&lt;R573)),ROUND(((R575*R572+((R573/(R573-R572))-(R572/(R573-R572))*R575)*((U558)-R572))*(I556*2))-(((R573/(R573-R572))*((U558)-R572))*I556),2),ROUND(IF(U557&lt;(S557),IF((V558)&gt;(SUM(S557:S558)),(((SUM(S557:S558))-(V558-C557))*I556)+((U558-C557)*I556),U558*I556),IF(V558&gt;(SUM(S557:S558)),S558*I556,U558*I556)),2)))</f>
        <v>0</v>
      </c>
      <c r="J558" s="64">
        <f>IF(B558=0,0,IF(AND(H548="ja",((U558)&lt;R573)),ROUND(((R575*R572+((R573/(R573-R572))-(R572/(R573-R572))*R575)*((U558)-R572))*(J556*2))-(((R573/(R573-R572))*((U558)-R572))*J556),2),ROUND(IF(U557&lt;(S557),IF((V558)&gt;(SUM(S557:S558)),(((SUM(S557:S558))-(V558-C557))*J556)+((U558-C557)*J556),U558*J556),IF(V558&gt;(SUM(S557:S558)),S558*J556,U558*J556)),2)))</f>
        <v>0</v>
      </c>
      <c r="K558" s="64">
        <f>IF(B558=0,0,IF(AND(H548="ja",((U558)&lt;R573)),ROUND(((R575*R572+((R573/(R573-R572))-(R572/(R573-R572))*R575)*((U558)-R572))*(K556*2))-(((R573/(R573-R572))*((U558)-R572))*K556),2),ROUND(IF(U557&lt;(R557),IF((V558)&gt;(SUM(R557:R558)),(((SUM(R557:R558))-(V558-C557))*K556)+((U558-C557)*K556),U558*K556),IF(V558&gt;(SUM(R557:R558)),R558*K556,U558*K556)),2)))</f>
        <v>0</v>
      </c>
      <c r="L558" s="64">
        <f>IF(B558=0,0,IF(AND(H548="ja",((U558-C558)&lt;R573)),ROUND(((R575*R572+((R573/(R573-R572))-(R572/(R573-R572))*R575)*((U558-C558)-R572))*(L556)),2),ROUND(IF(SUM(B557:F557)&lt;(S557),IF((SUM(B557:F558))&gt;(SUM(S557:S558)),(((SUM(S557:S558))-(SUM(B557:F558)-C558))*L556)+((SUM(B558:F558)-C558)*L556),(SUM(B558:F558)-C558)*L556),IF(SUM(B557:F558)&gt;(SUM(S557:S558)),S558*L556,SUM(B558:F558)*L556)),2)))</f>
        <v>0</v>
      </c>
      <c r="M558" s="64">
        <f>IF(B558=0,0,IF(AND(H548="ja",((U558-C558)&lt;R573)),ROUND(((R575*R572+((R573/(R573-R572))-(R572/(R573-R572))*R575)*((U558-C558)-R572))*(M556)),2),ROUND(IF(SUM(B557:F557)&lt;(S557),IF((SUM(B557:F558))&gt;(SUM(S557:S558)),(((SUM(S557:S558))-(SUM(B557:F558)-C558))*M556)+((SUM(B558:F558)-C558)*M556),(SUM(B558:F558)-C558)*M556),IF(SUM(B557:F558)&gt;(SUM(S557:S558)),S558*M556,SUM(B558:F558)*M556)),2)))</f>
        <v>0</v>
      </c>
      <c r="N558" s="64">
        <f>IF(B558=0,0,IF(AND(H548="ja",((U558)&lt;R573)),ROUND(((R575*R572+((R573/(R573-R572))-(R572/(R573-R572))*R575)*((U558)-R572))*(N556)),2),ROUND(IF(SUM(B557:F557)&lt;(S557),IF((SUM(B557:F558))&gt;(SUM(S557:S558)),(((SUM(S557:S558))-(SUM(B557:F558)-C557))*N556)+((SUM(B558:F558)-C557)*N556),SUM(B558:F558)*N556),IF(SUM(B557:F558)&gt;(SUM(S557:S558)),S558*N556,SUM(B558:F558)*N556)),2)))</f>
        <v>0</v>
      </c>
      <c r="O558" s="21">
        <f>ROUND(SUM(B558+C558+F558)*O556,2)</f>
        <v>0</v>
      </c>
      <c r="P558" s="25">
        <f t="shared" ref="P558:P568" si="93">SUM(G558:O558)</f>
        <v>0</v>
      </c>
      <c r="Q558" s="456"/>
      <c r="R558" s="140">
        <f>ROUND(IF(M535="",R551,R551/M535*P535),2)</f>
        <v>5175</v>
      </c>
      <c r="S558" s="140">
        <f>ROUND(IF(M535="",R552,R552/M535*P535),2)</f>
        <v>7450</v>
      </c>
      <c r="U558" s="950">
        <f t="shared" ref="U558:U568" si="94">SUM(B558:F558)</f>
        <v>0</v>
      </c>
      <c r="V558" s="950">
        <f>SUM(B557:F558)</f>
        <v>0</v>
      </c>
    </row>
    <row r="559" spans="1:22" s="1" customFormat="1" x14ac:dyDescent="0.2">
      <c r="A559" s="76" t="str">
        <f>CONCATENATE("Mrz ",O533)</f>
        <v>Mrz 2025</v>
      </c>
      <c r="B559" s="22">
        <f>ROUND(IF(P536=0,0,IFERROR(((LOOKUP(2,1/(A542:A545=A559),G542:G545))*P536*4.348),B558/P535*P536)),2)</f>
        <v>0</v>
      </c>
      <c r="C559" s="21">
        <f>ROUND(IFERROR((LOOKUP(2,1/(A548=A559),E548)),0)+IFERROR((LOOKUP(2,1/(A549=A559),E549)),0),2)</f>
        <v>0</v>
      </c>
      <c r="D559" s="21">
        <f>ROUND(IF(B559=0,0,D556/M535*P536),2)</f>
        <v>0</v>
      </c>
      <c r="E559" s="21">
        <f>ROUND(IF(B559=0,0,E556/N531*P536),2)</f>
        <v>0</v>
      </c>
      <c r="F559" s="22">
        <f>ROUND(IF(P536=0,0,IFERROR(((LOOKUP(2,1/(A542:A545=A559),I542:I545))/N531*P536),F558/P535*P536)),2)</f>
        <v>0</v>
      </c>
      <c r="G559" s="25">
        <f t="shared" si="92"/>
        <v>0</v>
      </c>
      <c r="H559" s="64">
        <f>IF(B559=0,0,IF(AND(H548="ja",((U559)&lt;R573)),ROUND(((R575*R572+((R573/(R573-R572))-(R572/(R573-R572))*R575)*((U559)-R572))*(H556*2))-(((R573/(R573-R572))*((U559)-R572))*H556),2),ROUND(IF(V558&lt;(SUM(R557:R558)),IF((V559)&gt;(SUM(R557:R559)),(((SUM(R557:R559))-(V559-C558))*H556)+((U559-C558)*H556),U559*H556),IF(V559&gt;(SUM(R557:R559)),R559*H556,U559*H556)),2)))</f>
        <v>0</v>
      </c>
      <c r="I559" s="64">
        <f>IF(B559=0,0,IF(AND(H548="ja",((U559)&lt;R573)),ROUND(((R575*R572+((R573/(R573-R572))-(R572/(R573-R572))*R575)*((U559)-R572))*(I556*2))-(((R573/(R573-R572))*((U559)-R572))*I556),2),ROUND(IF(V558&lt;(SUM(S557:S558)),IF((V559)&gt;(SUM(S557:S559)),(((SUM(S557:S559))-(V559-C558))*I556)+((U559-C558)*I556),U559*I556),IF(V559&gt;(SUM(S557:S559)),S559*I556,U559*I556)),2)))</f>
        <v>0</v>
      </c>
      <c r="J559" s="64">
        <f>IF(B559=0,0,IF(AND(H548="ja",((U559)&lt;R573)),ROUND(((R575*R572+((R573/(R573-R572))-(R572/(R573-R572))*R575)*((U559)-R572))*(J556*2))-(((R573/(R573-R572))*((U559)-R572))*J556),2),ROUND(IF(V558&lt;(SUM(S557:S558)),IF((V559)&gt;(SUM(S557:S559)),(((SUM(S557:S559))-(V559-C558))*J556)+((U559-C558)*J556),U559*J556),IF(V559&gt;(SUM(S557:S559)),S559*J556,U559*J556)),2)))</f>
        <v>0</v>
      </c>
      <c r="K559" s="64">
        <f>IF(B559=0,0,IF(AND(H548="ja",((U559)&lt;R573)),ROUND(((R575*R572+((R573/(R573-R572))-(R572/(R573-R572))*R575)*((U559)-R572))*(K556*2))-(((R573/(R573-R572))*((U559)-R572))*K556),2),ROUND(IF(V558&lt;(SUM(R557:R558)),IF((V559)&gt;(SUM(R557:R559)),(((SUM(R557:R559))-(V559-C558))*K556)+((U559-C558)*K556),U559*K556),IF(V559&gt;(SUM(R557:R559)),R559*K556,U559*K556)),2)))</f>
        <v>0</v>
      </c>
      <c r="L559" s="64">
        <f>IF(B559=0,0,IF(AND(H548="ja",((U559-C559)&lt;R573)),ROUND(((R575*R572+((R573/(R573-R572))-(R572/(R573-R572))*R575)*((U559-C559)-R572))*(L556)),2),ROUND(IF(SUM(B557:F558)&lt;(SUM(S557:S558)),IF((SUM(B557:F559))&gt;(SUM(S557:S559)),(((SUM(S557:S559))-(SUM(B557:F559)-C559))*L556)+((SUM(B559:F559)-C559)*L556),(SUM(B559:F559)-C559)*L556),IF(SUM(B557:F559)&gt;(SUM(S557:S559)),S559*L556,SUM(B559:F559)*L556)),2)))</f>
        <v>0</v>
      </c>
      <c r="M559" s="64">
        <f>IF(B559=0,0,IF(AND(H548="ja",((U559-C559)&lt;R573)),ROUND(((R575*R572+((R573/(R573-R572))-(R572/(R573-R572))*R575)*((U559-C559)-R572))*(M556)),2),ROUND(IF(SUM(B557:F558)&lt;(SUM(S557:S558)),IF((SUM(B557:F559))&gt;(SUM(S557:S559)),(((SUM(S557:S559))-(SUM(B557:F559)-C559))*M556)+((SUM(B559:F559)-C559)*M556),(SUM(B559:F559)-C559)*M556),IF(SUM(B557:F559)&gt;(SUM(S557:S559)),S559*M556,SUM(B559:F559)*M556)),2)))</f>
        <v>0</v>
      </c>
      <c r="N559" s="64">
        <f>IF(B559=0,0,IF(AND(H548="ja",((U559)&lt;R573)),ROUND(((R575*R572+((R573/(R573-R572))-(R572/(R573-R572))*R575)*((U559)-R572))*(N556)),2),ROUND(IF(SUM(B557:F558)&lt;(SUM(S557:S558)),IF((SUM(B557:F559))&gt;(SUM(S557:S559)),(((SUM(S557:S559))-(SUM(B557:F559)-C558))*N556)+((SUM(B559:F559)-C558)*N556),SUM(B559:F559)*N556),IF(SUM(B557:F559)&gt;(SUM(S557:S559)),S559*N556,SUM(B559:F559)*N556)),2)))</f>
        <v>0</v>
      </c>
      <c r="O559" s="21">
        <f>ROUND(SUM(B559+C559+F559)*O556,2)</f>
        <v>0</v>
      </c>
      <c r="P559" s="25">
        <f t="shared" si="93"/>
        <v>0</v>
      </c>
      <c r="Q559" s="456"/>
      <c r="R559" s="140">
        <f>ROUND(IF(M535="",R551,R551/M535*P536),2)</f>
        <v>5175</v>
      </c>
      <c r="S559" s="140">
        <f>ROUND(IF(M535="",R552,R552/M535*P536),2)</f>
        <v>7450</v>
      </c>
      <c r="U559" s="950">
        <f t="shared" si="94"/>
        <v>0</v>
      </c>
      <c r="V559" s="950">
        <f>SUM(B557:F559)</f>
        <v>0</v>
      </c>
    </row>
    <row r="560" spans="1:22" s="1" customFormat="1" x14ac:dyDescent="0.2">
      <c r="A560" s="76" t="str">
        <f>CONCATENATE("Apr ",O533)</f>
        <v>Apr 2025</v>
      </c>
      <c r="B560" s="22">
        <f>ROUND(IF(P537=0,0,IFERROR(((LOOKUP(2,1/(A542:A545=A560),G542:G545))*P537*4.348),B559/P536*P537)),2)</f>
        <v>0</v>
      </c>
      <c r="C560" s="21">
        <f>ROUND(IFERROR((LOOKUP(2,1/(A548=A560),E548)),0)+IFERROR((LOOKUP(2,1/(A549=A560),E549)),0),2)</f>
        <v>0</v>
      </c>
      <c r="D560" s="21">
        <f>ROUND(IF(B560=0,0,D556/M535*P537),2)</f>
        <v>0</v>
      </c>
      <c r="E560" s="21">
        <f>ROUND(IF(B560=0,0,E556/N531*P537),2)</f>
        <v>0</v>
      </c>
      <c r="F560" s="22">
        <f>ROUND(IF(P537=0,0,IFERROR(((LOOKUP(2,1/(A542:A545=A560),I542:I545))/N531*P537),F559/P536*P537)),2)</f>
        <v>0</v>
      </c>
      <c r="G560" s="25">
        <f t="shared" si="92"/>
        <v>0</v>
      </c>
      <c r="H560" s="64">
        <f>IF(B560=0,0,IF(AND(H548="ja",((U560)&lt;R573)),ROUND(((R575*R572+((R573/(R573-R572))-(R572/(R573-R572))*R575)*((U560)-R572))*(H556*2))-(((R573/(R573-R572))*((U560)-R572))*H556),2),ROUND(IF(V559&lt;(SUM(R557:R559)),IF((V560)&gt;(SUM(R557:R560)),(((SUM(R557:R560))-(V560-C559))*H556)+((U560-C559)*H556),U560*H556),IF(V560&gt;(SUM(R557:R560)),R560*H556,U560*H556)),2)))</f>
        <v>0</v>
      </c>
      <c r="I560" s="64">
        <f>IF(B560=0,0,IF(AND(H548="ja",((U560)&lt;R573)),ROUND(((R575*R572+((R573/(R573-R572))-(R572/(R573-R572))*R575)*((U560)-R572))*(I556*2))-(((R573/(R573-R572))*((U560)-R572))*I556),2),ROUND(IF(V559&lt;(SUM(S557:S559)),IF((V560)&gt;(SUM(S557:S560)),(((SUM(S557:S560))-(V560-C559))*I556)+((U560-C559)*I556),U560*I556),IF(V560&gt;(SUM(S557:S560)),S560*I556,U560*I556)),2)))</f>
        <v>0</v>
      </c>
      <c r="J560" s="64">
        <f>IF(B560=0,0,IF(AND(H548="ja",((U560)&lt;R573)),ROUND(((R575*R572+((R573/(R573-R572))-(R572/(R573-R572))*R575)*((U560)-R572))*(J556*2))-(((R573/(R573-R572))*((U560)-R572))*J556),2),ROUND(IF(U559&lt;(SUM(S557:S559)),IF((V560)&gt;(SUM(S557:S560)),(((SUM(S557:S560))-(V560-C559))*J556)+((U560-C559)*J556),U560*J556),IF(V560&gt;(SUM(S557:S560)),S560*J556,U560*J556)),2)))</f>
        <v>0</v>
      </c>
      <c r="K560" s="64">
        <f>IF(B560=0,0,IF(AND(H548="ja",((U560)&lt;R573)),ROUND(((R575*R572+((R573/(R573-R572))-(R572/(R573-R572))*R575)*((U560)-R572))*(K556*2))-(((R573/(R573-R572))*((U560)-R572))*K556),2),ROUND(IF(V559&lt;(SUM(R557:R559)),IF((V560)&gt;(SUM(R557:R560)),(((SUM(R557:R560))-(V560-C559))*K556)+((U560-C559)*K556),U560*K556),IF(V560&gt;(SUM(R557:R560)),R560*K556,U560*K556)),2)))</f>
        <v>0</v>
      </c>
      <c r="L560" s="64">
        <f>IF(B560=0,0,IF(AND(H548="ja",((U560-C560)&lt;R573)),ROUND(((R575*R572+((R573/(R573-R572))-(R572/(R573-R572))*R575)*((U560-C560)-R572))*(L556)),2),ROUND(IF(SUM(B557:F559)&lt;(SUM(S557:S559)),IF((SUM(B557:F560))&gt;(SUM(S557:S560)),(((SUM(S557:S560))-(SUM(B557:F560)-C560))*L556)+((SUM(B560:F560)-C560)*L556),(SUM(B560:F560)-C560)*L556),IF(SUM(B557:F560)&gt;(SUM(S557:S560)),S560*L556,SUM(B560:F560)*L556)),2)))</f>
        <v>0</v>
      </c>
      <c r="M560" s="64">
        <f>IF(B560=0,0,IF(AND(H548="ja",((U560-C560)&lt;R573)),ROUND(((R575*R572+((R573/(R573-R572))-(R572/(R573-R572))*R575)*((U560-C560)-R572))*(M556)),2),ROUND(IF(SUM(B557:F559)&lt;(SUM(S557:S559)),IF((SUM(B557:F560))&gt;(SUM(S557:S560)),(((SUM(S557:S560))-(SUM(B557:F560)-C560))*M556)+((SUM(B560:F560)-C560)*M556),(SUM(B560:F560)-C560)*M556),IF(SUM(B557:F560)&gt;(SUM(S557:S560)),S560*M556,SUM(B560:F560)*M556)),2)))</f>
        <v>0</v>
      </c>
      <c r="N560" s="64">
        <f>IF(B560=0,0,IF(AND(H548="ja",((U560)&lt;R573)),ROUND(((R575*R572+((R573/(R573-R572))-(R572/(R573-R572))*R575)*((U560)-R572))*(N556)),2),ROUND(IF(SUM(B557:F559)&lt;(SUM(S557:S559)),IF((SUM(B557:F560))&gt;(SUM(S557:S560)),(((SUM(S557:S560))-(SUM(B557:F560)-C559))*N556)+((SUM(B560:F560)-C559)*N556),SUM(B560:F560)*N556),IF(SUM(B557:F560)&gt;(SUM(S557:S560)),S560*N556,SUM(B560:F560)*N556)),2)))</f>
        <v>0</v>
      </c>
      <c r="O560" s="21">
        <f>ROUND(SUM(B560+C560+F560)*O556,2)</f>
        <v>0</v>
      </c>
      <c r="P560" s="25">
        <f t="shared" si="93"/>
        <v>0</v>
      </c>
      <c r="Q560" s="456"/>
      <c r="R560" s="140">
        <f>ROUND(IF(M535="",R551,R551/M535*P537),2)</f>
        <v>5175</v>
      </c>
      <c r="S560" s="140">
        <f>ROUND(IF(M535="",R552,R552/M535*P537),2)</f>
        <v>7450</v>
      </c>
      <c r="U560" s="950">
        <f t="shared" si="94"/>
        <v>0</v>
      </c>
      <c r="V560" s="950">
        <f>SUM(B557:F560)</f>
        <v>0</v>
      </c>
    </row>
    <row r="561" spans="1:24" s="1" customFormat="1" x14ac:dyDescent="0.2">
      <c r="A561" s="76" t="str">
        <f>CONCATENATE("Mai ",O533)</f>
        <v>Mai 2025</v>
      </c>
      <c r="B561" s="22">
        <f>ROUND(IF(P538=0,0,IFERROR(((LOOKUP(2,1/(A542:A545=A561),G542:G545))*P538*4.348),B560/P537*P538)),2)</f>
        <v>0</v>
      </c>
      <c r="C561" s="21">
        <f>ROUND(IFERROR((LOOKUP(2,1/(A548=A561),E548)),0)+IFERROR((LOOKUP(2,1/(A549=A561),E549)),0),2)</f>
        <v>0</v>
      </c>
      <c r="D561" s="21">
        <f>ROUND(IF(B561=0,0,D556/M535*P538),2)</f>
        <v>0</v>
      </c>
      <c r="E561" s="21">
        <f>ROUND(IF(B561=0,0,E556/N531*P538),2)</f>
        <v>0</v>
      </c>
      <c r="F561" s="22">
        <f>ROUND(IF(P538=0,0,IFERROR(((LOOKUP(2,1/(A542:A545=A561),I542:I545))/N531*P538),F560/P537*P538)),2)</f>
        <v>0</v>
      </c>
      <c r="G561" s="25">
        <f t="shared" si="92"/>
        <v>0</v>
      </c>
      <c r="H561" s="64">
        <f>IF(B561=0,0,IF(AND(H548="ja",((U561)&lt;R573)),ROUND(((R575*R572+((R573/(R573-R572))-(R572/(R573-R572))*R575)*((U561)-R572))*(H556*2))-(((R573/(R573-R572))*((U561)-R572))*H556),2),ROUND(IF(V560&lt;(SUM(R557:R560)),IF((V561)&gt;(SUM(R557:R561)),(((SUM(R557:R561))-(V561-C560))*H556)+((U561-C560)*H556),U561*H556),IF(V561&gt;(SUM(R557:R561)),R561*H556,U561*H556)),2)))</f>
        <v>0</v>
      </c>
      <c r="I561" s="64">
        <f>IF(B561=0,0,IF(AND(H548="ja",((U561)&lt;R573)),ROUND(((R575*R572+((R573/(R573-R572))-(R572/(R573-R572))*R575)*((U561)-R572))*(I556*2))-(((R573/(R573-R572))*((U561)-R572))*I556),2),ROUND(IF(V560&lt;(SUM(S557:S560)),IF((V561)&gt;(SUM(S557:S561)),(((SUM(S557:S561))-(V561-C560))*I556)+((U561-C560)*I556),U561*I556),IF(V561&gt;(SUM(S557:S561)),S561*I556,U561*I556)),2)))</f>
        <v>0</v>
      </c>
      <c r="J561" s="64">
        <f>IF(B561=0,0,IF(AND(H548="ja",((U561)&lt;R573)),ROUND(((R575*R572+((R573/(R573-R572))-(R572/(R573-R572))*R575)*((U561)-R572))*(J556*2))-(((R573/(R573-R572))*((U561)-R572))*J556),2),ROUND(IF(V560&lt;(SUM(S557:S560)),IF((V561)&gt;(SUM(S557:S561)),(((SUM(S557:S561))-(V561-C560))*J556)+((U561-C560)*J556),U561*J556),IF(V561&gt;(SUM(S557:S561)),S561*J556,U561*J556)),2)))</f>
        <v>0</v>
      </c>
      <c r="K561" s="64">
        <f>IF(B561=0,0,IF(AND(H548="ja",((U561)&lt;R573)),ROUND(((R575*R572+((R573/(R573-R572))-(R572/(R573-R572))*R575)*((U561)-R572))*(K556*2))-(((R573/(R573-R572))*((U561)-R572))*K556),2),ROUND(IF(V560&lt;(SUM(R557:R560)),IF((V561)&gt;(SUM(R557:R561)),(((SUM(R557:R561))-(V561-C560))*K556)+((U561-C560)*K556),U561*K556),IF(V561&gt;(SUM(R557:R561)),R561*K556,U561*K556)),2)))</f>
        <v>0</v>
      </c>
      <c r="L561" s="64">
        <f>IF(B561=0,0,IF(AND(H548="ja",((U561-C561)&lt;R573)),ROUND(((R575*R572+((R573/(R573-R572))-(R572/(R573-R572))*R575)*((U561-C561)-R572))*(L556)),2),ROUND(IF(SUM(B557:F560)&lt;(SUM(S557:S560)),IF((SUM(B557:F561))&gt;(SUM(S557:S561)),(((SUM(S557:S561))-(SUM(B557:F561)-C561))*L556)+((SUM(B561:F561)-C561)*L556),(SUM(B561:F561)-C561)*L556),IF(SUM(B557:F561)&gt;(SUM(S557:S561)),S561*L556,SUM(B561:F561)*L556)),2)))</f>
        <v>0</v>
      </c>
      <c r="M561" s="64">
        <f>IF(B561=0,0,IF(AND(H548="ja",((U561-C561)&lt;R573)),ROUND(((R575*R572+((R573/(R573-R572))-(R572/(R573-R572))*R575)*((U561-C561)-R572))*(M556)),2),ROUND(IF(SUM(B557:F560)&lt;(SUM(S557:S560)),IF((SUM(B557:F561))&gt;(SUM(S557:S561)),(((SUM(S557:S561))-(SUM(B557:F561)-C561))*M556)+((SUM(B561:F561)-C561)*M556),(SUM(B561:F561)-C561)*M556),IF(SUM(B557:F561)&gt;(SUM(S557:S561)),S561*M556,SUM(B561:F561)*M556)),2)))</f>
        <v>0</v>
      </c>
      <c r="N561" s="64">
        <f>IF(B561=0,0,IF(AND(H548="ja",((U561)&lt;R573)),ROUND(((R575*R572+((R573/(R573-R572))-(R572/(R573-R572))*R575)*((U561)-R572))*(N556)),2),ROUND(IF(SUM(B557:F560)&lt;(SUM(S557:S560)),IF((SUM(B557:F561))&gt;(SUM(S557:S561)),(((SUM(S557:S561))-(SUM(B557:F561)-C560))*N556)+((SUM(B561:F561)-C560)*N556),SUM(B561:F561)*N556),IF(SUM(B557:F561)&gt;(SUM(S557:S561)),S561*N556,SUM(B561:F561)*N556)),2)))</f>
        <v>0</v>
      </c>
      <c r="O561" s="21">
        <f>ROUND(SUM(B561+C561+F561)*O556,2)</f>
        <v>0</v>
      </c>
      <c r="P561" s="25">
        <f t="shared" si="93"/>
        <v>0</v>
      </c>
      <c r="Q561" s="456"/>
      <c r="R561" s="140">
        <f>ROUND(IF(M535="",R551,R551/M535*P538),2)</f>
        <v>5175</v>
      </c>
      <c r="S561" s="140">
        <f>ROUND(IF(M535="",R552,R552/M535*P538),2)</f>
        <v>7450</v>
      </c>
      <c r="U561" s="950">
        <f t="shared" si="94"/>
        <v>0</v>
      </c>
      <c r="V561" s="950">
        <f>SUM(B557:F561)</f>
        <v>0</v>
      </c>
    </row>
    <row r="562" spans="1:24" s="1" customFormat="1" x14ac:dyDescent="0.2">
      <c r="A562" s="76" t="str">
        <f>CONCATENATE("Jun ",O533)</f>
        <v>Jun 2025</v>
      </c>
      <c r="B562" s="22">
        <f>ROUND(IF(P539=0,0,IFERROR(((LOOKUP(2,1/(A542:A545=A562),G542:G545))*P539*4.348),B561/P538*P539)),2)</f>
        <v>0</v>
      </c>
      <c r="C562" s="21">
        <f>ROUND(IFERROR((LOOKUP(2,1/(A548=A562),E548)),0)+IFERROR((LOOKUP(2,1/(A549=A562),E549)),0),2)</f>
        <v>0</v>
      </c>
      <c r="D562" s="21">
        <f>ROUND(IF(B562=0,0,D556/M535*P539),2)</f>
        <v>0</v>
      </c>
      <c r="E562" s="21">
        <f>ROUND(IF(B562=0,0,E556/N531*P539),2)</f>
        <v>0</v>
      </c>
      <c r="F562" s="22">
        <f>ROUND(IF(P539=0,0,IFERROR(((LOOKUP(2,1/(A542:A545=A562),I542:I545))/N531*P539),F561/P538*P539)),2)</f>
        <v>0</v>
      </c>
      <c r="G562" s="25">
        <f t="shared" si="92"/>
        <v>0</v>
      </c>
      <c r="H562" s="64">
        <f>IF(B562=0,0,IF(AND(H548="ja",((U562)&lt;R573)),ROUND(((R575*R572+((R573/(R573-R572))-(R572/(R573-R572))*R575)*((U562)-R572))*(H556*2))-(((R573/(R573-R572))*((U562)-R572))*H556),2),ROUND(IF(V561&lt;(SUM(R557:R561)),IF((V562)&gt;(SUM(R557:R562)),(((SUM(R557:R562))-(V562-C561))*H556)+((U562-C561)*H556),U562*H556),IF(V562&gt;(SUM(R557:R562)),R562*H556,U562*H556)),2)))</f>
        <v>0</v>
      </c>
      <c r="I562" s="64">
        <f>IF(B562=0,0,IF(AND(H548="ja",((U562)&lt;R573)),ROUND(((R575*R572+((R573/(R573-R572))-(R572/(R573-R572))*R575)*((U562)-R572))*(I556*2))-(((R573/(R573-R572))*((U562)-R572))*I556),2),ROUND(IF(V561&lt;(SUM(S557:S561)),IF((V562)&gt;(SUM(S557:S562)),(((SUM(S557:S562))-(V562-C561))*I556)+((U562-C561)*I556),U562*I556),IF(V562&gt;(SUM(S557:S562)),S562*I556,U562*I556)),2)))</f>
        <v>0</v>
      </c>
      <c r="J562" s="64">
        <f>IF(B562=0,0,IF(AND(H548="ja",((U562)&lt;R573)),ROUND(((R575*R572+((R573/(R573-R572))-(R572/(R573-R572))*R575)*((U562)-R572))*(J556*2))-(((R573/(R573-R572))*((U562)-R572))*J556),2),ROUND(IF(V561&lt;(SUM(S557:S561)),IF((V562)&gt;(SUM(S557:S562)),(((SUM(S557:S562))-(V562-C561))*J556)+((U562-C561)*J556),U562*J556),IF(V562&gt;(SUM(S557:S562)),S562*J556,U562*J556)),2)))</f>
        <v>0</v>
      </c>
      <c r="K562" s="64">
        <f>IF(B562=0,0,IF(AND(H548="ja",((U562)&lt;R573)),ROUND(((R575*R572+((R573/(R573-R572))-(R572/(R573-R572))*R575)*((U562)-R572))*(K556*2))-(((R573/(R573-R572))*((U562)-R572))*K556),2),ROUND(IF(V561&lt;(SUM(R557:R561)),IF((V562)&gt;(SUM(R557:R562)),(((SUM(R557:R562))-(V562-C561))*K556)+((U562-C561)*K556),U562*K556),IF(V562&gt;(SUM(R557:R562)),R562*K556,U562*K556)),2)))</f>
        <v>0</v>
      </c>
      <c r="L562" s="64">
        <f>IF(B562=0,0,IF(AND(H548="ja",((U562-C562)&lt;R573)),ROUND(((R575*R572+((R573/(R573-R572))-(R572/(R573-R572))*R575)*((U562-C562)-R572))*(L556)),2),ROUND(IF(SUM(B557:F561)&lt;(SUM(S557:S561)),IF((SUM(B557:F562))&gt;(SUM(S557:S562)),(((SUM(S557:S562))-(SUM(B557:F562)-C562))*L556)+((SUM(B562:F562)-C562)*L556),(SUM(B562:F562)-C562)*L556),IF(SUM(B557:F562)&gt;(SUM(S557:S562)),S562*L556,SUM(B562:F562)*L556)),2)))</f>
        <v>0</v>
      </c>
      <c r="M562" s="64">
        <f>IF(B562=0,0,IF(AND(H548="ja",((U562-C562)&lt;R573)),ROUND(((R575*R572+((R573/(R573-R572))-(R572/(R573-R572))*R575)*((U562-C562)-R572))*(M556)),2),ROUND(IF(SUM(B557:F561)&lt;(SUM(S557:S561)),IF((SUM(B557:F562))&gt;(SUM(S557:S562)),(((SUM(S557:S562))-(SUM(B557:F562)-C562))*M556)+((SUM(B562:F562)-C562)*M556),(SUM(B562:F562)-C562)*M556),IF(SUM(B557:F562)&gt;(SUM(S557:S562)),S562*M556,SUM(B562:F562)*M556)),2)))</f>
        <v>0</v>
      </c>
      <c r="N562" s="64">
        <f>IF(B562=0,0,IF(AND(H548="ja",((U562)&lt;R573)),ROUND(((R575*R572+((R573/(R573-R572))-(R572/(R573-R572))*R575)*((U562)-R572))*(N556)),2),ROUND(IF(SUM(B557:F561)&lt;(SUM(S557:S561)),IF((SUM(B557:F562))&gt;(SUM(S557:S562)),(((SUM(S557:S562))-(SUM(B557:F562)-C561))*N556)+((SUM(B562:F562)-C561)*N556),SUM(B562:F562)*N556),IF(SUM(B557:F562)&gt;(SUM(S557:S562)),S562*N556,SUM(B562:F562)*N556)),2)))</f>
        <v>0</v>
      </c>
      <c r="O562" s="21">
        <f>ROUND(SUM(B562+C562+F562)*O556,2)</f>
        <v>0</v>
      </c>
      <c r="P562" s="25">
        <f t="shared" si="93"/>
        <v>0</v>
      </c>
      <c r="Q562" s="456"/>
      <c r="R562" s="140">
        <f>ROUND(IF(M535="",R551,R551/M535*P539),2)</f>
        <v>5175</v>
      </c>
      <c r="S562" s="140">
        <f>ROUND(IF(M535="",R552,R552/M535*P539),2)</f>
        <v>7450</v>
      </c>
      <c r="U562" s="950">
        <f t="shared" si="94"/>
        <v>0</v>
      </c>
      <c r="V562" s="950">
        <f>SUM(B557:F562)</f>
        <v>0</v>
      </c>
    </row>
    <row r="563" spans="1:24" s="1" customFormat="1" x14ac:dyDescent="0.2">
      <c r="A563" s="76" t="str">
        <f>CONCATENATE("Jul ",O533)</f>
        <v>Jul 2025</v>
      </c>
      <c r="B563" s="22">
        <f>ROUND(IF(P540=0,0,IFERROR(((LOOKUP(2,1/(A542:A545=A563),G542:G545))*P540*4.348),B562/P539*P540)),2)</f>
        <v>0</v>
      </c>
      <c r="C563" s="21">
        <f>ROUND(IFERROR((LOOKUP(2,1/(A548=A563),E548)),0)+IFERROR((LOOKUP(2,1/(A549=A563),E549)),0),2)</f>
        <v>0</v>
      </c>
      <c r="D563" s="21">
        <f>ROUND(IF(B563=0,0,D556/M535*P540),2)</f>
        <v>0</v>
      </c>
      <c r="E563" s="21">
        <f>ROUND(IF(B563=0,0,E556/N531*P540),2)</f>
        <v>0</v>
      </c>
      <c r="F563" s="22">
        <f>ROUND(IF(P540=0,0,IFERROR(((LOOKUP(2,1/(A542:A545=A563),I542:I545))/N531*P540),F562/P539*P540)),2)</f>
        <v>0</v>
      </c>
      <c r="G563" s="25">
        <f t="shared" si="92"/>
        <v>0</v>
      </c>
      <c r="H563" s="64">
        <f>IF(B563=0,0,IF(AND(H548="ja",((U563)&lt;R573)),ROUND(((R575*R572+((R573/(R573-R572))-(R572/(R573-R572))*R575)*((U563)-R572))*(H556*2))-(((R573/(R573-R572))*((U563)-R572))*H556),2),ROUND(IF(V562&lt;(SUM(R557:R562)),IF((V563)&gt;(SUM(R557:R563)),(((SUM(R557:R563))-(V563-C562))*H556)+((U563-C562)*H556),U563*H556),IF(V563&gt;(SUM(R557:R563)),R563*H556,U563*H556)),2)))</f>
        <v>0</v>
      </c>
      <c r="I563" s="64">
        <f>IF(B563=0,0,IF(AND(H548="ja",((U563)&lt;R573)),ROUND(((R575*R572+((R573/(R573-R572))-(R572/(R573-R572))*R575)*((U563)-R572))*(I556*2))-(((R573/(R573-R572))*((U563)-R572))*I556),2),ROUND(IF(V562&lt;(SUM(S557:S562)),IF((V563)&gt;(SUM(S557:S563)),(((SUM(S557:S563))-(V563-C562))*I556)+((U563-C562)*I556),U563*I556),IF(V563&gt;(SUM(S557:S563)),S563*I556,U563*I556)),2)))</f>
        <v>0</v>
      </c>
      <c r="J563" s="64">
        <f>IF(B563=0,0,IF(AND(H548="ja",((U563)&lt;R573)),ROUND(((R575*R572+((R573/(R573-R572))-(R572/(R573-R572))*R575)*((U563)-R572))*(J556*2))-(((R573/(R573-R572))*((U563)-R572))*J556),2),ROUND(IF(V562&lt;(SUM(S557:S562)),IF((V563)&gt;(SUM(S557:S563)),(((SUM(S557:S563))-(V563-C562))*J556)+((U563-C562)*J556),U563*J556),IF(V563&gt;(SUM(S557:S563)),S563*J556,U563*J556)),2)))</f>
        <v>0</v>
      </c>
      <c r="K563" s="64">
        <f>IF(B563=0,0,IF(AND(H548="ja",((U563)&lt;R573)),ROUND(((R575*R572+((R573/(R573-R572))-(R572/(R573-R572))*R575)*((U563)-R572))*(K556*2))-(((R573/(R573-R572))*((U563)-R572))*K556),2),ROUND(IF(V562&lt;(SUM(R557:R562)),IF((V563)&gt;(SUM(R557:R563)),(((SUM(R557:R563))-(V563-C562))*K556)+((U563-C562)*K556),U563*K556),IF(V563&gt;(SUM(R557:R563)),R563*K556,U563*K556)),2)))</f>
        <v>0</v>
      </c>
      <c r="L563" s="64">
        <f>IF(B563=0,0,IF(AND(H548="ja",((U563-C563)&lt;R573)),ROUND(((R575*R572+((R573/(R573-R572))-(R572/(R573-R572))*R575)*((U563-C563)-R572))*(L556)),2),ROUND(IF(SUM(B557:F562)&lt;(SUM(S557:S562)),IF((SUM(B557:F563))&gt;(SUM(S557:S563)),(((SUM(S557:S563))-(SUM(B557:F563)-C563))*L556)+((SUM(B563:F563)-C563)*L556),(SUM(B563:F563)-C563)*L556),IF(SUM(B557:F563)&gt;(SUM(S557:S563)),S563*L556,SUM(B563:F563)*L556)),2)))</f>
        <v>0</v>
      </c>
      <c r="M563" s="64">
        <f>IF(B563=0,0,IF(AND(H548="ja",((U563-C563)&lt;R573)),ROUND(((R575*R572+((R573/(R573-R572))-(R572/(R573-R572))*R575)*((U563-C563)-R572))*(M556)),2),ROUND(IF(SUM(B557:F562)&lt;(SUM(S557:S562)),IF((SUM(B557:F563))&gt;(SUM(S557:S563)),(((SUM(S557:S563))-(SUM(B557:F563)-C563))*M556)+((SUM(B563:F563)-C563)*M556),(SUM(B563:F563)-C563)*M556),IF(SUM(B557:F563)&gt;(SUM(S557:S563)),S563*M556,SUM(B563:F563)*M556)),2)))</f>
        <v>0</v>
      </c>
      <c r="N563" s="64">
        <f>IF(B563=0,0,IF(AND(H548="ja",((U563)&lt;R573)),ROUND(((R575*R572+((R573/(R573-R572))-(R572/(R573-R572))*R575)*((U563)-R572))*(N556)),2),ROUND(IF(SUM(B557:F562)&lt;(SUM(S557:S562)),IF((SUM(B557:F563))&gt;(SUM(S557:S563)),(((SUM(S557:S563))-(SUM(B557:F563)-C562))*N556)+((SUM(B563:F563)-C562)*N556),SUM(B563:F563)*N556),IF(SUM(B557:F563)&gt;(SUM(S557:S563)),S563*N556,SUM(B563:F563)*N556)),2)))</f>
        <v>0</v>
      </c>
      <c r="O563" s="21">
        <f>ROUND(SUM(B563+C563+F563)*O556,2)</f>
        <v>0</v>
      </c>
      <c r="P563" s="25">
        <f t="shared" si="93"/>
        <v>0</v>
      </c>
      <c r="Q563" s="456"/>
      <c r="R563" s="140">
        <f>ROUND(IF(M535="",R551,R551/M535*P540),2)</f>
        <v>5175</v>
      </c>
      <c r="S563" s="140">
        <f>ROUND(IF(M535="",R552,R552/M535*P540),2)</f>
        <v>7450</v>
      </c>
      <c r="U563" s="950">
        <f t="shared" si="94"/>
        <v>0</v>
      </c>
      <c r="V563" s="950">
        <f>SUM(B557:F563)</f>
        <v>0</v>
      </c>
    </row>
    <row r="564" spans="1:24" s="1" customFormat="1" x14ac:dyDescent="0.2">
      <c r="A564" s="76" t="str">
        <f>CONCATENATE("Aug ",O533)</f>
        <v>Aug 2025</v>
      </c>
      <c r="B564" s="22">
        <f>ROUND(IF(P541=0,0,IFERROR(((LOOKUP(2,1/(A542:A545=A564),G542:G545))*P541*4.348),B563/P540*P541)),2)</f>
        <v>0</v>
      </c>
      <c r="C564" s="21">
        <f>ROUND(IFERROR((LOOKUP(2,1/(A548=A564),E548)),0)+IFERROR((LOOKUP(2,1/(A549=A564),E549)),0),2)</f>
        <v>0</v>
      </c>
      <c r="D564" s="21">
        <f>ROUND(IF(B564=0,0,D556/M535*P541),2)</f>
        <v>0</v>
      </c>
      <c r="E564" s="21">
        <f>ROUND(IF(B564=0,0,E556/N531*P541),2)</f>
        <v>0</v>
      </c>
      <c r="F564" s="22">
        <f>ROUND(IF(P541=0,0,IFERROR(((LOOKUP(2,1/(A542:A545=A564),I542:I545))/N531*P541),F563/P540*P541)),2)</f>
        <v>0</v>
      </c>
      <c r="G564" s="25">
        <f t="shared" si="92"/>
        <v>0</v>
      </c>
      <c r="H564" s="64">
        <f>IF(B564=0,0,IF(AND(H548="ja",((U564)&lt;R573)),ROUND(((R575*R572+((R573/(R573-R572))-(R572/(R573-R572))*R575)*((U564)-R572))*(H556*2))-(((R573/(R573-R572))*((U564)-R572))*H556),2),ROUND(IF(V563&lt;(SUM(R557:R563)),IF((V564)&gt;(SUM(R557:R564)),(((SUM(R557:R564))-(V564-C563))*H556)+((U564-C563)*H556),U564*H556),IF(V564&gt;(SUM(R557:R564)),R564*H556,U564*H556)),2)))</f>
        <v>0</v>
      </c>
      <c r="I564" s="64">
        <f>IF(B564=0,0,IF(AND(H548="ja",((U564)&lt;R573)),ROUND(((R575*R572+((R573/(R573-R572))-(R572/(R573-R572))*R575)*((U564)-R572))*(I556*2))-(((R573/(R573-R572))*((U564)-R572))*I556),2),ROUND(IF(V563&lt;(SUM(S557:S563)),IF((V564)&gt;(SUM(S557:S564)),(((SUM(S557:S564))-(V564-C563))*I556)+((U564-C563)*I556),U564*I556),IF(V564&gt;(SUM(S557:S564)),S564*I556,U564*I556)),2)))</f>
        <v>0</v>
      </c>
      <c r="J564" s="64">
        <f>IF(B564=0,0,IF(AND(H548="ja",((U564)&lt;R573)),ROUND(((R575*R572+((R573/(R573-R572))-(R572/(R573-R572))*R575)*((U564)-R572))*(J556*2))-(((R573/(R573-R572))*((U564)-R572))*J556),2),ROUND(IF(V563&lt;(SUM(S557:S563)),IF((V564)&gt;(SUM(S557:S564)),(((SUM(S557:S564))-(V564-C563))*J556)+((U564-C563)*J556),U564*J556),IF(V564&gt;(SUM(S557:S564)),S564*J556,U564*J556)),2)))</f>
        <v>0</v>
      </c>
      <c r="K564" s="64">
        <f>IF(B564=0,0,IF(AND(H548="ja",((U564)&lt;R573)),ROUND(((R575*R572+((R573/(R573-R572))-(R572/(R573-R572))*R575)*((U564)-R572))*(K556*2))-(((R573/(R573-R572))*((U564)-R572))*K556),2),ROUND(IF(V563&lt;(SUM(R557:R563)),IF((V564)&gt;(SUM(R557:R564)),(((SUM(R557:R564))-(V564-C563))*K556)+((U564-C563)*K556),U564*K556),IF(V564&gt;(SUM(R557:R564)),R564*K556,U564*K556)),2)))</f>
        <v>0</v>
      </c>
      <c r="L564" s="64">
        <f>IF(B564=0,0,IF(AND(H548="ja",((U564-C564)&lt;R573)),ROUND(((R575*R572+((R573/(R573-R572))-(R572/(R573-R572))*R575)*((U564-C564)-R572))*(L556)),2),ROUND(IF(SUM(B557:F563)&lt;(SUM(S557:S563)),IF((SUM(B557:F564))&gt;(SUM(S557:S564)),(((SUM(S557:S564))-(SUM(B557:F564)-C564))*L556)+((SUM(B564:F564)-C564)*L556),(SUM(B564:F564)-C564)*L556),IF(SUM(B557:F564)&gt;(SUM(S557:S564)),S564*L556,SUM(B564:F564)*L556)),2)))</f>
        <v>0</v>
      </c>
      <c r="M564" s="64">
        <f>IF(B564=0,0,IF(AND(H548="ja",((U564-C564)&lt;R573)),ROUND(((R575*R572+((R573/(R573-R572))-(R572/(R573-R572))*R575)*((U564-C564)-R572))*(M556)),2),ROUND(IF(SUM(B557:F563)&lt;(SUM(S557:S563)),IF((SUM(B557:F564))&gt;(SUM(S557:S564)),(((SUM(S557:S564))-(SUM(B557:F564)-C564))*M556)+((SUM(B564:F564)-C564)*M556),(SUM(B564:F564)-C564)*M556),IF(SUM(B557:F564)&gt;(SUM(S557:S564)),S564*M556,SUM(B564:F564)*M556)),2)))</f>
        <v>0</v>
      </c>
      <c r="N564" s="64">
        <f>IF(B564=0,0,IF(AND(H548="ja",((U564)&lt;R573)),ROUND(((R575*R572+((R573/(R573-R572))-(R572/(R573-R572))*R575)*((U564)-R572))*(N556)),2),ROUND(IF(SUM(B557:F563)&lt;(SUM(S557:S563)),IF((SUM(B557:F564))&gt;(SUM(S557:S564)),(((SUM(S557:S564))-(SUM(B557:F564)-C563))*N556)+((SUM(B564:F564)-C563)*N556),SUM(B564:F564)*N556),IF(SUM(B557:F564)&gt;(SUM(S557:S564)),S564*N556,SUM(B564:F564)*N556)),2)))</f>
        <v>0</v>
      </c>
      <c r="O564" s="21">
        <f>ROUND(SUM(B564+C564+F564)*O556,2)</f>
        <v>0</v>
      </c>
      <c r="P564" s="25">
        <f t="shared" si="93"/>
        <v>0</v>
      </c>
      <c r="Q564" s="456"/>
      <c r="R564" s="140">
        <f>ROUND(IF(M535="",R551,R551/M535*P541),2)</f>
        <v>5175</v>
      </c>
      <c r="S564" s="140">
        <f>ROUND(IF(M535="",R552,R552/M535*P541),2)</f>
        <v>7450</v>
      </c>
      <c r="U564" s="950">
        <f t="shared" si="94"/>
        <v>0</v>
      </c>
      <c r="V564" s="950">
        <f>SUM(B557:F564)</f>
        <v>0</v>
      </c>
    </row>
    <row r="565" spans="1:24" s="1" customFormat="1" x14ac:dyDescent="0.2">
      <c r="A565" s="76" t="str">
        <f>CONCATENATE("Sep ",O533)</f>
        <v>Sep 2025</v>
      </c>
      <c r="B565" s="22">
        <f>ROUND(IF(P542=0,0,IFERROR(((LOOKUP(2,1/(A542:A545=A565),G542:G545))*P542*4.348),B564/P541*P542)),2)</f>
        <v>0</v>
      </c>
      <c r="C565" s="21">
        <f>ROUND(IFERROR((LOOKUP(2,1/(A548=A565),E548)),0)+IFERROR((LOOKUP(2,1/(A549=A565),E549)),0),2)</f>
        <v>0</v>
      </c>
      <c r="D565" s="21">
        <f>ROUND(IF(B565=0,0,D556/M535*P542),2)</f>
        <v>0</v>
      </c>
      <c r="E565" s="21">
        <f>ROUND(IF(B565=0,0,E556/N531*P542),2)</f>
        <v>0</v>
      </c>
      <c r="F565" s="22">
        <f>ROUND(IF(P542=0,0,IFERROR(((LOOKUP(2,1/(A542:A545=A565),I542:I545))/N531*P542),F564/P541*P542)),2)</f>
        <v>0</v>
      </c>
      <c r="G565" s="25">
        <f t="shared" si="92"/>
        <v>0</v>
      </c>
      <c r="H565" s="64">
        <f>IF(B565=0,0,IF(AND(H548="ja",((U565)&lt;R573)),ROUND(((R575*R572+((R573/(R573-R572))-(R572/(R573-R572))*R575)*((U565)-R572))*(H556*2))-(((R573/(R573-R572))*((U565)-R572))*H556),2),ROUND(IF(V564&lt;(SUM(R557:R564)),IF((V565)&gt;(SUM(R557:R565)),(((SUM(R557:R565))-(V565-C564))*H556)+((U565-C564)*H556),U565*H556),IF(V565&gt;(SUM(R557:R565)),R565*H556,U565*H556)),2)))</f>
        <v>0</v>
      </c>
      <c r="I565" s="64">
        <f>IF(B565=0,0,IF(AND(H548="ja",((U565)&lt;R573)),ROUND(((R575*R572+((R573/(R573-R572))-(R572/(R573-R572))*R575)*((U565)-R572))*(I556*2))-(((R573/(R573-R572))*((U565)-R572))*I556),2),ROUND(IF(V564&lt;(SUM(S557:S564)),IF((V565)&gt;(SUM(S557:S565)),(((SUM(S557:S565))-(V565-C564))*I556)+((U565-C564)*I556),U565*I556),IF(V565&gt;(SUM(S557:S565)),S565*I556,U565*I556)),2)))</f>
        <v>0</v>
      </c>
      <c r="J565" s="64">
        <f>IF(B565=0,0,IF(AND(H548="ja",((U565)&lt;R573)),ROUND(((R575*R572+((R573/(R573-R572))-(R572/(R573-R572))*R575)*((U565)-R572))*(J556*2))-(((R573/(R573-R572))*((U565)-R572))*J556),2),ROUND(IF(V564&lt;(SUM(S557:S564)),IF((V565)&gt;(SUM(S557:S565)),(((SUM(S557:S565))-(V565-C564))*J556)+((U565-C564)*J556),U565*J556),IF(V565&gt;(SUM(S557:S565)),S565*J556,U565*J556)),2)))</f>
        <v>0</v>
      </c>
      <c r="K565" s="64">
        <f>IF(B565=0,0,IF(AND(H548="ja",((U565)&lt;R573)),ROUND(((R575*R572+((R573/(R573-R572))-(R572/(R573-R572))*R575)*((U565)-R572))*(K556*2))-(((R573/(R573-R572))*((U565)-R572))*K556),2),ROUND(IF(V564&lt;(SUM(R557:R564)),IF((V565)&gt;(SUM(R557:R565)),(((SUM(R557:R565))-(V565-C564))*K556)+((U565-C564)*K556),U565*K556),IF(V565&gt;(SUM(R557:R565)),R565*K556,U565*K556)),2)))</f>
        <v>0</v>
      </c>
      <c r="L565" s="64">
        <f>IF(B565=0,0,IF(AND(H548="ja",((U565-C565)&lt;R573)),ROUND(((R575*R572+((R573/(R573-R572))-(R572/(R573-R572))*R575)*((U565-C565)-R572))*(L556)),2),ROUND(IF(SUM(B557:F564)&lt;(SUM(S557:S564)),IF((SUM(B557:F565))&gt;(SUM(S557:S565)),(((SUM(S557:S565))-(SUM(B557:F565)-C565))*L556)+((SUM(B565:F565)-C565)*L556),(SUM(B565:F565)-C565)*L556),IF(SUM(B557:F565)&gt;(SUM(S557:S565)),S565*L556,SUM(B565:F565)*L556)),2)))</f>
        <v>0</v>
      </c>
      <c r="M565" s="64">
        <f>IF(B565=0,0,IF(AND(H548="ja",((U565-C565)&lt;R573)),ROUND(((R575*R572+((R573/(R573-R572))-(R572/(R573-R572))*R575)*((U565-C565)-R572))*(M556)),2),ROUND(IF(SUM(B557:F564)&lt;(SUM(S557:S564)),IF((SUM(B557:F565))&gt;(SUM(S557:S565)),(((SUM(S557:S565))-(SUM(B557:F565)-C565))*M556)+((SUM(B565:F565)-C565)*M556),(SUM(B565:F565)-C565)*M556),IF(SUM(B557:F565)&gt;(SUM(S557:S565)),S565*M556,SUM(B565:F565)*M556)),2)))</f>
        <v>0</v>
      </c>
      <c r="N565" s="64">
        <f>IF(B565=0,0,IF(AND(H548="ja",((U565)&lt;R573)),ROUND(((R575*R572+((R573/(R573-R572))-(R572/(R573-R572))*R575)*((U565)-R572))*(N556)),2),ROUND(IF(SUM(B557:F564)&lt;(SUM(S557:S564)),IF((SUM(B557:F565))&gt;(SUM(S557:S565)),(((SUM(S557:S565))-(SUM(B557:F565)-C564))*N556)+((SUM(B565:F565)-C564)*N556),SUM(B565:F565)*N556),IF(SUM(B557:F565)&gt;(SUM(S557:S565)),S565*N556,SUM(B565:F565)*N556)),2)))</f>
        <v>0</v>
      </c>
      <c r="O565" s="21">
        <f>ROUND(SUM(B565+C565+F565)*O556,2)</f>
        <v>0</v>
      </c>
      <c r="P565" s="25">
        <f t="shared" si="93"/>
        <v>0</v>
      </c>
      <c r="Q565" s="456"/>
      <c r="R565" s="140">
        <f>ROUND(IF(M535="",R551,R551/M535*P542),2)</f>
        <v>5175</v>
      </c>
      <c r="S565" s="140">
        <f>ROUND(IF(M535="",R552,R552/M535*P542),2)</f>
        <v>7450</v>
      </c>
      <c r="U565" s="950">
        <f t="shared" si="94"/>
        <v>0</v>
      </c>
      <c r="V565" s="950">
        <f>SUM(B557:F565)</f>
        <v>0</v>
      </c>
    </row>
    <row r="566" spans="1:24" s="12" customFormat="1" ht="15" x14ac:dyDescent="0.25">
      <c r="A566" s="76" t="str">
        <f>CONCATENATE("Okt ",O533)</f>
        <v>Okt 2025</v>
      </c>
      <c r="B566" s="22">
        <f>ROUND(IF(P543=0,0,IFERROR(((LOOKUP(2,1/(A542:A545=A566),G542:G545))*P543*4.348),B565/P542*P543)),2)</f>
        <v>0</v>
      </c>
      <c r="C566" s="21">
        <f>ROUND(IFERROR((LOOKUP(2,1/(A548=A566),E548)),0)+IFERROR((LOOKUP(2,1/(A549=A566),E549)),0),2)</f>
        <v>0</v>
      </c>
      <c r="D566" s="21">
        <f>ROUND(IF(B566=0,0,D556/M535*P543),2)</f>
        <v>0</v>
      </c>
      <c r="E566" s="21">
        <f>ROUND(IF(B566=0,0,E556/N531*P543),2)</f>
        <v>0</v>
      </c>
      <c r="F566" s="22">
        <f>ROUND(IF(P543=0,0,IFERROR(((LOOKUP(2,1/(A542:A545=A566),I542:I545))/N531*P543),F565/P542*P543)),2)</f>
        <v>0</v>
      </c>
      <c r="G566" s="25">
        <f t="shared" si="92"/>
        <v>0</v>
      </c>
      <c r="H566" s="64">
        <f>IF(B566=0,0,IF(AND(H548="ja",((U566)&lt;R573)),ROUND(((R575*R572+((R573/(R573-R572))-(R572/(R573-R572))*R575)*((U566)-R572))*(H556*2))-(((R573/(R573-R572))*((U566)-R572))*H556),2),ROUND(IF(V565&lt;(SUM(R557:R565)),IF((V566)&gt;(SUM(R557:R566)),(((SUM(R557:R566))-(V566-C565))*H556)+((U566-C565)*H556),U566*H556),IF(V566&gt;(SUM(R557:R566)),R566*H556,U566*H556)),2)))</f>
        <v>0</v>
      </c>
      <c r="I566" s="64">
        <f>IF(B566=0,0,IF(AND(H548="ja",((U566)&lt;R573)),ROUND(((R575*R572+((R573/(R573-R572))-(R572/(R573-R572))*R575)*((U566)-R572))*(I556*2))-(((R573/(R573-R572))*((U566)-R572))*I556),2),ROUND(IF(V565&lt;(SUM(S557:S565)),IF((V566)&gt;(SUM(S557:S566)),(((SUM(S557:S566))-(V566-C565))*I556)+((U566-C565)*I556),U566*I556),IF(V566&gt;(SUM(S557:S566)),S566*I556,U566*I556)),2)))</f>
        <v>0</v>
      </c>
      <c r="J566" s="64">
        <f>IF(B566=0,0,IF(AND(H548="ja",((U566)&lt;R573)),ROUND(((R575*R572+((R573/(R573-R572))-(R572/(R573-R572))*R575)*((U566)-R572))*(J556*2))-(((R573/(R573-R572))*((U566)-R572))*J556),2),ROUND(IF(V565&lt;(SUM(S557:S565)),IF((V566)&gt;(SUM(S557:S566)),(((SUM(S557:S566))-(V566-C565))*J556)+((U566-C565)*J556),U566*J556),IF(V566&gt;(SUM(S557:S566)),S566*J556,U566*J556)),2)))</f>
        <v>0</v>
      </c>
      <c r="K566" s="64">
        <f>IF(B566=0,0,IF(AND(H548="ja",((U566)&lt;R573)),ROUND(((R575*R572+((R573/(R573-R572))-(R572/(R573-R572))*R575)*((U566)-R572))*(K556*2))-(((R573/(R573-R572))*((U566)-R572))*K556),2),ROUND(IF(V565&lt;(SUM(R557:R565)),IF((V566)&gt;(SUM(R557:R566)),(((SUM(R557:R566))-(V566-C565))*K556)+((U566-C565)*K556),U566*K556),IF(V566&gt;(SUM(R557:R566)),R566*K556,U566*K556)),2)))</f>
        <v>0</v>
      </c>
      <c r="L566" s="64">
        <f>IF(B566=0,0,IF(AND(H548="ja",((U566-C566)&lt;R573)),ROUND(((R575*R572+((R573/(R573-R572))-(R572/(R573-R572))*R575)*((U566-C566)-R572))*(L556)),2),ROUND(IF(SUM(B557:F565)&lt;(SUM(S557:S565)),IF((SUM(B557:F566))&gt;(SUM(S557:S566)),(((SUM(S557:S566))-(SUM(B557:F566)-C566))*L556)+((SUM(B566:F566)-C566)*L556),(SUM(B566:F566)-C566)*L556),IF(SUM(B557:F566)&gt;(SUM(S557:S566)),S566*L556,SUM(B566:F566)*L556)),2)))</f>
        <v>0</v>
      </c>
      <c r="M566" s="64">
        <f>IF(B566=0,0,IF(AND(H548="ja",((U566-C566)&lt;R573)),ROUND(((R575*R572+((R573/(R573-R572))-(R572/(R573-R572))*R575)*((U566-C566)-R572))*(M556)),2),ROUND(IF(SUM(B557:F565)&lt;(SUM(S557:S565)),IF((SUM(B557:F566))&gt;(SUM(S557:S566)),(((SUM(S557:S566))-(SUM(B557:F566)-C566))*M556)+((SUM(B566:F566)-C566)*M556),(SUM(B566:F566)-C566)*M556),IF(SUM(B557:F566)&gt;(SUM(S557:S566)),S566*M556,SUM(B566:F566)*M556)),2)))</f>
        <v>0</v>
      </c>
      <c r="N566" s="64">
        <f>IF(B566=0,0,IF(AND(H548="ja",((U566)&lt;R573)),ROUND(((R575*R572+((R573/(R573-R572))-(R572/(R573-R572))*R575)*((U566)-R572))*(N556)),2),ROUND(IF(SUM(B557:F565)&lt;(SUM(S557:S565)),IF((SUM(B557:F566))&gt;(SUM(S557:S566)),(((SUM(S557:S566))-(SUM(B557:F566)-C565))*N556)+((SUM(B566:F566)-C565)*N556),SUM(B566:F566)*N556),IF(SUM(B557:F566)&gt;(SUM(S557:S566)),S566*N556,SUM(B566:F566)*N556)),2)))</f>
        <v>0</v>
      </c>
      <c r="O566" s="21">
        <f>ROUND(SUM(B566+C566+F566)*O556,2)</f>
        <v>0</v>
      </c>
      <c r="P566" s="25">
        <f t="shared" si="93"/>
        <v>0</v>
      </c>
      <c r="Q566" s="936"/>
      <c r="R566" s="140">
        <f>ROUND(IF(M535="",R551,R551/M535*P543),2)</f>
        <v>5175</v>
      </c>
      <c r="S566" s="140">
        <f>ROUND(IF(M535="",R552,R552/M535*P543),2)</f>
        <v>7450</v>
      </c>
      <c r="U566" s="950">
        <f t="shared" si="94"/>
        <v>0</v>
      </c>
      <c r="V566" s="950">
        <f>SUM(B557:F566)</f>
        <v>0</v>
      </c>
      <c r="X566" s="1"/>
    </row>
    <row r="567" spans="1:24" s="11" customFormat="1" x14ac:dyDescent="0.2">
      <c r="A567" s="76" t="str">
        <f>CONCATENATE("Nov ",O533)</f>
        <v>Nov 2025</v>
      </c>
      <c r="B567" s="22">
        <f>ROUND(IF(P544=0,0,IFERROR(((LOOKUP(2,1/(A542:A545=A567),G542:G545))*P544*4.348),B566/P543*P544)),2)</f>
        <v>0</v>
      </c>
      <c r="C567" s="21">
        <f>ROUND(IFERROR((LOOKUP(2,1/(A548=A567),E548)),0)+(IFERROR((LOOKUP(2,1/(A549=A567),E549)),0)),2)</f>
        <v>0</v>
      </c>
      <c r="D567" s="21">
        <f>ROUND(IF(B567=0,0,D556/M535*P544),2)</f>
        <v>0</v>
      </c>
      <c r="E567" s="21">
        <f>ROUND(IF(B567=0,0,E556/N531*P544),2)</f>
        <v>0</v>
      </c>
      <c r="F567" s="22">
        <f>ROUND(IF(P544=0,0,IFERROR(((LOOKUP(2,1/(A542:A545=A567),I542:I545))/N531*P544),F566/P543*P544)),2)</f>
        <v>0</v>
      </c>
      <c r="G567" s="25">
        <f t="shared" si="92"/>
        <v>0</v>
      </c>
      <c r="H567" s="64">
        <f>IF(B567=0,0,IF(AND(H548="ja",((U567)&lt;R573)),ROUND(((R575*R572+((R573/(R573-R572))-(R572/(R573-R572))*R575)*((U567)-R572))*(H556*2))-(((R573/(R573-R572))*((U567)-R572))*H556),2),ROUND(IF(V566&lt;(SUM(R557:R566)),IF((V567)&gt;(SUM(R557:R567)),(((SUM(R557:R567))-(V567-C566))*H556)+((U567-C566)*H556),U567*H556),IF(V567&gt;(SUM(R557:R567)),R567*H556,U567*H556)),2)))</f>
        <v>0</v>
      </c>
      <c r="I567" s="64">
        <f>IF(B567=0,0,IF(AND(H548="ja",((U567)&lt;R573)),ROUND(((R575*R572+((R573/(R573-R572))-(R572/(R573-R572))*R575)*((U567)-R572))*(I556*2))-(((R573/(R573-R572))*((U567)-R572))*I556),2),ROUND(IF(V566&lt;(SUM(S557:S566)),IF((V567)&gt;(SUM(S557:S567)),(((SUM(S557:S567))-(V567-C566))*I556)+((U567-C566)*I556),U567*I556),IF(V567&gt;(SUM(S557:S567)),S567*I556,U567*I556)),2)))</f>
        <v>0</v>
      </c>
      <c r="J567" s="64">
        <f>IF(B567=0,0,IF(AND(H548="ja",((U567)&lt;R573)),ROUND(((R575*R572+((R573/(R573-R572))-(R572/(R573-R572))*R575)*((U567)-R572))*(J556*2))-(((R573/(R573-R572))*((U567)-R572))*J556),2),ROUND(IF(V566&lt;(SUM(S557:S566)),IF((V567)&gt;(SUM(S557:S567)),(((SUM(S557:S567))-(V567-C566))*J556)+((U567-C566)*J556),U567*J556),IF(V567&gt;(SUM(S557:S567)),S567*J556,U567*J556)),2)))</f>
        <v>0</v>
      </c>
      <c r="K567" s="64">
        <f>IF(B567=0,0,IF(AND(H548="ja",((U567)&lt;R573)),ROUND(((R575*R572+((R573/(R573-R572))-(R572/(R573-R572))*R575)*((U567)-R572))*(K556*2))-(((R573/(R573-R572))*((U567)-R572))*K556),2),ROUND(IF(V566&lt;(SUM(R557:R566)),IF((V567)&gt;(SUM(R557:R567)),(((SUM(R557:R567))-(V567-C566))*K556)+((U567-C566)*K556),U567*K556),IF(V567&gt;(SUM(R557:R567)),R567*K556,U567*K556)),2)))</f>
        <v>0</v>
      </c>
      <c r="L567" s="64">
        <f>IF(B567=0,0,IF(AND(H548="ja",((U567-C567)&lt;R573)),ROUND(((R575*R572+((R573/(R573-R572))-(R572/(R573-R572))*R575)*((U567-C567)-R572))*(L556)),2),ROUND(IF(SUM(B557:F566)&lt;(SUM(S557:S566)),IF((SUM(B557:F567))&gt;(SUM(S557:S567)),(((SUM(S557:S567))-(SUM(B557:F567)-C567))*L556)+((SUM(B567:F567)-C567)*L556),(SUM(B567:F567)-C567)*L556),IF(SUM(B557:F567)&gt;(SUM(S557:S567)),S567*L556,SUM(B567:F567)*L556)),2)))</f>
        <v>0</v>
      </c>
      <c r="M567" s="64">
        <f>IF(B567=0,0,IF(AND(H548="ja",((U567-C567)&lt;R573)),ROUND(((R575*R572+((R573/(R573-R572))-(R572/(R573-R572))*R575)*((U567-C567)-R572))*(M556)),2),ROUND(IF(SUM(B557:F566)&lt;(SUM(S557:S566)),IF((SUM(B557:F567))&gt;(SUM(S557:S567)),(((SUM(S557:S567))-(SUM(B557:F567)-C567))*M556)+((SUM(B567:F567)-C567)*M556),(SUM(B567:F567)-C567)*M556),IF(SUM(B557:F567)&gt;(SUM(S557:S567)),S567*M556,SUM(B567:F567)*M556)),2)))</f>
        <v>0</v>
      </c>
      <c r="N567" s="64">
        <f>IF(B567=0,0,IF(AND(H548="ja",((U567)&lt;R573)),ROUND(((R575*R572+((R573/(R573-R572))-(R572/(R573-R572))*R575)*((U567)-R572))*(N556)),2),ROUND(IF(SUM(B557:F566)&lt;(SUM(S557:S566)),IF((SUM(B557:F567))&gt;(SUM(S557:S567)),(((SUM(S557:S567))-(SUM(B557:F567)-C566))*N556)+((SUM(B567:F567)-C566)*N556),SUM(B567:F567)*N556),IF(SUM(B557:F567)&gt;(SUM(S557:S567)),S567*N556,SUM(B567:F567)*N556)),2)))</f>
        <v>0</v>
      </c>
      <c r="O567" s="21">
        <f>ROUND(SUM(B567+C567+F567)*O556,2)</f>
        <v>0</v>
      </c>
      <c r="P567" s="25">
        <f t="shared" si="93"/>
        <v>0</v>
      </c>
      <c r="R567" s="140">
        <f>ROUND(IF(M535="",R551,R551/M535*P544),2)</f>
        <v>5175</v>
      </c>
      <c r="S567" s="140">
        <f>ROUND(IF(M535="",R552,R552/M535*P544),2)</f>
        <v>7450</v>
      </c>
      <c r="U567" s="950">
        <f t="shared" si="94"/>
        <v>0</v>
      </c>
      <c r="V567" s="950">
        <f>SUM(B557:F567)</f>
        <v>0</v>
      </c>
      <c r="X567" s="1"/>
    </row>
    <row r="568" spans="1:24" s="1" customFormat="1" ht="14.25" customHeight="1" x14ac:dyDescent="0.2">
      <c r="A568" s="76" t="str">
        <f>CONCATENATE("Dez ",O533)</f>
        <v>Dez 2025</v>
      </c>
      <c r="B568" s="22">
        <f>ROUND(IF(P545=0,0,IFERROR(((LOOKUP(2,1/(A542:A545=A568),G542:G545))*P545*4.348),B567/P544*P545)),2)</f>
        <v>0</v>
      </c>
      <c r="C568" s="21">
        <f>ROUND(IFERROR((LOOKUP(2,1/(A548=A568),E548)),0)+IFERROR((LOOKUP(2,1/(A549=A568),E549)),0),2)</f>
        <v>0</v>
      </c>
      <c r="D568" s="21">
        <f>ROUND(IF(B568=0,0,D556/M535*P545),2)</f>
        <v>0</v>
      </c>
      <c r="E568" s="21">
        <f>ROUND(IF(B568=0,0,E556/N531*P545),2)</f>
        <v>0</v>
      </c>
      <c r="F568" s="22">
        <f>ROUND(IF(P545=0,0,IFERROR(((LOOKUP(2,1/(A542:A545=A568),I542:I545))/N531*P545),F567/P544*P545)),2)</f>
        <v>0</v>
      </c>
      <c r="G568" s="25">
        <f t="shared" si="92"/>
        <v>0</v>
      </c>
      <c r="H568" s="64">
        <f>IF(B568=0,0,IF(AND(H548="ja",((U568)&lt;R573)),ROUND(((R575*R572+((R573/(R573-R572))-(R572/(R573-R572))*R575)*((U568)-R572))*(H556*2))-(((R573/(R573-R572))*((U568)-R572))*H556),2),ROUND(IF(V567&lt;(SUM(R557:R567)),IF((V568)&gt;(SUM(R557:R568)),(((SUM(R557:R568))-(V568-C567))*H556)+((U568-C567)*H556),U568*H556),IF(V568&gt;(SUM(R557:R568)),R568*H556,U568*H556)),2)))</f>
        <v>0</v>
      </c>
      <c r="I568" s="64">
        <f>IF(B568=0,0,IF(AND(H548="ja",((U568)&lt;R573)),ROUND(((R575*R572+((R573/(R573-R572))-(R572/(R573-R572))*R575)*((U568)-R572))*(I556*2))-(((R573/(R573-R572))*((U568)-R572))*I556),2),ROUND(IF(V567&lt;(SUM(S557:S567)),IF((V568)&gt;(SUM(S557:S568)),(((SUM(S557:S568))-(V568-C567))*I556)+((U568-C567)*I556),U568*I556),IF(V568&gt;(SUM(S557:S568)),S568*I556,U568*I556)),2)))</f>
        <v>0</v>
      </c>
      <c r="J568" s="64">
        <f>IF(B568=0,0,IF(AND(H548="ja",((U568)&lt;R573)),ROUND(((R575*R572+((R573/(R573-R572))-(R572/(R573-R572))*R575)*((U568)-R572))*(J556*2))-(((R573/(R573-R572))*((U568)-R572))*J556),2),ROUND(IF(V567&lt;(SUM(S557:S567)),IF((V568)&gt;(SUM(S557:S568)),(((SUM(S557:S568))-(V568-C567))*J556)+((U568-C567)*J556),U568*J556),IF(V568&gt;(SUM(S557:S568)),S568*J556,U568*J556)),2)))</f>
        <v>0</v>
      </c>
      <c r="K568" s="64">
        <f>IF(B568=0,0,IF(AND(H548="ja",((U568)&lt;R573)),ROUND(((R575*R572+((R573/(R573-R572))-(R572/(R573-R572))*R575)*((U568)-R572))*(K556*2))-(((R573/(R573-R572))*((U568)-R572))*K556),2),ROUND(IF(V567&lt;(SUM(R557:R567)),IF((V568)&gt;(SUM(R557:R568)),(((SUM(R557:R568))-(V568-C567))*K556)+((U568-C567)*K556),U568*K556),IF(V568&gt;(SUM(R557:R568)),R568*K556,U568*K556)),2)))</f>
        <v>0</v>
      </c>
      <c r="L568" s="64">
        <f>IF(B568=0,0,IF(AND(H548="ja",((U568-C568)&lt;R573)),ROUND(((R575*R572+((R573/(R573-R572))-(R572/(R573-R572))*R575)*((U568-C568)-R572))*(L556)),2),ROUND(IF(SUM(B557:F567)&lt;(SUM(S557:S567)),IF((SUM(B557:F568))&gt;(SUM(S557:S568)),(((SUM(S557:S568))-(SUM(B557:F568)-C568))*L556)+((SUM(B568:F568)-C568)*L556),(SUM(B568:F568)-C568)*L556),IF(SUM(B557:F568)&gt;(SUM(S557:S568)),S568*L556,SUM(B568:F568)*L556)),2)))</f>
        <v>0</v>
      </c>
      <c r="M568" s="64">
        <f>IF(B568=0,0,IF(AND(H548="ja",((U568-C568)&lt;R573)),ROUND(((R575*R572+((R573/(R573-R572))-(R572/(R573-R572))*R575)*((U568-C568)-R572))*(M556)),2),ROUND(IF(SUM(B557:F567)&lt;(SUM(S557:S567)),IF((SUM(B557:F568))&gt;(SUM(S557:S568)),(((SUM(S557:S568))-(SUM(B557:F568)-C568))*M556)+((SUM(B568:F568)-C568)*M556),(SUM(B568:F568)-C568)*M556),IF(SUM(B557:F568)&gt;(SUM(S557:S568)),S568*M556,SUM(B568:F568)*M556)),2)))</f>
        <v>0</v>
      </c>
      <c r="N568" s="64">
        <f>IF(B568=0,0,IF(AND(H548="ja",((U568)&lt;R573)),ROUND(((R575*R572+((R573/(R573-R572))-(R572/(R573-R572))*R575)*((U568)-R572))*(N556)),2),ROUND(IF(SUM(B557:F567)&lt;(SUM(S557:S567)),IF((SUM(B557:F568))&gt;(SUM(S557:S568)),(((SUM(S557:S568))-(SUM(B557:F568)-C567))*N556)+((SUM(B568:F568)-C567)*N556),SUM(B568:F568)*N556),IF(SUM(B557:F568)&gt;(SUM(S557:S568)),S568*N556,SUM(B568:F568)*N556)),2)))</f>
        <v>0</v>
      </c>
      <c r="O568" s="21">
        <f>ROUND(SUM(B568+C568+F568)*O556,2)</f>
        <v>0</v>
      </c>
      <c r="P568" s="25">
        <f t="shared" si="93"/>
        <v>0</v>
      </c>
      <c r="Q568" s="11"/>
      <c r="R568" s="140">
        <f>ROUND(IF(M535="",R551,R551/M535*P545),2)</f>
        <v>5175</v>
      </c>
      <c r="S568" s="140">
        <f>ROUND(IF(M535="",R552,R552/M535*P545),2)</f>
        <v>7450</v>
      </c>
      <c r="U568" s="950">
        <f t="shared" si="94"/>
        <v>0</v>
      </c>
      <c r="V568" s="950">
        <f>SUM(B557:F568)</f>
        <v>0</v>
      </c>
    </row>
    <row r="569" spans="1:24" s="1" customFormat="1" ht="15" customHeight="1" x14ac:dyDescent="0.2">
      <c r="A569" s="2" t="s">
        <v>1</v>
      </c>
      <c r="B569" s="25">
        <f t="shared" ref="B569:G569" si="95">SUM(B557:B568)</f>
        <v>0</v>
      </c>
      <c r="C569" s="25">
        <f t="shared" si="95"/>
        <v>0</v>
      </c>
      <c r="D569" s="25">
        <f t="shared" si="95"/>
        <v>0</v>
      </c>
      <c r="E569" s="25">
        <f t="shared" si="95"/>
        <v>0</v>
      </c>
      <c r="F569" s="25">
        <f t="shared" si="95"/>
        <v>0</v>
      </c>
      <c r="G569" s="25">
        <f t="shared" si="95"/>
        <v>0</v>
      </c>
      <c r="H569" s="1309">
        <f>SUM(H557:N568)</f>
        <v>0</v>
      </c>
      <c r="I569" s="1310"/>
      <c r="J569" s="1310"/>
      <c r="K569" s="1310"/>
      <c r="L569" s="1310"/>
      <c r="M569" s="1310"/>
      <c r="N569" s="1311"/>
      <c r="O569" s="25">
        <f>SUM(O557:O568)</f>
        <v>0</v>
      </c>
      <c r="P569" s="25">
        <f>SUM(P557:P568)</f>
        <v>0</v>
      </c>
    </row>
    <row r="570" spans="1:24" s="1" customFormat="1" ht="12" customHeight="1" x14ac:dyDescent="0.2"/>
    <row r="571" spans="1:24" s="1" customFormat="1" ht="14.25" customHeight="1" x14ac:dyDescent="0.2">
      <c r="B571" s="906"/>
      <c r="H571" s="905"/>
      <c r="I571" s="62"/>
      <c r="J571" s="914" t="s">
        <v>123</v>
      </c>
      <c r="L571" s="900" t="s">
        <v>124</v>
      </c>
      <c r="M571" s="974" t="str">
        <f>IF(IF(G569=0,"",'päd.Personal - Leitung'!$M$43)=0,"",IF(G569=0,"",'päd.Personal - Leitung'!$M$43))</f>
        <v/>
      </c>
      <c r="N571" s="902" t="s">
        <v>125</v>
      </c>
      <c r="O571" s="963" t="str">
        <f>IF(IF(G569=0,"",'päd.Personal - Leitung'!$O$43)=0,"",IF(G569=0,"",'päd.Personal - Leitung'!$O$43))</f>
        <v/>
      </c>
      <c r="P571" s="25">
        <f>ROUND(IF(M571="",0,G569*M571*O571/1000),2)</f>
        <v>0</v>
      </c>
      <c r="Q571" s="937"/>
      <c r="R571" s="938">
        <v>2025</v>
      </c>
      <c r="S571" s="939"/>
    </row>
    <row r="572" spans="1:24" s="1" customFormat="1" ht="14.25" customHeight="1" x14ac:dyDescent="0.2">
      <c r="H572" s="907"/>
      <c r="I572" s="42"/>
      <c r="M572" s="915" t="s">
        <v>129</v>
      </c>
      <c r="N572" s="80" t="s">
        <v>125</v>
      </c>
      <c r="O572" s="75" t="str">
        <f>IF(IF(G569=0,"",'päd.Personal - Leitung'!$O$44)=0,"",IF(G569=0,"",'päd.Personal - Leitung'!$O$44))</f>
        <v/>
      </c>
      <c r="P572" s="25">
        <f>ROUND(IF(O572="",0,G569*O572/1000),2)</f>
        <v>0</v>
      </c>
      <c r="Q572" s="942" t="s">
        <v>737</v>
      </c>
      <c r="R572" s="141">
        <f>'päd.Personal - Leitung'!$R$44</f>
        <v>556</v>
      </c>
      <c r="S572" s="955">
        <f>'päd.Personal - Leitung'!$S$44</f>
        <v>12.82</v>
      </c>
    </row>
    <row r="573" spans="1:24" s="1" customFormat="1" ht="14.25" customHeight="1" x14ac:dyDescent="0.2">
      <c r="H573" s="912" t="s">
        <v>126</v>
      </c>
      <c r="I573" s="1013" t="s">
        <v>127</v>
      </c>
      <c r="J573" s="975" t="str">
        <f>IF(IF(G569=0,"",'päd.Personal - Leitung'!$J$45)=0,"",IF(G569=0,"",'päd.Personal - Leitung'!$J$45))</f>
        <v/>
      </c>
      <c r="K573" s="902" t="s">
        <v>128</v>
      </c>
      <c r="L573" s="964" t="str">
        <f>IF(IF(G569=0,"",'päd.Personal - Leitung'!$L$45)=0,"",IF(G569=0,"",'päd.Personal - Leitung'!$L$45))</f>
        <v/>
      </c>
      <c r="M573" s="16"/>
      <c r="N573" s="900" t="s">
        <v>132</v>
      </c>
      <c r="O573" s="965" t="str">
        <f>IF(IF(G569=0,"",'päd.Personal - Leitung'!$O$45)=0,"",IF(G569=0,"",'päd.Personal - Leitung'!$O$45))</f>
        <v/>
      </c>
      <c r="P573" s="25">
        <f>ROUND(IF(J573="",0,(J573*L573/O573)/M537*M538),2)</f>
        <v>0</v>
      </c>
      <c r="Q573" s="942" t="s">
        <v>738</v>
      </c>
      <c r="R573" s="140">
        <f>'päd.Personal - Leitung'!$R$45</f>
        <v>2000</v>
      </c>
      <c r="S573" s="939"/>
    </row>
    <row r="574" spans="1:24" s="1" customFormat="1" ht="14.25" customHeight="1" x14ac:dyDescent="0.2">
      <c r="D574" s="16"/>
      <c r="I574" s="16"/>
      <c r="J574" s="16"/>
      <c r="K574" s="63"/>
      <c r="L574" s="67"/>
      <c r="M574" s="915" t="s">
        <v>130</v>
      </c>
      <c r="N574" s="80" t="s">
        <v>131</v>
      </c>
      <c r="O574" s="904">
        <f>IF(IF(G569="",0,'päd.Personal - Leitung'!$O$94)=0,0,IF(G569="",0,'päd.Personal - Leitung'!$O$94))</f>
        <v>0</v>
      </c>
      <c r="P574" s="21">
        <f>ROUND(IF(G569=0,0,O574/M535*M536),2)</f>
        <v>0</v>
      </c>
      <c r="Q574" s="942" t="s">
        <v>740</v>
      </c>
      <c r="R574" s="956">
        <f>'päd.Personal - Leitung'!$R$46</f>
        <v>0.40900000000000003</v>
      </c>
    </row>
    <row r="575" spans="1:24" s="1" customFormat="1" ht="14.25" customHeight="1" x14ac:dyDescent="0.2">
      <c r="A575" s="16"/>
      <c r="B575" s="16"/>
      <c r="I575" s="905"/>
      <c r="J575" s="961" t="s">
        <v>176</v>
      </c>
      <c r="K575" s="1312" t="str">
        <f>IF($K$47="","",$K$47)</f>
        <v/>
      </c>
      <c r="L575" s="1312"/>
      <c r="M575" s="1312"/>
      <c r="N575" s="80" t="s">
        <v>131</v>
      </c>
      <c r="O575" s="904">
        <f>IF(IF(G569="",0,'päd.Personal - Leitung'!$O$95)=0,0,IF(G569="",0,'päd.Personal - Leitung'!$O$95))</f>
        <v>0</v>
      </c>
      <c r="P575" s="21">
        <f>ROUND(IF(G569=0,0,O575/M535*M536),2)</f>
        <v>0</v>
      </c>
      <c r="Q575" s="942" t="s">
        <v>739</v>
      </c>
      <c r="R575" s="940">
        <f>'päd.Personal - Leitung'!$R$47</f>
        <v>0.68459999999999999</v>
      </c>
      <c r="S575" s="957">
        <f>'päd.Personal - Leitung'!$S$47</f>
        <v>0.28000000000000003</v>
      </c>
    </row>
    <row r="576" spans="1:24" s="1" customFormat="1" ht="14.25" customHeight="1" x14ac:dyDescent="0.2">
      <c r="A576" s="908"/>
      <c r="B576" s="908"/>
      <c r="C576" s="1013"/>
      <c r="D576" s="1013"/>
      <c r="I576" s="913"/>
      <c r="J576" s="913"/>
      <c r="K576" s="916"/>
      <c r="L576" s="27"/>
      <c r="M576" s="27"/>
      <c r="N576" s="27"/>
      <c r="O576" s="26" t="s">
        <v>0</v>
      </c>
      <c r="P576" s="25">
        <f>P569+SUM(P571:P575)</f>
        <v>0</v>
      </c>
    </row>
    <row r="577" spans="1:19" s="10" customFormat="1" ht="13.5" customHeight="1" x14ac:dyDescent="0.2">
      <c r="A577" s="1321" t="s">
        <v>17</v>
      </c>
      <c r="B577" s="1321"/>
      <c r="C577" s="1321"/>
      <c r="D577" s="1320" t="str">
        <f>IF('päd.Personal - Leitung'!$D$1="","",'päd.Personal - Leitung'!$D$1)</f>
        <v/>
      </c>
      <c r="E577" s="1320"/>
      <c r="F577" s="1320"/>
      <c r="G577" s="1320"/>
      <c r="H577" s="1320"/>
      <c r="I577" s="1320"/>
      <c r="J577" s="1320"/>
      <c r="K577" s="1320"/>
      <c r="L577" s="1320"/>
      <c r="M577" s="1320"/>
      <c r="N577" s="1320"/>
    </row>
    <row r="578" spans="1:19" s="10" customFormat="1" ht="15" customHeight="1" x14ac:dyDescent="0.2">
      <c r="A578" s="1321" t="s">
        <v>16</v>
      </c>
      <c r="B578" s="1321"/>
      <c r="C578" s="1321" t="s">
        <v>14</v>
      </c>
      <c r="D578" s="1320" t="str">
        <f>IF('päd.Personal - Leitung'!$D$2="","",'päd.Personal - Leitung'!$D$2)</f>
        <v/>
      </c>
      <c r="E578" s="1320"/>
      <c r="F578" s="1320"/>
      <c r="G578" s="1320"/>
      <c r="H578" s="1320"/>
      <c r="I578" s="1320"/>
      <c r="J578" s="1320"/>
      <c r="K578" s="1320"/>
      <c r="L578" s="1320"/>
      <c r="M578" s="1320"/>
      <c r="N578" s="1320"/>
    </row>
    <row r="579" spans="1:19" s="10" customFormat="1" ht="15" customHeight="1" x14ac:dyDescent="0.2">
      <c r="A579" s="1321" t="s">
        <v>15</v>
      </c>
      <c r="B579" s="1321"/>
      <c r="C579" s="1321" t="s">
        <v>14</v>
      </c>
      <c r="D579" s="1320" t="str">
        <f>IF('päd.Personal - Leitung'!$D$3="","",'päd.Personal - Leitung'!$D$3)</f>
        <v/>
      </c>
      <c r="E579" s="1320"/>
      <c r="F579" s="1320"/>
      <c r="G579" s="1320"/>
      <c r="H579" s="1320"/>
      <c r="I579" s="1320"/>
      <c r="J579" s="1320"/>
      <c r="K579" s="1321" t="s">
        <v>100</v>
      </c>
      <c r="L579" s="1321"/>
      <c r="M579" s="1321"/>
      <c r="N579" s="38" t="str">
        <f>IF('päd.Personal - Leitung'!$N$3="","",'päd.Personal - Leitung'!$N$3)</f>
        <v/>
      </c>
    </row>
    <row r="580" spans="1:19" s="923" customFormat="1" ht="7.5" customHeight="1" x14ac:dyDescent="0.15">
      <c r="A580" s="1353"/>
      <c r="B580" s="1353"/>
      <c r="C580" s="1353"/>
      <c r="D580" s="1354"/>
      <c r="E580" s="1354"/>
      <c r="F580" s="1354"/>
      <c r="G580" s="1354"/>
      <c r="H580" s="1354"/>
      <c r="I580" s="1354"/>
      <c r="J580" s="1354"/>
      <c r="K580" s="922"/>
      <c r="L580" s="922"/>
      <c r="M580" s="922"/>
      <c r="N580" s="922"/>
      <c r="O580" s="922"/>
      <c r="P580" s="922"/>
    </row>
    <row r="581" spans="1:19" s="13" customFormat="1" ht="13.5" customHeight="1" x14ac:dyDescent="0.2">
      <c r="A581" s="1355" t="s">
        <v>151</v>
      </c>
      <c r="B581" s="1355"/>
      <c r="C581" s="1355"/>
      <c r="D581" s="1355"/>
      <c r="E581" s="1355"/>
      <c r="F581" s="1355"/>
      <c r="G581" s="1355"/>
      <c r="H581" s="1355"/>
      <c r="I581" s="1355"/>
      <c r="J581" s="1355"/>
      <c r="K581" s="7"/>
      <c r="L581" s="7"/>
      <c r="M581" s="7"/>
      <c r="N581" s="52"/>
      <c r="O581" s="138">
        <f>'päd.Personal - Leitung'!$O$5</f>
        <v>2025</v>
      </c>
      <c r="P581" s="52" t="s">
        <v>140</v>
      </c>
    </row>
    <row r="582" spans="1:19" s="8" customFormat="1" ht="13.5" customHeight="1" x14ac:dyDescent="0.25">
      <c r="B582" s="29"/>
      <c r="C582" s="29"/>
      <c r="D582" s="3" t="s">
        <v>48</v>
      </c>
      <c r="E582" s="28"/>
      <c r="F582" s="28"/>
      <c r="G582" s="28"/>
      <c r="H582" s="28"/>
      <c r="I582" s="24"/>
      <c r="K582" s="1327" t="s">
        <v>13</v>
      </c>
      <c r="L582" s="1327"/>
      <c r="M582" s="131"/>
      <c r="O582" s="928" t="str">
        <f>A605</f>
        <v>Jan 2025</v>
      </c>
      <c r="P582" s="1402">
        <f>IF(M584="","",M584)</f>
        <v>0</v>
      </c>
    </row>
    <row r="583" spans="1:19" s="5" customFormat="1" ht="13.5" customHeight="1" x14ac:dyDescent="0.25">
      <c r="A583" s="1328" t="s">
        <v>754</v>
      </c>
      <c r="B583" s="1328"/>
      <c r="C583" s="1328"/>
      <c r="D583" s="1345"/>
      <c r="E583" s="1345"/>
      <c r="F583" s="1345"/>
      <c r="G583" s="1345"/>
      <c r="H583" s="1345"/>
      <c r="I583" s="1345"/>
      <c r="K583" s="1327" t="s">
        <v>101</v>
      </c>
      <c r="L583" s="1327"/>
      <c r="M583" s="101"/>
      <c r="O583" s="928" t="str">
        <f t="shared" ref="O583:O593" si="96">A606</f>
        <v>Feb 2025</v>
      </c>
      <c r="P583" s="1403">
        <f t="shared" ref="P583:P590" si="97">IF(P582="","",P582)</f>
        <v>0</v>
      </c>
    </row>
    <row r="584" spans="1:19" s="1" customFormat="1" ht="13.5" customHeight="1" x14ac:dyDescent="0.2">
      <c r="A584" s="1328" t="s">
        <v>12</v>
      </c>
      <c r="B584" s="1328"/>
      <c r="C584" s="1328"/>
      <c r="D584" s="1345"/>
      <c r="E584" s="1345"/>
      <c r="F584" s="1345"/>
      <c r="G584" s="1345"/>
      <c r="H584" s="1345"/>
      <c r="I584" s="1345"/>
      <c r="K584" s="1327" t="s">
        <v>149</v>
      </c>
      <c r="L584" s="1327"/>
      <c r="M584" s="101">
        <f>IF((M585+M586)&gt;M583,0,M583-M585-M586)</f>
        <v>0</v>
      </c>
      <c r="O584" s="928" t="str">
        <f t="shared" si="96"/>
        <v>Mrz 2025</v>
      </c>
      <c r="P584" s="1403">
        <f t="shared" si="97"/>
        <v>0</v>
      </c>
    </row>
    <row r="585" spans="1:19" s="1" customFormat="1" ht="13.5" customHeight="1" x14ac:dyDescent="0.2">
      <c r="A585" s="1328" t="s">
        <v>11</v>
      </c>
      <c r="B585" s="1328"/>
      <c r="C585" s="1328"/>
      <c r="D585" s="1345"/>
      <c r="E585" s="1345"/>
      <c r="F585" s="1345"/>
      <c r="G585" s="1345"/>
      <c r="H585" s="1345"/>
      <c r="I585" s="1345"/>
      <c r="K585" s="1327" t="s">
        <v>150</v>
      </c>
      <c r="L585" s="1327"/>
      <c r="M585" s="101"/>
      <c r="O585" s="928" t="str">
        <f t="shared" si="96"/>
        <v>Apr 2025</v>
      </c>
      <c r="P585" s="1403">
        <f t="shared" si="97"/>
        <v>0</v>
      </c>
    </row>
    <row r="586" spans="1:19" s="1" customFormat="1" ht="13.5" customHeight="1" x14ac:dyDescent="0.2">
      <c r="A586" s="1328" t="s">
        <v>18</v>
      </c>
      <c r="B586" s="1328"/>
      <c r="C586" s="1328"/>
      <c r="D586" s="1345"/>
      <c r="E586" s="1345"/>
      <c r="F586" s="1345"/>
      <c r="G586" s="1345"/>
      <c r="H586" s="1345"/>
      <c r="I586" s="1345"/>
      <c r="K586" s="1327" t="s">
        <v>222</v>
      </c>
      <c r="L586" s="1327"/>
      <c r="M586" s="101"/>
      <c r="O586" s="928" t="str">
        <f t="shared" si="96"/>
        <v>Mai 2025</v>
      </c>
      <c r="P586" s="1403">
        <f t="shared" si="97"/>
        <v>0</v>
      </c>
    </row>
    <row r="587" spans="1:19" s="1" customFormat="1" ht="13.5" customHeight="1" x14ac:dyDescent="0.2">
      <c r="B587" s="6"/>
      <c r="C587" s="1029" t="s">
        <v>147</v>
      </c>
      <c r="D587" s="1324"/>
      <c r="E587" s="1324"/>
      <c r="F587" s="1359" t="s">
        <v>103</v>
      </c>
      <c r="G587" s="1359"/>
      <c r="H587" s="1361"/>
      <c r="I587" s="1361"/>
      <c r="K587" s="1327" t="s">
        <v>94</v>
      </c>
      <c r="L587" s="1327"/>
      <c r="M587" s="15" t="str">
        <f>IF(IF((COUNTIF(B605:B616,"&gt;0"))=0,0,(COUNTIF(B605:B616,"&gt;0")))&gt;Grundlagen!$C$26,Grundlagen!$C$26,IF((COUNTIF(B605:B616,"&gt;0"))=0,"",(COUNTIF(B605:B616,"&gt;0"))))</f>
        <v/>
      </c>
      <c r="O587" s="928" t="str">
        <f t="shared" si="96"/>
        <v>Jun 2025</v>
      </c>
      <c r="P587" s="1403">
        <f t="shared" si="97"/>
        <v>0</v>
      </c>
    </row>
    <row r="588" spans="1:19" s="1" customFormat="1" ht="13.5" customHeight="1" x14ac:dyDescent="0.2">
      <c r="I588" s="4"/>
      <c r="M588" s="102" t="str">
        <f>IF((SUM(F590:F593))=0,"",IF(P594&gt;M584,M584,IF(M584="","",IF(M587="","",P594))))</f>
        <v/>
      </c>
      <c r="O588" s="928" t="str">
        <f t="shared" si="96"/>
        <v>Jul 2025</v>
      </c>
      <c r="P588" s="1403">
        <f t="shared" si="97"/>
        <v>0</v>
      </c>
    </row>
    <row r="589" spans="1:19" s="46" customFormat="1" ht="13.5" customHeight="1" x14ac:dyDescent="0.2">
      <c r="A589" s="54" t="s">
        <v>134</v>
      </c>
      <c r="B589" s="1356" t="s">
        <v>135</v>
      </c>
      <c r="C589" s="1356"/>
      <c r="D589" s="55" t="s">
        <v>136</v>
      </c>
      <c r="E589" s="56" t="s">
        <v>137</v>
      </c>
      <c r="F589" s="57" t="str">
        <f>CONCATENATE("Entg. ",N579," h/Wo")</f>
        <v>Entg.  h/Wo</v>
      </c>
      <c r="G589" s="58" t="s">
        <v>138</v>
      </c>
      <c r="I589" s="58" t="s">
        <v>139</v>
      </c>
      <c r="K589" s="970"/>
      <c r="L589" s="970"/>
      <c r="M589" s="59"/>
      <c r="N589" s="968"/>
      <c r="O589" s="928" t="str">
        <f t="shared" si="96"/>
        <v>Aug 2025</v>
      </c>
      <c r="P589" s="1403">
        <f t="shared" si="97"/>
        <v>0</v>
      </c>
      <c r="Q589" s="85"/>
      <c r="R589" s="85"/>
      <c r="S589" s="85"/>
    </row>
    <row r="590" spans="1:19" s="46" customFormat="1" ht="13.5" customHeight="1" x14ac:dyDescent="0.25">
      <c r="A590" s="48" t="str">
        <f>'päd.Personal - Leitung'!$A$14</f>
        <v>Jan 2025</v>
      </c>
      <c r="B590" s="1357" t="str">
        <f>IF($D$3="","",$D$3)</f>
        <v/>
      </c>
      <c r="C590" s="1358"/>
      <c r="D590" s="132"/>
      <c r="E590" s="132"/>
      <c r="F590" s="71"/>
      <c r="G590" s="50">
        <f>IF(N579="",0,F590/N579/4.348)</f>
        <v>0</v>
      </c>
      <c r="I590" s="125">
        <f>SUM(J590:M590)</f>
        <v>0</v>
      </c>
      <c r="J590" s="124"/>
      <c r="K590" s="124"/>
      <c r="L590" s="124"/>
      <c r="M590" s="124"/>
      <c r="N590" s="969"/>
      <c r="O590" s="928" t="str">
        <f t="shared" si="96"/>
        <v>Sep 2025</v>
      </c>
      <c r="P590" s="1403">
        <f t="shared" si="97"/>
        <v>0</v>
      </c>
      <c r="Q590" s="85"/>
      <c r="R590" s="85"/>
      <c r="S590" s="85"/>
    </row>
    <row r="591" spans="1:19" s="46" customFormat="1" ht="13.5" customHeight="1" x14ac:dyDescent="0.25">
      <c r="A591" s="49"/>
      <c r="B591" s="1322" t="str">
        <f>IF(A591="","",B590)</f>
        <v/>
      </c>
      <c r="C591" s="1323"/>
      <c r="D591" s="132"/>
      <c r="E591" s="132"/>
      <c r="F591" s="71"/>
      <c r="G591" s="50">
        <f>IF(N579="",0,F591/N579/4.348)</f>
        <v>0</v>
      </c>
      <c r="I591" s="125">
        <f t="shared" ref="I591:I593" si="98">SUM(J591:M591)</f>
        <v>0</v>
      </c>
      <c r="J591" s="124"/>
      <c r="K591" s="124"/>
      <c r="L591" s="124"/>
      <c r="M591" s="124"/>
      <c r="N591" s="969"/>
      <c r="O591" s="928" t="str">
        <f t="shared" si="96"/>
        <v>Okt 2025</v>
      </c>
      <c r="P591" s="1403">
        <f t="shared" ref="P591:P593" si="99">IF(P590="","",P590)</f>
        <v>0</v>
      </c>
      <c r="Q591" s="85"/>
      <c r="R591" s="85"/>
      <c r="S591" s="85"/>
    </row>
    <row r="592" spans="1:19" s="46" customFormat="1" ht="13.5" customHeight="1" x14ac:dyDescent="0.25">
      <c r="A592" s="49"/>
      <c r="B592" s="1322" t="str">
        <f>IF(A592="","",B591)</f>
        <v/>
      </c>
      <c r="C592" s="1323"/>
      <c r="D592" s="132"/>
      <c r="E592" s="132"/>
      <c r="F592" s="71"/>
      <c r="G592" s="50">
        <f>IF(N579="",0,F592/N579/4.348)</f>
        <v>0</v>
      </c>
      <c r="I592" s="125">
        <f t="shared" si="98"/>
        <v>0</v>
      </c>
      <c r="J592" s="124"/>
      <c r="K592" s="124"/>
      <c r="L592" s="124"/>
      <c r="M592" s="124"/>
      <c r="N592" s="969"/>
      <c r="O592" s="928" t="str">
        <f t="shared" si="96"/>
        <v>Nov 2025</v>
      </c>
      <c r="P592" s="1403">
        <f t="shared" si="99"/>
        <v>0</v>
      </c>
      <c r="Q592" s="85"/>
      <c r="R592" s="85"/>
      <c r="S592" s="85"/>
    </row>
    <row r="593" spans="1:22" s="46" customFormat="1" ht="13.5" customHeight="1" x14ac:dyDescent="0.25">
      <c r="A593" s="49"/>
      <c r="B593" s="1322" t="str">
        <f>IF(A593="","",B592)</f>
        <v/>
      </c>
      <c r="C593" s="1323"/>
      <c r="D593" s="132"/>
      <c r="E593" s="132"/>
      <c r="F593" s="71"/>
      <c r="G593" s="50">
        <f>IF(N579="",0,F593/N579/4.348)</f>
        <v>0</v>
      </c>
      <c r="I593" s="125">
        <f t="shared" si="98"/>
        <v>0</v>
      </c>
      <c r="J593" s="124"/>
      <c r="K593" s="124"/>
      <c r="L593" s="124"/>
      <c r="M593" s="124"/>
      <c r="N593" s="969"/>
      <c r="O593" s="928" t="str">
        <f t="shared" si="96"/>
        <v>Dez 2025</v>
      </c>
      <c r="P593" s="1403">
        <f t="shared" si="99"/>
        <v>0</v>
      </c>
      <c r="Q593" s="85"/>
      <c r="R593" s="85"/>
      <c r="S593" s="85"/>
    </row>
    <row r="594" spans="1:22" s="46" customFormat="1" ht="13.5" customHeight="1" x14ac:dyDescent="0.25">
      <c r="B594" s="972"/>
      <c r="C594" s="972"/>
      <c r="E594" s="972"/>
      <c r="F594" s="972"/>
      <c r="I594" s="930" t="s">
        <v>730</v>
      </c>
      <c r="J594" s="1060"/>
      <c r="K594" s="1060"/>
      <c r="L594" s="1060"/>
      <c r="M594" s="1060"/>
      <c r="N594" s="971"/>
      <c r="O594" s="126" t="s">
        <v>221</v>
      </c>
      <c r="P594" s="127">
        <f>IF(M587="",0,((IF(SUMIF(B605,"&gt;0"),P582,0))+(IF(SUMIF(B606,"&gt;0"),P583,0))+(IF(SUMIF(B607,"&gt;0"),P584,0))+(IF(SUMIF(B608,"&gt;0"),P585,0))+(IF(SUMIF(B609,"&gt;0"),P586,0))+(IF(SUMIF(B610,"&gt;0"),P587,0))+(IF(SUMIF(B611,"&gt;0"),P588,0))+(IF(SUMIF(B612,"&gt;0"),P589,0))+(IF(SUMIF(B613,"&gt;0"),P590,0))+(IF(SUMIF(B614,"&gt;0"),P591,0))+(IF(SUMIF(B615,"&gt;0"),P592,0))+(IF(SUMIF(B616,"&gt;0"),P593,0)))/Grundlagen!$C$26)</f>
        <v>0</v>
      </c>
      <c r="Q594" s="944" t="str">
        <f>CONCATENATE("BBG"," anteilig ",O596)</f>
        <v>BBG anteilig 2025</v>
      </c>
      <c r="R594" s="931" t="s">
        <v>659</v>
      </c>
      <c r="S594" s="931" t="s">
        <v>398</v>
      </c>
      <c r="T594" s="107"/>
    </row>
    <row r="595" spans="1:22" s="46" customFormat="1" ht="13.5" customHeight="1" x14ac:dyDescent="0.2">
      <c r="A595" s="924" t="s">
        <v>732</v>
      </c>
      <c r="D595" s="55" t="s">
        <v>369</v>
      </c>
      <c r="E595" s="56" t="s">
        <v>368</v>
      </c>
      <c r="F595" s="58"/>
      <c r="J595" s="61"/>
      <c r="Q595" s="932" t="s">
        <v>144</v>
      </c>
      <c r="R595" s="140">
        <f>IF(M584=0,R599,IF(M583="",R599,(SUM(R605:R616)/M587)))</f>
        <v>5175</v>
      </c>
      <c r="S595" s="933">
        <f>IF(M584=0,S599,IF(M583="",S599,SUM(R605:R616)))</f>
        <v>0</v>
      </c>
      <c r="T595" s="107"/>
    </row>
    <row r="596" spans="1:22" s="46" customFormat="1" ht="13.5" customHeight="1" x14ac:dyDescent="0.25">
      <c r="A596" s="60"/>
      <c r="B596" s="1314" t="str">
        <f>IF($B$20="","",$B$20)</f>
        <v>Jahressonderzahlung (JSZ)</v>
      </c>
      <c r="C596" s="1315"/>
      <c r="D596" s="926"/>
      <c r="E596" s="929" t="str">
        <f>IF(A596="","",ROUND((((SUM(B611:B613)+SUM(F611:F613))/3)*D596)/Grundlagen!$C$26*M587,2))</f>
        <v/>
      </c>
      <c r="G596" s="941" t="s">
        <v>733</v>
      </c>
      <c r="H596" s="943"/>
      <c r="I596" s="1316" t="str">
        <f>CONCATENATE(R619,":"," Übergangsbereich von ",R620+0.01," €"," bis ",R621," €")</f>
        <v>2025: Übergangsbereich von 556,01 € bis 2000 €</v>
      </c>
      <c r="J596" s="1317"/>
      <c r="K596" s="1317"/>
      <c r="L596" s="1067"/>
      <c r="M596" s="1067"/>
      <c r="N596" s="1068" t="s">
        <v>736</v>
      </c>
      <c r="O596" s="1069">
        <f>P596+1</f>
        <v>2025</v>
      </c>
      <c r="P596" s="1069" t="s">
        <v>721</v>
      </c>
      <c r="Q596" s="932" t="s">
        <v>145</v>
      </c>
      <c r="R596" s="140">
        <f>IF(M584=0,R600,IF(M583="",R600,(SUM(S605:S616)/M587)))</f>
        <v>7450</v>
      </c>
      <c r="S596" s="933">
        <f>IF(M584=0,S600,IF(M583="",S600,SUM(S605:S616)))</f>
        <v>0</v>
      </c>
      <c r="T596" s="109"/>
    </row>
    <row r="597" spans="1:22" s="1" customFormat="1" ht="14.25" customHeight="1" x14ac:dyDescent="0.2">
      <c r="A597" s="60"/>
      <c r="B597" s="1314" t="str">
        <f>IF($B$21="","",$B$21)</f>
        <v>Leistungsentgelt (LOB)</v>
      </c>
      <c r="C597" s="1315"/>
      <c r="D597" s="926"/>
      <c r="E597" s="929" t="str">
        <f>IF(A597="","",ROUND(((B617+F617)*D597)/Grundlagen!$C$26*M587,2))</f>
        <v/>
      </c>
      <c r="G597" s="941" t="str">
        <f>IF(OR(H596="",H596="nein")=TRUE,"","Faktor (F):")</f>
        <v/>
      </c>
      <c r="H597" s="949" t="str">
        <f>IF(OR(H596="",H596="nein")=TRUE,"",IF(H596="","",R623))</f>
        <v/>
      </c>
      <c r="I597" s="1318" t="str">
        <f>IF(OR(H596="",H596="nein")=TRUE,"",IF(H597="","",CONCATENATE(S623*100,"%"," / ","(",R622*100,"%"," Gesamt-SV-Beitragssatz 2024)")))</f>
        <v/>
      </c>
      <c r="J597" s="1319"/>
      <c r="K597" s="1319"/>
      <c r="L597" s="1070"/>
      <c r="M597" s="1070"/>
      <c r="N597" s="1071" t="s">
        <v>144</v>
      </c>
      <c r="O597" s="1072">
        <f>'päd.Personal - Leitung'!$O$21</f>
        <v>5175</v>
      </c>
      <c r="P597" s="1072">
        <f>'päd.Personal - Leitung'!$P$21</f>
        <v>5175</v>
      </c>
      <c r="Q597" s="11"/>
      <c r="R597" s="11"/>
      <c r="S597" s="11"/>
      <c r="T597" s="109"/>
    </row>
    <row r="598" spans="1:22" s="1" customFormat="1" ht="14.25" customHeight="1" x14ac:dyDescent="0.2">
      <c r="C598" s="925" t="s">
        <v>731</v>
      </c>
      <c r="L598" s="1070"/>
      <c r="M598" s="1070"/>
      <c r="N598" s="1071" t="s">
        <v>145</v>
      </c>
      <c r="O598" s="1073">
        <f>'päd.Personal - Leitung'!$O$22</f>
        <v>7450</v>
      </c>
      <c r="P598" s="1073">
        <f>'päd.Personal - Leitung'!$P$22</f>
        <v>7450</v>
      </c>
      <c r="Q598" s="944" t="str">
        <f>CONCATENATE("BBG"," ",O596)</f>
        <v>BBG 2025</v>
      </c>
      <c r="R598" s="11"/>
      <c r="S598" s="11"/>
      <c r="T598" s="109"/>
    </row>
    <row r="599" spans="1:22" s="1" customFormat="1" ht="14.25" customHeight="1" x14ac:dyDescent="0.2">
      <c r="A599" s="53" t="s">
        <v>141</v>
      </c>
      <c r="B599" s="46"/>
      <c r="C599" s="46"/>
      <c r="D599" s="46"/>
      <c r="E599" s="46"/>
      <c r="F599" s="46"/>
      <c r="G599" s="46"/>
      <c r="H599" s="46"/>
      <c r="I599" s="46"/>
      <c r="J599" s="46"/>
      <c r="K599" s="46"/>
      <c r="L599" s="46"/>
      <c r="M599" s="46"/>
      <c r="N599" s="46"/>
      <c r="O599" s="46"/>
      <c r="P599" s="46"/>
      <c r="Q599" s="932" t="s">
        <v>144</v>
      </c>
      <c r="R599" s="141">
        <f>IF($O$21="",0,$O$21)</f>
        <v>5175</v>
      </c>
      <c r="S599" s="933">
        <f>R599*IF(M587="",0,M587)</f>
        <v>0</v>
      </c>
      <c r="T599" s="295"/>
    </row>
    <row r="600" spans="1:22" s="1" customFormat="1" ht="14.25" customHeight="1" x14ac:dyDescent="0.2">
      <c r="A600" s="1346"/>
      <c r="B600" s="1348" t="s">
        <v>8</v>
      </c>
      <c r="C600" s="1349"/>
      <c r="D600" s="1349"/>
      <c r="E600" s="1349"/>
      <c r="F600" s="1349"/>
      <c r="G600" s="1350"/>
      <c r="H600" s="1351" t="s">
        <v>113</v>
      </c>
      <c r="I600" s="1352"/>
      <c r="J600" s="1352"/>
      <c r="K600" s="1352"/>
      <c r="L600" s="1352"/>
      <c r="M600" s="1352"/>
      <c r="N600" s="1352"/>
      <c r="O600" s="30"/>
      <c r="P600" s="1330" t="s">
        <v>0</v>
      </c>
      <c r="Q600" s="932" t="s">
        <v>145</v>
      </c>
      <c r="R600" s="141">
        <f>IF($O$22="",0,$O$22)</f>
        <v>7450</v>
      </c>
      <c r="S600" s="933">
        <f>R600*IF(M587="",0,M587)</f>
        <v>0</v>
      </c>
      <c r="T600" s="830"/>
    </row>
    <row r="601" spans="1:22" s="1" customFormat="1" ht="14.25" customHeight="1" x14ac:dyDescent="0.2">
      <c r="A601" s="1347"/>
      <c r="B601" s="1333" t="s">
        <v>111</v>
      </c>
      <c r="C601" s="1335" t="s">
        <v>743</v>
      </c>
      <c r="D601" s="1337" t="s">
        <v>226</v>
      </c>
      <c r="E601" s="1339" t="s">
        <v>133</v>
      </c>
      <c r="F601" s="1030" t="s">
        <v>6</v>
      </c>
      <c r="G601" s="1340" t="s">
        <v>5</v>
      </c>
      <c r="H601" s="1339" t="s">
        <v>119</v>
      </c>
      <c r="I601" s="1339" t="s">
        <v>4</v>
      </c>
      <c r="J601" s="1339" t="s">
        <v>3</v>
      </c>
      <c r="K601" s="1339" t="s">
        <v>2</v>
      </c>
      <c r="L601" s="1339" t="s">
        <v>114</v>
      </c>
      <c r="M601" s="1339" t="s">
        <v>115</v>
      </c>
      <c r="N601" s="1339" t="s">
        <v>116</v>
      </c>
      <c r="O601" s="1338" t="s">
        <v>109</v>
      </c>
      <c r="P601" s="1331"/>
      <c r="Q601" s="456"/>
      <c r="R601" s="11"/>
      <c r="S601" s="11"/>
      <c r="T601" s="621"/>
    </row>
    <row r="602" spans="1:22" s="1" customFormat="1" ht="14.25" customHeight="1" x14ac:dyDescent="0.2">
      <c r="A602" s="1347"/>
      <c r="B602" s="1333"/>
      <c r="C602" s="1335"/>
      <c r="D602" s="1338"/>
      <c r="E602" s="1339"/>
      <c r="F602" s="1343" t="str">
        <f>I594</f>
        <v>Zuschläge / Zulagen / o.ä.:</v>
      </c>
      <c r="G602" s="1340"/>
      <c r="H602" s="1342" t="s">
        <v>117</v>
      </c>
      <c r="I602" s="1342"/>
      <c r="J602" s="1342"/>
      <c r="K602" s="1342"/>
      <c r="L602" s="1342"/>
      <c r="M602" s="1342"/>
      <c r="N602" s="1342"/>
      <c r="O602" s="1338"/>
      <c r="P602" s="1331"/>
      <c r="Q602" s="456"/>
      <c r="R602" s="1306" t="str">
        <f>Q594</f>
        <v>BBG anteilig 2025</v>
      </c>
      <c r="S602" s="1306"/>
      <c r="T602" s="829"/>
    </row>
    <row r="603" spans="1:22" s="1" customFormat="1" ht="14.25" customHeight="1" x14ac:dyDescent="0.2">
      <c r="A603" s="1347"/>
      <c r="B603" s="1333"/>
      <c r="C603" s="1335"/>
      <c r="D603" s="1338"/>
      <c r="E603" s="1339"/>
      <c r="F603" s="1343"/>
      <c r="G603" s="1340"/>
      <c r="H603" s="39" t="str">
        <f>'päd.Personal - Leitung'!$H$27</f>
        <v>(7,30% + Zusatz)</v>
      </c>
      <c r="I603" s="39" t="str">
        <f>'päd.Personal - Leitung'!$I$27</f>
        <v xml:space="preserve"> (2024: 9,30%)</v>
      </c>
      <c r="J603" s="39" t="str">
        <f>'päd.Personal - Leitung'!$J$27</f>
        <v>(2024: 1,30%)</v>
      </c>
      <c r="K603" s="39" t="str">
        <f>'päd.Personal - Leitung'!$K$27</f>
        <v>(2024: 1,700%)</v>
      </c>
      <c r="L603" s="39"/>
      <c r="M603" s="39"/>
      <c r="N603" s="39" t="str">
        <f>'päd.Personal - Leitung'!$N$27</f>
        <v>(2024: 0,06%)</v>
      </c>
      <c r="O603" s="1338"/>
      <c r="P603" s="1331"/>
      <c r="Q603" s="456"/>
      <c r="R603" s="1307" t="s">
        <v>659</v>
      </c>
      <c r="S603" s="1307"/>
      <c r="T603" s="829"/>
      <c r="U603" s="1308" t="s">
        <v>1</v>
      </c>
      <c r="V603" s="1308" t="s">
        <v>741</v>
      </c>
    </row>
    <row r="604" spans="1:22" s="1" customFormat="1" x14ac:dyDescent="0.2">
      <c r="A604" s="1347"/>
      <c r="B604" s="1334"/>
      <c r="C604" s="1336"/>
      <c r="D604" s="45"/>
      <c r="E604" s="45"/>
      <c r="F604" s="1344"/>
      <c r="G604" s="1341"/>
      <c r="H604" s="74"/>
      <c r="I604" s="99">
        <f>'päd.Personal - Leitung'!$I$28</f>
        <v>0</v>
      </c>
      <c r="J604" s="99">
        <f>'päd.Personal - Leitung'!$J$28</f>
        <v>0</v>
      </c>
      <c r="K604" s="40">
        <f>'päd.Personal - Leitung'!$K$28</f>
        <v>0</v>
      </c>
      <c r="L604" s="19"/>
      <c r="M604" s="19"/>
      <c r="N604" s="99">
        <f>'päd.Personal - Leitung'!$N$28</f>
        <v>0</v>
      </c>
      <c r="O604" s="23"/>
      <c r="P604" s="1332"/>
      <c r="Q604" s="456"/>
      <c r="R604" s="935" t="s">
        <v>144</v>
      </c>
      <c r="S604" s="935" t="s">
        <v>145</v>
      </c>
      <c r="T604" s="829"/>
      <c r="U604" s="1308"/>
      <c r="V604" s="1308"/>
    </row>
    <row r="605" spans="1:22" s="1" customFormat="1" x14ac:dyDescent="0.2">
      <c r="A605" s="76" t="str">
        <f>CONCATENATE("Jan ",O581)</f>
        <v>Jan 2025</v>
      </c>
      <c r="B605" s="22">
        <f>ROUND(IF(P582=0,0,(LOOKUP(2,1/(A590:A593=A605),G590:G593))*P582*4.348),2)</f>
        <v>0</v>
      </c>
      <c r="C605" s="21">
        <f>ROUND(IFERROR((LOOKUP(2,1/(A596=A605),E596)),0)+IFERROR((LOOKUP(2,1/(A597=A605),E597)),0),2)</f>
        <v>0</v>
      </c>
      <c r="D605" s="21">
        <f>ROUND(IF(B605=0,0,D604/M583*P582),2)</f>
        <v>0</v>
      </c>
      <c r="E605" s="21">
        <f>ROUND(IF(B605=0,0,E604/N579*P582),2)</f>
        <v>0</v>
      </c>
      <c r="F605" s="22">
        <f>ROUND(IF(P582=0,0,(LOOKUP(2,1/(A590:A593=A605),I590:I593))/N579*P582),2)</f>
        <v>0</v>
      </c>
      <c r="G605" s="25">
        <f t="shared" ref="G605:G616" si="100">SUM(B605+C605+E605+F605)</f>
        <v>0</v>
      </c>
      <c r="H605" s="64">
        <f>IF(B605=0,0,IF(AND(H596="ja",((U605)&lt;R621)),ROUND(((R623*R620+((R621/(R621-R620))-(R620/(R621-R620))*R623)*((U605)-R620))*(H604*2))-(((R621/(R621-R620))*((U605)-R620))*H604),2),ROUND(IF((U605)&gt;R605,R605*H604,U605*H604),2)))</f>
        <v>0</v>
      </c>
      <c r="I605" s="64">
        <f>IF(B605=0,0,IF(AND(H596="ja",((U605)&lt;R621)),ROUND(((R623*R620+((R621/(R621-R620))-(R620/(R621-R620))*R623)*((U605)-R620))*(I604*2))-(((R621/(R621-R620))*((U605)-R620))*I604),2),ROUND(IF((U605)&gt;S605,S605*I604,U605*I604),2)))</f>
        <v>0</v>
      </c>
      <c r="J605" s="64">
        <f>IF(B605=0,0,IF(AND(H596="ja",((U605)&lt;R621)),ROUND(((R623*R620+((R621/(R621-R620))-(R620/(R621-R620))*R623)*((U605)-R620))*(J604*2))-(((R621/(R621-R620))*((U605)-R620))*J604),2),ROUND(IF((U605)&gt;S605,S605*J604,U605*J604),2)))</f>
        <v>0</v>
      </c>
      <c r="K605" s="64">
        <f>IF(B605=0,0,IF(AND(H596="ja",((U605)&lt;R621)),ROUND(((R623*R620+((R621/(R621-R620))-(R620/(R621-R620))*R623)*((U605)-R620))*(K604*2))-(((R621/(R621-R620))*((U605)-R620))*K604),2),ROUND(IF((U605)&gt;R605,R605*K604,U605*K604),2)))</f>
        <v>0</v>
      </c>
      <c r="L605" s="64">
        <f>IF(B605=0,0,IF(AND(H596="ja",((U605-C605)&lt;R621)),ROUND(((R623*R620+((R621/(R621-R620))-(R620/(R621-R620))*R623)*((U605-C605)-R620))*(L604)),2),ROUND(IF((SUM(B605:F605))&gt;S605,S605*L604,(SUM(B605:F605)-C605)*L604),2)))</f>
        <v>0</v>
      </c>
      <c r="M605" s="64">
        <f>IF(B605=0,0,IF(AND(H596="ja",((U605-C605)&lt;R621)),ROUND(((R623*R620+((R621/(R621-R620))-(R620/(R621-R620))*R623)*((U605-C605)-R620))*(M604)),2),ROUND(IF((SUM(B605:F605))&gt;S605,S605*M604,(SUM(B605:F605)-C605)*M604),2)))</f>
        <v>0</v>
      </c>
      <c r="N605" s="64">
        <f>IF(B605=0,0,IF(AND(H596="ja",((U605)&lt;R621)),ROUND(((R623*R620+((R621/(R621-R620))-(R620/(R621-R620))*R623)*((U605)-R620))*(N604)),2),ROUND(IF((SUM(B605:F605))&gt;S605,S605*N604,SUM(B605:F605)*N604),2)))</f>
        <v>0</v>
      </c>
      <c r="O605" s="21">
        <f>ROUND(SUM(B605+C605+F605)*O604,2)</f>
        <v>0</v>
      </c>
      <c r="P605" s="25">
        <f>SUM(G605:O605)</f>
        <v>0</v>
      </c>
      <c r="Q605" s="456"/>
      <c r="R605" s="140">
        <f>ROUND(IF(M583="",R599,R599/M583*P582),2)</f>
        <v>5175</v>
      </c>
      <c r="S605" s="140">
        <f>ROUND(IF(M583="",R600,R600/M583*P582),2)</f>
        <v>7450</v>
      </c>
      <c r="U605" s="950">
        <f>SUM(B605:F605)</f>
        <v>0</v>
      </c>
      <c r="V605" s="950">
        <f>SUM(B605:F605)</f>
        <v>0</v>
      </c>
    </row>
    <row r="606" spans="1:22" s="1" customFormat="1" x14ac:dyDescent="0.2">
      <c r="A606" s="76" t="str">
        <f>CONCATENATE("Feb ",O581)</f>
        <v>Feb 2025</v>
      </c>
      <c r="B606" s="22">
        <f>ROUND(IF(P583=0,0,IFERROR(((LOOKUP(2,1/(A590:A593=A606),G590:G593))*P583*4.348),B605/P582*P583)),2)</f>
        <v>0</v>
      </c>
      <c r="C606" s="21">
        <f>ROUND(IFERROR((LOOKUP(2,1/(A596=A606),E596)),0)+IFERROR((LOOKUP(2,1/(A597=A606),E597)),0),2)</f>
        <v>0</v>
      </c>
      <c r="D606" s="21">
        <f>ROUND(IF(B606=0,0,D604/M583*P583),2)</f>
        <v>0</v>
      </c>
      <c r="E606" s="21">
        <f>ROUND(IF(B606=0,0,E604/N579*P583),2)</f>
        <v>0</v>
      </c>
      <c r="F606" s="22">
        <f>ROUND(IF(P583=0,0,IFERROR(((LOOKUP(2,1/(A590:A593=A606),I590:I593))/N579*P583),F605/P582*P583)),2)</f>
        <v>0</v>
      </c>
      <c r="G606" s="25">
        <f t="shared" si="100"/>
        <v>0</v>
      </c>
      <c r="H606" s="64">
        <f>IF(B606=0,0,IF(AND(H596="ja",((U606)&lt;R621)),ROUND(((R623*R620+((R621/(R621-R620))-(R620/(R621-R620))*R623)*((U606)-R620))*(H604*2))-(((R621/(R621-R620))*((U606)-R620))*H604),2),ROUND(IF(U605&lt;(R605),IF((V606)&gt;(SUM(R605:R606)),(((SUM(R605:R606))-(V606-C605))*H604)+((U606-C605)*H604),U606*H604),IF(V606&gt;(SUM(R605:R606)),R606*H604,U606*H604)),2)))</f>
        <v>0</v>
      </c>
      <c r="I606" s="64">
        <f>IF(B606=0,0,IF(AND(H596="ja",((U606)&lt;R621)),ROUND(((R623*R620+((R621/(R621-R620))-(R620/(R621-R620))*R623)*((U606)-R620))*(I604*2))-(((R621/(R621-R620))*((U606)-R620))*I604),2),ROUND(IF(U605&lt;(S605),IF((V606)&gt;(SUM(S605:S606)),(((SUM(S605:S606))-(V606-C605))*I604)+((U606-C605)*I604),U606*I604),IF(V606&gt;(SUM(S605:S606)),S606*I604,U606*I604)),2)))</f>
        <v>0</v>
      </c>
      <c r="J606" s="64">
        <f>IF(B606=0,0,IF(AND(H596="ja",((U606)&lt;R621)),ROUND(((R623*R620+((R621/(R621-R620))-(R620/(R621-R620))*R623)*((U606)-R620))*(J604*2))-(((R621/(R621-R620))*((U606)-R620))*J604),2),ROUND(IF(U605&lt;(S605),IF((V606)&gt;(SUM(S605:S606)),(((SUM(S605:S606))-(V606-C605))*J604)+((U606-C605)*J604),U606*J604),IF(V606&gt;(SUM(S605:S606)),S606*J604,U606*J604)),2)))</f>
        <v>0</v>
      </c>
      <c r="K606" s="64">
        <f>IF(B606=0,0,IF(AND(H596="ja",((U606)&lt;R621)),ROUND(((R623*R620+((R621/(R621-R620))-(R620/(R621-R620))*R623)*((U606)-R620))*(K604*2))-(((R621/(R621-R620))*((U606)-R620))*K604),2),ROUND(IF(U605&lt;(R605),IF((V606)&gt;(SUM(R605:R606)),(((SUM(R605:R606))-(V606-C605))*K604)+((U606-C605)*K604),U606*K604),IF(V606&gt;(SUM(R605:R606)),R606*K604,U606*K604)),2)))</f>
        <v>0</v>
      </c>
      <c r="L606" s="64">
        <f>IF(B606=0,0,IF(AND(H596="ja",((U606-C606)&lt;R621)),ROUND(((R623*R620+((R621/(R621-R620))-(R620/(R621-R620))*R623)*((U606-C606)-R620))*(L604)),2),ROUND(IF(SUM(B605:F605)&lt;(S605),IF((SUM(B605:F606))&gt;(SUM(S605:S606)),(((SUM(S605:S606))-(SUM(B605:F606)-C606))*L604)+((SUM(B606:F606)-C606)*L604),(SUM(B606:F606)-C606)*L604),IF(SUM(B605:F606)&gt;(SUM(S605:S606)),S606*L604,SUM(B606:F606)*L604)),2)))</f>
        <v>0</v>
      </c>
      <c r="M606" s="64">
        <f>IF(B606=0,0,IF(AND(H596="ja",((U606-C606)&lt;R621)),ROUND(((R623*R620+((R621/(R621-R620))-(R620/(R621-R620))*R623)*((U606-C606)-R620))*(M604)),2),ROUND(IF(SUM(B605:F605)&lt;(S605),IF((SUM(B605:F606))&gt;(SUM(S605:S606)),(((SUM(S605:S606))-(SUM(B605:F606)-C606))*M604)+((SUM(B606:F606)-C606)*M604),(SUM(B606:F606)-C606)*M604),IF(SUM(B605:F606)&gt;(SUM(S605:S606)),S606*M604,SUM(B606:F606)*M604)),2)))</f>
        <v>0</v>
      </c>
      <c r="N606" s="64">
        <f>IF(B606=0,0,IF(AND(H596="ja",((U606)&lt;R621)),ROUND(((R623*R620+((R621/(R621-R620))-(R620/(R621-R620))*R623)*((U606)-R620))*(N604)),2),ROUND(IF(SUM(B605:F605)&lt;(S605),IF((SUM(B605:F606))&gt;(SUM(S605:S606)),(((SUM(S605:S606))-(SUM(B605:F606)-C605))*N604)+((SUM(B606:F606)-C605)*N604),SUM(B606:F606)*N604),IF(SUM(B605:F606)&gt;(SUM(S605:S606)),S606*N604,SUM(B606:F606)*N604)),2)))</f>
        <v>0</v>
      </c>
      <c r="O606" s="21">
        <f>ROUND(SUM(B606+C606+F606)*O604,2)</f>
        <v>0</v>
      </c>
      <c r="P606" s="25">
        <f t="shared" ref="P606:P616" si="101">SUM(G606:O606)</f>
        <v>0</v>
      </c>
      <c r="Q606" s="456"/>
      <c r="R606" s="140">
        <f>ROUND(IF(M583="",R599,R599/M583*P583),2)</f>
        <v>5175</v>
      </c>
      <c r="S606" s="140">
        <f>ROUND(IF(M583="",R600,R600/M583*P583),2)</f>
        <v>7450</v>
      </c>
      <c r="U606" s="950">
        <f t="shared" ref="U606:U616" si="102">SUM(B606:F606)</f>
        <v>0</v>
      </c>
      <c r="V606" s="950">
        <f>SUM(B605:F606)</f>
        <v>0</v>
      </c>
    </row>
    <row r="607" spans="1:22" s="1" customFormat="1" x14ac:dyDescent="0.2">
      <c r="A607" s="76" t="str">
        <f>CONCATENATE("Mrz ",O581)</f>
        <v>Mrz 2025</v>
      </c>
      <c r="B607" s="22">
        <f>ROUND(IF(P584=0,0,IFERROR(((LOOKUP(2,1/(A590:A593=A607),G590:G593))*P584*4.348),B606/P583*P584)),2)</f>
        <v>0</v>
      </c>
      <c r="C607" s="21">
        <f>ROUND(IFERROR((LOOKUP(2,1/(A596=A607),E596)),0)+IFERROR((LOOKUP(2,1/(A597=A607),E597)),0),2)</f>
        <v>0</v>
      </c>
      <c r="D607" s="21">
        <f>ROUND(IF(B607=0,0,D604/M583*P584),2)</f>
        <v>0</v>
      </c>
      <c r="E607" s="21">
        <f>ROUND(IF(B607=0,0,E604/N579*P584),2)</f>
        <v>0</v>
      </c>
      <c r="F607" s="22">
        <f>ROUND(IF(P584=0,0,IFERROR(((LOOKUP(2,1/(A590:A593=A607),I590:I593))/N579*P584),F606/P583*P584)),2)</f>
        <v>0</v>
      </c>
      <c r="G607" s="25">
        <f t="shared" si="100"/>
        <v>0</v>
      </c>
      <c r="H607" s="64">
        <f>IF(B607=0,0,IF(AND(H596="ja",((U607)&lt;R621)),ROUND(((R623*R620+((R621/(R621-R620))-(R620/(R621-R620))*R623)*((U607)-R620))*(H604*2))-(((R621/(R621-R620))*((U607)-R620))*H604),2),ROUND(IF(V606&lt;(SUM(R605:R606)),IF((V607)&gt;(SUM(R605:R607)),(((SUM(R605:R607))-(V607-C606))*H604)+((U607-C606)*H604),U607*H604),IF(V607&gt;(SUM(R605:R607)),R607*H604,U607*H604)),2)))</f>
        <v>0</v>
      </c>
      <c r="I607" s="64">
        <f>IF(B607=0,0,IF(AND(H596="ja",((U607)&lt;R621)),ROUND(((R623*R620+((R621/(R621-R620))-(R620/(R621-R620))*R623)*((U607)-R620))*(I604*2))-(((R621/(R621-R620))*((U607)-R620))*I604),2),ROUND(IF(V606&lt;(SUM(S605:S606)),IF((V607)&gt;(SUM(S605:S607)),(((SUM(S605:S607))-(V607-C606))*I604)+((U607-C606)*I604),U607*I604),IF(V607&gt;(SUM(S605:S607)),S607*I604,U607*I604)),2)))</f>
        <v>0</v>
      </c>
      <c r="J607" s="64">
        <f>IF(B607=0,0,IF(AND(H596="ja",((U607)&lt;R621)),ROUND(((R623*R620+((R621/(R621-R620))-(R620/(R621-R620))*R623)*((U607)-R620))*(J604*2))-(((R621/(R621-R620))*((U607)-R620))*J604),2),ROUND(IF(V606&lt;(SUM(S605:S606)),IF((V607)&gt;(SUM(S605:S607)),(((SUM(S605:S607))-(V607-C606))*J604)+((U607-C606)*J604),U607*J604),IF(V607&gt;(SUM(S605:S607)),S607*J604,U607*J604)),2)))</f>
        <v>0</v>
      </c>
      <c r="K607" s="64">
        <f>IF(B607=0,0,IF(AND(H596="ja",((U607)&lt;R621)),ROUND(((R623*R620+((R621/(R621-R620))-(R620/(R621-R620))*R623)*((U607)-R620))*(K604*2))-(((R621/(R621-R620))*((U607)-R620))*K604),2),ROUND(IF(V606&lt;(SUM(R605:R606)),IF((V607)&gt;(SUM(R605:R607)),(((SUM(R605:R607))-(V607-C606))*K604)+((U607-C606)*K604),U607*K604),IF(V607&gt;(SUM(R605:R607)),R607*K604,U607*K604)),2)))</f>
        <v>0</v>
      </c>
      <c r="L607" s="64">
        <f>IF(B607=0,0,IF(AND(H596="ja",((U607-C607)&lt;R621)),ROUND(((R623*R620+((R621/(R621-R620))-(R620/(R621-R620))*R623)*((U607-C607)-R620))*(L604)),2),ROUND(IF(SUM(B605:F606)&lt;(SUM(S605:S606)),IF((SUM(B605:F607))&gt;(SUM(S605:S607)),(((SUM(S605:S607))-(SUM(B605:F607)-C607))*L604)+((SUM(B607:F607)-C607)*L604),(SUM(B607:F607)-C607)*L604),IF(SUM(B605:F607)&gt;(SUM(S605:S607)),S607*L604,SUM(B607:F607)*L604)),2)))</f>
        <v>0</v>
      </c>
      <c r="M607" s="64">
        <f>IF(B607=0,0,IF(AND(H596="ja",((U607-C607)&lt;R621)),ROUND(((R623*R620+((R621/(R621-R620))-(R620/(R621-R620))*R623)*((U607-C607)-R620))*(M604)),2),ROUND(IF(SUM(B605:F606)&lt;(SUM(S605:S606)),IF((SUM(B605:F607))&gt;(SUM(S605:S607)),(((SUM(S605:S607))-(SUM(B605:F607)-C607))*M604)+((SUM(B607:F607)-C607)*M604),(SUM(B607:F607)-C607)*M604),IF(SUM(B605:F607)&gt;(SUM(S605:S607)),S607*M604,SUM(B607:F607)*M604)),2)))</f>
        <v>0</v>
      </c>
      <c r="N607" s="64">
        <f>IF(B607=0,0,IF(AND(H596="ja",((U607)&lt;R621)),ROUND(((R623*R620+((R621/(R621-R620))-(R620/(R621-R620))*R623)*((U607)-R620))*(N604)),2),ROUND(IF(SUM(B605:F606)&lt;(SUM(S605:S606)),IF((SUM(B605:F607))&gt;(SUM(S605:S607)),(((SUM(S605:S607))-(SUM(B605:F607)-C606))*N604)+((SUM(B607:F607)-C606)*N604),SUM(B607:F607)*N604),IF(SUM(B605:F607)&gt;(SUM(S605:S607)),S607*N604,SUM(B607:F607)*N604)),2)))</f>
        <v>0</v>
      </c>
      <c r="O607" s="21">
        <f>ROUND(SUM(B607+C607+F607)*O604,2)</f>
        <v>0</v>
      </c>
      <c r="P607" s="25">
        <f t="shared" si="101"/>
        <v>0</v>
      </c>
      <c r="Q607" s="456"/>
      <c r="R607" s="140">
        <f>ROUND(IF(M583="",R599,R599/M583*P584),2)</f>
        <v>5175</v>
      </c>
      <c r="S607" s="140">
        <f>ROUND(IF(M583="",R600,R600/M583*P584),2)</f>
        <v>7450</v>
      </c>
      <c r="U607" s="950">
        <f t="shared" si="102"/>
        <v>0</v>
      </c>
      <c r="V607" s="950">
        <f>SUM(B605:F607)</f>
        <v>0</v>
      </c>
    </row>
    <row r="608" spans="1:22" s="1" customFormat="1" x14ac:dyDescent="0.2">
      <c r="A608" s="76" t="str">
        <f>CONCATENATE("Apr ",O581)</f>
        <v>Apr 2025</v>
      </c>
      <c r="B608" s="22">
        <f>ROUND(IF(P585=0,0,IFERROR(((LOOKUP(2,1/(A590:A593=A608),G590:G593))*P585*4.348),B607/P584*P585)),2)</f>
        <v>0</v>
      </c>
      <c r="C608" s="21">
        <f>ROUND(IFERROR((LOOKUP(2,1/(A596=A608),E596)),0)+IFERROR((LOOKUP(2,1/(A597=A608),E597)),0),2)</f>
        <v>0</v>
      </c>
      <c r="D608" s="21">
        <f>ROUND(IF(B608=0,0,D604/M583*P585),2)</f>
        <v>0</v>
      </c>
      <c r="E608" s="21">
        <f>ROUND(IF(B608=0,0,E604/N579*P585),2)</f>
        <v>0</v>
      </c>
      <c r="F608" s="22">
        <f>ROUND(IF(P585=0,0,IFERROR(((LOOKUP(2,1/(A590:A593=A608),I590:I593))/N579*P585),F607/P584*P585)),2)</f>
        <v>0</v>
      </c>
      <c r="G608" s="25">
        <f t="shared" si="100"/>
        <v>0</v>
      </c>
      <c r="H608" s="64">
        <f>IF(B608=0,0,IF(AND(H596="ja",((U608)&lt;R621)),ROUND(((R623*R620+((R621/(R621-R620))-(R620/(R621-R620))*R623)*((U608)-R620))*(H604*2))-(((R621/(R621-R620))*((U608)-R620))*H604),2),ROUND(IF(V607&lt;(SUM(R605:R607)),IF((V608)&gt;(SUM(R605:R608)),(((SUM(R605:R608))-(V608-C607))*H604)+((U608-C607)*H604),U608*H604),IF(V608&gt;(SUM(R605:R608)),R608*H604,U608*H604)),2)))</f>
        <v>0</v>
      </c>
      <c r="I608" s="64">
        <f>IF(B608=0,0,IF(AND(H596="ja",((U608)&lt;R621)),ROUND(((R623*R620+((R621/(R621-R620))-(R620/(R621-R620))*R623)*((U608)-R620))*(I604*2))-(((R621/(R621-R620))*((U608)-R620))*I604),2),ROUND(IF(V607&lt;(SUM(S605:S607)),IF((V608)&gt;(SUM(S605:S608)),(((SUM(S605:S608))-(V608-C607))*I604)+((U608-C607)*I604),U608*I604),IF(V608&gt;(SUM(S605:S608)),S608*I604,U608*I604)),2)))</f>
        <v>0</v>
      </c>
      <c r="J608" s="64">
        <f>IF(B608=0,0,IF(AND(H596="ja",((U608)&lt;R621)),ROUND(((R623*R620+((R621/(R621-R620))-(R620/(R621-R620))*R623)*((U608)-R620))*(J604*2))-(((R621/(R621-R620))*((U608)-R620))*J604),2),ROUND(IF(U607&lt;(SUM(S605:S607)),IF((V608)&gt;(SUM(S605:S608)),(((SUM(S605:S608))-(V608-C607))*J604)+((U608-C607)*J604),U608*J604),IF(V608&gt;(SUM(S605:S608)),S608*J604,U608*J604)),2)))</f>
        <v>0</v>
      </c>
      <c r="K608" s="64">
        <f>IF(B608=0,0,IF(AND(H596="ja",((U608)&lt;R621)),ROUND(((R623*R620+((R621/(R621-R620))-(R620/(R621-R620))*R623)*((U608)-R620))*(K604*2))-(((R621/(R621-R620))*((U608)-R620))*K604),2),ROUND(IF(V607&lt;(SUM(R605:R607)),IF((V608)&gt;(SUM(R605:R608)),(((SUM(R605:R608))-(V608-C607))*K604)+((U608-C607)*K604),U608*K604),IF(V608&gt;(SUM(R605:R608)),R608*K604,U608*K604)),2)))</f>
        <v>0</v>
      </c>
      <c r="L608" s="64">
        <f>IF(B608=0,0,IF(AND(H596="ja",((U608-C608)&lt;R621)),ROUND(((R623*R620+((R621/(R621-R620))-(R620/(R621-R620))*R623)*((U608-C608)-R620))*(L604)),2),ROUND(IF(SUM(B605:F607)&lt;(SUM(S605:S607)),IF((SUM(B605:F608))&gt;(SUM(S605:S608)),(((SUM(S605:S608))-(SUM(B605:F608)-C608))*L604)+((SUM(B608:F608)-C608)*L604),(SUM(B608:F608)-C608)*L604),IF(SUM(B605:F608)&gt;(SUM(S605:S608)),S608*L604,SUM(B608:F608)*L604)),2)))</f>
        <v>0</v>
      </c>
      <c r="M608" s="64">
        <f>IF(B608=0,0,IF(AND(H596="ja",((U608-C608)&lt;R621)),ROUND(((R623*R620+((R621/(R621-R620))-(R620/(R621-R620))*R623)*((U608-C608)-R620))*(M604)),2),ROUND(IF(SUM(B605:F607)&lt;(SUM(S605:S607)),IF((SUM(B605:F608))&gt;(SUM(S605:S608)),(((SUM(S605:S608))-(SUM(B605:F608)-C608))*M604)+((SUM(B608:F608)-C608)*M604),(SUM(B608:F608)-C608)*M604),IF(SUM(B605:F608)&gt;(SUM(S605:S608)),S608*M604,SUM(B608:F608)*M604)),2)))</f>
        <v>0</v>
      </c>
      <c r="N608" s="64">
        <f>IF(B608=0,0,IF(AND(H596="ja",((U608)&lt;R621)),ROUND(((R623*R620+((R621/(R621-R620))-(R620/(R621-R620))*R623)*((U608)-R620))*(N604)),2),ROUND(IF(SUM(B605:F607)&lt;(SUM(S605:S607)),IF((SUM(B605:F608))&gt;(SUM(S605:S608)),(((SUM(S605:S608))-(SUM(B605:F608)-C607))*N604)+((SUM(B608:F608)-C607)*N604),SUM(B608:F608)*N604),IF(SUM(B605:F608)&gt;(SUM(S605:S608)),S608*N604,SUM(B608:F608)*N604)),2)))</f>
        <v>0</v>
      </c>
      <c r="O608" s="21">
        <f>ROUND(SUM(B608+C608+F608)*O604,2)</f>
        <v>0</v>
      </c>
      <c r="P608" s="25">
        <f t="shared" si="101"/>
        <v>0</v>
      </c>
      <c r="Q608" s="456"/>
      <c r="R608" s="140">
        <f>ROUND(IF(M583="",R599,R599/M583*P585),2)</f>
        <v>5175</v>
      </c>
      <c r="S608" s="140">
        <f>ROUND(IF(M583="",R600,R600/M583*P585),2)</f>
        <v>7450</v>
      </c>
      <c r="U608" s="950">
        <f t="shared" si="102"/>
        <v>0</v>
      </c>
      <c r="V608" s="950">
        <f>SUM(B605:F608)</f>
        <v>0</v>
      </c>
    </row>
    <row r="609" spans="1:24" s="1" customFormat="1" x14ac:dyDescent="0.2">
      <c r="A609" s="76" t="str">
        <f>CONCATENATE("Mai ",O581)</f>
        <v>Mai 2025</v>
      </c>
      <c r="B609" s="22">
        <f>ROUND(IF(P586=0,0,IFERROR(((LOOKUP(2,1/(A590:A593=A609),G590:G593))*P586*4.348),B608/P585*P586)),2)</f>
        <v>0</v>
      </c>
      <c r="C609" s="21">
        <f>ROUND(IFERROR((LOOKUP(2,1/(A596=A609),E596)),0)+IFERROR((LOOKUP(2,1/(A597=A609),E597)),0),2)</f>
        <v>0</v>
      </c>
      <c r="D609" s="21">
        <f>ROUND(IF(B609=0,0,D604/M583*P586),2)</f>
        <v>0</v>
      </c>
      <c r="E609" s="21">
        <f>ROUND(IF(B609=0,0,E604/N579*P586),2)</f>
        <v>0</v>
      </c>
      <c r="F609" s="22">
        <f>ROUND(IF(P586=0,0,IFERROR(((LOOKUP(2,1/(A590:A593=A609),I590:I593))/N579*P586),F608/P585*P586)),2)</f>
        <v>0</v>
      </c>
      <c r="G609" s="25">
        <f t="shared" si="100"/>
        <v>0</v>
      </c>
      <c r="H609" s="64">
        <f>IF(B609=0,0,IF(AND(H596="ja",((U609)&lt;R621)),ROUND(((R623*R620+((R621/(R621-R620))-(R620/(R621-R620))*R623)*((U609)-R620))*(H604*2))-(((R621/(R621-R620))*((U609)-R620))*H604),2),ROUND(IF(V608&lt;(SUM(R605:R608)),IF((V609)&gt;(SUM(R605:R609)),(((SUM(R605:R609))-(V609-C608))*H604)+((U609-C608)*H604),U609*H604),IF(V609&gt;(SUM(R605:R609)),R609*H604,U609*H604)),2)))</f>
        <v>0</v>
      </c>
      <c r="I609" s="64">
        <f>IF(B609=0,0,IF(AND(H596="ja",((U609)&lt;R621)),ROUND(((R623*R620+((R621/(R621-R620))-(R620/(R621-R620))*R623)*((U609)-R620))*(I604*2))-(((R621/(R621-R620))*((U609)-R620))*I604),2),ROUND(IF(V608&lt;(SUM(S605:S608)),IF((V609)&gt;(SUM(S605:S609)),(((SUM(S605:S609))-(V609-C608))*I604)+((U609-C608)*I604),U609*I604),IF(V609&gt;(SUM(S605:S609)),S609*I604,U609*I604)),2)))</f>
        <v>0</v>
      </c>
      <c r="J609" s="64">
        <f>IF(B609=0,0,IF(AND(H596="ja",((U609)&lt;R621)),ROUND(((R623*R620+((R621/(R621-R620))-(R620/(R621-R620))*R623)*((U609)-R620))*(J604*2))-(((R621/(R621-R620))*((U609)-R620))*J604),2),ROUND(IF(V608&lt;(SUM(S605:S608)),IF((V609)&gt;(SUM(S605:S609)),(((SUM(S605:S609))-(V609-C608))*J604)+((U609-C608)*J604),U609*J604),IF(V609&gt;(SUM(S605:S609)),S609*J604,U609*J604)),2)))</f>
        <v>0</v>
      </c>
      <c r="K609" s="64">
        <f>IF(B609=0,0,IF(AND(H596="ja",((U609)&lt;R621)),ROUND(((R623*R620+((R621/(R621-R620))-(R620/(R621-R620))*R623)*((U609)-R620))*(K604*2))-(((R621/(R621-R620))*((U609)-R620))*K604),2),ROUND(IF(V608&lt;(SUM(R605:R608)),IF((V609)&gt;(SUM(R605:R609)),(((SUM(R605:R609))-(V609-C608))*K604)+((U609-C608)*K604),U609*K604),IF(V609&gt;(SUM(R605:R609)),R609*K604,U609*K604)),2)))</f>
        <v>0</v>
      </c>
      <c r="L609" s="64">
        <f>IF(B609=0,0,IF(AND(H596="ja",((U609-C609)&lt;R621)),ROUND(((R623*R620+((R621/(R621-R620))-(R620/(R621-R620))*R623)*((U609-C609)-R620))*(L604)),2),ROUND(IF(SUM(B605:F608)&lt;(SUM(S605:S608)),IF((SUM(B605:F609))&gt;(SUM(S605:S609)),(((SUM(S605:S609))-(SUM(B605:F609)-C609))*L604)+((SUM(B609:F609)-C609)*L604),(SUM(B609:F609)-C609)*L604),IF(SUM(B605:F609)&gt;(SUM(S605:S609)),S609*L604,SUM(B609:F609)*L604)),2)))</f>
        <v>0</v>
      </c>
      <c r="M609" s="64">
        <f>IF(B609=0,0,IF(AND(H596="ja",((U609-C609)&lt;R621)),ROUND(((R623*R620+((R621/(R621-R620))-(R620/(R621-R620))*R623)*((U609-C609)-R620))*(M604)),2),ROUND(IF(SUM(B605:F608)&lt;(SUM(S605:S608)),IF((SUM(B605:F609))&gt;(SUM(S605:S609)),(((SUM(S605:S609))-(SUM(B605:F609)-C609))*M604)+((SUM(B609:F609)-C609)*M604),(SUM(B609:F609)-C609)*M604),IF(SUM(B605:F609)&gt;(SUM(S605:S609)),S609*M604,SUM(B609:F609)*M604)),2)))</f>
        <v>0</v>
      </c>
      <c r="N609" s="64">
        <f>IF(B609=0,0,IF(AND(H596="ja",((U609)&lt;R621)),ROUND(((R623*R620+((R621/(R621-R620))-(R620/(R621-R620))*R623)*((U609)-R620))*(N604)),2),ROUND(IF(SUM(B605:F608)&lt;(SUM(S605:S608)),IF((SUM(B605:F609))&gt;(SUM(S605:S609)),(((SUM(S605:S609))-(SUM(B605:F609)-C608))*N604)+((SUM(B609:F609)-C608)*N604),SUM(B609:F609)*N604),IF(SUM(B605:F609)&gt;(SUM(S605:S609)),S609*N604,SUM(B609:F609)*N604)),2)))</f>
        <v>0</v>
      </c>
      <c r="O609" s="21">
        <f>ROUND(SUM(B609+C609+F609)*O604,2)</f>
        <v>0</v>
      </c>
      <c r="P609" s="25">
        <f t="shared" si="101"/>
        <v>0</v>
      </c>
      <c r="Q609" s="456"/>
      <c r="R609" s="140">
        <f>ROUND(IF(M583="",R599,R599/M583*P586),2)</f>
        <v>5175</v>
      </c>
      <c r="S609" s="140">
        <f>ROUND(IF(M583="",R600,R600/M583*P586),2)</f>
        <v>7450</v>
      </c>
      <c r="U609" s="950">
        <f t="shared" si="102"/>
        <v>0</v>
      </c>
      <c r="V609" s="950">
        <f>SUM(B605:F609)</f>
        <v>0</v>
      </c>
    </row>
    <row r="610" spans="1:24" s="1" customFormat="1" x14ac:dyDescent="0.2">
      <c r="A610" s="76" t="str">
        <f>CONCATENATE("Jun ",O581)</f>
        <v>Jun 2025</v>
      </c>
      <c r="B610" s="22">
        <f>ROUND(IF(P587=0,0,IFERROR(((LOOKUP(2,1/(A590:A593=A610),G590:G593))*P587*4.348),B609/P586*P587)),2)</f>
        <v>0</v>
      </c>
      <c r="C610" s="21">
        <f>ROUND(IFERROR((LOOKUP(2,1/(A596=A610),E596)),0)+IFERROR((LOOKUP(2,1/(A597=A610),E597)),0),2)</f>
        <v>0</v>
      </c>
      <c r="D610" s="21">
        <f>ROUND(IF(B610=0,0,D604/M583*P587),2)</f>
        <v>0</v>
      </c>
      <c r="E610" s="21">
        <f>ROUND(IF(B610=0,0,E604/N579*P587),2)</f>
        <v>0</v>
      </c>
      <c r="F610" s="22">
        <f>ROUND(IF(P587=0,0,IFERROR(((LOOKUP(2,1/(A590:A593=A610),I590:I593))/N579*P587),F609/P586*P587)),2)</f>
        <v>0</v>
      </c>
      <c r="G610" s="25">
        <f t="shared" si="100"/>
        <v>0</v>
      </c>
      <c r="H610" s="64">
        <f>IF(B610=0,0,IF(AND(H596="ja",((U610)&lt;R621)),ROUND(((R623*R620+((R621/(R621-R620))-(R620/(R621-R620))*R623)*((U610)-R620))*(H604*2))-(((R621/(R621-R620))*((U610)-R620))*H604),2),ROUND(IF(V609&lt;(SUM(R605:R609)),IF((V610)&gt;(SUM(R605:R610)),(((SUM(R605:R610))-(V610-C609))*H604)+((U610-C609)*H604),U610*H604),IF(V610&gt;(SUM(R605:R610)),R610*H604,U610*H604)),2)))</f>
        <v>0</v>
      </c>
      <c r="I610" s="64">
        <f>IF(B610=0,0,IF(AND(H596="ja",((U610)&lt;R621)),ROUND(((R623*R620+((R621/(R621-R620))-(R620/(R621-R620))*R623)*((U610)-R620))*(I604*2))-(((R621/(R621-R620))*((U610)-R620))*I604),2),ROUND(IF(V609&lt;(SUM(S605:S609)),IF((V610)&gt;(SUM(S605:S610)),(((SUM(S605:S610))-(V610-C609))*I604)+((U610-C609)*I604),U610*I604),IF(V610&gt;(SUM(S605:S610)),S610*I604,U610*I604)),2)))</f>
        <v>0</v>
      </c>
      <c r="J610" s="64">
        <f>IF(B610=0,0,IF(AND(H596="ja",((U610)&lt;R621)),ROUND(((R623*R620+((R621/(R621-R620))-(R620/(R621-R620))*R623)*((U610)-R620))*(J604*2))-(((R621/(R621-R620))*((U610)-R620))*J604),2),ROUND(IF(V609&lt;(SUM(S605:S609)),IF((V610)&gt;(SUM(S605:S610)),(((SUM(S605:S610))-(V610-C609))*J604)+((U610-C609)*J604),U610*J604),IF(V610&gt;(SUM(S605:S610)),S610*J604,U610*J604)),2)))</f>
        <v>0</v>
      </c>
      <c r="K610" s="64">
        <f>IF(B610=0,0,IF(AND(H596="ja",((U610)&lt;R621)),ROUND(((R623*R620+((R621/(R621-R620))-(R620/(R621-R620))*R623)*((U610)-R620))*(K604*2))-(((R621/(R621-R620))*((U610)-R620))*K604),2),ROUND(IF(V609&lt;(SUM(R605:R609)),IF((V610)&gt;(SUM(R605:R610)),(((SUM(R605:R610))-(V610-C609))*K604)+((U610-C609)*K604),U610*K604),IF(V610&gt;(SUM(R605:R610)),R610*K604,U610*K604)),2)))</f>
        <v>0</v>
      </c>
      <c r="L610" s="64">
        <f>IF(B610=0,0,IF(AND(H596="ja",((U610-C610)&lt;R621)),ROUND(((R623*R620+((R621/(R621-R620))-(R620/(R621-R620))*R623)*((U610-C610)-R620))*(L604)),2),ROUND(IF(SUM(B605:F609)&lt;(SUM(S605:S609)),IF((SUM(B605:F610))&gt;(SUM(S605:S610)),(((SUM(S605:S610))-(SUM(B605:F610)-C610))*L604)+((SUM(B610:F610)-C610)*L604),(SUM(B610:F610)-C610)*L604),IF(SUM(B605:F610)&gt;(SUM(S605:S610)),S610*L604,SUM(B610:F610)*L604)),2)))</f>
        <v>0</v>
      </c>
      <c r="M610" s="64">
        <f>IF(B610=0,0,IF(AND(H596="ja",((U610-C610)&lt;R621)),ROUND(((R623*R620+((R621/(R621-R620))-(R620/(R621-R620))*R623)*((U610-C610)-R620))*(M604)),2),ROUND(IF(SUM(B605:F609)&lt;(SUM(S605:S609)),IF((SUM(B605:F610))&gt;(SUM(S605:S610)),(((SUM(S605:S610))-(SUM(B605:F610)-C610))*M604)+((SUM(B610:F610)-C610)*M604),(SUM(B610:F610)-C610)*M604),IF(SUM(B605:F610)&gt;(SUM(S605:S610)),S610*M604,SUM(B610:F610)*M604)),2)))</f>
        <v>0</v>
      </c>
      <c r="N610" s="64">
        <f>IF(B610=0,0,IF(AND(H596="ja",((U610)&lt;R621)),ROUND(((R623*R620+((R621/(R621-R620))-(R620/(R621-R620))*R623)*((U610)-R620))*(N604)),2),ROUND(IF(SUM(B605:F609)&lt;(SUM(S605:S609)),IF((SUM(B605:F610))&gt;(SUM(S605:S610)),(((SUM(S605:S610))-(SUM(B605:F610)-C609))*N604)+((SUM(B610:F610)-C609)*N604),SUM(B610:F610)*N604),IF(SUM(B605:F610)&gt;(SUM(S605:S610)),S610*N604,SUM(B610:F610)*N604)),2)))</f>
        <v>0</v>
      </c>
      <c r="O610" s="21">
        <f>ROUND(SUM(B610+C610+F610)*O604,2)</f>
        <v>0</v>
      </c>
      <c r="P610" s="25">
        <f t="shared" si="101"/>
        <v>0</v>
      </c>
      <c r="Q610" s="456"/>
      <c r="R610" s="140">
        <f>ROUND(IF(M583="",R599,R599/M583*P587),2)</f>
        <v>5175</v>
      </c>
      <c r="S610" s="140">
        <f>ROUND(IF(M583="",R600,R600/M583*P587),2)</f>
        <v>7450</v>
      </c>
      <c r="U610" s="950">
        <f t="shared" si="102"/>
        <v>0</v>
      </c>
      <c r="V610" s="950">
        <f>SUM(B605:F610)</f>
        <v>0</v>
      </c>
    </row>
    <row r="611" spans="1:24" s="1" customFormat="1" x14ac:dyDescent="0.2">
      <c r="A611" s="76" t="str">
        <f>CONCATENATE("Jul ",O581)</f>
        <v>Jul 2025</v>
      </c>
      <c r="B611" s="22">
        <f>ROUND(IF(P588=0,0,IFERROR(((LOOKUP(2,1/(A590:A593=A611),G590:G593))*P588*4.348),B610/P587*P588)),2)</f>
        <v>0</v>
      </c>
      <c r="C611" s="21">
        <f>ROUND(IFERROR((LOOKUP(2,1/(A596=A611),E596)),0)+IFERROR((LOOKUP(2,1/(A597=A611),E597)),0),2)</f>
        <v>0</v>
      </c>
      <c r="D611" s="21">
        <f>ROUND(IF(B611=0,0,D604/M583*P588),2)</f>
        <v>0</v>
      </c>
      <c r="E611" s="21">
        <f>ROUND(IF(B611=0,0,E604/N579*P588),2)</f>
        <v>0</v>
      </c>
      <c r="F611" s="22">
        <f>ROUND(IF(P588=0,0,IFERROR(((LOOKUP(2,1/(A590:A593=A611),I590:I593))/N579*P588),F610/P587*P588)),2)</f>
        <v>0</v>
      </c>
      <c r="G611" s="25">
        <f t="shared" si="100"/>
        <v>0</v>
      </c>
      <c r="H611" s="64">
        <f>IF(B611=0,0,IF(AND(H596="ja",((U611)&lt;R621)),ROUND(((R623*R620+((R621/(R621-R620))-(R620/(R621-R620))*R623)*((U611)-R620))*(H604*2))-(((R621/(R621-R620))*((U611)-R620))*H604),2),ROUND(IF(V610&lt;(SUM(R605:R610)),IF((V611)&gt;(SUM(R605:R611)),(((SUM(R605:R611))-(V611-C610))*H604)+((U611-C610)*H604),U611*H604),IF(V611&gt;(SUM(R605:R611)),R611*H604,U611*H604)),2)))</f>
        <v>0</v>
      </c>
      <c r="I611" s="64">
        <f>IF(B611=0,0,IF(AND(H596="ja",((U611)&lt;R621)),ROUND(((R623*R620+((R621/(R621-R620))-(R620/(R621-R620))*R623)*((U611)-R620))*(I604*2))-(((R621/(R621-R620))*((U611)-R620))*I604),2),ROUND(IF(V610&lt;(SUM(S605:S610)),IF((V611)&gt;(SUM(S605:S611)),(((SUM(S605:S611))-(V611-C610))*I604)+((U611-C610)*I604),U611*I604),IF(V611&gt;(SUM(S605:S611)),S611*I604,U611*I604)),2)))</f>
        <v>0</v>
      </c>
      <c r="J611" s="64">
        <f>IF(B611=0,0,IF(AND(H596="ja",((U611)&lt;R621)),ROUND(((R623*R620+((R621/(R621-R620))-(R620/(R621-R620))*R623)*((U611)-R620))*(J604*2))-(((R621/(R621-R620))*((U611)-R620))*J604),2),ROUND(IF(V610&lt;(SUM(S605:S610)),IF((V611)&gt;(SUM(S605:S611)),(((SUM(S605:S611))-(V611-C610))*J604)+((U611-C610)*J604),U611*J604),IF(V611&gt;(SUM(S605:S611)),S611*J604,U611*J604)),2)))</f>
        <v>0</v>
      </c>
      <c r="K611" s="64">
        <f>IF(B611=0,0,IF(AND(H596="ja",((U611)&lt;R621)),ROUND(((R623*R620+((R621/(R621-R620))-(R620/(R621-R620))*R623)*((U611)-R620))*(K604*2))-(((R621/(R621-R620))*((U611)-R620))*K604),2),ROUND(IF(V610&lt;(SUM(R605:R610)),IF((V611)&gt;(SUM(R605:R611)),(((SUM(R605:R611))-(V611-C610))*K604)+((U611-C610)*K604),U611*K604),IF(V611&gt;(SUM(R605:R611)),R611*K604,U611*K604)),2)))</f>
        <v>0</v>
      </c>
      <c r="L611" s="64">
        <f>IF(B611=0,0,IF(AND(H596="ja",((U611-C611)&lt;R621)),ROUND(((R623*R620+((R621/(R621-R620))-(R620/(R621-R620))*R623)*((U611-C611)-R620))*(L604)),2),ROUND(IF(SUM(B605:F610)&lt;(SUM(S605:S610)),IF((SUM(B605:F611))&gt;(SUM(S605:S611)),(((SUM(S605:S611))-(SUM(B605:F611)-C611))*L604)+((SUM(B611:F611)-C611)*L604),(SUM(B611:F611)-C611)*L604),IF(SUM(B605:F611)&gt;(SUM(S605:S611)),S611*L604,SUM(B611:F611)*L604)),2)))</f>
        <v>0</v>
      </c>
      <c r="M611" s="64">
        <f>IF(B611=0,0,IF(AND(H596="ja",((U611-C611)&lt;R621)),ROUND(((R623*R620+((R621/(R621-R620))-(R620/(R621-R620))*R623)*((U611-C611)-R620))*(M604)),2),ROUND(IF(SUM(B605:F610)&lt;(SUM(S605:S610)),IF((SUM(B605:F611))&gt;(SUM(S605:S611)),(((SUM(S605:S611))-(SUM(B605:F611)-C611))*M604)+((SUM(B611:F611)-C611)*M604),(SUM(B611:F611)-C611)*M604),IF(SUM(B605:F611)&gt;(SUM(S605:S611)),S611*M604,SUM(B611:F611)*M604)),2)))</f>
        <v>0</v>
      </c>
      <c r="N611" s="64">
        <f>IF(B611=0,0,IF(AND(H596="ja",((U611)&lt;R621)),ROUND(((R623*R620+((R621/(R621-R620))-(R620/(R621-R620))*R623)*((U611)-R620))*(N604)),2),ROUND(IF(SUM(B605:F610)&lt;(SUM(S605:S610)),IF((SUM(B605:F611))&gt;(SUM(S605:S611)),(((SUM(S605:S611))-(SUM(B605:F611)-C610))*N604)+((SUM(B611:F611)-C610)*N604),SUM(B611:F611)*N604),IF(SUM(B605:F611)&gt;(SUM(S605:S611)),S611*N604,SUM(B611:F611)*N604)),2)))</f>
        <v>0</v>
      </c>
      <c r="O611" s="21">
        <f>ROUND(SUM(B611+C611+F611)*O604,2)</f>
        <v>0</v>
      </c>
      <c r="P611" s="25">
        <f t="shared" si="101"/>
        <v>0</v>
      </c>
      <c r="Q611" s="456"/>
      <c r="R611" s="140">
        <f>ROUND(IF(M583="",R599,R599/M583*P588),2)</f>
        <v>5175</v>
      </c>
      <c r="S611" s="140">
        <f>ROUND(IF(M583="",R600,R600/M583*P588),2)</f>
        <v>7450</v>
      </c>
      <c r="U611" s="950">
        <f t="shared" si="102"/>
        <v>0</v>
      </c>
      <c r="V611" s="950">
        <f>SUM(B605:F611)</f>
        <v>0</v>
      </c>
    </row>
    <row r="612" spans="1:24" s="1" customFormat="1" x14ac:dyDescent="0.2">
      <c r="A612" s="76" t="str">
        <f>CONCATENATE("Aug ",O581)</f>
        <v>Aug 2025</v>
      </c>
      <c r="B612" s="22">
        <f>ROUND(IF(P589=0,0,IFERROR(((LOOKUP(2,1/(A590:A593=A612),G590:G593))*P589*4.348),B611/P588*P589)),2)</f>
        <v>0</v>
      </c>
      <c r="C612" s="21">
        <f>ROUND(IFERROR((LOOKUP(2,1/(A596=A612),E596)),0)+IFERROR((LOOKUP(2,1/(A597=A612),E597)),0),2)</f>
        <v>0</v>
      </c>
      <c r="D612" s="21">
        <f>ROUND(IF(B612=0,0,D604/M583*P589),2)</f>
        <v>0</v>
      </c>
      <c r="E612" s="21">
        <f>ROUND(IF(B612=0,0,E604/N579*P589),2)</f>
        <v>0</v>
      </c>
      <c r="F612" s="22">
        <f>ROUND(IF(P589=0,0,IFERROR(((LOOKUP(2,1/(A590:A593=A612),I590:I593))/N579*P589),F611/P588*P589)),2)</f>
        <v>0</v>
      </c>
      <c r="G612" s="25">
        <f t="shared" si="100"/>
        <v>0</v>
      </c>
      <c r="H612" s="64">
        <f>IF(B612=0,0,IF(AND(H596="ja",((U612)&lt;R621)),ROUND(((R623*R620+((R621/(R621-R620))-(R620/(R621-R620))*R623)*((U612)-R620))*(H604*2))-(((R621/(R621-R620))*((U612)-R620))*H604),2),ROUND(IF(V611&lt;(SUM(R605:R611)),IF((V612)&gt;(SUM(R605:R612)),(((SUM(R605:R612))-(V612-C611))*H604)+((U612-C611)*H604),U612*H604),IF(V612&gt;(SUM(R605:R612)),R612*H604,U612*H604)),2)))</f>
        <v>0</v>
      </c>
      <c r="I612" s="64">
        <f>IF(B612=0,0,IF(AND(H596="ja",((U612)&lt;R621)),ROUND(((R623*R620+((R621/(R621-R620))-(R620/(R621-R620))*R623)*((U612)-R620))*(I604*2))-(((R621/(R621-R620))*((U612)-R620))*I604),2),ROUND(IF(V611&lt;(SUM(S605:S611)),IF((V612)&gt;(SUM(S605:S612)),(((SUM(S605:S612))-(V612-C611))*I604)+((U612-C611)*I604),U612*I604),IF(V612&gt;(SUM(S605:S612)),S612*I604,U612*I604)),2)))</f>
        <v>0</v>
      </c>
      <c r="J612" s="64">
        <f>IF(B612=0,0,IF(AND(H596="ja",((U612)&lt;R621)),ROUND(((R623*R620+((R621/(R621-R620))-(R620/(R621-R620))*R623)*((U612)-R620))*(J604*2))-(((R621/(R621-R620))*((U612)-R620))*J604),2),ROUND(IF(V611&lt;(SUM(S605:S611)),IF((V612)&gt;(SUM(S605:S612)),(((SUM(S605:S612))-(V612-C611))*J604)+((U612-C611)*J604),U612*J604),IF(V612&gt;(SUM(S605:S612)),S612*J604,U612*J604)),2)))</f>
        <v>0</v>
      </c>
      <c r="K612" s="64">
        <f>IF(B612=0,0,IF(AND(H596="ja",((U612)&lt;R621)),ROUND(((R623*R620+((R621/(R621-R620))-(R620/(R621-R620))*R623)*((U612)-R620))*(K604*2))-(((R621/(R621-R620))*((U612)-R620))*K604),2),ROUND(IF(V611&lt;(SUM(R605:R611)),IF((V612)&gt;(SUM(R605:R612)),(((SUM(R605:R612))-(V612-C611))*K604)+((U612-C611)*K604),U612*K604),IF(V612&gt;(SUM(R605:R612)),R612*K604,U612*K604)),2)))</f>
        <v>0</v>
      </c>
      <c r="L612" s="64">
        <f>IF(B612=0,0,IF(AND(H596="ja",((U612-C612)&lt;R621)),ROUND(((R623*R620+((R621/(R621-R620))-(R620/(R621-R620))*R623)*((U612-C612)-R620))*(L604)),2),ROUND(IF(SUM(B605:F611)&lt;(SUM(S605:S611)),IF((SUM(B605:F612))&gt;(SUM(S605:S612)),(((SUM(S605:S612))-(SUM(B605:F612)-C612))*L604)+((SUM(B612:F612)-C612)*L604),(SUM(B612:F612)-C612)*L604),IF(SUM(B605:F612)&gt;(SUM(S605:S612)),S612*L604,SUM(B612:F612)*L604)),2)))</f>
        <v>0</v>
      </c>
      <c r="M612" s="64">
        <f>IF(B612=0,0,IF(AND(H596="ja",((U612-C612)&lt;R621)),ROUND(((R623*R620+((R621/(R621-R620))-(R620/(R621-R620))*R623)*((U612-C612)-R620))*(M604)),2),ROUND(IF(SUM(B605:F611)&lt;(SUM(S605:S611)),IF((SUM(B605:F612))&gt;(SUM(S605:S612)),(((SUM(S605:S612))-(SUM(B605:F612)-C612))*M604)+((SUM(B612:F612)-C612)*M604),(SUM(B612:F612)-C612)*M604),IF(SUM(B605:F612)&gt;(SUM(S605:S612)),S612*M604,SUM(B612:F612)*M604)),2)))</f>
        <v>0</v>
      </c>
      <c r="N612" s="64">
        <f>IF(B612=0,0,IF(AND(H596="ja",((U612)&lt;R621)),ROUND(((R623*R620+((R621/(R621-R620))-(R620/(R621-R620))*R623)*((U612)-R620))*(N604)),2),ROUND(IF(SUM(B605:F611)&lt;(SUM(S605:S611)),IF((SUM(B605:F612))&gt;(SUM(S605:S612)),(((SUM(S605:S612))-(SUM(B605:F612)-C611))*N604)+((SUM(B612:F612)-C611)*N604),SUM(B612:F612)*N604),IF(SUM(B605:F612)&gt;(SUM(S605:S612)),S612*N604,SUM(B612:F612)*N604)),2)))</f>
        <v>0</v>
      </c>
      <c r="O612" s="21">
        <f>ROUND(SUM(B612+C612+F612)*O604,2)</f>
        <v>0</v>
      </c>
      <c r="P612" s="25">
        <f t="shared" si="101"/>
        <v>0</v>
      </c>
      <c r="Q612" s="456"/>
      <c r="R612" s="140">
        <f>ROUND(IF(M583="",R599,R599/M583*P589),2)</f>
        <v>5175</v>
      </c>
      <c r="S612" s="140">
        <f>ROUND(IF(M583="",R600,R600/M583*P589),2)</f>
        <v>7450</v>
      </c>
      <c r="U612" s="950">
        <f t="shared" si="102"/>
        <v>0</v>
      </c>
      <c r="V612" s="950">
        <f>SUM(B605:F612)</f>
        <v>0</v>
      </c>
    </row>
    <row r="613" spans="1:24" s="1" customFormat="1" x14ac:dyDescent="0.2">
      <c r="A613" s="76" t="str">
        <f>CONCATENATE("Sep ",O581)</f>
        <v>Sep 2025</v>
      </c>
      <c r="B613" s="22">
        <f>ROUND(IF(P590=0,0,IFERROR(((LOOKUP(2,1/(A590:A593=A613),G590:G593))*P590*4.348),B612/P589*P590)),2)</f>
        <v>0</v>
      </c>
      <c r="C613" s="21">
        <f>ROUND(IFERROR((LOOKUP(2,1/(A596=A613),E596)),0)+IFERROR((LOOKUP(2,1/(A597=A613),E597)),0),2)</f>
        <v>0</v>
      </c>
      <c r="D613" s="21">
        <f>ROUND(IF(B613=0,0,D604/M583*P590),2)</f>
        <v>0</v>
      </c>
      <c r="E613" s="21">
        <f>ROUND(IF(B613=0,0,E604/N579*P590),2)</f>
        <v>0</v>
      </c>
      <c r="F613" s="22">
        <f>ROUND(IF(P590=0,0,IFERROR(((LOOKUP(2,1/(A590:A593=A613),I590:I593))/N579*P590),F612/P589*P590)),2)</f>
        <v>0</v>
      </c>
      <c r="G613" s="25">
        <f t="shared" si="100"/>
        <v>0</v>
      </c>
      <c r="H613" s="64">
        <f>IF(B613=0,0,IF(AND(H596="ja",((U613)&lt;R621)),ROUND(((R623*R620+((R621/(R621-R620))-(R620/(R621-R620))*R623)*((U613)-R620))*(H604*2))-(((R621/(R621-R620))*((U613)-R620))*H604),2),ROUND(IF(V612&lt;(SUM(R605:R612)),IF((V613)&gt;(SUM(R605:R613)),(((SUM(R605:R613))-(V613-C612))*H604)+((U613-C612)*H604),U613*H604),IF(V613&gt;(SUM(R605:R613)),R613*H604,U613*H604)),2)))</f>
        <v>0</v>
      </c>
      <c r="I613" s="64">
        <f>IF(B613=0,0,IF(AND(H596="ja",((U613)&lt;R621)),ROUND(((R623*R620+((R621/(R621-R620))-(R620/(R621-R620))*R623)*((U613)-R620))*(I604*2))-(((R621/(R621-R620))*((U613)-R620))*I604),2),ROUND(IF(V612&lt;(SUM(S605:S612)),IF((V613)&gt;(SUM(S605:S613)),(((SUM(S605:S613))-(V613-C612))*I604)+((U613-C612)*I604),U613*I604),IF(V613&gt;(SUM(S605:S613)),S613*I604,U613*I604)),2)))</f>
        <v>0</v>
      </c>
      <c r="J613" s="64">
        <f>IF(B613=0,0,IF(AND(H596="ja",((U613)&lt;R621)),ROUND(((R623*R620+((R621/(R621-R620))-(R620/(R621-R620))*R623)*((U613)-R620))*(J604*2))-(((R621/(R621-R620))*((U613)-R620))*J604),2),ROUND(IF(V612&lt;(SUM(S605:S612)),IF((V613)&gt;(SUM(S605:S613)),(((SUM(S605:S613))-(V613-C612))*J604)+((U613-C612)*J604),U613*J604),IF(V613&gt;(SUM(S605:S613)),S613*J604,U613*J604)),2)))</f>
        <v>0</v>
      </c>
      <c r="K613" s="64">
        <f>IF(B613=0,0,IF(AND(H596="ja",((U613)&lt;R621)),ROUND(((R623*R620+((R621/(R621-R620))-(R620/(R621-R620))*R623)*((U613)-R620))*(K604*2))-(((R621/(R621-R620))*((U613)-R620))*K604),2),ROUND(IF(V612&lt;(SUM(R605:R612)),IF((V613)&gt;(SUM(R605:R613)),(((SUM(R605:R613))-(V613-C612))*K604)+((U613-C612)*K604),U613*K604),IF(V613&gt;(SUM(R605:R613)),R613*K604,U613*K604)),2)))</f>
        <v>0</v>
      </c>
      <c r="L613" s="64">
        <f>IF(B613=0,0,IF(AND(H596="ja",((U613-C613)&lt;R621)),ROUND(((R623*R620+((R621/(R621-R620))-(R620/(R621-R620))*R623)*((U613-C613)-R620))*(L604)),2),ROUND(IF(SUM(B605:F612)&lt;(SUM(S605:S612)),IF((SUM(B605:F613))&gt;(SUM(S605:S613)),(((SUM(S605:S613))-(SUM(B605:F613)-C613))*L604)+((SUM(B613:F613)-C613)*L604),(SUM(B613:F613)-C613)*L604),IF(SUM(B605:F613)&gt;(SUM(S605:S613)),S613*L604,SUM(B613:F613)*L604)),2)))</f>
        <v>0</v>
      </c>
      <c r="M613" s="64">
        <f>IF(B613=0,0,IF(AND(H596="ja",((U613-C613)&lt;R621)),ROUND(((R623*R620+((R621/(R621-R620))-(R620/(R621-R620))*R623)*((U613-C613)-R620))*(M604)),2),ROUND(IF(SUM(B605:F612)&lt;(SUM(S605:S612)),IF((SUM(B605:F613))&gt;(SUM(S605:S613)),(((SUM(S605:S613))-(SUM(B605:F613)-C613))*M604)+((SUM(B613:F613)-C613)*M604),(SUM(B613:F613)-C613)*M604),IF(SUM(B605:F613)&gt;(SUM(S605:S613)),S613*M604,SUM(B613:F613)*M604)),2)))</f>
        <v>0</v>
      </c>
      <c r="N613" s="64">
        <f>IF(B613=0,0,IF(AND(H596="ja",((U613)&lt;R621)),ROUND(((R623*R620+((R621/(R621-R620))-(R620/(R621-R620))*R623)*((U613)-R620))*(N604)),2),ROUND(IF(SUM(B605:F612)&lt;(SUM(S605:S612)),IF((SUM(B605:F613))&gt;(SUM(S605:S613)),(((SUM(S605:S613))-(SUM(B605:F613)-C612))*N604)+((SUM(B613:F613)-C612)*N604),SUM(B613:F613)*N604),IF(SUM(B605:F613)&gt;(SUM(S605:S613)),S613*N604,SUM(B613:F613)*N604)),2)))</f>
        <v>0</v>
      </c>
      <c r="O613" s="21">
        <f>ROUND(SUM(B613+C613+F613)*O604,2)</f>
        <v>0</v>
      </c>
      <c r="P613" s="25">
        <f t="shared" si="101"/>
        <v>0</v>
      </c>
      <c r="Q613" s="456"/>
      <c r="R613" s="140">
        <f>ROUND(IF(M583="",R599,R599/M583*P590),2)</f>
        <v>5175</v>
      </c>
      <c r="S613" s="140">
        <f>ROUND(IF(M583="",R600,R600/M583*P590),2)</f>
        <v>7450</v>
      </c>
      <c r="U613" s="950">
        <f t="shared" si="102"/>
        <v>0</v>
      </c>
      <c r="V613" s="950">
        <f>SUM(B605:F613)</f>
        <v>0</v>
      </c>
    </row>
    <row r="614" spans="1:24" s="12" customFormat="1" ht="15" x14ac:dyDescent="0.25">
      <c r="A614" s="76" t="str">
        <f>CONCATENATE("Okt ",O581)</f>
        <v>Okt 2025</v>
      </c>
      <c r="B614" s="22">
        <f>ROUND(IF(P591=0,0,IFERROR(((LOOKUP(2,1/(A590:A593=A614),G590:G593))*P591*4.348),B613/P590*P591)),2)</f>
        <v>0</v>
      </c>
      <c r="C614" s="21">
        <f>ROUND(IFERROR((LOOKUP(2,1/(A596=A614),E596)),0)+IFERROR((LOOKUP(2,1/(A597=A614),E597)),0),2)</f>
        <v>0</v>
      </c>
      <c r="D614" s="21">
        <f>ROUND(IF(B614=0,0,D604/M583*P591),2)</f>
        <v>0</v>
      </c>
      <c r="E614" s="21">
        <f>ROUND(IF(B614=0,0,E604/N579*P591),2)</f>
        <v>0</v>
      </c>
      <c r="F614" s="22">
        <f>ROUND(IF(P591=0,0,IFERROR(((LOOKUP(2,1/(A590:A593=A614),I590:I593))/N579*P591),F613/P590*P591)),2)</f>
        <v>0</v>
      </c>
      <c r="G614" s="25">
        <f t="shared" si="100"/>
        <v>0</v>
      </c>
      <c r="H614" s="64">
        <f>IF(B614=0,0,IF(AND(H596="ja",((U614)&lt;R621)),ROUND(((R623*R620+((R621/(R621-R620))-(R620/(R621-R620))*R623)*((U614)-R620))*(H604*2))-(((R621/(R621-R620))*((U614)-R620))*H604),2),ROUND(IF(V613&lt;(SUM(R605:R613)),IF((V614)&gt;(SUM(R605:R614)),(((SUM(R605:R614))-(V614-C613))*H604)+((U614-C613)*H604),U614*H604),IF(V614&gt;(SUM(R605:R614)),R614*H604,U614*H604)),2)))</f>
        <v>0</v>
      </c>
      <c r="I614" s="64">
        <f>IF(B614=0,0,IF(AND(H596="ja",((U614)&lt;R621)),ROUND(((R623*R620+((R621/(R621-R620))-(R620/(R621-R620))*R623)*((U614)-R620))*(I604*2))-(((R621/(R621-R620))*((U614)-R620))*I604),2),ROUND(IF(V613&lt;(SUM(S605:S613)),IF((V614)&gt;(SUM(S605:S614)),(((SUM(S605:S614))-(V614-C613))*I604)+((U614-C613)*I604),U614*I604),IF(V614&gt;(SUM(S605:S614)),S614*I604,U614*I604)),2)))</f>
        <v>0</v>
      </c>
      <c r="J614" s="64">
        <f>IF(B614=0,0,IF(AND(H596="ja",((U614)&lt;R621)),ROUND(((R623*R620+((R621/(R621-R620))-(R620/(R621-R620))*R623)*((U614)-R620))*(J604*2))-(((R621/(R621-R620))*((U614)-R620))*J604),2),ROUND(IF(V613&lt;(SUM(S605:S613)),IF((V614)&gt;(SUM(S605:S614)),(((SUM(S605:S614))-(V614-C613))*J604)+((U614-C613)*J604),U614*J604),IF(V614&gt;(SUM(S605:S614)),S614*J604,U614*J604)),2)))</f>
        <v>0</v>
      </c>
      <c r="K614" s="64">
        <f>IF(B614=0,0,IF(AND(H596="ja",((U614)&lt;R621)),ROUND(((R623*R620+((R621/(R621-R620))-(R620/(R621-R620))*R623)*((U614)-R620))*(K604*2))-(((R621/(R621-R620))*((U614)-R620))*K604),2),ROUND(IF(V613&lt;(SUM(R605:R613)),IF((V614)&gt;(SUM(R605:R614)),(((SUM(R605:R614))-(V614-C613))*K604)+((U614-C613)*K604),U614*K604),IF(V614&gt;(SUM(R605:R614)),R614*K604,U614*K604)),2)))</f>
        <v>0</v>
      </c>
      <c r="L614" s="64">
        <f>IF(B614=0,0,IF(AND(H596="ja",((U614-C614)&lt;R621)),ROUND(((R623*R620+((R621/(R621-R620))-(R620/(R621-R620))*R623)*((U614-C614)-R620))*(L604)),2),ROUND(IF(SUM(B605:F613)&lt;(SUM(S605:S613)),IF((SUM(B605:F614))&gt;(SUM(S605:S614)),(((SUM(S605:S614))-(SUM(B605:F614)-C614))*L604)+((SUM(B614:F614)-C614)*L604),(SUM(B614:F614)-C614)*L604),IF(SUM(B605:F614)&gt;(SUM(S605:S614)),S614*L604,SUM(B614:F614)*L604)),2)))</f>
        <v>0</v>
      </c>
      <c r="M614" s="64">
        <f>IF(B614=0,0,IF(AND(H596="ja",((U614-C614)&lt;R621)),ROUND(((R623*R620+((R621/(R621-R620))-(R620/(R621-R620))*R623)*((U614-C614)-R620))*(M604)),2),ROUND(IF(SUM(B605:F613)&lt;(SUM(S605:S613)),IF((SUM(B605:F614))&gt;(SUM(S605:S614)),(((SUM(S605:S614))-(SUM(B605:F614)-C614))*M604)+((SUM(B614:F614)-C614)*M604),(SUM(B614:F614)-C614)*M604),IF(SUM(B605:F614)&gt;(SUM(S605:S614)),S614*M604,SUM(B614:F614)*M604)),2)))</f>
        <v>0</v>
      </c>
      <c r="N614" s="64">
        <f>IF(B614=0,0,IF(AND(H596="ja",((U614)&lt;R621)),ROUND(((R623*R620+((R621/(R621-R620))-(R620/(R621-R620))*R623)*((U614)-R620))*(N604)),2),ROUND(IF(SUM(B605:F613)&lt;(SUM(S605:S613)),IF((SUM(B605:F614))&gt;(SUM(S605:S614)),(((SUM(S605:S614))-(SUM(B605:F614)-C613))*N604)+((SUM(B614:F614)-C613)*N604),SUM(B614:F614)*N604),IF(SUM(B605:F614)&gt;(SUM(S605:S614)),S614*N604,SUM(B614:F614)*N604)),2)))</f>
        <v>0</v>
      </c>
      <c r="O614" s="21">
        <f>ROUND(SUM(B614+C614+F614)*O604,2)</f>
        <v>0</v>
      </c>
      <c r="P614" s="25">
        <f t="shared" si="101"/>
        <v>0</v>
      </c>
      <c r="Q614" s="936"/>
      <c r="R614" s="140">
        <f>ROUND(IF(M583="",R599,R599/M583*P591),2)</f>
        <v>5175</v>
      </c>
      <c r="S614" s="140">
        <f>ROUND(IF(M583="",R600,R600/M583*P591),2)</f>
        <v>7450</v>
      </c>
      <c r="U614" s="950">
        <f t="shared" si="102"/>
        <v>0</v>
      </c>
      <c r="V614" s="950">
        <f>SUM(B605:F614)</f>
        <v>0</v>
      </c>
      <c r="X614" s="1"/>
    </row>
    <row r="615" spans="1:24" s="11" customFormat="1" x14ac:dyDescent="0.2">
      <c r="A615" s="76" t="str">
        <f>CONCATENATE("Nov ",O581)</f>
        <v>Nov 2025</v>
      </c>
      <c r="B615" s="22">
        <f>ROUND(IF(P592=0,0,IFERROR(((LOOKUP(2,1/(A590:A593=A615),G590:G593))*P592*4.348),B614/P591*P592)),2)</f>
        <v>0</v>
      </c>
      <c r="C615" s="21">
        <f>ROUND(IFERROR((LOOKUP(2,1/(A596=A615),E596)),0)+(IFERROR((LOOKUP(2,1/(A597=A615),E597)),0)),2)</f>
        <v>0</v>
      </c>
      <c r="D615" s="21">
        <f>ROUND(IF(B615=0,0,D604/M583*P592),2)</f>
        <v>0</v>
      </c>
      <c r="E615" s="21">
        <f>ROUND(IF(B615=0,0,E604/N579*P592),2)</f>
        <v>0</v>
      </c>
      <c r="F615" s="22">
        <f>ROUND(IF(P592=0,0,IFERROR(((LOOKUP(2,1/(A590:A593=A615),I590:I593))/N579*P592),F614/P591*P592)),2)</f>
        <v>0</v>
      </c>
      <c r="G615" s="25">
        <f t="shared" si="100"/>
        <v>0</v>
      </c>
      <c r="H615" s="64">
        <f>IF(B615=0,0,IF(AND(H596="ja",((U615)&lt;R621)),ROUND(((R623*R620+((R621/(R621-R620))-(R620/(R621-R620))*R623)*((U615)-R620))*(H604*2))-(((R621/(R621-R620))*((U615)-R620))*H604),2),ROUND(IF(V614&lt;(SUM(R605:R614)),IF((V615)&gt;(SUM(R605:R615)),(((SUM(R605:R615))-(V615-C614))*H604)+((U615-C614)*H604),U615*H604),IF(V615&gt;(SUM(R605:R615)),R615*H604,U615*H604)),2)))</f>
        <v>0</v>
      </c>
      <c r="I615" s="64">
        <f>IF(B615=0,0,IF(AND(H596="ja",((U615)&lt;R621)),ROUND(((R623*R620+((R621/(R621-R620))-(R620/(R621-R620))*R623)*((U615)-R620))*(I604*2))-(((R621/(R621-R620))*((U615)-R620))*I604),2),ROUND(IF(V614&lt;(SUM(S605:S614)),IF((V615)&gt;(SUM(S605:S615)),(((SUM(S605:S615))-(V615-C614))*I604)+((U615-C614)*I604),U615*I604),IF(V615&gt;(SUM(S605:S615)),S615*I604,U615*I604)),2)))</f>
        <v>0</v>
      </c>
      <c r="J615" s="64">
        <f>IF(B615=0,0,IF(AND(H596="ja",((U615)&lt;R621)),ROUND(((R623*R620+((R621/(R621-R620))-(R620/(R621-R620))*R623)*((U615)-R620))*(J604*2))-(((R621/(R621-R620))*((U615)-R620))*J604),2),ROUND(IF(V614&lt;(SUM(S605:S614)),IF((V615)&gt;(SUM(S605:S615)),(((SUM(S605:S615))-(V615-C614))*J604)+((U615-C614)*J604),U615*J604),IF(V615&gt;(SUM(S605:S615)),S615*J604,U615*J604)),2)))</f>
        <v>0</v>
      </c>
      <c r="K615" s="64">
        <f>IF(B615=0,0,IF(AND(H596="ja",((U615)&lt;R621)),ROUND(((R623*R620+((R621/(R621-R620))-(R620/(R621-R620))*R623)*((U615)-R620))*(K604*2))-(((R621/(R621-R620))*((U615)-R620))*K604),2),ROUND(IF(V614&lt;(SUM(R605:R614)),IF((V615)&gt;(SUM(R605:R615)),(((SUM(R605:R615))-(V615-C614))*K604)+((U615-C614)*K604),U615*K604),IF(V615&gt;(SUM(R605:R615)),R615*K604,U615*K604)),2)))</f>
        <v>0</v>
      </c>
      <c r="L615" s="64">
        <f>IF(B615=0,0,IF(AND(H596="ja",((U615-C615)&lt;R621)),ROUND(((R623*R620+((R621/(R621-R620))-(R620/(R621-R620))*R623)*((U615-C615)-R620))*(L604)),2),ROUND(IF(SUM(B605:F614)&lt;(SUM(S605:S614)),IF((SUM(B605:F615))&gt;(SUM(S605:S615)),(((SUM(S605:S615))-(SUM(B605:F615)-C615))*L604)+((SUM(B615:F615)-C615)*L604),(SUM(B615:F615)-C615)*L604),IF(SUM(B605:F615)&gt;(SUM(S605:S615)),S615*L604,SUM(B615:F615)*L604)),2)))</f>
        <v>0</v>
      </c>
      <c r="M615" s="64">
        <f>IF(B615=0,0,IF(AND(H596="ja",((U615-C615)&lt;R621)),ROUND(((R623*R620+((R621/(R621-R620))-(R620/(R621-R620))*R623)*((U615-C615)-R620))*(M604)),2),ROUND(IF(SUM(B605:F614)&lt;(SUM(S605:S614)),IF((SUM(B605:F615))&gt;(SUM(S605:S615)),(((SUM(S605:S615))-(SUM(B605:F615)-C615))*M604)+((SUM(B615:F615)-C615)*M604),(SUM(B615:F615)-C615)*M604),IF(SUM(B605:F615)&gt;(SUM(S605:S615)),S615*M604,SUM(B615:F615)*M604)),2)))</f>
        <v>0</v>
      </c>
      <c r="N615" s="64">
        <f>IF(B615=0,0,IF(AND(H596="ja",((U615)&lt;R621)),ROUND(((R623*R620+((R621/(R621-R620))-(R620/(R621-R620))*R623)*((U615)-R620))*(N604)),2),ROUND(IF(SUM(B605:F614)&lt;(SUM(S605:S614)),IF((SUM(B605:F615))&gt;(SUM(S605:S615)),(((SUM(S605:S615))-(SUM(B605:F615)-C614))*N604)+((SUM(B615:F615)-C614)*N604),SUM(B615:F615)*N604),IF(SUM(B605:F615)&gt;(SUM(S605:S615)),S615*N604,SUM(B615:F615)*N604)),2)))</f>
        <v>0</v>
      </c>
      <c r="O615" s="21">
        <f>ROUND(SUM(B615+C615+F615)*O604,2)</f>
        <v>0</v>
      </c>
      <c r="P615" s="25">
        <f t="shared" si="101"/>
        <v>0</v>
      </c>
      <c r="R615" s="140">
        <f>ROUND(IF(M583="",R599,R599/M583*P592),2)</f>
        <v>5175</v>
      </c>
      <c r="S615" s="140">
        <f>ROUND(IF(M583="",R600,R600/M583*P592),2)</f>
        <v>7450</v>
      </c>
      <c r="U615" s="950">
        <f t="shared" si="102"/>
        <v>0</v>
      </c>
      <c r="V615" s="950">
        <f>SUM(B605:F615)</f>
        <v>0</v>
      </c>
      <c r="X615" s="1"/>
    </row>
    <row r="616" spans="1:24" s="1" customFormat="1" ht="14.25" customHeight="1" x14ac:dyDescent="0.2">
      <c r="A616" s="76" t="str">
        <f>CONCATENATE("Dez ",O581)</f>
        <v>Dez 2025</v>
      </c>
      <c r="B616" s="22">
        <f>ROUND(IF(P593=0,0,IFERROR(((LOOKUP(2,1/(A590:A593=A616),G590:G593))*P593*4.348),B615/P592*P593)),2)</f>
        <v>0</v>
      </c>
      <c r="C616" s="21">
        <f>ROUND(IFERROR((LOOKUP(2,1/(A596=A616),E596)),0)+IFERROR((LOOKUP(2,1/(A597=A616),E597)),0),2)</f>
        <v>0</v>
      </c>
      <c r="D616" s="21">
        <f>ROUND(IF(B616=0,0,D604/M583*P593),2)</f>
        <v>0</v>
      </c>
      <c r="E616" s="21">
        <f>ROUND(IF(B616=0,0,E604/N579*P593),2)</f>
        <v>0</v>
      </c>
      <c r="F616" s="22">
        <f>ROUND(IF(P593=0,0,IFERROR(((LOOKUP(2,1/(A590:A593=A616),I590:I593))/N579*P593),F615/P592*P593)),2)</f>
        <v>0</v>
      </c>
      <c r="G616" s="25">
        <f t="shared" si="100"/>
        <v>0</v>
      </c>
      <c r="H616" s="64">
        <f>IF(B616=0,0,IF(AND(H596="ja",((U616)&lt;R621)),ROUND(((R623*R620+((R621/(R621-R620))-(R620/(R621-R620))*R623)*((U616)-R620))*(H604*2))-(((R621/(R621-R620))*((U616)-R620))*H604),2),ROUND(IF(V615&lt;(SUM(R605:R615)),IF((V616)&gt;(SUM(R605:R616)),(((SUM(R605:R616))-(V616-C615))*H604)+((U616-C615)*H604),U616*H604),IF(V616&gt;(SUM(R605:R616)),R616*H604,U616*H604)),2)))</f>
        <v>0</v>
      </c>
      <c r="I616" s="64">
        <f>IF(B616=0,0,IF(AND(H596="ja",((U616)&lt;R621)),ROUND(((R623*R620+((R621/(R621-R620))-(R620/(R621-R620))*R623)*((U616)-R620))*(I604*2))-(((R621/(R621-R620))*((U616)-R620))*I604),2),ROUND(IF(V615&lt;(SUM(S605:S615)),IF((V616)&gt;(SUM(S605:S616)),(((SUM(S605:S616))-(V616-C615))*I604)+((U616-C615)*I604),U616*I604),IF(V616&gt;(SUM(S605:S616)),S616*I604,U616*I604)),2)))</f>
        <v>0</v>
      </c>
      <c r="J616" s="64">
        <f>IF(B616=0,0,IF(AND(H596="ja",((U616)&lt;R621)),ROUND(((R623*R620+((R621/(R621-R620))-(R620/(R621-R620))*R623)*((U616)-R620))*(J604*2))-(((R621/(R621-R620))*((U616)-R620))*J604),2),ROUND(IF(V615&lt;(SUM(S605:S615)),IF((V616)&gt;(SUM(S605:S616)),(((SUM(S605:S616))-(V616-C615))*J604)+((U616-C615)*J604),U616*J604),IF(V616&gt;(SUM(S605:S616)),S616*J604,U616*J604)),2)))</f>
        <v>0</v>
      </c>
      <c r="K616" s="64">
        <f>IF(B616=0,0,IF(AND(H596="ja",((U616)&lt;R621)),ROUND(((R623*R620+((R621/(R621-R620))-(R620/(R621-R620))*R623)*((U616)-R620))*(K604*2))-(((R621/(R621-R620))*((U616)-R620))*K604),2),ROUND(IF(V615&lt;(SUM(R605:R615)),IF((V616)&gt;(SUM(R605:R616)),(((SUM(R605:R616))-(V616-C615))*K604)+((U616-C615)*K604),U616*K604),IF(V616&gt;(SUM(R605:R616)),R616*K604,U616*K604)),2)))</f>
        <v>0</v>
      </c>
      <c r="L616" s="64">
        <f>IF(B616=0,0,IF(AND(H596="ja",((U616-C616)&lt;R621)),ROUND(((R623*R620+((R621/(R621-R620))-(R620/(R621-R620))*R623)*((U616-C616)-R620))*(L604)),2),ROUND(IF(SUM(B605:F615)&lt;(SUM(S605:S615)),IF((SUM(B605:F616))&gt;(SUM(S605:S616)),(((SUM(S605:S616))-(SUM(B605:F616)-C616))*L604)+((SUM(B616:F616)-C616)*L604),(SUM(B616:F616)-C616)*L604),IF(SUM(B605:F616)&gt;(SUM(S605:S616)),S616*L604,SUM(B616:F616)*L604)),2)))</f>
        <v>0</v>
      </c>
      <c r="M616" s="64">
        <f>IF(B616=0,0,IF(AND(H596="ja",((U616-C616)&lt;R621)),ROUND(((R623*R620+((R621/(R621-R620))-(R620/(R621-R620))*R623)*((U616-C616)-R620))*(M604)),2),ROUND(IF(SUM(B605:F615)&lt;(SUM(S605:S615)),IF((SUM(B605:F616))&gt;(SUM(S605:S616)),(((SUM(S605:S616))-(SUM(B605:F616)-C616))*M604)+((SUM(B616:F616)-C616)*M604),(SUM(B616:F616)-C616)*M604),IF(SUM(B605:F616)&gt;(SUM(S605:S616)),S616*M604,SUM(B616:F616)*M604)),2)))</f>
        <v>0</v>
      </c>
      <c r="N616" s="64">
        <f>IF(B616=0,0,IF(AND(H596="ja",((U616)&lt;R621)),ROUND(((R623*R620+((R621/(R621-R620))-(R620/(R621-R620))*R623)*((U616)-R620))*(N604)),2),ROUND(IF(SUM(B605:F615)&lt;(SUM(S605:S615)),IF((SUM(B605:F616))&gt;(SUM(S605:S616)),(((SUM(S605:S616))-(SUM(B605:F616)-C615))*N604)+((SUM(B616:F616)-C615)*N604),SUM(B616:F616)*N604),IF(SUM(B605:F616)&gt;(SUM(S605:S616)),S616*N604,SUM(B616:F616)*N604)),2)))</f>
        <v>0</v>
      </c>
      <c r="O616" s="21">
        <f>ROUND(SUM(B616+C616+F616)*O604,2)</f>
        <v>0</v>
      </c>
      <c r="P616" s="25">
        <f t="shared" si="101"/>
        <v>0</v>
      </c>
      <c r="Q616" s="11"/>
      <c r="R616" s="140">
        <f>ROUND(IF(M583="",R599,R599/M583*P593),2)</f>
        <v>5175</v>
      </c>
      <c r="S616" s="140">
        <f>ROUND(IF(M583="",R600,R600/M583*P593),2)</f>
        <v>7450</v>
      </c>
      <c r="U616" s="950">
        <f t="shared" si="102"/>
        <v>0</v>
      </c>
      <c r="V616" s="950">
        <f>SUM(B605:F616)</f>
        <v>0</v>
      </c>
    </row>
    <row r="617" spans="1:24" s="1" customFormat="1" ht="15" customHeight="1" x14ac:dyDescent="0.2">
      <c r="A617" s="2" t="s">
        <v>1</v>
      </c>
      <c r="B617" s="25">
        <f t="shared" ref="B617:G617" si="103">SUM(B605:B616)</f>
        <v>0</v>
      </c>
      <c r="C617" s="25">
        <f t="shared" si="103"/>
        <v>0</v>
      </c>
      <c r="D617" s="25">
        <f t="shared" si="103"/>
        <v>0</v>
      </c>
      <c r="E617" s="25">
        <f t="shared" si="103"/>
        <v>0</v>
      </c>
      <c r="F617" s="25">
        <f t="shared" si="103"/>
        <v>0</v>
      </c>
      <c r="G617" s="25">
        <f t="shared" si="103"/>
        <v>0</v>
      </c>
      <c r="H617" s="1309">
        <f>SUM(H605:N616)</f>
        <v>0</v>
      </c>
      <c r="I617" s="1310"/>
      <c r="J617" s="1310"/>
      <c r="K617" s="1310"/>
      <c r="L617" s="1310"/>
      <c r="M617" s="1310"/>
      <c r="N617" s="1311"/>
      <c r="O617" s="25">
        <f>SUM(O605:O616)</f>
        <v>0</v>
      </c>
      <c r="P617" s="25">
        <f>SUM(P605:P616)</f>
        <v>0</v>
      </c>
    </row>
    <row r="618" spans="1:24" s="1" customFormat="1" ht="12" customHeight="1" x14ac:dyDescent="0.2"/>
    <row r="619" spans="1:24" s="1" customFormat="1" ht="14.25" customHeight="1" x14ac:dyDescent="0.2">
      <c r="B619" s="906"/>
      <c r="H619" s="905"/>
      <c r="I619" s="62"/>
      <c r="J619" s="914" t="s">
        <v>123</v>
      </c>
      <c r="L619" s="900" t="s">
        <v>124</v>
      </c>
      <c r="M619" s="974" t="str">
        <f>IF(IF(G617=0,"",'päd.Personal - Leitung'!$M$43)=0,"",IF(G617=0,"",'päd.Personal - Leitung'!$M$43))</f>
        <v/>
      </c>
      <c r="N619" s="902" t="s">
        <v>125</v>
      </c>
      <c r="O619" s="963" t="str">
        <f>IF(IF(G617=0,"",'päd.Personal - Leitung'!$O$43)=0,"",IF(G617=0,"",'päd.Personal - Leitung'!$O$43))</f>
        <v/>
      </c>
      <c r="P619" s="25">
        <f>ROUND(IF(M619="",0,G617*M619*O619/1000),2)</f>
        <v>0</v>
      </c>
      <c r="Q619" s="937"/>
      <c r="R619" s="938">
        <v>2025</v>
      </c>
      <c r="S619" s="939"/>
    </row>
    <row r="620" spans="1:24" s="1" customFormat="1" ht="14.25" customHeight="1" x14ac:dyDescent="0.2">
      <c r="H620" s="907"/>
      <c r="I620" s="42"/>
      <c r="M620" s="915" t="s">
        <v>129</v>
      </c>
      <c r="N620" s="80" t="s">
        <v>125</v>
      </c>
      <c r="O620" s="75" t="str">
        <f>IF(IF(G617=0,"",'päd.Personal - Leitung'!$O$44)=0,"",IF(G617=0,"",'päd.Personal - Leitung'!$O$44))</f>
        <v/>
      </c>
      <c r="P620" s="25">
        <f>ROUND(IF(O620="",0,G617*O620/1000),2)</f>
        <v>0</v>
      </c>
      <c r="Q620" s="942" t="s">
        <v>737</v>
      </c>
      <c r="R620" s="141">
        <f>'päd.Personal - Leitung'!$R$44</f>
        <v>556</v>
      </c>
      <c r="S620" s="955">
        <f>'päd.Personal - Leitung'!$S$44</f>
        <v>12.82</v>
      </c>
    </row>
    <row r="621" spans="1:24" s="1" customFormat="1" ht="14.25" customHeight="1" x14ac:dyDescent="0.2">
      <c r="H621" s="912" t="s">
        <v>126</v>
      </c>
      <c r="I621" s="1013" t="s">
        <v>127</v>
      </c>
      <c r="J621" s="975" t="str">
        <f>IF(IF(G617=0,"",'päd.Personal - Leitung'!$J$45)=0,"",IF(G617=0,"",'päd.Personal - Leitung'!$J$45))</f>
        <v/>
      </c>
      <c r="K621" s="902" t="s">
        <v>128</v>
      </c>
      <c r="L621" s="964" t="str">
        <f>IF(IF(G617=0,"",'päd.Personal - Leitung'!$L$45)=0,"",IF(G617=0,"",'päd.Personal - Leitung'!$L$45))</f>
        <v/>
      </c>
      <c r="M621" s="16"/>
      <c r="N621" s="900" t="s">
        <v>132</v>
      </c>
      <c r="O621" s="965" t="str">
        <f>IF(IF(G617=0,"",'päd.Personal - Leitung'!$O$45)=0,"",IF(G617=0,"",'päd.Personal - Leitung'!$O$45))</f>
        <v/>
      </c>
      <c r="P621" s="25">
        <f>ROUND(IF(J621="",0,(J621*L621/O621)/M585*M586),2)</f>
        <v>0</v>
      </c>
      <c r="Q621" s="942" t="s">
        <v>738</v>
      </c>
      <c r="R621" s="140">
        <f>'päd.Personal - Leitung'!$R$45</f>
        <v>2000</v>
      </c>
      <c r="S621" s="939"/>
    </row>
    <row r="622" spans="1:24" s="1" customFormat="1" ht="14.25" customHeight="1" x14ac:dyDescent="0.2">
      <c r="D622" s="16"/>
      <c r="I622" s="16"/>
      <c r="J622" s="16"/>
      <c r="K622" s="63"/>
      <c r="L622" s="67"/>
      <c r="M622" s="915" t="s">
        <v>130</v>
      </c>
      <c r="N622" s="80" t="s">
        <v>131</v>
      </c>
      <c r="O622" s="904">
        <f>IF(IF(G617="",0,'päd.Personal - Leitung'!$O$94)=0,0,IF(G617="",0,'päd.Personal - Leitung'!$O$94))</f>
        <v>0</v>
      </c>
      <c r="P622" s="21">
        <f>ROUND(IF(G617=0,0,O622/M583*M584),2)</f>
        <v>0</v>
      </c>
      <c r="Q622" s="942" t="s">
        <v>740</v>
      </c>
      <c r="R622" s="956">
        <f>'päd.Personal - Leitung'!$R$46</f>
        <v>0.40900000000000003</v>
      </c>
    </row>
    <row r="623" spans="1:24" s="1" customFormat="1" ht="14.25" customHeight="1" x14ac:dyDescent="0.2">
      <c r="A623" s="16"/>
      <c r="B623" s="16"/>
      <c r="I623" s="905"/>
      <c r="J623" s="961" t="s">
        <v>176</v>
      </c>
      <c r="K623" s="1312" t="str">
        <f>IF($K$47="","",$K$47)</f>
        <v/>
      </c>
      <c r="L623" s="1312"/>
      <c r="M623" s="1312"/>
      <c r="N623" s="80" t="s">
        <v>131</v>
      </c>
      <c r="O623" s="904">
        <f>IF(IF(G617="",0,'päd.Personal - Leitung'!$O$95)=0,0,IF(G617="",0,'päd.Personal - Leitung'!$O$95))</f>
        <v>0</v>
      </c>
      <c r="P623" s="21">
        <f>ROUND(IF(G617=0,0,O623/M583*M584),2)</f>
        <v>0</v>
      </c>
      <c r="Q623" s="942" t="s">
        <v>739</v>
      </c>
      <c r="R623" s="940">
        <f>'päd.Personal - Leitung'!$R$47</f>
        <v>0.68459999999999999</v>
      </c>
      <c r="S623" s="957">
        <f>'päd.Personal - Leitung'!$S$47</f>
        <v>0.28000000000000003</v>
      </c>
    </row>
    <row r="624" spans="1:24" s="1" customFormat="1" ht="14.25" customHeight="1" x14ac:dyDescent="0.2">
      <c r="A624" s="908"/>
      <c r="B624" s="908"/>
      <c r="C624" s="1013"/>
      <c r="D624" s="1013"/>
      <c r="I624" s="913"/>
      <c r="J624" s="913"/>
      <c r="K624" s="916"/>
      <c r="L624" s="27"/>
      <c r="M624" s="27"/>
      <c r="N624" s="27"/>
      <c r="O624" s="26" t="s">
        <v>0</v>
      </c>
      <c r="P624" s="25">
        <f>P617+SUM(P619:P623)</f>
        <v>0</v>
      </c>
    </row>
    <row r="625" spans="1:19" s="10" customFormat="1" ht="13.5" customHeight="1" x14ac:dyDescent="0.2">
      <c r="A625" s="1321" t="s">
        <v>17</v>
      </c>
      <c r="B625" s="1321"/>
      <c r="C625" s="1321"/>
      <c r="D625" s="1320" t="str">
        <f>IF('päd.Personal - Leitung'!$D$1="","",'päd.Personal - Leitung'!$D$1)</f>
        <v/>
      </c>
      <c r="E625" s="1320"/>
      <c r="F625" s="1320"/>
      <c r="G625" s="1320"/>
      <c r="H625" s="1320"/>
      <c r="I625" s="1320"/>
      <c r="J625" s="1320"/>
      <c r="K625" s="1320"/>
      <c r="L625" s="1320"/>
      <c r="M625" s="1320"/>
      <c r="N625" s="1320"/>
    </row>
    <row r="626" spans="1:19" s="10" customFormat="1" ht="15" customHeight="1" x14ac:dyDescent="0.2">
      <c r="A626" s="1321" t="s">
        <v>16</v>
      </c>
      <c r="B626" s="1321"/>
      <c r="C626" s="1321" t="s">
        <v>14</v>
      </c>
      <c r="D626" s="1320" t="str">
        <f>IF('päd.Personal - Leitung'!$D$2="","",'päd.Personal - Leitung'!$D$2)</f>
        <v/>
      </c>
      <c r="E626" s="1320"/>
      <c r="F626" s="1320"/>
      <c r="G626" s="1320"/>
      <c r="H626" s="1320"/>
      <c r="I626" s="1320"/>
      <c r="J626" s="1320"/>
      <c r="K626" s="1320"/>
      <c r="L626" s="1320"/>
      <c r="M626" s="1320"/>
      <c r="N626" s="1320"/>
    </row>
    <row r="627" spans="1:19" s="10" customFormat="1" ht="15" customHeight="1" x14ac:dyDescent="0.2">
      <c r="A627" s="1321" t="s">
        <v>15</v>
      </c>
      <c r="B627" s="1321"/>
      <c r="C627" s="1321" t="s">
        <v>14</v>
      </c>
      <c r="D627" s="1320" t="str">
        <f>IF('päd.Personal - Leitung'!$D$3="","",'päd.Personal - Leitung'!$D$3)</f>
        <v/>
      </c>
      <c r="E627" s="1320"/>
      <c r="F627" s="1320"/>
      <c r="G627" s="1320"/>
      <c r="H627" s="1320"/>
      <c r="I627" s="1320"/>
      <c r="J627" s="1320"/>
      <c r="K627" s="1321" t="s">
        <v>100</v>
      </c>
      <c r="L627" s="1321"/>
      <c r="M627" s="1321"/>
      <c r="N627" s="38" t="str">
        <f>IF('päd.Personal - Leitung'!$N$3="","",'päd.Personal - Leitung'!$N$3)</f>
        <v/>
      </c>
    </row>
    <row r="628" spans="1:19" s="923" customFormat="1" ht="7.5" customHeight="1" x14ac:dyDescent="0.15">
      <c r="A628" s="1353"/>
      <c r="B628" s="1353"/>
      <c r="C628" s="1353"/>
      <c r="D628" s="1354"/>
      <c r="E628" s="1354"/>
      <c r="F628" s="1354"/>
      <c r="G628" s="1354"/>
      <c r="H628" s="1354"/>
      <c r="I628" s="1354"/>
      <c r="J628" s="1354"/>
      <c r="K628" s="922"/>
      <c r="L628" s="922"/>
      <c r="M628" s="922"/>
      <c r="N628" s="922"/>
      <c r="O628" s="922"/>
      <c r="P628" s="922"/>
    </row>
    <row r="629" spans="1:19" s="13" customFormat="1" ht="13.5" customHeight="1" x14ac:dyDescent="0.2">
      <c r="A629" s="1355" t="s">
        <v>151</v>
      </c>
      <c r="B629" s="1355"/>
      <c r="C629" s="1355"/>
      <c r="D629" s="1355"/>
      <c r="E629" s="1355"/>
      <c r="F629" s="1355"/>
      <c r="G629" s="1355"/>
      <c r="H629" s="1355"/>
      <c r="I629" s="1355"/>
      <c r="J629" s="1355"/>
      <c r="K629" s="7"/>
      <c r="L629" s="7"/>
      <c r="M629" s="7"/>
      <c r="N629" s="52"/>
      <c r="O629" s="138">
        <f>'päd.Personal - Leitung'!$O$5</f>
        <v>2025</v>
      </c>
      <c r="P629" s="52" t="s">
        <v>140</v>
      </c>
    </row>
    <row r="630" spans="1:19" s="8" customFormat="1" ht="13.5" customHeight="1" x14ac:dyDescent="0.25">
      <c r="B630" s="29"/>
      <c r="C630" s="29"/>
      <c r="D630" s="3" t="s">
        <v>49</v>
      </c>
      <c r="E630" s="28"/>
      <c r="F630" s="28"/>
      <c r="G630" s="28"/>
      <c r="H630" s="28"/>
      <c r="I630" s="24"/>
      <c r="K630" s="1327" t="s">
        <v>13</v>
      </c>
      <c r="L630" s="1327"/>
      <c r="M630" s="131"/>
      <c r="O630" s="928" t="str">
        <f>A653</f>
        <v>Jan 2025</v>
      </c>
      <c r="P630" s="1402">
        <f>IF(M632="","",M632)</f>
        <v>0</v>
      </c>
    </row>
    <row r="631" spans="1:19" s="5" customFormat="1" ht="13.5" customHeight="1" x14ac:dyDescent="0.25">
      <c r="A631" s="1328" t="s">
        <v>754</v>
      </c>
      <c r="B631" s="1328"/>
      <c r="C631" s="1328"/>
      <c r="D631" s="1345"/>
      <c r="E631" s="1345"/>
      <c r="F631" s="1345"/>
      <c r="G631" s="1345"/>
      <c r="H631" s="1345"/>
      <c r="I631" s="1345"/>
      <c r="K631" s="1327" t="s">
        <v>101</v>
      </c>
      <c r="L631" s="1327"/>
      <c r="M631" s="101"/>
      <c r="O631" s="928" t="str">
        <f t="shared" ref="O631:O641" si="104">A654</f>
        <v>Feb 2025</v>
      </c>
      <c r="P631" s="1403">
        <f t="shared" ref="P631:P638" si="105">IF(P630="","",P630)</f>
        <v>0</v>
      </c>
    </row>
    <row r="632" spans="1:19" s="1" customFormat="1" ht="13.5" customHeight="1" x14ac:dyDescent="0.2">
      <c r="A632" s="1328" t="s">
        <v>12</v>
      </c>
      <c r="B632" s="1328"/>
      <c r="C632" s="1328"/>
      <c r="D632" s="1345"/>
      <c r="E632" s="1345"/>
      <c r="F632" s="1345"/>
      <c r="G632" s="1345"/>
      <c r="H632" s="1345"/>
      <c r="I632" s="1345"/>
      <c r="K632" s="1327" t="s">
        <v>149</v>
      </c>
      <c r="L632" s="1327"/>
      <c r="M632" s="101">
        <f>IF((M633+M634)&gt;M631,0,M631-M633-M634)</f>
        <v>0</v>
      </c>
      <c r="O632" s="928" t="str">
        <f t="shared" si="104"/>
        <v>Mrz 2025</v>
      </c>
      <c r="P632" s="1403">
        <f t="shared" si="105"/>
        <v>0</v>
      </c>
    </row>
    <row r="633" spans="1:19" s="1" customFormat="1" ht="13.5" customHeight="1" x14ac:dyDescent="0.2">
      <c r="A633" s="1328" t="s">
        <v>11</v>
      </c>
      <c r="B633" s="1328"/>
      <c r="C633" s="1328"/>
      <c r="D633" s="1345"/>
      <c r="E633" s="1345"/>
      <c r="F633" s="1345"/>
      <c r="G633" s="1345"/>
      <c r="H633" s="1345"/>
      <c r="I633" s="1345"/>
      <c r="K633" s="1327" t="s">
        <v>150</v>
      </c>
      <c r="L633" s="1327"/>
      <c r="M633" s="101"/>
      <c r="O633" s="928" t="str">
        <f t="shared" si="104"/>
        <v>Apr 2025</v>
      </c>
      <c r="P633" s="1403">
        <f t="shared" si="105"/>
        <v>0</v>
      </c>
    </row>
    <row r="634" spans="1:19" s="1" customFormat="1" ht="13.5" customHeight="1" x14ac:dyDescent="0.2">
      <c r="A634" s="1328" t="s">
        <v>18</v>
      </c>
      <c r="B634" s="1328"/>
      <c r="C634" s="1328"/>
      <c r="D634" s="1345"/>
      <c r="E634" s="1345"/>
      <c r="F634" s="1345"/>
      <c r="G634" s="1345"/>
      <c r="H634" s="1345"/>
      <c r="I634" s="1345"/>
      <c r="K634" s="1327" t="s">
        <v>222</v>
      </c>
      <c r="L634" s="1327"/>
      <c r="M634" s="101"/>
      <c r="O634" s="928" t="str">
        <f t="shared" si="104"/>
        <v>Mai 2025</v>
      </c>
      <c r="P634" s="1403">
        <f t="shared" si="105"/>
        <v>0</v>
      </c>
    </row>
    <row r="635" spans="1:19" s="1" customFormat="1" ht="13.5" customHeight="1" x14ac:dyDescent="0.2">
      <c r="B635" s="6"/>
      <c r="C635" s="1029" t="s">
        <v>147</v>
      </c>
      <c r="D635" s="1324"/>
      <c r="E635" s="1324"/>
      <c r="F635" s="1359" t="s">
        <v>103</v>
      </c>
      <c r="G635" s="1359"/>
      <c r="H635" s="1361"/>
      <c r="I635" s="1361"/>
      <c r="K635" s="1327" t="s">
        <v>94</v>
      </c>
      <c r="L635" s="1327"/>
      <c r="M635" s="15" t="str">
        <f>IF(IF((COUNTIF(B653:B664,"&gt;0"))=0,0,(COUNTIF(B653:B664,"&gt;0")))&gt;Grundlagen!$C$26,Grundlagen!$C$26,IF((COUNTIF(B653:B664,"&gt;0"))=0,"",(COUNTIF(B653:B664,"&gt;0"))))</f>
        <v/>
      </c>
      <c r="O635" s="928" t="str">
        <f t="shared" si="104"/>
        <v>Jun 2025</v>
      </c>
      <c r="P635" s="1403">
        <f t="shared" si="105"/>
        <v>0</v>
      </c>
    </row>
    <row r="636" spans="1:19" s="1" customFormat="1" ht="13.5" customHeight="1" x14ac:dyDescent="0.2">
      <c r="I636" s="4"/>
      <c r="M636" s="102" t="str">
        <f>IF((SUM(F638:F641))=0,"",IF(P642&gt;M632,M632,IF(M632="","",IF(M635="","",P642))))</f>
        <v/>
      </c>
      <c r="O636" s="928" t="str">
        <f t="shared" si="104"/>
        <v>Jul 2025</v>
      </c>
      <c r="P636" s="1403">
        <f t="shared" si="105"/>
        <v>0</v>
      </c>
    </row>
    <row r="637" spans="1:19" s="46" customFormat="1" ht="13.5" customHeight="1" x14ac:dyDescent="0.2">
      <c r="A637" s="54" t="s">
        <v>134</v>
      </c>
      <c r="B637" s="1356" t="s">
        <v>135</v>
      </c>
      <c r="C637" s="1356"/>
      <c r="D637" s="55" t="s">
        <v>136</v>
      </c>
      <c r="E637" s="56" t="s">
        <v>137</v>
      </c>
      <c r="F637" s="57" t="str">
        <f>CONCATENATE("Entg. ",N627," h/Wo")</f>
        <v>Entg.  h/Wo</v>
      </c>
      <c r="G637" s="58" t="s">
        <v>138</v>
      </c>
      <c r="I637" s="58" t="s">
        <v>139</v>
      </c>
      <c r="K637" s="970"/>
      <c r="L637" s="970"/>
      <c r="M637" s="59"/>
      <c r="N637" s="968"/>
      <c r="O637" s="928" t="str">
        <f t="shared" si="104"/>
        <v>Aug 2025</v>
      </c>
      <c r="P637" s="1403">
        <f t="shared" si="105"/>
        <v>0</v>
      </c>
      <c r="Q637" s="85"/>
      <c r="R637" s="85"/>
      <c r="S637" s="85"/>
    </row>
    <row r="638" spans="1:19" s="46" customFormat="1" ht="13.5" customHeight="1" x14ac:dyDescent="0.25">
      <c r="A638" s="48" t="str">
        <f>'päd.Personal - Leitung'!$A$14</f>
        <v>Jan 2025</v>
      </c>
      <c r="B638" s="1357" t="str">
        <f>IF($D$3="","",$D$3)</f>
        <v/>
      </c>
      <c r="C638" s="1358"/>
      <c r="D638" s="132"/>
      <c r="E638" s="132"/>
      <c r="F638" s="71"/>
      <c r="G638" s="50">
        <f>IF(N627="",0,F638/N627/4.348)</f>
        <v>0</v>
      </c>
      <c r="I638" s="125">
        <f>SUM(J638:M638)</f>
        <v>0</v>
      </c>
      <c r="J638" s="124"/>
      <c r="K638" s="124"/>
      <c r="L638" s="124"/>
      <c r="M638" s="124"/>
      <c r="N638" s="969"/>
      <c r="O638" s="928" t="str">
        <f t="shared" si="104"/>
        <v>Sep 2025</v>
      </c>
      <c r="P638" s="1403">
        <f t="shared" si="105"/>
        <v>0</v>
      </c>
      <c r="Q638" s="85"/>
      <c r="R638" s="85"/>
      <c r="S638" s="85"/>
    </row>
    <row r="639" spans="1:19" s="46" customFormat="1" ht="13.5" customHeight="1" x14ac:dyDescent="0.25">
      <c r="A639" s="49"/>
      <c r="B639" s="1322" t="str">
        <f>IF(A639="","",B638)</f>
        <v/>
      </c>
      <c r="C639" s="1323"/>
      <c r="D639" s="132"/>
      <c r="E639" s="132"/>
      <c r="F639" s="71"/>
      <c r="G639" s="50">
        <f>IF(N627="",0,F639/N627/4.348)</f>
        <v>0</v>
      </c>
      <c r="I639" s="125">
        <f t="shared" ref="I639:I641" si="106">SUM(J639:M639)</f>
        <v>0</v>
      </c>
      <c r="J639" s="124"/>
      <c r="K639" s="124"/>
      <c r="L639" s="124"/>
      <c r="M639" s="124"/>
      <c r="N639" s="969"/>
      <c r="O639" s="928" t="str">
        <f t="shared" si="104"/>
        <v>Okt 2025</v>
      </c>
      <c r="P639" s="1403">
        <f t="shared" ref="P639:P641" si="107">IF(P638="","",P638)</f>
        <v>0</v>
      </c>
      <c r="Q639" s="85"/>
      <c r="R639" s="85"/>
      <c r="S639" s="85"/>
    </row>
    <row r="640" spans="1:19" s="46" customFormat="1" ht="13.5" customHeight="1" x14ac:dyDescent="0.25">
      <c r="A640" s="49"/>
      <c r="B640" s="1322" t="str">
        <f>IF(A640="","",B639)</f>
        <v/>
      </c>
      <c r="C640" s="1323"/>
      <c r="D640" s="132"/>
      <c r="E640" s="132"/>
      <c r="F640" s="71"/>
      <c r="G640" s="50">
        <f>IF(N627="",0,F640/N627/4.348)</f>
        <v>0</v>
      </c>
      <c r="I640" s="125">
        <f t="shared" si="106"/>
        <v>0</v>
      </c>
      <c r="J640" s="124"/>
      <c r="K640" s="124"/>
      <c r="L640" s="124"/>
      <c r="M640" s="124"/>
      <c r="N640" s="969"/>
      <c r="O640" s="928" t="str">
        <f t="shared" si="104"/>
        <v>Nov 2025</v>
      </c>
      <c r="P640" s="1403">
        <f t="shared" si="107"/>
        <v>0</v>
      </c>
      <c r="Q640" s="85"/>
      <c r="R640" s="85"/>
      <c r="S640" s="85"/>
    </row>
    <row r="641" spans="1:22" s="46" customFormat="1" ht="13.5" customHeight="1" x14ac:dyDescent="0.25">
      <c r="A641" s="49"/>
      <c r="B641" s="1322" t="str">
        <f>IF(A641="","",B640)</f>
        <v/>
      </c>
      <c r="C641" s="1323"/>
      <c r="D641" s="132"/>
      <c r="E641" s="132"/>
      <c r="F641" s="71"/>
      <c r="G641" s="50">
        <f>IF(N627="",0,F641/N627/4.348)</f>
        <v>0</v>
      </c>
      <c r="I641" s="125">
        <f t="shared" si="106"/>
        <v>0</v>
      </c>
      <c r="J641" s="124"/>
      <c r="K641" s="124"/>
      <c r="L641" s="124"/>
      <c r="M641" s="124"/>
      <c r="N641" s="969"/>
      <c r="O641" s="928" t="str">
        <f t="shared" si="104"/>
        <v>Dez 2025</v>
      </c>
      <c r="P641" s="1403">
        <f t="shared" si="107"/>
        <v>0</v>
      </c>
      <c r="Q641" s="85"/>
      <c r="R641" s="85"/>
      <c r="S641" s="85"/>
    </row>
    <row r="642" spans="1:22" s="46" customFormat="1" ht="13.5" customHeight="1" x14ac:dyDescent="0.25">
      <c r="B642" s="972"/>
      <c r="C642" s="972"/>
      <c r="E642" s="972"/>
      <c r="F642" s="972"/>
      <c r="I642" s="930" t="s">
        <v>730</v>
      </c>
      <c r="J642" s="1060"/>
      <c r="K642" s="1060"/>
      <c r="L642" s="1060"/>
      <c r="M642" s="1060"/>
      <c r="N642" s="971"/>
      <c r="O642" s="126" t="s">
        <v>221</v>
      </c>
      <c r="P642" s="127">
        <f>IF(M635="",0,((IF(SUMIF(B653,"&gt;0"),P630,0))+(IF(SUMIF(B654,"&gt;0"),P631,0))+(IF(SUMIF(B655,"&gt;0"),P632,0))+(IF(SUMIF(B656,"&gt;0"),P633,0))+(IF(SUMIF(B657,"&gt;0"),P634,0))+(IF(SUMIF(B658,"&gt;0"),P635,0))+(IF(SUMIF(B659,"&gt;0"),P636,0))+(IF(SUMIF(B660,"&gt;0"),P637,0))+(IF(SUMIF(B661,"&gt;0"),P638,0))+(IF(SUMIF(B662,"&gt;0"),P639,0))+(IF(SUMIF(B663,"&gt;0"),P640,0))+(IF(SUMIF(B664,"&gt;0"),P641,0)))/Grundlagen!$C$26)</f>
        <v>0</v>
      </c>
      <c r="Q642" s="944" t="str">
        <f>CONCATENATE("BBG"," anteilig ",O644)</f>
        <v>BBG anteilig 2025</v>
      </c>
      <c r="R642" s="931" t="s">
        <v>659</v>
      </c>
      <c r="S642" s="931" t="s">
        <v>398</v>
      </c>
      <c r="T642" s="107"/>
    </row>
    <row r="643" spans="1:22" s="46" customFormat="1" ht="13.5" customHeight="1" x14ac:dyDescent="0.2">
      <c r="A643" s="924" t="s">
        <v>732</v>
      </c>
      <c r="D643" s="55" t="s">
        <v>369</v>
      </c>
      <c r="E643" s="56" t="s">
        <v>368</v>
      </c>
      <c r="F643" s="58"/>
      <c r="J643" s="61"/>
      <c r="Q643" s="932" t="s">
        <v>144</v>
      </c>
      <c r="R643" s="140">
        <f>IF(M632=0,R647,IF(M631="",R647,(SUM(R653:R664)/M635)))</f>
        <v>5175</v>
      </c>
      <c r="S643" s="933">
        <f>IF(M632=0,S647,IF(M631="",S647,SUM(R653:R664)))</f>
        <v>0</v>
      </c>
      <c r="T643" s="107"/>
    </row>
    <row r="644" spans="1:22" s="46" customFormat="1" ht="13.5" customHeight="1" x14ac:dyDescent="0.25">
      <c r="A644" s="60"/>
      <c r="B644" s="1314" t="str">
        <f>IF($B$20="","",$B$20)</f>
        <v>Jahressonderzahlung (JSZ)</v>
      </c>
      <c r="C644" s="1315"/>
      <c r="D644" s="926"/>
      <c r="E644" s="929" t="str">
        <f>IF(A644="","",ROUND((((SUM(B659:B661)+SUM(F659:F661))/3)*D644)/Grundlagen!$C$26*M635,2))</f>
        <v/>
      </c>
      <c r="G644" s="941" t="s">
        <v>733</v>
      </c>
      <c r="H644" s="943"/>
      <c r="I644" s="1316" t="str">
        <f>CONCATENATE(R667,":"," Übergangsbereich von ",R668+0.01," €"," bis ",R669," €")</f>
        <v>2025: Übergangsbereich von 556,01 € bis 2000 €</v>
      </c>
      <c r="J644" s="1317"/>
      <c r="K644" s="1317"/>
      <c r="L644" s="1067"/>
      <c r="M644" s="1067"/>
      <c r="N644" s="1068" t="s">
        <v>736</v>
      </c>
      <c r="O644" s="1069">
        <f>P644+1</f>
        <v>2025</v>
      </c>
      <c r="P644" s="1069" t="s">
        <v>721</v>
      </c>
      <c r="Q644" s="932" t="s">
        <v>145</v>
      </c>
      <c r="R644" s="140">
        <f>IF(M632=0,R648,IF(M631="",R648,(SUM(S653:S664)/M635)))</f>
        <v>7450</v>
      </c>
      <c r="S644" s="933">
        <f>IF(M632=0,S648,IF(M631="",S648,SUM(S653:S664)))</f>
        <v>0</v>
      </c>
      <c r="T644" s="109"/>
    </row>
    <row r="645" spans="1:22" s="1" customFormat="1" ht="14.25" customHeight="1" x14ac:dyDescent="0.2">
      <c r="A645" s="60"/>
      <c r="B645" s="1314" t="str">
        <f>IF($B$21="","",$B$21)</f>
        <v>Leistungsentgelt (LOB)</v>
      </c>
      <c r="C645" s="1315"/>
      <c r="D645" s="926"/>
      <c r="E645" s="929" t="str">
        <f>IF(A645="","",ROUND(((B665+F665)*D645)/Grundlagen!$C$26*M635,2))</f>
        <v/>
      </c>
      <c r="G645" s="941" t="str">
        <f>IF(OR(H644="",H644="nein")=TRUE,"","Faktor (F):")</f>
        <v/>
      </c>
      <c r="H645" s="949" t="str">
        <f>IF(OR(H644="",H644="nein")=TRUE,"",IF(H644="","",R671))</f>
        <v/>
      </c>
      <c r="I645" s="1318" t="str">
        <f>IF(OR(H644="",H644="nein")=TRUE,"",IF(H645="","",CONCATENATE(S671*100,"%"," / ","(",R670*100,"%"," Gesamt-SV-Beitragssatz 2024)")))</f>
        <v/>
      </c>
      <c r="J645" s="1319"/>
      <c r="K645" s="1319"/>
      <c r="L645" s="1070"/>
      <c r="M645" s="1070"/>
      <c r="N645" s="1071" t="s">
        <v>144</v>
      </c>
      <c r="O645" s="1072">
        <f>'päd.Personal - Leitung'!$O$21</f>
        <v>5175</v>
      </c>
      <c r="P645" s="1072">
        <f>'päd.Personal - Leitung'!$P$21</f>
        <v>5175</v>
      </c>
      <c r="Q645" s="11"/>
      <c r="R645" s="11"/>
      <c r="S645" s="11"/>
      <c r="T645" s="109"/>
    </row>
    <row r="646" spans="1:22" s="1" customFormat="1" ht="14.25" customHeight="1" x14ac:dyDescent="0.2">
      <c r="C646" s="925" t="s">
        <v>731</v>
      </c>
      <c r="L646" s="1070"/>
      <c r="M646" s="1070"/>
      <c r="N646" s="1071" t="s">
        <v>145</v>
      </c>
      <c r="O646" s="1073">
        <f>'päd.Personal - Leitung'!$O$22</f>
        <v>7450</v>
      </c>
      <c r="P646" s="1073">
        <f>'päd.Personal - Leitung'!$P$22</f>
        <v>7450</v>
      </c>
      <c r="Q646" s="944" t="str">
        <f>CONCATENATE("BBG"," ",O644)</f>
        <v>BBG 2025</v>
      </c>
      <c r="R646" s="11"/>
      <c r="S646" s="11"/>
      <c r="T646" s="109"/>
    </row>
    <row r="647" spans="1:22" s="1" customFormat="1" ht="14.25" customHeight="1" x14ac:dyDescent="0.2">
      <c r="A647" s="53" t="s">
        <v>141</v>
      </c>
      <c r="B647" s="46"/>
      <c r="C647" s="46"/>
      <c r="D647" s="46"/>
      <c r="E647" s="46"/>
      <c r="F647" s="46"/>
      <c r="G647" s="46"/>
      <c r="H647" s="46"/>
      <c r="I647" s="46"/>
      <c r="J647" s="46"/>
      <c r="K647" s="46"/>
      <c r="L647" s="46"/>
      <c r="M647" s="46"/>
      <c r="N647" s="46"/>
      <c r="O647" s="46"/>
      <c r="P647" s="46"/>
      <c r="Q647" s="932" t="s">
        <v>144</v>
      </c>
      <c r="R647" s="141">
        <f>IF($O$21="",0,$O$21)</f>
        <v>5175</v>
      </c>
      <c r="S647" s="933">
        <f>R647*IF(M635="",0,M635)</f>
        <v>0</v>
      </c>
      <c r="T647" s="295"/>
    </row>
    <row r="648" spans="1:22" s="1" customFormat="1" ht="14.25" customHeight="1" x14ac:dyDescent="0.2">
      <c r="A648" s="1346"/>
      <c r="B648" s="1348" t="s">
        <v>8</v>
      </c>
      <c r="C648" s="1349"/>
      <c r="D648" s="1349"/>
      <c r="E648" s="1349"/>
      <c r="F648" s="1349"/>
      <c r="G648" s="1350"/>
      <c r="H648" s="1351" t="s">
        <v>113</v>
      </c>
      <c r="I648" s="1352"/>
      <c r="J648" s="1352"/>
      <c r="K648" s="1352"/>
      <c r="L648" s="1352"/>
      <c r="M648" s="1352"/>
      <c r="N648" s="1352"/>
      <c r="O648" s="30"/>
      <c r="P648" s="1330" t="s">
        <v>0</v>
      </c>
      <c r="Q648" s="932" t="s">
        <v>145</v>
      </c>
      <c r="R648" s="141">
        <f>IF($O$22="",0,$O$22)</f>
        <v>7450</v>
      </c>
      <c r="S648" s="933">
        <f>R648*IF(M635="",0,M635)</f>
        <v>0</v>
      </c>
      <c r="T648" s="830"/>
    </row>
    <row r="649" spans="1:22" s="1" customFormat="1" ht="14.25" customHeight="1" x14ac:dyDescent="0.2">
      <c r="A649" s="1347"/>
      <c r="B649" s="1333" t="s">
        <v>111</v>
      </c>
      <c r="C649" s="1335" t="s">
        <v>743</v>
      </c>
      <c r="D649" s="1337" t="s">
        <v>226</v>
      </c>
      <c r="E649" s="1339" t="s">
        <v>133</v>
      </c>
      <c r="F649" s="1030" t="s">
        <v>6</v>
      </c>
      <c r="G649" s="1340" t="s">
        <v>5</v>
      </c>
      <c r="H649" s="1339" t="s">
        <v>119</v>
      </c>
      <c r="I649" s="1339" t="s">
        <v>4</v>
      </c>
      <c r="J649" s="1339" t="s">
        <v>3</v>
      </c>
      <c r="K649" s="1339" t="s">
        <v>2</v>
      </c>
      <c r="L649" s="1339" t="s">
        <v>114</v>
      </c>
      <c r="M649" s="1339" t="s">
        <v>115</v>
      </c>
      <c r="N649" s="1339" t="s">
        <v>116</v>
      </c>
      <c r="O649" s="1338" t="s">
        <v>109</v>
      </c>
      <c r="P649" s="1331"/>
      <c r="Q649" s="456"/>
      <c r="R649" s="11"/>
      <c r="S649" s="11"/>
      <c r="T649" s="621"/>
    </row>
    <row r="650" spans="1:22" s="1" customFormat="1" ht="14.25" customHeight="1" x14ac:dyDescent="0.2">
      <c r="A650" s="1347"/>
      <c r="B650" s="1333"/>
      <c r="C650" s="1335"/>
      <c r="D650" s="1338"/>
      <c r="E650" s="1339"/>
      <c r="F650" s="1343" t="str">
        <f>I642</f>
        <v>Zuschläge / Zulagen / o.ä.:</v>
      </c>
      <c r="G650" s="1340"/>
      <c r="H650" s="1342" t="s">
        <v>117</v>
      </c>
      <c r="I650" s="1342"/>
      <c r="J650" s="1342"/>
      <c r="K650" s="1342"/>
      <c r="L650" s="1342"/>
      <c r="M650" s="1342"/>
      <c r="N650" s="1342"/>
      <c r="O650" s="1338"/>
      <c r="P650" s="1331"/>
      <c r="Q650" s="456"/>
      <c r="R650" s="1306" t="str">
        <f>Q642</f>
        <v>BBG anteilig 2025</v>
      </c>
      <c r="S650" s="1306"/>
      <c r="T650" s="829"/>
    </row>
    <row r="651" spans="1:22" s="1" customFormat="1" ht="14.25" customHeight="1" x14ac:dyDescent="0.2">
      <c r="A651" s="1347"/>
      <c r="B651" s="1333"/>
      <c r="C651" s="1335"/>
      <c r="D651" s="1338"/>
      <c r="E651" s="1339"/>
      <c r="F651" s="1343"/>
      <c r="G651" s="1340"/>
      <c r="H651" s="39" t="str">
        <f>'päd.Personal - Leitung'!$H$27</f>
        <v>(7,30% + Zusatz)</v>
      </c>
      <c r="I651" s="39" t="str">
        <f>'päd.Personal - Leitung'!$I$27</f>
        <v xml:space="preserve"> (2024: 9,30%)</v>
      </c>
      <c r="J651" s="39" t="str">
        <f>'päd.Personal - Leitung'!$J$27</f>
        <v>(2024: 1,30%)</v>
      </c>
      <c r="K651" s="39" t="str">
        <f>'päd.Personal - Leitung'!$K$27</f>
        <v>(2024: 1,700%)</v>
      </c>
      <c r="L651" s="39"/>
      <c r="M651" s="39"/>
      <c r="N651" s="39" t="str">
        <f>'päd.Personal - Leitung'!$N$27</f>
        <v>(2024: 0,06%)</v>
      </c>
      <c r="O651" s="1338"/>
      <c r="P651" s="1331"/>
      <c r="Q651" s="456"/>
      <c r="R651" s="1307" t="s">
        <v>659</v>
      </c>
      <c r="S651" s="1307"/>
      <c r="T651" s="829"/>
      <c r="U651" s="1308" t="s">
        <v>1</v>
      </c>
      <c r="V651" s="1308" t="s">
        <v>741</v>
      </c>
    </row>
    <row r="652" spans="1:22" s="1" customFormat="1" x14ac:dyDescent="0.2">
      <c r="A652" s="1347"/>
      <c r="B652" s="1334"/>
      <c r="C652" s="1336"/>
      <c r="D652" s="45"/>
      <c r="E652" s="45"/>
      <c r="F652" s="1344"/>
      <c r="G652" s="1341"/>
      <c r="H652" s="74"/>
      <c r="I652" s="99">
        <f>'päd.Personal - Leitung'!$I$28</f>
        <v>0</v>
      </c>
      <c r="J652" s="99">
        <f>'päd.Personal - Leitung'!$J$28</f>
        <v>0</v>
      </c>
      <c r="K652" s="40">
        <f>'päd.Personal - Leitung'!$K$28</f>
        <v>0</v>
      </c>
      <c r="L652" s="19"/>
      <c r="M652" s="19"/>
      <c r="N652" s="99">
        <f>'päd.Personal - Leitung'!$N$28</f>
        <v>0</v>
      </c>
      <c r="O652" s="23"/>
      <c r="P652" s="1332"/>
      <c r="Q652" s="456"/>
      <c r="R652" s="935" t="s">
        <v>144</v>
      </c>
      <c r="S652" s="935" t="s">
        <v>145</v>
      </c>
      <c r="T652" s="829"/>
      <c r="U652" s="1308"/>
      <c r="V652" s="1308"/>
    </row>
    <row r="653" spans="1:22" s="1" customFormat="1" x14ac:dyDescent="0.2">
      <c r="A653" s="76" t="str">
        <f>CONCATENATE("Jan ",O629)</f>
        <v>Jan 2025</v>
      </c>
      <c r="B653" s="22">
        <f>ROUND(IF(P630=0,0,(LOOKUP(2,1/(A638:A641=A653),G638:G641))*P630*4.348),2)</f>
        <v>0</v>
      </c>
      <c r="C653" s="21">
        <f>ROUND(IFERROR((LOOKUP(2,1/(A644=A653),E644)),0)+IFERROR((LOOKUP(2,1/(A645=A653),E645)),0),2)</f>
        <v>0</v>
      </c>
      <c r="D653" s="21">
        <f>ROUND(IF(B653=0,0,D652/M631*P630),2)</f>
        <v>0</v>
      </c>
      <c r="E653" s="21">
        <f>ROUND(IF(B653=0,0,E652/N627*P630),2)</f>
        <v>0</v>
      </c>
      <c r="F653" s="22">
        <f>ROUND(IF(P630=0,0,(LOOKUP(2,1/(A638:A641=A653),I638:I641))/N627*P630),2)</f>
        <v>0</v>
      </c>
      <c r="G653" s="25">
        <f t="shared" ref="G653:G664" si="108">SUM(B653+C653+E653+F653)</f>
        <v>0</v>
      </c>
      <c r="H653" s="64">
        <f>IF(B653=0,0,IF(AND(H644="ja",((U653)&lt;R669)),ROUND(((R671*R668+((R669/(R669-R668))-(R668/(R669-R668))*R671)*((U653)-R668))*(H652*2))-(((R669/(R669-R668))*((U653)-R668))*H652),2),ROUND(IF((U653)&gt;R653,R653*H652,U653*H652),2)))</f>
        <v>0</v>
      </c>
      <c r="I653" s="64">
        <f>IF(B653=0,0,IF(AND(H644="ja",((U653)&lt;R669)),ROUND(((R671*R668+((R669/(R669-R668))-(R668/(R669-R668))*R671)*((U653)-R668))*(I652*2))-(((R669/(R669-R668))*((U653)-R668))*I652),2),ROUND(IF((U653)&gt;S653,S653*I652,U653*I652),2)))</f>
        <v>0</v>
      </c>
      <c r="J653" s="64">
        <f>IF(B653=0,0,IF(AND(H644="ja",((U653)&lt;R669)),ROUND(((R671*R668+((R669/(R669-R668))-(R668/(R669-R668))*R671)*((U653)-R668))*(J652*2))-(((R669/(R669-R668))*((U653)-R668))*J652),2),ROUND(IF((U653)&gt;S653,S653*J652,U653*J652),2)))</f>
        <v>0</v>
      </c>
      <c r="K653" s="64">
        <f>IF(B653=0,0,IF(AND(H644="ja",((U653)&lt;R669)),ROUND(((R671*R668+((R669/(R669-R668))-(R668/(R669-R668))*R671)*((U653)-R668))*(K652*2))-(((R669/(R669-R668))*((U653)-R668))*K652),2),ROUND(IF((U653)&gt;R653,R653*K652,U653*K652),2)))</f>
        <v>0</v>
      </c>
      <c r="L653" s="64">
        <f>IF(B653=0,0,IF(AND(H644="ja",((U653-C653)&lt;R669)),ROUND(((R671*R668+((R669/(R669-R668))-(R668/(R669-R668))*R671)*((U653-C653)-R668))*(L652)),2),ROUND(IF((SUM(B653:F653))&gt;S653,S653*L652,(SUM(B653:F653)-C653)*L652),2)))</f>
        <v>0</v>
      </c>
      <c r="M653" s="64">
        <f>IF(B653=0,0,IF(AND(H644="ja",((U653-C653)&lt;R669)),ROUND(((R671*R668+((R669/(R669-R668))-(R668/(R669-R668))*R671)*((U653-C653)-R668))*(M652)),2),ROUND(IF((SUM(B653:F653))&gt;S653,S653*M652,(SUM(B653:F653)-C653)*M652),2)))</f>
        <v>0</v>
      </c>
      <c r="N653" s="64">
        <f>IF(B653=0,0,IF(AND(H644="ja",((U653)&lt;R669)),ROUND(((R671*R668+((R669/(R669-R668))-(R668/(R669-R668))*R671)*((U653)-R668))*(N652)),2),ROUND(IF((SUM(B653:F653))&gt;S653,S653*N652,SUM(B653:F653)*N652),2)))</f>
        <v>0</v>
      </c>
      <c r="O653" s="21">
        <f>ROUND(SUM(B653+C653+F653)*O652,2)</f>
        <v>0</v>
      </c>
      <c r="P653" s="25">
        <f>SUM(G653:O653)</f>
        <v>0</v>
      </c>
      <c r="Q653" s="456"/>
      <c r="R653" s="140">
        <f>ROUND(IF(M631="",R647,R647/M631*P630),2)</f>
        <v>5175</v>
      </c>
      <c r="S653" s="140">
        <f>ROUND(IF(M631="",R648,R648/M631*P630),2)</f>
        <v>7450</v>
      </c>
      <c r="U653" s="950">
        <f>SUM(B653:F653)</f>
        <v>0</v>
      </c>
      <c r="V653" s="950">
        <f>SUM(B653:F653)</f>
        <v>0</v>
      </c>
    </row>
    <row r="654" spans="1:22" s="1" customFormat="1" x14ac:dyDescent="0.2">
      <c r="A654" s="76" t="str">
        <f>CONCATENATE("Feb ",O629)</f>
        <v>Feb 2025</v>
      </c>
      <c r="B654" s="22">
        <f>ROUND(IF(P631=0,0,IFERROR(((LOOKUP(2,1/(A638:A641=A654),G638:G641))*P631*4.348),B653/P630*P631)),2)</f>
        <v>0</v>
      </c>
      <c r="C654" s="21">
        <f>ROUND(IFERROR((LOOKUP(2,1/(A644=A654),E644)),0)+IFERROR((LOOKUP(2,1/(A645=A654),E645)),0),2)</f>
        <v>0</v>
      </c>
      <c r="D654" s="21">
        <f>ROUND(IF(B654=0,0,D652/M631*P631),2)</f>
        <v>0</v>
      </c>
      <c r="E654" s="21">
        <f>ROUND(IF(B654=0,0,E652/N627*P631),2)</f>
        <v>0</v>
      </c>
      <c r="F654" s="22">
        <f>ROUND(IF(P631=0,0,IFERROR(((LOOKUP(2,1/(A638:A641=A654),I638:I641))/N627*P631),F653/P630*P631)),2)</f>
        <v>0</v>
      </c>
      <c r="G654" s="25">
        <f t="shared" si="108"/>
        <v>0</v>
      </c>
      <c r="H654" s="64">
        <f>IF(B654=0,0,IF(AND(H644="ja",((U654)&lt;R669)),ROUND(((R671*R668+((R669/(R669-R668))-(R668/(R669-R668))*R671)*((U654)-R668))*(H652*2))-(((R669/(R669-R668))*((U654)-R668))*H652),2),ROUND(IF(U653&lt;(R653),IF((V654)&gt;(SUM(R653:R654)),(((SUM(R653:R654))-(V654-C653))*H652)+((U654-C653)*H652),U654*H652),IF(V654&gt;(SUM(R653:R654)),R654*H652,U654*H652)),2)))</f>
        <v>0</v>
      </c>
      <c r="I654" s="64">
        <f>IF(B654=0,0,IF(AND(H644="ja",((U654)&lt;R669)),ROUND(((R671*R668+((R669/(R669-R668))-(R668/(R669-R668))*R671)*((U654)-R668))*(I652*2))-(((R669/(R669-R668))*((U654)-R668))*I652),2),ROUND(IF(U653&lt;(S653),IF((V654)&gt;(SUM(S653:S654)),(((SUM(S653:S654))-(V654-C653))*I652)+((U654-C653)*I652),U654*I652),IF(V654&gt;(SUM(S653:S654)),S654*I652,U654*I652)),2)))</f>
        <v>0</v>
      </c>
      <c r="J654" s="64">
        <f>IF(B654=0,0,IF(AND(H644="ja",((U654)&lt;R669)),ROUND(((R671*R668+((R669/(R669-R668))-(R668/(R669-R668))*R671)*((U654)-R668))*(J652*2))-(((R669/(R669-R668))*((U654)-R668))*J652),2),ROUND(IF(U653&lt;(S653),IF((V654)&gt;(SUM(S653:S654)),(((SUM(S653:S654))-(V654-C653))*J652)+((U654-C653)*J652),U654*J652),IF(V654&gt;(SUM(S653:S654)),S654*J652,U654*J652)),2)))</f>
        <v>0</v>
      </c>
      <c r="K654" s="64">
        <f>IF(B654=0,0,IF(AND(H644="ja",((U654)&lt;R669)),ROUND(((R671*R668+((R669/(R669-R668))-(R668/(R669-R668))*R671)*((U654)-R668))*(K652*2))-(((R669/(R669-R668))*((U654)-R668))*K652),2),ROUND(IF(U653&lt;(R653),IF((V654)&gt;(SUM(R653:R654)),(((SUM(R653:R654))-(V654-C653))*K652)+((U654-C653)*K652),U654*K652),IF(V654&gt;(SUM(R653:R654)),R654*K652,U654*K652)),2)))</f>
        <v>0</v>
      </c>
      <c r="L654" s="64">
        <f>IF(B654=0,0,IF(AND(H644="ja",((U654-C654)&lt;R669)),ROUND(((R671*R668+((R669/(R669-R668))-(R668/(R669-R668))*R671)*((U654-C654)-R668))*(L652)),2),ROUND(IF(SUM(B653:F653)&lt;(S653),IF((SUM(B653:F654))&gt;(SUM(S653:S654)),(((SUM(S653:S654))-(SUM(B653:F654)-C654))*L652)+((SUM(B654:F654)-C654)*L652),(SUM(B654:F654)-C654)*L652),IF(SUM(B653:F654)&gt;(SUM(S653:S654)),S654*L652,SUM(B654:F654)*L652)),2)))</f>
        <v>0</v>
      </c>
      <c r="M654" s="64">
        <f>IF(B654=0,0,IF(AND(H644="ja",((U654-C654)&lt;R669)),ROUND(((R671*R668+((R669/(R669-R668))-(R668/(R669-R668))*R671)*((U654-C654)-R668))*(M652)),2),ROUND(IF(SUM(B653:F653)&lt;(S653),IF((SUM(B653:F654))&gt;(SUM(S653:S654)),(((SUM(S653:S654))-(SUM(B653:F654)-C654))*M652)+((SUM(B654:F654)-C654)*M652),(SUM(B654:F654)-C654)*M652),IF(SUM(B653:F654)&gt;(SUM(S653:S654)),S654*M652,SUM(B654:F654)*M652)),2)))</f>
        <v>0</v>
      </c>
      <c r="N654" s="64">
        <f>IF(B654=0,0,IF(AND(H644="ja",((U654)&lt;R669)),ROUND(((R671*R668+((R669/(R669-R668))-(R668/(R669-R668))*R671)*((U654)-R668))*(N652)),2),ROUND(IF(SUM(B653:F653)&lt;(S653),IF((SUM(B653:F654))&gt;(SUM(S653:S654)),(((SUM(S653:S654))-(SUM(B653:F654)-C653))*N652)+((SUM(B654:F654)-C653)*N652),SUM(B654:F654)*N652),IF(SUM(B653:F654)&gt;(SUM(S653:S654)),S654*N652,SUM(B654:F654)*N652)),2)))</f>
        <v>0</v>
      </c>
      <c r="O654" s="21">
        <f>ROUND(SUM(B654+C654+F654)*O652,2)</f>
        <v>0</v>
      </c>
      <c r="P654" s="25">
        <f t="shared" ref="P654:P664" si="109">SUM(G654:O654)</f>
        <v>0</v>
      </c>
      <c r="Q654" s="456"/>
      <c r="R654" s="140">
        <f>ROUND(IF(M631="",R647,R647/M631*P631),2)</f>
        <v>5175</v>
      </c>
      <c r="S654" s="140">
        <f>ROUND(IF(M631="",R648,R648/M631*P631),2)</f>
        <v>7450</v>
      </c>
      <c r="U654" s="950">
        <f t="shared" ref="U654:U664" si="110">SUM(B654:F654)</f>
        <v>0</v>
      </c>
      <c r="V654" s="950">
        <f>SUM(B653:F654)</f>
        <v>0</v>
      </c>
    </row>
    <row r="655" spans="1:22" s="1" customFormat="1" x14ac:dyDescent="0.2">
      <c r="A655" s="76" t="str">
        <f>CONCATENATE("Mrz ",O629)</f>
        <v>Mrz 2025</v>
      </c>
      <c r="B655" s="22">
        <f>ROUND(IF(P632=0,0,IFERROR(((LOOKUP(2,1/(A638:A641=A655),G638:G641))*P632*4.348),B654/P631*P632)),2)</f>
        <v>0</v>
      </c>
      <c r="C655" s="21">
        <f>ROUND(IFERROR((LOOKUP(2,1/(A644=A655),E644)),0)+IFERROR((LOOKUP(2,1/(A645=A655),E645)),0),2)</f>
        <v>0</v>
      </c>
      <c r="D655" s="21">
        <f>ROUND(IF(B655=0,0,D652/M631*P632),2)</f>
        <v>0</v>
      </c>
      <c r="E655" s="21">
        <f>ROUND(IF(B655=0,0,E652/N627*P632),2)</f>
        <v>0</v>
      </c>
      <c r="F655" s="22">
        <f>ROUND(IF(P632=0,0,IFERROR(((LOOKUP(2,1/(A638:A641=A655),I638:I641))/N627*P632),F654/P631*P632)),2)</f>
        <v>0</v>
      </c>
      <c r="G655" s="25">
        <f t="shared" si="108"/>
        <v>0</v>
      </c>
      <c r="H655" s="64">
        <f>IF(B655=0,0,IF(AND(H644="ja",((U655)&lt;R669)),ROUND(((R671*R668+((R669/(R669-R668))-(R668/(R669-R668))*R671)*((U655)-R668))*(H652*2))-(((R669/(R669-R668))*((U655)-R668))*H652),2),ROUND(IF(V654&lt;(SUM(R653:R654)),IF((V655)&gt;(SUM(R653:R655)),(((SUM(R653:R655))-(V655-C654))*H652)+((U655-C654)*H652),U655*H652),IF(V655&gt;(SUM(R653:R655)),R655*H652,U655*H652)),2)))</f>
        <v>0</v>
      </c>
      <c r="I655" s="64">
        <f>IF(B655=0,0,IF(AND(H644="ja",((U655)&lt;R669)),ROUND(((R671*R668+((R669/(R669-R668))-(R668/(R669-R668))*R671)*((U655)-R668))*(I652*2))-(((R669/(R669-R668))*((U655)-R668))*I652),2),ROUND(IF(V654&lt;(SUM(S653:S654)),IF((V655)&gt;(SUM(S653:S655)),(((SUM(S653:S655))-(V655-C654))*I652)+((U655-C654)*I652),U655*I652),IF(V655&gt;(SUM(S653:S655)),S655*I652,U655*I652)),2)))</f>
        <v>0</v>
      </c>
      <c r="J655" s="64">
        <f>IF(B655=0,0,IF(AND(H644="ja",((U655)&lt;R669)),ROUND(((R671*R668+((R669/(R669-R668))-(R668/(R669-R668))*R671)*((U655)-R668))*(J652*2))-(((R669/(R669-R668))*((U655)-R668))*J652),2),ROUND(IF(V654&lt;(SUM(S653:S654)),IF((V655)&gt;(SUM(S653:S655)),(((SUM(S653:S655))-(V655-C654))*J652)+((U655-C654)*J652),U655*J652),IF(V655&gt;(SUM(S653:S655)),S655*J652,U655*J652)),2)))</f>
        <v>0</v>
      </c>
      <c r="K655" s="64">
        <f>IF(B655=0,0,IF(AND(H644="ja",((U655)&lt;R669)),ROUND(((R671*R668+((R669/(R669-R668))-(R668/(R669-R668))*R671)*((U655)-R668))*(K652*2))-(((R669/(R669-R668))*((U655)-R668))*K652),2),ROUND(IF(V654&lt;(SUM(R653:R654)),IF((V655)&gt;(SUM(R653:R655)),(((SUM(R653:R655))-(V655-C654))*K652)+((U655-C654)*K652),U655*K652),IF(V655&gt;(SUM(R653:R655)),R655*K652,U655*K652)),2)))</f>
        <v>0</v>
      </c>
      <c r="L655" s="64">
        <f>IF(B655=0,0,IF(AND(H644="ja",((U655-C655)&lt;R669)),ROUND(((R671*R668+((R669/(R669-R668))-(R668/(R669-R668))*R671)*((U655-C655)-R668))*(L652)),2),ROUND(IF(SUM(B653:F654)&lt;(SUM(S653:S654)),IF((SUM(B653:F655))&gt;(SUM(S653:S655)),(((SUM(S653:S655))-(SUM(B653:F655)-C655))*L652)+((SUM(B655:F655)-C655)*L652),(SUM(B655:F655)-C655)*L652),IF(SUM(B653:F655)&gt;(SUM(S653:S655)),S655*L652,SUM(B655:F655)*L652)),2)))</f>
        <v>0</v>
      </c>
      <c r="M655" s="64">
        <f>IF(B655=0,0,IF(AND(H644="ja",((U655-C655)&lt;R669)),ROUND(((R671*R668+((R669/(R669-R668))-(R668/(R669-R668))*R671)*((U655-C655)-R668))*(M652)),2),ROUND(IF(SUM(B653:F654)&lt;(SUM(S653:S654)),IF((SUM(B653:F655))&gt;(SUM(S653:S655)),(((SUM(S653:S655))-(SUM(B653:F655)-C655))*M652)+((SUM(B655:F655)-C655)*M652),(SUM(B655:F655)-C655)*M652),IF(SUM(B653:F655)&gt;(SUM(S653:S655)),S655*M652,SUM(B655:F655)*M652)),2)))</f>
        <v>0</v>
      </c>
      <c r="N655" s="64">
        <f>IF(B655=0,0,IF(AND(H644="ja",((U655)&lt;R669)),ROUND(((R671*R668+((R669/(R669-R668))-(R668/(R669-R668))*R671)*((U655)-R668))*(N652)),2),ROUND(IF(SUM(B653:F654)&lt;(SUM(S653:S654)),IF((SUM(B653:F655))&gt;(SUM(S653:S655)),(((SUM(S653:S655))-(SUM(B653:F655)-C654))*N652)+((SUM(B655:F655)-C654)*N652),SUM(B655:F655)*N652),IF(SUM(B653:F655)&gt;(SUM(S653:S655)),S655*N652,SUM(B655:F655)*N652)),2)))</f>
        <v>0</v>
      </c>
      <c r="O655" s="21">
        <f>ROUND(SUM(B655+C655+F655)*O652,2)</f>
        <v>0</v>
      </c>
      <c r="P655" s="25">
        <f t="shared" si="109"/>
        <v>0</v>
      </c>
      <c r="Q655" s="456"/>
      <c r="R655" s="140">
        <f>ROUND(IF(M631="",R647,R647/M631*P632),2)</f>
        <v>5175</v>
      </c>
      <c r="S655" s="140">
        <f>ROUND(IF(M631="",R648,R648/M631*P632),2)</f>
        <v>7450</v>
      </c>
      <c r="U655" s="950">
        <f t="shared" si="110"/>
        <v>0</v>
      </c>
      <c r="V655" s="950">
        <f>SUM(B653:F655)</f>
        <v>0</v>
      </c>
    </row>
    <row r="656" spans="1:22" s="1" customFormat="1" x14ac:dyDescent="0.2">
      <c r="A656" s="76" t="str">
        <f>CONCATENATE("Apr ",O629)</f>
        <v>Apr 2025</v>
      </c>
      <c r="B656" s="22">
        <f>ROUND(IF(P633=0,0,IFERROR(((LOOKUP(2,1/(A638:A641=A656),G638:G641))*P633*4.348),B655/P632*P633)),2)</f>
        <v>0</v>
      </c>
      <c r="C656" s="21">
        <f>ROUND(IFERROR((LOOKUP(2,1/(A644=A656),E644)),0)+IFERROR((LOOKUP(2,1/(A645=A656),E645)),0),2)</f>
        <v>0</v>
      </c>
      <c r="D656" s="21">
        <f>ROUND(IF(B656=0,0,D652/M631*P633),2)</f>
        <v>0</v>
      </c>
      <c r="E656" s="21">
        <f>ROUND(IF(B656=0,0,E652/N627*P633),2)</f>
        <v>0</v>
      </c>
      <c r="F656" s="22">
        <f>ROUND(IF(P633=0,0,IFERROR(((LOOKUP(2,1/(A638:A641=A656),I638:I641))/N627*P633),F655/P632*P633)),2)</f>
        <v>0</v>
      </c>
      <c r="G656" s="25">
        <f t="shared" si="108"/>
        <v>0</v>
      </c>
      <c r="H656" s="64">
        <f>IF(B656=0,0,IF(AND(H644="ja",((U656)&lt;R669)),ROUND(((R671*R668+((R669/(R669-R668))-(R668/(R669-R668))*R671)*((U656)-R668))*(H652*2))-(((R669/(R669-R668))*((U656)-R668))*H652),2),ROUND(IF(V655&lt;(SUM(R653:R655)),IF((V656)&gt;(SUM(R653:R656)),(((SUM(R653:R656))-(V656-C655))*H652)+((U656-C655)*H652),U656*H652),IF(V656&gt;(SUM(R653:R656)),R656*H652,U656*H652)),2)))</f>
        <v>0</v>
      </c>
      <c r="I656" s="64">
        <f>IF(B656=0,0,IF(AND(H644="ja",((U656)&lt;R669)),ROUND(((R671*R668+((R669/(R669-R668))-(R668/(R669-R668))*R671)*((U656)-R668))*(I652*2))-(((R669/(R669-R668))*((U656)-R668))*I652),2),ROUND(IF(V655&lt;(SUM(S653:S655)),IF((V656)&gt;(SUM(S653:S656)),(((SUM(S653:S656))-(V656-C655))*I652)+((U656-C655)*I652),U656*I652),IF(V656&gt;(SUM(S653:S656)),S656*I652,U656*I652)),2)))</f>
        <v>0</v>
      </c>
      <c r="J656" s="64">
        <f>IF(B656=0,0,IF(AND(H644="ja",((U656)&lt;R669)),ROUND(((R671*R668+((R669/(R669-R668))-(R668/(R669-R668))*R671)*((U656)-R668))*(J652*2))-(((R669/(R669-R668))*((U656)-R668))*J652),2),ROUND(IF(U655&lt;(SUM(S653:S655)),IF((V656)&gt;(SUM(S653:S656)),(((SUM(S653:S656))-(V656-C655))*J652)+((U656-C655)*J652),U656*J652),IF(V656&gt;(SUM(S653:S656)),S656*J652,U656*J652)),2)))</f>
        <v>0</v>
      </c>
      <c r="K656" s="64">
        <f>IF(B656=0,0,IF(AND(H644="ja",((U656)&lt;R669)),ROUND(((R671*R668+((R669/(R669-R668))-(R668/(R669-R668))*R671)*((U656)-R668))*(K652*2))-(((R669/(R669-R668))*((U656)-R668))*K652),2),ROUND(IF(V655&lt;(SUM(R653:R655)),IF((V656)&gt;(SUM(R653:R656)),(((SUM(R653:R656))-(V656-C655))*K652)+((U656-C655)*K652),U656*K652),IF(V656&gt;(SUM(R653:R656)),R656*K652,U656*K652)),2)))</f>
        <v>0</v>
      </c>
      <c r="L656" s="64">
        <f>IF(B656=0,0,IF(AND(H644="ja",((U656-C656)&lt;R669)),ROUND(((R671*R668+((R669/(R669-R668))-(R668/(R669-R668))*R671)*((U656-C656)-R668))*(L652)),2),ROUND(IF(SUM(B653:F655)&lt;(SUM(S653:S655)),IF((SUM(B653:F656))&gt;(SUM(S653:S656)),(((SUM(S653:S656))-(SUM(B653:F656)-C656))*L652)+((SUM(B656:F656)-C656)*L652),(SUM(B656:F656)-C656)*L652),IF(SUM(B653:F656)&gt;(SUM(S653:S656)),S656*L652,SUM(B656:F656)*L652)),2)))</f>
        <v>0</v>
      </c>
      <c r="M656" s="64">
        <f>IF(B656=0,0,IF(AND(H644="ja",((U656-C656)&lt;R669)),ROUND(((R671*R668+((R669/(R669-R668))-(R668/(R669-R668))*R671)*((U656-C656)-R668))*(M652)),2),ROUND(IF(SUM(B653:F655)&lt;(SUM(S653:S655)),IF((SUM(B653:F656))&gt;(SUM(S653:S656)),(((SUM(S653:S656))-(SUM(B653:F656)-C656))*M652)+((SUM(B656:F656)-C656)*M652),(SUM(B656:F656)-C656)*M652),IF(SUM(B653:F656)&gt;(SUM(S653:S656)),S656*M652,SUM(B656:F656)*M652)),2)))</f>
        <v>0</v>
      </c>
      <c r="N656" s="64">
        <f>IF(B656=0,0,IF(AND(H644="ja",((U656)&lt;R669)),ROUND(((R671*R668+((R669/(R669-R668))-(R668/(R669-R668))*R671)*((U656)-R668))*(N652)),2),ROUND(IF(SUM(B653:F655)&lt;(SUM(S653:S655)),IF((SUM(B653:F656))&gt;(SUM(S653:S656)),(((SUM(S653:S656))-(SUM(B653:F656)-C655))*N652)+((SUM(B656:F656)-C655)*N652),SUM(B656:F656)*N652),IF(SUM(B653:F656)&gt;(SUM(S653:S656)),S656*N652,SUM(B656:F656)*N652)),2)))</f>
        <v>0</v>
      </c>
      <c r="O656" s="21">
        <f>ROUND(SUM(B656+C656+F656)*O652,2)</f>
        <v>0</v>
      </c>
      <c r="P656" s="25">
        <f t="shared" si="109"/>
        <v>0</v>
      </c>
      <c r="Q656" s="456"/>
      <c r="R656" s="140">
        <f>ROUND(IF(M631="",R647,R647/M631*P633),2)</f>
        <v>5175</v>
      </c>
      <c r="S656" s="140">
        <f>ROUND(IF(M631="",R648,R648/M631*P633),2)</f>
        <v>7450</v>
      </c>
      <c r="U656" s="950">
        <f t="shared" si="110"/>
        <v>0</v>
      </c>
      <c r="V656" s="950">
        <f>SUM(B653:F656)</f>
        <v>0</v>
      </c>
    </row>
    <row r="657" spans="1:24" s="1" customFormat="1" x14ac:dyDescent="0.2">
      <c r="A657" s="76" t="str">
        <f>CONCATENATE("Mai ",O629)</f>
        <v>Mai 2025</v>
      </c>
      <c r="B657" s="22">
        <f>ROUND(IF(P634=0,0,IFERROR(((LOOKUP(2,1/(A638:A641=A657),G638:G641))*P634*4.348),B656/P633*P634)),2)</f>
        <v>0</v>
      </c>
      <c r="C657" s="21">
        <f>ROUND(IFERROR((LOOKUP(2,1/(A644=A657),E644)),0)+IFERROR((LOOKUP(2,1/(A645=A657),E645)),0),2)</f>
        <v>0</v>
      </c>
      <c r="D657" s="21">
        <f>ROUND(IF(B657=0,0,D652/M631*P634),2)</f>
        <v>0</v>
      </c>
      <c r="E657" s="21">
        <f>ROUND(IF(B657=0,0,E652/N627*P634),2)</f>
        <v>0</v>
      </c>
      <c r="F657" s="22">
        <f>ROUND(IF(P634=0,0,IFERROR(((LOOKUP(2,1/(A638:A641=A657),I638:I641))/N627*P634),F656/P633*P634)),2)</f>
        <v>0</v>
      </c>
      <c r="G657" s="25">
        <f t="shared" si="108"/>
        <v>0</v>
      </c>
      <c r="H657" s="64">
        <f>IF(B657=0,0,IF(AND(H644="ja",((U657)&lt;R669)),ROUND(((R671*R668+((R669/(R669-R668))-(R668/(R669-R668))*R671)*((U657)-R668))*(H652*2))-(((R669/(R669-R668))*((U657)-R668))*H652),2),ROUND(IF(V656&lt;(SUM(R653:R656)),IF((V657)&gt;(SUM(R653:R657)),(((SUM(R653:R657))-(V657-C656))*H652)+((U657-C656)*H652),U657*H652),IF(V657&gt;(SUM(R653:R657)),R657*H652,U657*H652)),2)))</f>
        <v>0</v>
      </c>
      <c r="I657" s="64">
        <f>IF(B657=0,0,IF(AND(H644="ja",((U657)&lt;R669)),ROUND(((R671*R668+((R669/(R669-R668))-(R668/(R669-R668))*R671)*((U657)-R668))*(I652*2))-(((R669/(R669-R668))*((U657)-R668))*I652),2),ROUND(IF(V656&lt;(SUM(S653:S656)),IF((V657)&gt;(SUM(S653:S657)),(((SUM(S653:S657))-(V657-C656))*I652)+((U657-C656)*I652),U657*I652),IF(V657&gt;(SUM(S653:S657)),S657*I652,U657*I652)),2)))</f>
        <v>0</v>
      </c>
      <c r="J657" s="64">
        <f>IF(B657=0,0,IF(AND(H644="ja",((U657)&lt;R669)),ROUND(((R671*R668+((R669/(R669-R668))-(R668/(R669-R668))*R671)*((U657)-R668))*(J652*2))-(((R669/(R669-R668))*((U657)-R668))*J652),2),ROUND(IF(V656&lt;(SUM(S653:S656)),IF((V657)&gt;(SUM(S653:S657)),(((SUM(S653:S657))-(V657-C656))*J652)+((U657-C656)*J652),U657*J652),IF(V657&gt;(SUM(S653:S657)),S657*J652,U657*J652)),2)))</f>
        <v>0</v>
      </c>
      <c r="K657" s="64">
        <f>IF(B657=0,0,IF(AND(H644="ja",((U657)&lt;R669)),ROUND(((R671*R668+((R669/(R669-R668))-(R668/(R669-R668))*R671)*((U657)-R668))*(K652*2))-(((R669/(R669-R668))*((U657)-R668))*K652),2),ROUND(IF(V656&lt;(SUM(R653:R656)),IF((V657)&gt;(SUM(R653:R657)),(((SUM(R653:R657))-(V657-C656))*K652)+((U657-C656)*K652),U657*K652),IF(V657&gt;(SUM(R653:R657)),R657*K652,U657*K652)),2)))</f>
        <v>0</v>
      </c>
      <c r="L657" s="64">
        <f>IF(B657=0,0,IF(AND(H644="ja",((U657-C657)&lt;R669)),ROUND(((R671*R668+((R669/(R669-R668))-(R668/(R669-R668))*R671)*((U657-C657)-R668))*(L652)),2),ROUND(IF(SUM(B653:F656)&lt;(SUM(S653:S656)),IF((SUM(B653:F657))&gt;(SUM(S653:S657)),(((SUM(S653:S657))-(SUM(B653:F657)-C657))*L652)+((SUM(B657:F657)-C657)*L652),(SUM(B657:F657)-C657)*L652),IF(SUM(B653:F657)&gt;(SUM(S653:S657)),S657*L652,SUM(B657:F657)*L652)),2)))</f>
        <v>0</v>
      </c>
      <c r="M657" s="64">
        <f>IF(B657=0,0,IF(AND(H644="ja",((U657-C657)&lt;R669)),ROUND(((R671*R668+((R669/(R669-R668))-(R668/(R669-R668))*R671)*((U657-C657)-R668))*(M652)),2),ROUND(IF(SUM(B653:F656)&lt;(SUM(S653:S656)),IF((SUM(B653:F657))&gt;(SUM(S653:S657)),(((SUM(S653:S657))-(SUM(B653:F657)-C657))*M652)+((SUM(B657:F657)-C657)*M652),(SUM(B657:F657)-C657)*M652),IF(SUM(B653:F657)&gt;(SUM(S653:S657)),S657*M652,SUM(B657:F657)*M652)),2)))</f>
        <v>0</v>
      </c>
      <c r="N657" s="64">
        <f>IF(B657=0,0,IF(AND(H644="ja",((U657)&lt;R669)),ROUND(((R671*R668+((R669/(R669-R668))-(R668/(R669-R668))*R671)*((U657)-R668))*(N652)),2),ROUND(IF(SUM(B653:F656)&lt;(SUM(S653:S656)),IF((SUM(B653:F657))&gt;(SUM(S653:S657)),(((SUM(S653:S657))-(SUM(B653:F657)-C656))*N652)+((SUM(B657:F657)-C656)*N652),SUM(B657:F657)*N652),IF(SUM(B653:F657)&gt;(SUM(S653:S657)),S657*N652,SUM(B657:F657)*N652)),2)))</f>
        <v>0</v>
      </c>
      <c r="O657" s="21">
        <f>ROUND(SUM(B657+C657+F657)*O652,2)</f>
        <v>0</v>
      </c>
      <c r="P657" s="25">
        <f t="shared" si="109"/>
        <v>0</v>
      </c>
      <c r="Q657" s="456"/>
      <c r="R657" s="140">
        <f>ROUND(IF(M631="",R647,R647/M631*P634),2)</f>
        <v>5175</v>
      </c>
      <c r="S657" s="140">
        <f>ROUND(IF(M631="",R648,R648/M631*P634),2)</f>
        <v>7450</v>
      </c>
      <c r="U657" s="950">
        <f t="shared" si="110"/>
        <v>0</v>
      </c>
      <c r="V657" s="950">
        <f>SUM(B653:F657)</f>
        <v>0</v>
      </c>
    </row>
    <row r="658" spans="1:24" s="1" customFormat="1" x14ac:dyDescent="0.2">
      <c r="A658" s="76" t="str">
        <f>CONCATENATE("Jun ",O629)</f>
        <v>Jun 2025</v>
      </c>
      <c r="B658" s="22">
        <f>ROUND(IF(P635=0,0,IFERROR(((LOOKUP(2,1/(A638:A641=A658),G638:G641))*P635*4.348),B657/P634*P635)),2)</f>
        <v>0</v>
      </c>
      <c r="C658" s="21">
        <f>ROUND(IFERROR((LOOKUP(2,1/(A644=A658),E644)),0)+IFERROR((LOOKUP(2,1/(A645=A658),E645)),0),2)</f>
        <v>0</v>
      </c>
      <c r="D658" s="21">
        <f>ROUND(IF(B658=0,0,D652/M631*P635),2)</f>
        <v>0</v>
      </c>
      <c r="E658" s="21">
        <f>ROUND(IF(B658=0,0,E652/N627*P635),2)</f>
        <v>0</v>
      </c>
      <c r="F658" s="22">
        <f>ROUND(IF(P635=0,0,IFERROR(((LOOKUP(2,1/(A638:A641=A658),I638:I641))/N627*P635),F657/P634*P635)),2)</f>
        <v>0</v>
      </c>
      <c r="G658" s="25">
        <f t="shared" si="108"/>
        <v>0</v>
      </c>
      <c r="H658" s="64">
        <f>IF(B658=0,0,IF(AND(H644="ja",((U658)&lt;R669)),ROUND(((R671*R668+((R669/(R669-R668))-(R668/(R669-R668))*R671)*((U658)-R668))*(H652*2))-(((R669/(R669-R668))*((U658)-R668))*H652),2),ROUND(IF(V657&lt;(SUM(R653:R657)),IF((V658)&gt;(SUM(R653:R658)),(((SUM(R653:R658))-(V658-C657))*H652)+((U658-C657)*H652),U658*H652),IF(V658&gt;(SUM(R653:R658)),R658*H652,U658*H652)),2)))</f>
        <v>0</v>
      </c>
      <c r="I658" s="64">
        <f>IF(B658=0,0,IF(AND(H644="ja",((U658)&lt;R669)),ROUND(((R671*R668+((R669/(R669-R668))-(R668/(R669-R668))*R671)*((U658)-R668))*(I652*2))-(((R669/(R669-R668))*((U658)-R668))*I652),2),ROUND(IF(V657&lt;(SUM(S653:S657)),IF((V658)&gt;(SUM(S653:S658)),(((SUM(S653:S658))-(V658-C657))*I652)+((U658-C657)*I652),U658*I652),IF(V658&gt;(SUM(S653:S658)),S658*I652,U658*I652)),2)))</f>
        <v>0</v>
      </c>
      <c r="J658" s="64">
        <f>IF(B658=0,0,IF(AND(H644="ja",((U658)&lt;R669)),ROUND(((R671*R668+((R669/(R669-R668))-(R668/(R669-R668))*R671)*((U658)-R668))*(J652*2))-(((R669/(R669-R668))*((U658)-R668))*J652),2),ROUND(IF(V657&lt;(SUM(S653:S657)),IF((V658)&gt;(SUM(S653:S658)),(((SUM(S653:S658))-(V658-C657))*J652)+((U658-C657)*J652),U658*J652),IF(V658&gt;(SUM(S653:S658)),S658*J652,U658*J652)),2)))</f>
        <v>0</v>
      </c>
      <c r="K658" s="64">
        <f>IF(B658=0,0,IF(AND(H644="ja",((U658)&lt;R669)),ROUND(((R671*R668+((R669/(R669-R668))-(R668/(R669-R668))*R671)*((U658)-R668))*(K652*2))-(((R669/(R669-R668))*((U658)-R668))*K652),2),ROUND(IF(V657&lt;(SUM(R653:R657)),IF((V658)&gt;(SUM(R653:R658)),(((SUM(R653:R658))-(V658-C657))*K652)+((U658-C657)*K652),U658*K652),IF(V658&gt;(SUM(R653:R658)),R658*K652,U658*K652)),2)))</f>
        <v>0</v>
      </c>
      <c r="L658" s="64">
        <f>IF(B658=0,0,IF(AND(H644="ja",((U658-C658)&lt;R669)),ROUND(((R671*R668+((R669/(R669-R668))-(R668/(R669-R668))*R671)*((U658-C658)-R668))*(L652)),2),ROUND(IF(SUM(B653:F657)&lt;(SUM(S653:S657)),IF((SUM(B653:F658))&gt;(SUM(S653:S658)),(((SUM(S653:S658))-(SUM(B653:F658)-C658))*L652)+((SUM(B658:F658)-C658)*L652),(SUM(B658:F658)-C658)*L652),IF(SUM(B653:F658)&gt;(SUM(S653:S658)),S658*L652,SUM(B658:F658)*L652)),2)))</f>
        <v>0</v>
      </c>
      <c r="M658" s="64">
        <f>IF(B658=0,0,IF(AND(H644="ja",((U658-C658)&lt;R669)),ROUND(((R671*R668+((R669/(R669-R668))-(R668/(R669-R668))*R671)*((U658-C658)-R668))*(M652)),2),ROUND(IF(SUM(B653:F657)&lt;(SUM(S653:S657)),IF((SUM(B653:F658))&gt;(SUM(S653:S658)),(((SUM(S653:S658))-(SUM(B653:F658)-C658))*M652)+((SUM(B658:F658)-C658)*M652),(SUM(B658:F658)-C658)*M652),IF(SUM(B653:F658)&gt;(SUM(S653:S658)),S658*M652,SUM(B658:F658)*M652)),2)))</f>
        <v>0</v>
      </c>
      <c r="N658" s="64">
        <f>IF(B658=0,0,IF(AND(H644="ja",((U658)&lt;R669)),ROUND(((R671*R668+((R669/(R669-R668))-(R668/(R669-R668))*R671)*((U658)-R668))*(N652)),2),ROUND(IF(SUM(B653:F657)&lt;(SUM(S653:S657)),IF((SUM(B653:F658))&gt;(SUM(S653:S658)),(((SUM(S653:S658))-(SUM(B653:F658)-C657))*N652)+((SUM(B658:F658)-C657)*N652),SUM(B658:F658)*N652),IF(SUM(B653:F658)&gt;(SUM(S653:S658)),S658*N652,SUM(B658:F658)*N652)),2)))</f>
        <v>0</v>
      </c>
      <c r="O658" s="21">
        <f>ROUND(SUM(B658+C658+F658)*O652,2)</f>
        <v>0</v>
      </c>
      <c r="P658" s="25">
        <f t="shared" si="109"/>
        <v>0</v>
      </c>
      <c r="Q658" s="456"/>
      <c r="R658" s="140">
        <f>ROUND(IF(M631="",R647,R647/M631*P635),2)</f>
        <v>5175</v>
      </c>
      <c r="S658" s="140">
        <f>ROUND(IF(M631="",R648,R648/M631*P635),2)</f>
        <v>7450</v>
      </c>
      <c r="U658" s="950">
        <f t="shared" si="110"/>
        <v>0</v>
      </c>
      <c r="V658" s="950">
        <f>SUM(B653:F658)</f>
        <v>0</v>
      </c>
    </row>
    <row r="659" spans="1:24" s="1" customFormat="1" x14ac:dyDescent="0.2">
      <c r="A659" s="76" t="str">
        <f>CONCATENATE("Jul ",O629)</f>
        <v>Jul 2025</v>
      </c>
      <c r="B659" s="22">
        <f>ROUND(IF(P636=0,0,IFERROR(((LOOKUP(2,1/(A638:A641=A659),G638:G641))*P636*4.348),B658/P635*P636)),2)</f>
        <v>0</v>
      </c>
      <c r="C659" s="21">
        <f>ROUND(IFERROR((LOOKUP(2,1/(A644=A659),E644)),0)+IFERROR((LOOKUP(2,1/(A645=A659),E645)),0),2)</f>
        <v>0</v>
      </c>
      <c r="D659" s="21">
        <f>ROUND(IF(B659=0,0,D652/M631*P636),2)</f>
        <v>0</v>
      </c>
      <c r="E659" s="21">
        <f>ROUND(IF(B659=0,0,E652/N627*P636),2)</f>
        <v>0</v>
      </c>
      <c r="F659" s="22">
        <f>ROUND(IF(P636=0,0,IFERROR(((LOOKUP(2,1/(A638:A641=A659),I638:I641))/N627*P636),F658/P635*P636)),2)</f>
        <v>0</v>
      </c>
      <c r="G659" s="25">
        <f t="shared" si="108"/>
        <v>0</v>
      </c>
      <c r="H659" s="64">
        <f>IF(B659=0,0,IF(AND(H644="ja",((U659)&lt;R669)),ROUND(((R671*R668+((R669/(R669-R668))-(R668/(R669-R668))*R671)*((U659)-R668))*(H652*2))-(((R669/(R669-R668))*((U659)-R668))*H652),2),ROUND(IF(V658&lt;(SUM(R653:R658)),IF((V659)&gt;(SUM(R653:R659)),(((SUM(R653:R659))-(V659-C658))*H652)+((U659-C658)*H652),U659*H652),IF(V659&gt;(SUM(R653:R659)),R659*H652,U659*H652)),2)))</f>
        <v>0</v>
      </c>
      <c r="I659" s="64">
        <f>IF(B659=0,0,IF(AND(H644="ja",((U659)&lt;R669)),ROUND(((R671*R668+((R669/(R669-R668))-(R668/(R669-R668))*R671)*((U659)-R668))*(I652*2))-(((R669/(R669-R668))*((U659)-R668))*I652),2),ROUND(IF(V658&lt;(SUM(S653:S658)),IF((V659)&gt;(SUM(S653:S659)),(((SUM(S653:S659))-(V659-C658))*I652)+((U659-C658)*I652),U659*I652),IF(V659&gt;(SUM(S653:S659)),S659*I652,U659*I652)),2)))</f>
        <v>0</v>
      </c>
      <c r="J659" s="64">
        <f>IF(B659=0,0,IF(AND(H644="ja",((U659)&lt;R669)),ROUND(((R671*R668+((R669/(R669-R668))-(R668/(R669-R668))*R671)*((U659)-R668))*(J652*2))-(((R669/(R669-R668))*((U659)-R668))*J652),2),ROUND(IF(V658&lt;(SUM(S653:S658)),IF((V659)&gt;(SUM(S653:S659)),(((SUM(S653:S659))-(V659-C658))*J652)+((U659-C658)*J652),U659*J652),IF(V659&gt;(SUM(S653:S659)),S659*J652,U659*J652)),2)))</f>
        <v>0</v>
      </c>
      <c r="K659" s="64">
        <f>IF(B659=0,0,IF(AND(H644="ja",((U659)&lt;R669)),ROUND(((R671*R668+((R669/(R669-R668))-(R668/(R669-R668))*R671)*((U659)-R668))*(K652*2))-(((R669/(R669-R668))*((U659)-R668))*K652),2),ROUND(IF(V658&lt;(SUM(R653:R658)),IF((V659)&gt;(SUM(R653:R659)),(((SUM(R653:R659))-(V659-C658))*K652)+((U659-C658)*K652),U659*K652),IF(V659&gt;(SUM(R653:R659)),R659*K652,U659*K652)),2)))</f>
        <v>0</v>
      </c>
      <c r="L659" s="64">
        <f>IF(B659=0,0,IF(AND(H644="ja",((U659-C659)&lt;R669)),ROUND(((R671*R668+((R669/(R669-R668))-(R668/(R669-R668))*R671)*((U659-C659)-R668))*(L652)),2),ROUND(IF(SUM(B653:F658)&lt;(SUM(S653:S658)),IF((SUM(B653:F659))&gt;(SUM(S653:S659)),(((SUM(S653:S659))-(SUM(B653:F659)-C659))*L652)+((SUM(B659:F659)-C659)*L652),(SUM(B659:F659)-C659)*L652),IF(SUM(B653:F659)&gt;(SUM(S653:S659)),S659*L652,SUM(B659:F659)*L652)),2)))</f>
        <v>0</v>
      </c>
      <c r="M659" s="64">
        <f>IF(B659=0,0,IF(AND(H644="ja",((U659-C659)&lt;R669)),ROUND(((R671*R668+((R669/(R669-R668))-(R668/(R669-R668))*R671)*((U659-C659)-R668))*(M652)),2),ROUND(IF(SUM(B653:F658)&lt;(SUM(S653:S658)),IF((SUM(B653:F659))&gt;(SUM(S653:S659)),(((SUM(S653:S659))-(SUM(B653:F659)-C659))*M652)+((SUM(B659:F659)-C659)*M652),(SUM(B659:F659)-C659)*M652),IF(SUM(B653:F659)&gt;(SUM(S653:S659)),S659*M652,SUM(B659:F659)*M652)),2)))</f>
        <v>0</v>
      </c>
      <c r="N659" s="64">
        <f>IF(B659=0,0,IF(AND(H644="ja",((U659)&lt;R669)),ROUND(((R671*R668+((R669/(R669-R668))-(R668/(R669-R668))*R671)*((U659)-R668))*(N652)),2),ROUND(IF(SUM(B653:F658)&lt;(SUM(S653:S658)),IF((SUM(B653:F659))&gt;(SUM(S653:S659)),(((SUM(S653:S659))-(SUM(B653:F659)-C658))*N652)+((SUM(B659:F659)-C658)*N652),SUM(B659:F659)*N652),IF(SUM(B653:F659)&gt;(SUM(S653:S659)),S659*N652,SUM(B659:F659)*N652)),2)))</f>
        <v>0</v>
      </c>
      <c r="O659" s="21">
        <f>ROUND(SUM(B659+C659+F659)*O652,2)</f>
        <v>0</v>
      </c>
      <c r="P659" s="25">
        <f t="shared" si="109"/>
        <v>0</v>
      </c>
      <c r="Q659" s="456"/>
      <c r="R659" s="140">
        <f>ROUND(IF(M631="",R647,R647/M631*P636),2)</f>
        <v>5175</v>
      </c>
      <c r="S659" s="140">
        <f>ROUND(IF(M631="",R648,R648/M631*P636),2)</f>
        <v>7450</v>
      </c>
      <c r="U659" s="950">
        <f t="shared" si="110"/>
        <v>0</v>
      </c>
      <c r="V659" s="950">
        <f>SUM(B653:F659)</f>
        <v>0</v>
      </c>
    </row>
    <row r="660" spans="1:24" s="1" customFormat="1" x14ac:dyDescent="0.2">
      <c r="A660" s="76" t="str">
        <f>CONCATENATE("Aug ",O629)</f>
        <v>Aug 2025</v>
      </c>
      <c r="B660" s="22">
        <f>ROUND(IF(P637=0,0,IFERROR(((LOOKUP(2,1/(A638:A641=A660),G638:G641))*P637*4.348),B659/P636*P637)),2)</f>
        <v>0</v>
      </c>
      <c r="C660" s="21">
        <f>ROUND(IFERROR((LOOKUP(2,1/(A644=A660),E644)),0)+IFERROR((LOOKUP(2,1/(A645=A660),E645)),0),2)</f>
        <v>0</v>
      </c>
      <c r="D660" s="21">
        <f>ROUND(IF(B660=0,0,D652/M631*P637),2)</f>
        <v>0</v>
      </c>
      <c r="E660" s="21">
        <f>ROUND(IF(B660=0,0,E652/N627*P637),2)</f>
        <v>0</v>
      </c>
      <c r="F660" s="22">
        <f>ROUND(IF(P637=0,0,IFERROR(((LOOKUP(2,1/(A638:A641=A660),I638:I641))/N627*P637),F659/P636*P637)),2)</f>
        <v>0</v>
      </c>
      <c r="G660" s="25">
        <f t="shared" si="108"/>
        <v>0</v>
      </c>
      <c r="H660" s="64">
        <f>IF(B660=0,0,IF(AND(H644="ja",((U660)&lt;R669)),ROUND(((R671*R668+((R669/(R669-R668))-(R668/(R669-R668))*R671)*((U660)-R668))*(H652*2))-(((R669/(R669-R668))*((U660)-R668))*H652),2),ROUND(IF(V659&lt;(SUM(R653:R659)),IF((V660)&gt;(SUM(R653:R660)),(((SUM(R653:R660))-(V660-C659))*H652)+((U660-C659)*H652),U660*H652),IF(V660&gt;(SUM(R653:R660)),R660*H652,U660*H652)),2)))</f>
        <v>0</v>
      </c>
      <c r="I660" s="64">
        <f>IF(B660=0,0,IF(AND(H644="ja",((U660)&lt;R669)),ROUND(((R671*R668+((R669/(R669-R668))-(R668/(R669-R668))*R671)*((U660)-R668))*(I652*2))-(((R669/(R669-R668))*((U660)-R668))*I652),2),ROUND(IF(V659&lt;(SUM(S653:S659)),IF((V660)&gt;(SUM(S653:S660)),(((SUM(S653:S660))-(V660-C659))*I652)+((U660-C659)*I652),U660*I652),IF(V660&gt;(SUM(S653:S660)),S660*I652,U660*I652)),2)))</f>
        <v>0</v>
      </c>
      <c r="J660" s="64">
        <f>IF(B660=0,0,IF(AND(H644="ja",((U660)&lt;R669)),ROUND(((R671*R668+((R669/(R669-R668))-(R668/(R669-R668))*R671)*((U660)-R668))*(J652*2))-(((R669/(R669-R668))*((U660)-R668))*J652),2),ROUND(IF(V659&lt;(SUM(S653:S659)),IF((V660)&gt;(SUM(S653:S660)),(((SUM(S653:S660))-(V660-C659))*J652)+((U660-C659)*J652),U660*J652),IF(V660&gt;(SUM(S653:S660)),S660*J652,U660*J652)),2)))</f>
        <v>0</v>
      </c>
      <c r="K660" s="64">
        <f>IF(B660=0,0,IF(AND(H644="ja",((U660)&lt;R669)),ROUND(((R671*R668+((R669/(R669-R668))-(R668/(R669-R668))*R671)*((U660)-R668))*(K652*2))-(((R669/(R669-R668))*((U660)-R668))*K652),2),ROUND(IF(V659&lt;(SUM(R653:R659)),IF((V660)&gt;(SUM(R653:R660)),(((SUM(R653:R660))-(V660-C659))*K652)+((U660-C659)*K652),U660*K652),IF(V660&gt;(SUM(R653:R660)),R660*K652,U660*K652)),2)))</f>
        <v>0</v>
      </c>
      <c r="L660" s="64">
        <f>IF(B660=0,0,IF(AND(H644="ja",((U660-C660)&lt;R669)),ROUND(((R671*R668+((R669/(R669-R668))-(R668/(R669-R668))*R671)*((U660-C660)-R668))*(L652)),2),ROUND(IF(SUM(B653:F659)&lt;(SUM(S653:S659)),IF((SUM(B653:F660))&gt;(SUM(S653:S660)),(((SUM(S653:S660))-(SUM(B653:F660)-C660))*L652)+((SUM(B660:F660)-C660)*L652),(SUM(B660:F660)-C660)*L652),IF(SUM(B653:F660)&gt;(SUM(S653:S660)),S660*L652,SUM(B660:F660)*L652)),2)))</f>
        <v>0</v>
      </c>
      <c r="M660" s="64">
        <f>IF(B660=0,0,IF(AND(H644="ja",((U660-C660)&lt;R669)),ROUND(((R671*R668+((R669/(R669-R668))-(R668/(R669-R668))*R671)*((U660-C660)-R668))*(M652)),2),ROUND(IF(SUM(B653:F659)&lt;(SUM(S653:S659)),IF((SUM(B653:F660))&gt;(SUM(S653:S660)),(((SUM(S653:S660))-(SUM(B653:F660)-C660))*M652)+((SUM(B660:F660)-C660)*M652),(SUM(B660:F660)-C660)*M652),IF(SUM(B653:F660)&gt;(SUM(S653:S660)),S660*M652,SUM(B660:F660)*M652)),2)))</f>
        <v>0</v>
      </c>
      <c r="N660" s="64">
        <f>IF(B660=0,0,IF(AND(H644="ja",((U660)&lt;R669)),ROUND(((R671*R668+((R669/(R669-R668))-(R668/(R669-R668))*R671)*((U660)-R668))*(N652)),2),ROUND(IF(SUM(B653:F659)&lt;(SUM(S653:S659)),IF((SUM(B653:F660))&gt;(SUM(S653:S660)),(((SUM(S653:S660))-(SUM(B653:F660)-C659))*N652)+((SUM(B660:F660)-C659)*N652),SUM(B660:F660)*N652),IF(SUM(B653:F660)&gt;(SUM(S653:S660)),S660*N652,SUM(B660:F660)*N652)),2)))</f>
        <v>0</v>
      </c>
      <c r="O660" s="21">
        <f>ROUND(SUM(B660+C660+F660)*O652,2)</f>
        <v>0</v>
      </c>
      <c r="P660" s="25">
        <f t="shared" si="109"/>
        <v>0</v>
      </c>
      <c r="Q660" s="456"/>
      <c r="R660" s="140">
        <f>ROUND(IF(M631="",R647,R647/M631*P637),2)</f>
        <v>5175</v>
      </c>
      <c r="S660" s="140">
        <f>ROUND(IF(M631="",R648,R648/M631*P637),2)</f>
        <v>7450</v>
      </c>
      <c r="U660" s="950">
        <f t="shared" si="110"/>
        <v>0</v>
      </c>
      <c r="V660" s="950">
        <f>SUM(B653:F660)</f>
        <v>0</v>
      </c>
    </row>
    <row r="661" spans="1:24" s="1" customFormat="1" x14ac:dyDescent="0.2">
      <c r="A661" s="76" t="str">
        <f>CONCATENATE("Sep ",O629)</f>
        <v>Sep 2025</v>
      </c>
      <c r="B661" s="22">
        <f>ROUND(IF(P638=0,0,IFERROR(((LOOKUP(2,1/(A638:A641=A661),G638:G641))*P638*4.348),B660/P637*P638)),2)</f>
        <v>0</v>
      </c>
      <c r="C661" s="21">
        <f>ROUND(IFERROR((LOOKUP(2,1/(A644=A661),E644)),0)+IFERROR((LOOKUP(2,1/(A645=A661),E645)),0),2)</f>
        <v>0</v>
      </c>
      <c r="D661" s="21">
        <f>ROUND(IF(B661=0,0,D652/M631*P638),2)</f>
        <v>0</v>
      </c>
      <c r="E661" s="21">
        <f>ROUND(IF(B661=0,0,E652/N627*P638),2)</f>
        <v>0</v>
      </c>
      <c r="F661" s="22">
        <f>ROUND(IF(P638=0,0,IFERROR(((LOOKUP(2,1/(A638:A641=A661),I638:I641))/N627*P638),F660/P637*P638)),2)</f>
        <v>0</v>
      </c>
      <c r="G661" s="25">
        <f t="shared" si="108"/>
        <v>0</v>
      </c>
      <c r="H661" s="64">
        <f>IF(B661=0,0,IF(AND(H644="ja",((U661)&lt;R669)),ROUND(((R671*R668+((R669/(R669-R668))-(R668/(R669-R668))*R671)*((U661)-R668))*(H652*2))-(((R669/(R669-R668))*((U661)-R668))*H652),2),ROUND(IF(V660&lt;(SUM(R653:R660)),IF((V661)&gt;(SUM(R653:R661)),(((SUM(R653:R661))-(V661-C660))*H652)+((U661-C660)*H652),U661*H652),IF(V661&gt;(SUM(R653:R661)),R661*H652,U661*H652)),2)))</f>
        <v>0</v>
      </c>
      <c r="I661" s="64">
        <f>IF(B661=0,0,IF(AND(H644="ja",((U661)&lt;R669)),ROUND(((R671*R668+((R669/(R669-R668))-(R668/(R669-R668))*R671)*((U661)-R668))*(I652*2))-(((R669/(R669-R668))*((U661)-R668))*I652),2),ROUND(IF(V660&lt;(SUM(S653:S660)),IF((V661)&gt;(SUM(S653:S661)),(((SUM(S653:S661))-(V661-C660))*I652)+((U661-C660)*I652),U661*I652),IF(V661&gt;(SUM(S653:S661)),S661*I652,U661*I652)),2)))</f>
        <v>0</v>
      </c>
      <c r="J661" s="64">
        <f>IF(B661=0,0,IF(AND(H644="ja",((U661)&lt;R669)),ROUND(((R671*R668+((R669/(R669-R668))-(R668/(R669-R668))*R671)*((U661)-R668))*(J652*2))-(((R669/(R669-R668))*((U661)-R668))*J652),2),ROUND(IF(V660&lt;(SUM(S653:S660)),IF((V661)&gt;(SUM(S653:S661)),(((SUM(S653:S661))-(V661-C660))*J652)+((U661-C660)*J652),U661*J652),IF(V661&gt;(SUM(S653:S661)),S661*J652,U661*J652)),2)))</f>
        <v>0</v>
      </c>
      <c r="K661" s="64">
        <f>IF(B661=0,0,IF(AND(H644="ja",((U661)&lt;R669)),ROUND(((R671*R668+((R669/(R669-R668))-(R668/(R669-R668))*R671)*((U661)-R668))*(K652*2))-(((R669/(R669-R668))*((U661)-R668))*K652),2),ROUND(IF(V660&lt;(SUM(R653:R660)),IF((V661)&gt;(SUM(R653:R661)),(((SUM(R653:R661))-(V661-C660))*K652)+((U661-C660)*K652),U661*K652),IF(V661&gt;(SUM(R653:R661)),R661*K652,U661*K652)),2)))</f>
        <v>0</v>
      </c>
      <c r="L661" s="64">
        <f>IF(B661=0,0,IF(AND(H644="ja",((U661-C661)&lt;R669)),ROUND(((R671*R668+((R669/(R669-R668))-(R668/(R669-R668))*R671)*((U661-C661)-R668))*(L652)),2),ROUND(IF(SUM(B653:F660)&lt;(SUM(S653:S660)),IF((SUM(B653:F661))&gt;(SUM(S653:S661)),(((SUM(S653:S661))-(SUM(B653:F661)-C661))*L652)+((SUM(B661:F661)-C661)*L652),(SUM(B661:F661)-C661)*L652),IF(SUM(B653:F661)&gt;(SUM(S653:S661)),S661*L652,SUM(B661:F661)*L652)),2)))</f>
        <v>0</v>
      </c>
      <c r="M661" s="64">
        <f>IF(B661=0,0,IF(AND(H644="ja",((U661-C661)&lt;R669)),ROUND(((R671*R668+((R669/(R669-R668))-(R668/(R669-R668))*R671)*((U661-C661)-R668))*(M652)),2),ROUND(IF(SUM(B653:F660)&lt;(SUM(S653:S660)),IF((SUM(B653:F661))&gt;(SUM(S653:S661)),(((SUM(S653:S661))-(SUM(B653:F661)-C661))*M652)+((SUM(B661:F661)-C661)*M652),(SUM(B661:F661)-C661)*M652),IF(SUM(B653:F661)&gt;(SUM(S653:S661)),S661*M652,SUM(B661:F661)*M652)),2)))</f>
        <v>0</v>
      </c>
      <c r="N661" s="64">
        <f>IF(B661=0,0,IF(AND(H644="ja",((U661)&lt;R669)),ROUND(((R671*R668+((R669/(R669-R668))-(R668/(R669-R668))*R671)*((U661)-R668))*(N652)),2),ROUND(IF(SUM(B653:F660)&lt;(SUM(S653:S660)),IF((SUM(B653:F661))&gt;(SUM(S653:S661)),(((SUM(S653:S661))-(SUM(B653:F661)-C660))*N652)+((SUM(B661:F661)-C660)*N652),SUM(B661:F661)*N652),IF(SUM(B653:F661)&gt;(SUM(S653:S661)),S661*N652,SUM(B661:F661)*N652)),2)))</f>
        <v>0</v>
      </c>
      <c r="O661" s="21">
        <f>ROUND(SUM(B661+C661+F661)*O652,2)</f>
        <v>0</v>
      </c>
      <c r="P661" s="25">
        <f t="shared" si="109"/>
        <v>0</v>
      </c>
      <c r="Q661" s="456"/>
      <c r="R661" s="140">
        <f>ROUND(IF(M631="",R647,R647/M631*P638),2)</f>
        <v>5175</v>
      </c>
      <c r="S661" s="140">
        <f>ROUND(IF(M631="",R648,R648/M631*P638),2)</f>
        <v>7450</v>
      </c>
      <c r="U661" s="950">
        <f t="shared" si="110"/>
        <v>0</v>
      </c>
      <c r="V661" s="950">
        <f>SUM(B653:F661)</f>
        <v>0</v>
      </c>
    </row>
    <row r="662" spans="1:24" s="12" customFormat="1" ht="15" x14ac:dyDescent="0.25">
      <c r="A662" s="76" t="str">
        <f>CONCATENATE("Okt ",O629)</f>
        <v>Okt 2025</v>
      </c>
      <c r="B662" s="22">
        <f>ROUND(IF(P639=0,0,IFERROR(((LOOKUP(2,1/(A638:A641=A662),G638:G641))*P639*4.348),B661/P638*P639)),2)</f>
        <v>0</v>
      </c>
      <c r="C662" s="21">
        <f>ROUND(IFERROR((LOOKUP(2,1/(A644=A662),E644)),0)+IFERROR((LOOKUP(2,1/(A645=A662),E645)),0),2)</f>
        <v>0</v>
      </c>
      <c r="D662" s="21">
        <f>ROUND(IF(B662=0,0,D652/M631*P639),2)</f>
        <v>0</v>
      </c>
      <c r="E662" s="21">
        <f>ROUND(IF(B662=0,0,E652/N627*P639),2)</f>
        <v>0</v>
      </c>
      <c r="F662" s="22">
        <f>ROUND(IF(P639=0,0,IFERROR(((LOOKUP(2,1/(A638:A641=A662),I638:I641))/N627*P639),F661/P638*P639)),2)</f>
        <v>0</v>
      </c>
      <c r="G662" s="25">
        <f t="shared" si="108"/>
        <v>0</v>
      </c>
      <c r="H662" s="64">
        <f>IF(B662=0,0,IF(AND(H644="ja",((U662)&lt;R669)),ROUND(((R671*R668+((R669/(R669-R668))-(R668/(R669-R668))*R671)*((U662)-R668))*(H652*2))-(((R669/(R669-R668))*((U662)-R668))*H652),2),ROUND(IF(V661&lt;(SUM(R653:R661)),IF((V662)&gt;(SUM(R653:R662)),(((SUM(R653:R662))-(V662-C661))*H652)+((U662-C661)*H652),U662*H652),IF(V662&gt;(SUM(R653:R662)),R662*H652,U662*H652)),2)))</f>
        <v>0</v>
      </c>
      <c r="I662" s="64">
        <f>IF(B662=0,0,IF(AND(H644="ja",((U662)&lt;R669)),ROUND(((R671*R668+((R669/(R669-R668))-(R668/(R669-R668))*R671)*((U662)-R668))*(I652*2))-(((R669/(R669-R668))*((U662)-R668))*I652),2),ROUND(IF(V661&lt;(SUM(S653:S661)),IF((V662)&gt;(SUM(S653:S662)),(((SUM(S653:S662))-(V662-C661))*I652)+((U662-C661)*I652),U662*I652),IF(V662&gt;(SUM(S653:S662)),S662*I652,U662*I652)),2)))</f>
        <v>0</v>
      </c>
      <c r="J662" s="64">
        <f>IF(B662=0,0,IF(AND(H644="ja",((U662)&lt;R669)),ROUND(((R671*R668+((R669/(R669-R668))-(R668/(R669-R668))*R671)*((U662)-R668))*(J652*2))-(((R669/(R669-R668))*((U662)-R668))*J652),2),ROUND(IF(V661&lt;(SUM(S653:S661)),IF((V662)&gt;(SUM(S653:S662)),(((SUM(S653:S662))-(V662-C661))*J652)+((U662-C661)*J652),U662*J652),IF(V662&gt;(SUM(S653:S662)),S662*J652,U662*J652)),2)))</f>
        <v>0</v>
      </c>
      <c r="K662" s="64">
        <f>IF(B662=0,0,IF(AND(H644="ja",((U662)&lt;R669)),ROUND(((R671*R668+((R669/(R669-R668))-(R668/(R669-R668))*R671)*((U662)-R668))*(K652*2))-(((R669/(R669-R668))*((U662)-R668))*K652),2),ROUND(IF(V661&lt;(SUM(R653:R661)),IF((V662)&gt;(SUM(R653:R662)),(((SUM(R653:R662))-(V662-C661))*K652)+((U662-C661)*K652),U662*K652),IF(V662&gt;(SUM(R653:R662)),R662*K652,U662*K652)),2)))</f>
        <v>0</v>
      </c>
      <c r="L662" s="64">
        <f>IF(B662=0,0,IF(AND(H644="ja",((U662-C662)&lt;R669)),ROUND(((R671*R668+((R669/(R669-R668))-(R668/(R669-R668))*R671)*((U662-C662)-R668))*(L652)),2),ROUND(IF(SUM(B653:F661)&lt;(SUM(S653:S661)),IF((SUM(B653:F662))&gt;(SUM(S653:S662)),(((SUM(S653:S662))-(SUM(B653:F662)-C662))*L652)+((SUM(B662:F662)-C662)*L652),(SUM(B662:F662)-C662)*L652),IF(SUM(B653:F662)&gt;(SUM(S653:S662)),S662*L652,SUM(B662:F662)*L652)),2)))</f>
        <v>0</v>
      </c>
      <c r="M662" s="64">
        <f>IF(B662=0,0,IF(AND(H644="ja",((U662-C662)&lt;R669)),ROUND(((R671*R668+((R669/(R669-R668))-(R668/(R669-R668))*R671)*((U662-C662)-R668))*(M652)),2),ROUND(IF(SUM(B653:F661)&lt;(SUM(S653:S661)),IF((SUM(B653:F662))&gt;(SUM(S653:S662)),(((SUM(S653:S662))-(SUM(B653:F662)-C662))*M652)+((SUM(B662:F662)-C662)*M652),(SUM(B662:F662)-C662)*M652),IF(SUM(B653:F662)&gt;(SUM(S653:S662)),S662*M652,SUM(B662:F662)*M652)),2)))</f>
        <v>0</v>
      </c>
      <c r="N662" s="64">
        <f>IF(B662=0,0,IF(AND(H644="ja",((U662)&lt;R669)),ROUND(((R671*R668+((R669/(R669-R668))-(R668/(R669-R668))*R671)*((U662)-R668))*(N652)),2),ROUND(IF(SUM(B653:F661)&lt;(SUM(S653:S661)),IF((SUM(B653:F662))&gt;(SUM(S653:S662)),(((SUM(S653:S662))-(SUM(B653:F662)-C661))*N652)+((SUM(B662:F662)-C661)*N652),SUM(B662:F662)*N652),IF(SUM(B653:F662)&gt;(SUM(S653:S662)),S662*N652,SUM(B662:F662)*N652)),2)))</f>
        <v>0</v>
      </c>
      <c r="O662" s="21">
        <f>ROUND(SUM(B662+C662+F662)*O652,2)</f>
        <v>0</v>
      </c>
      <c r="P662" s="25">
        <f t="shared" si="109"/>
        <v>0</v>
      </c>
      <c r="Q662" s="936"/>
      <c r="R662" s="140">
        <f>ROUND(IF(M631="",R647,R647/M631*P639),2)</f>
        <v>5175</v>
      </c>
      <c r="S662" s="140">
        <f>ROUND(IF(M631="",R648,R648/M631*P639),2)</f>
        <v>7450</v>
      </c>
      <c r="U662" s="950">
        <f t="shared" si="110"/>
        <v>0</v>
      </c>
      <c r="V662" s="950">
        <f>SUM(B653:F662)</f>
        <v>0</v>
      </c>
      <c r="X662" s="1"/>
    </row>
    <row r="663" spans="1:24" s="11" customFormat="1" x14ac:dyDescent="0.2">
      <c r="A663" s="76" t="str">
        <f>CONCATENATE("Nov ",O629)</f>
        <v>Nov 2025</v>
      </c>
      <c r="B663" s="22">
        <f>ROUND(IF(P640=0,0,IFERROR(((LOOKUP(2,1/(A638:A641=A663),G638:G641))*P640*4.348),B662/P639*P640)),2)</f>
        <v>0</v>
      </c>
      <c r="C663" s="21">
        <f>ROUND(IFERROR((LOOKUP(2,1/(A644=A663),E644)),0)+(IFERROR((LOOKUP(2,1/(A645=A663),E645)),0)),2)</f>
        <v>0</v>
      </c>
      <c r="D663" s="21">
        <f>ROUND(IF(B663=0,0,D652/M631*P640),2)</f>
        <v>0</v>
      </c>
      <c r="E663" s="21">
        <f>ROUND(IF(B663=0,0,E652/N627*P640),2)</f>
        <v>0</v>
      </c>
      <c r="F663" s="22">
        <f>ROUND(IF(P640=0,0,IFERROR(((LOOKUP(2,1/(A638:A641=A663),I638:I641))/N627*P640),F662/P639*P640)),2)</f>
        <v>0</v>
      </c>
      <c r="G663" s="25">
        <f t="shared" si="108"/>
        <v>0</v>
      </c>
      <c r="H663" s="64">
        <f>IF(B663=0,0,IF(AND(H644="ja",((U663)&lt;R669)),ROUND(((R671*R668+((R669/(R669-R668))-(R668/(R669-R668))*R671)*((U663)-R668))*(H652*2))-(((R669/(R669-R668))*((U663)-R668))*H652),2),ROUND(IF(V662&lt;(SUM(R653:R662)),IF((V663)&gt;(SUM(R653:R663)),(((SUM(R653:R663))-(V663-C662))*H652)+((U663-C662)*H652),U663*H652),IF(V663&gt;(SUM(R653:R663)),R663*H652,U663*H652)),2)))</f>
        <v>0</v>
      </c>
      <c r="I663" s="64">
        <f>IF(B663=0,0,IF(AND(H644="ja",((U663)&lt;R669)),ROUND(((R671*R668+((R669/(R669-R668))-(R668/(R669-R668))*R671)*((U663)-R668))*(I652*2))-(((R669/(R669-R668))*((U663)-R668))*I652),2),ROUND(IF(V662&lt;(SUM(S653:S662)),IF((V663)&gt;(SUM(S653:S663)),(((SUM(S653:S663))-(V663-C662))*I652)+((U663-C662)*I652),U663*I652),IF(V663&gt;(SUM(S653:S663)),S663*I652,U663*I652)),2)))</f>
        <v>0</v>
      </c>
      <c r="J663" s="64">
        <f>IF(B663=0,0,IF(AND(H644="ja",((U663)&lt;R669)),ROUND(((R671*R668+((R669/(R669-R668))-(R668/(R669-R668))*R671)*((U663)-R668))*(J652*2))-(((R669/(R669-R668))*((U663)-R668))*J652),2),ROUND(IF(V662&lt;(SUM(S653:S662)),IF((V663)&gt;(SUM(S653:S663)),(((SUM(S653:S663))-(V663-C662))*J652)+((U663-C662)*J652),U663*J652),IF(V663&gt;(SUM(S653:S663)),S663*J652,U663*J652)),2)))</f>
        <v>0</v>
      </c>
      <c r="K663" s="64">
        <f>IF(B663=0,0,IF(AND(H644="ja",((U663)&lt;R669)),ROUND(((R671*R668+((R669/(R669-R668))-(R668/(R669-R668))*R671)*((U663)-R668))*(K652*2))-(((R669/(R669-R668))*((U663)-R668))*K652),2),ROUND(IF(V662&lt;(SUM(R653:R662)),IF((V663)&gt;(SUM(R653:R663)),(((SUM(R653:R663))-(V663-C662))*K652)+((U663-C662)*K652),U663*K652),IF(V663&gt;(SUM(R653:R663)),R663*K652,U663*K652)),2)))</f>
        <v>0</v>
      </c>
      <c r="L663" s="64">
        <f>IF(B663=0,0,IF(AND(H644="ja",((U663-C663)&lt;R669)),ROUND(((R671*R668+((R669/(R669-R668))-(R668/(R669-R668))*R671)*((U663-C663)-R668))*(L652)),2),ROUND(IF(SUM(B653:F662)&lt;(SUM(S653:S662)),IF((SUM(B653:F663))&gt;(SUM(S653:S663)),(((SUM(S653:S663))-(SUM(B653:F663)-C663))*L652)+((SUM(B663:F663)-C663)*L652),(SUM(B663:F663)-C663)*L652),IF(SUM(B653:F663)&gt;(SUM(S653:S663)),S663*L652,SUM(B663:F663)*L652)),2)))</f>
        <v>0</v>
      </c>
      <c r="M663" s="64">
        <f>IF(B663=0,0,IF(AND(H644="ja",((U663-C663)&lt;R669)),ROUND(((R671*R668+((R669/(R669-R668))-(R668/(R669-R668))*R671)*((U663-C663)-R668))*(M652)),2),ROUND(IF(SUM(B653:F662)&lt;(SUM(S653:S662)),IF((SUM(B653:F663))&gt;(SUM(S653:S663)),(((SUM(S653:S663))-(SUM(B653:F663)-C663))*M652)+((SUM(B663:F663)-C663)*M652),(SUM(B663:F663)-C663)*M652),IF(SUM(B653:F663)&gt;(SUM(S653:S663)),S663*M652,SUM(B663:F663)*M652)),2)))</f>
        <v>0</v>
      </c>
      <c r="N663" s="64">
        <f>IF(B663=0,0,IF(AND(H644="ja",((U663)&lt;R669)),ROUND(((R671*R668+((R669/(R669-R668))-(R668/(R669-R668))*R671)*((U663)-R668))*(N652)),2),ROUND(IF(SUM(B653:F662)&lt;(SUM(S653:S662)),IF((SUM(B653:F663))&gt;(SUM(S653:S663)),(((SUM(S653:S663))-(SUM(B653:F663)-C662))*N652)+((SUM(B663:F663)-C662)*N652),SUM(B663:F663)*N652),IF(SUM(B653:F663)&gt;(SUM(S653:S663)),S663*N652,SUM(B663:F663)*N652)),2)))</f>
        <v>0</v>
      </c>
      <c r="O663" s="21">
        <f>ROUND(SUM(B663+C663+F663)*O652,2)</f>
        <v>0</v>
      </c>
      <c r="P663" s="25">
        <f t="shared" si="109"/>
        <v>0</v>
      </c>
      <c r="R663" s="140">
        <f>ROUND(IF(M631="",R647,R647/M631*P640),2)</f>
        <v>5175</v>
      </c>
      <c r="S663" s="140">
        <f>ROUND(IF(M631="",R648,R648/M631*P640),2)</f>
        <v>7450</v>
      </c>
      <c r="U663" s="950">
        <f t="shared" si="110"/>
        <v>0</v>
      </c>
      <c r="V663" s="950">
        <f>SUM(B653:F663)</f>
        <v>0</v>
      </c>
      <c r="X663" s="1"/>
    </row>
    <row r="664" spans="1:24" s="1" customFormat="1" ht="14.25" customHeight="1" x14ac:dyDescent="0.2">
      <c r="A664" s="76" t="str">
        <f>CONCATENATE("Dez ",O629)</f>
        <v>Dez 2025</v>
      </c>
      <c r="B664" s="22">
        <f>ROUND(IF(P641=0,0,IFERROR(((LOOKUP(2,1/(A638:A641=A664),G638:G641))*P641*4.348),B663/P640*P641)),2)</f>
        <v>0</v>
      </c>
      <c r="C664" s="21">
        <f>ROUND(IFERROR((LOOKUP(2,1/(A644=A664),E644)),0)+IFERROR((LOOKUP(2,1/(A645=A664),E645)),0),2)</f>
        <v>0</v>
      </c>
      <c r="D664" s="21">
        <f>ROUND(IF(B664=0,0,D652/M631*P641),2)</f>
        <v>0</v>
      </c>
      <c r="E664" s="21">
        <f>ROUND(IF(B664=0,0,E652/N627*P641),2)</f>
        <v>0</v>
      </c>
      <c r="F664" s="22">
        <f>ROUND(IF(P641=0,0,IFERROR(((LOOKUP(2,1/(A638:A641=A664),I638:I641))/N627*P641),F663/P640*P641)),2)</f>
        <v>0</v>
      </c>
      <c r="G664" s="25">
        <f t="shared" si="108"/>
        <v>0</v>
      </c>
      <c r="H664" s="64">
        <f>IF(B664=0,0,IF(AND(H644="ja",((U664)&lt;R669)),ROUND(((R671*R668+((R669/(R669-R668))-(R668/(R669-R668))*R671)*((U664)-R668))*(H652*2))-(((R669/(R669-R668))*((U664)-R668))*H652),2),ROUND(IF(V663&lt;(SUM(R653:R663)),IF((V664)&gt;(SUM(R653:R664)),(((SUM(R653:R664))-(V664-C663))*H652)+((U664-C663)*H652),U664*H652),IF(V664&gt;(SUM(R653:R664)),R664*H652,U664*H652)),2)))</f>
        <v>0</v>
      </c>
      <c r="I664" s="64">
        <f>IF(B664=0,0,IF(AND(H644="ja",((U664)&lt;R669)),ROUND(((R671*R668+((R669/(R669-R668))-(R668/(R669-R668))*R671)*((U664)-R668))*(I652*2))-(((R669/(R669-R668))*((U664)-R668))*I652),2),ROUND(IF(V663&lt;(SUM(S653:S663)),IF((V664)&gt;(SUM(S653:S664)),(((SUM(S653:S664))-(V664-C663))*I652)+((U664-C663)*I652),U664*I652),IF(V664&gt;(SUM(S653:S664)),S664*I652,U664*I652)),2)))</f>
        <v>0</v>
      </c>
      <c r="J664" s="64">
        <f>IF(B664=0,0,IF(AND(H644="ja",((U664)&lt;R669)),ROUND(((R671*R668+((R669/(R669-R668))-(R668/(R669-R668))*R671)*((U664)-R668))*(J652*2))-(((R669/(R669-R668))*((U664)-R668))*J652),2),ROUND(IF(V663&lt;(SUM(S653:S663)),IF((V664)&gt;(SUM(S653:S664)),(((SUM(S653:S664))-(V664-C663))*J652)+((U664-C663)*J652),U664*J652),IF(V664&gt;(SUM(S653:S664)),S664*J652,U664*J652)),2)))</f>
        <v>0</v>
      </c>
      <c r="K664" s="64">
        <f>IF(B664=0,0,IF(AND(H644="ja",((U664)&lt;R669)),ROUND(((R671*R668+((R669/(R669-R668))-(R668/(R669-R668))*R671)*((U664)-R668))*(K652*2))-(((R669/(R669-R668))*((U664)-R668))*K652),2),ROUND(IF(V663&lt;(SUM(R653:R663)),IF((V664)&gt;(SUM(R653:R664)),(((SUM(R653:R664))-(V664-C663))*K652)+((U664-C663)*K652),U664*K652),IF(V664&gt;(SUM(R653:R664)),R664*K652,U664*K652)),2)))</f>
        <v>0</v>
      </c>
      <c r="L664" s="64">
        <f>IF(B664=0,0,IF(AND(H644="ja",((U664-C664)&lt;R669)),ROUND(((R671*R668+((R669/(R669-R668))-(R668/(R669-R668))*R671)*((U664-C664)-R668))*(L652)),2),ROUND(IF(SUM(B653:F663)&lt;(SUM(S653:S663)),IF((SUM(B653:F664))&gt;(SUM(S653:S664)),(((SUM(S653:S664))-(SUM(B653:F664)-C664))*L652)+((SUM(B664:F664)-C664)*L652),(SUM(B664:F664)-C664)*L652),IF(SUM(B653:F664)&gt;(SUM(S653:S664)),S664*L652,SUM(B664:F664)*L652)),2)))</f>
        <v>0</v>
      </c>
      <c r="M664" s="64">
        <f>IF(B664=0,0,IF(AND(H644="ja",((U664-C664)&lt;R669)),ROUND(((R671*R668+((R669/(R669-R668))-(R668/(R669-R668))*R671)*((U664-C664)-R668))*(M652)),2),ROUND(IF(SUM(B653:F663)&lt;(SUM(S653:S663)),IF((SUM(B653:F664))&gt;(SUM(S653:S664)),(((SUM(S653:S664))-(SUM(B653:F664)-C664))*M652)+((SUM(B664:F664)-C664)*M652),(SUM(B664:F664)-C664)*M652),IF(SUM(B653:F664)&gt;(SUM(S653:S664)),S664*M652,SUM(B664:F664)*M652)),2)))</f>
        <v>0</v>
      </c>
      <c r="N664" s="64">
        <f>IF(B664=0,0,IF(AND(H644="ja",((U664)&lt;R669)),ROUND(((R671*R668+((R669/(R669-R668))-(R668/(R669-R668))*R671)*((U664)-R668))*(N652)),2),ROUND(IF(SUM(B653:F663)&lt;(SUM(S653:S663)),IF((SUM(B653:F664))&gt;(SUM(S653:S664)),(((SUM(S653:S664))-(SUM(B653:F664)-C663))*N652)+((SUM(B664:F664)-C663)*N652),SUM(B664:F664)*N652),IF(SUM(B653:F664)&gt;(SUM(S653:S664)),S664*N652,SUM(B664:F664)*N652)),2)))</f>
        <v>0</v>
      </c>
      <c r="O664" s="21">
        <f>ROUND(SUM(B664+C664+F664)*O652,2)</f>
        <v>0</v>
      </c>
      <c r="P664" s="25">
        <f t="shared" si="109"/>
        <v>0</v>
      </c>
      <c r="Q664" s="11"/>
      <c r="R664" s="140">
        <f>ROUND(IF(M631="",R647,R647/M631*P641),2)</f>
        <v>5175</v>
      </c>
      <c r="S664" s="140">
        <f>ROUND(IF(M631="",R648,R648/M631*P641),2)</f>
        <v>7450</v>
      </c>
      <c r="U664" s="950">
        <f t="shared" si="110"/>
        <v>0</v>
      </c>
      <c r="V664" s="950">
        <f>SUM(B653:F664)</f>
        <v>0</v>
      </c>
    </row>
    <row r="665" spans="1:24" s="1" customFormat="1" ht="15" customHeight="1" x14ac:dyDescent="0.2">
      <c r="A665" s="2" t="s">
        <v>1</v>
      </c>
      <c r="B665" s="25">
        <f t="shared" ref="B665:G665" si="111">SUM(B653:B664)</f>
        <v>0</v>
      </c>
      <c r="C665" s="25">
        <f t="shared" si="111"/>
        <v>0</v>
      </c>
      <c r="D665" s="25">
        <f t="shared" si="111"/>
        <v>0</v>
      </c>
      <c r="E665" s="25">
        <f t="shared" si="111"/>
        <v>0</v>
      </c>
      <c r="F665" s="25">
        <f t="shared" si="111"/>
        <v>0</v>
      </c>
      <c r="G665" s="25">
        <f t="shared" si="111"/>
        <v>0</v>
      </c>
      <c r="H665" s="1309">
        <f>SUM(H653:N664)</f>
        <v>0</v>
      </c>
      <c r="I665" s="1310"/>
      <c r="J665" s="1310"/>
      <c r="K665" s="1310"/>
      <c r="L665" s="1310"/>
      <c r="M665" s="1310"/>
      <c r="N665" s="1311"/>
      <c r="O665" s="25">
        <f>SUM(O653:O664)</f>
        <v>0</v>
      </c>
      <c r="P665" s="25">
        <f>SUM(P653:P664)</f>
        <v>0</v>
      </c>
    </row>
    <row r="666" spans="1:24" s="1" customFormat="1" ht="12" customHeight="1" x14ac:dyDescent="0.2"/>
    <row r="667" spans="1:24" s="1" customFormat="1" ht="14.25" customHeight="1" x14ac:dyDescent="0.2">
      <c r="B667" s="906"/>
      <c r="H667" s="905"/>
      <c r="I667" s="62"/>
      <c r="J667" s="914" t="s">
        <v>123</v>
      </c>
      <c r="L667" s="900" t="s">
        <v>124</v>
      </c>
      <c r="M667" s="974" t="str">
        <f>IF(IF(G665=0,"",'päd.Personal - Leitung'!$M$43)=0,"",IF(G665=0,"",'päd.Personal - Leitung'!$M$43))</f>
        <v/>
      </c>
      <c r="N667" s="902" t="s">
        <v>125</v>
      </c>
      <c r="O667" s="963" t="str">
        <f>IF(IF(G665=0,"",'päd.Personal - Leitung'!$O$43)=0,"",IF(G665=0,"",'päd.Personal - Leitung'!$O$43))</f>
        <v/>
      </c>
      <c r="P667" s="25">
        <f>ROUND(IF(M667="",0,G665*M667*O667/1000),2)</f>
        <v>0</v>
      </c>
      <c r="Q667" s="937"/>
      <c r="R667" s="938">
        <v>2025</v>
      </c>
      <c r="S667" s="939"/>
    </row>
    <row r="668" spans="1:24" s="1" customFormat="1" ht="14.25" customHeight="1" x14ac:dyDescent="0.2">
      <c r="H668" s="907"/>
      <c r="I668" s="42"/>
      <c r="M668" s="915" t="s">
        <v>129</v>
      </c>
      <c r="N668" s="80" t="s">
        <v>125</v>
      </c>
      <c r="O668" s="75" t="str">
        <f>IF(IF(G665=0,"",'päd.Personal - Leitung'!$O$44)=0,"",IF(G665=0,"",'päd.Personal - Leitung'!$O$44))</f>
        <v/>
      </c>
      <c r="P668" s="25">
        <f>ROUND(IF(O668="",0,G665*O668/1000),2)</f>
        <v>0</v>
      </c>
      <c r="Q668" s="942" t="s">
        <v>737</v>
      </c>
      <c r="R668" s="141">
        <f>'päd.Personal - Leitung'!$R$44</f>
        <v>556</v>
      </c>
      <c r="S668" s="955">
        <f>'päd.Personal - Leitung'!$S$44</f>
        <v>12.82</v>
      </c>
    </row>
    <row r="669" spans="1:24" s="1" customFormat="1" ht="14.25" customHeight="1" x14ac:dyDescent="0.2">
      <c r="H669" s="912" t="s">
        <v>126</v>
      </c>
      <c r="I669" s="1013" t="s">
        <v>127</v>
      </c>
      <c r="J669" s="975" t="str">
        <f>IF(IF(G665=0,"",'päd.Personal - Leitung'!$J$45)=0,"",IF(G665=0,"",'päd.Personal - Leitung'!$J$45))</f>
        <v/>
      </c>
      <c r="K669" s="902" t="s">
        <v>128</v>
      </c>
      <c r="L669" s="964" t="str">
        <f>IF(IF(G665=0,"",'päd.Personal - Leitung'!$L$45)=0,"",IF(G665=0,"",'päd.Personal - Leitung'!$L$45))</f>
        <v/>
      </c>
      <c r="M669" s="16"/>
      <c r="N669" s="900" t="s">
        <v>132</v>
      </c>
      <c r="O669" s="965" t="str">
        <f>IF(IF(G665=0,"",'päd.Personal - Leitung'!$O$45)=0,"",IF(G665=0,"",'päd.Personal - Leitung'!$O$45))</f>
        <v/>
      </c>
      <c r="P669" s="25">
        <f>ROUND(IF(J669="",0,(J669*L669/O669)/M633*M634),2)</f>
        <v>0</v>
      </c>
      <c r="Q669" s="942" t="s">
        <v>738</v>
      </c>
      <c r="R669" s="140">
        <f>'päd.Personal - Leitung'!$R$45</f>
        <v>2000</v>
      </c>
      <c r="S669" s="939"/>
    </row>
    <row r="670" spans="1:24" s="1" customFormat="1" ht="14.25" customHeight="1" x14ac:dyDescent="0.2">
      <c r="D670" s="16"/>
      <c r="I670" s="16"/>
      <c r="J670" s="16"/>
      <c r="K670" s="63"/>
      <c r="L670" s="67"/>
      <c r="M670" s="915" t="s">
        <v>130</v>
      </c>
      <c r="N670" s="80" t="s">
        <v>131</v>
      </c>
      <c r="O670" s="904">
        <f>IF(IF(G665="",0,'päd.Personal - Leitung'!$O$94)=0,0,IF(G665="",0,'päd.Personal - Leitung'!$O$94))</f>
        <v>0</v>
      </c>
      <c r="P670" s="21">
        <f>ROUND(IF(G665=0,0,O670/M631*M632),2)</f>
        <v>0</v>
      </c>
      <c r="Q670" s="942" t="s">
        <v>740</v>
      </c>
      <c r="R670" s="956">
        <f>'päd.Personal - Leitung'!$R$46</f>
        <v>0.40900000000000003</v>
      </c>
    </row>
    <row r="671" spans="1:24" s="1" customFormat="1" ht="14.25" customHeight="1" x14ac:dyDescent="0.2">
      <c r="A671" s="16"/>
      <c r="B671" s="16"/>
      <c r="I671" s="905"/>
      <c r="J671" s="961" t="s">
        <v>176</v>
      </c>
      <c r="K671" s="1312" t="str">
        <f>IF($K$47="","",$K$47)</f>
        <v/>
      </c>
      <c r="L671" s="1312"/>
      <c r="M671" s="1312"/>
      <c r="N671" s="80" t="s">
        <v>131</v>
      </c>
      <c r="O671" s="904">
        <f>IF(IF(G665="",0,'päd.Personal - Leitung'!$O$95)=0,0,IF(G665="",0,'päd.Personal - Leitung'!$O$95))</f>
        <v>0</v>
      </c>
      <c r="P671" s="21">
        <f>ROUND(IF(G665=0,0,O671/M631*M632),2)</f>
        <v>0</v>
      </c>
      <c r="Q671" s="942" t="s">
        <v>739</v>
      </c>
      <c r="R671" s="940">
        <f>'päd.Personal - Leitung'!$R$47</f>
        <v>0.68459999999999999</v>
      </c>
      <c r="S671" s="957">
        <f>'päd.Personal - Leitung'!$S$47</f>
        <v>0.28000000000000003</v>
      </c>
    </row>
    <row r="672" spans="1:24" s="1" customFormat="1" ht="14.25" customHeight="1" x14ac:dyDescent="0.2">
      <c r="A672" s="908"/>
      <c r="B672" s="908"/>
      <c r="C672" s="1013"/>
      <c r="D672" s="1013"/>
      <c r="I672" s="913"/>
      <c r="J672" s="913"/>
      <c r="K672" s="916"/>
      <c r="L672" s="27"/>
      <c r="M672" s="27"/>
      <c r="N672" s="27"/>
      <c r="O672" s="26" t="s">
        <v>0</v>
      </c>
      <c r="P672" s="25">
        <f>P665+SUM(P667:P671)</f>
        <v>0</v>
      </c>
    </row>
    <row r="673" spans="1:19" s="10" customFormat="1" ht="13.5" customHeight="1" x14ac:dyDescent="0.2">
      <c r="A673" s="1321" t="s">
        <v>17</v>
      </c>
      <c r="B673" s="1321"/>
      <c r="C673" s="1321"/>
      <c r="D673" s="1320" t="str">
        <f>IF('päd.Personal - Leitung'!$D$1="","",'päd.Personal - Leitung'!$D$1)</f>
        <v/>
      </c>
      <c r="E673" s="1320"/>
      <c r="F673" s="1320"/>
      <c r="G673" s="1320"/>
      <c r="H673" s="1320"/>
      <c r="I673" s="1320"/>
      <c r="J673" s="1320"/>
      <c r="K673" s="1320"/>
      <c r="L673" s="1320"/>
      <c r="M673" s="1320"/>
      <c r="N673" s="1320"/>
    </row>
    <row r="674" spans="1:19" s="10" customFormat="1" ht="15" customHeight="1" x14ac:dyDescent="0.2">
      <c r="A674" s="1321" t="s">
        <v>16</v>
      </c>
      <c r="B674" s="1321"/>
      <c r="C674" s="1321" t="s">
        <v>14</v>
      </c>
      <c r="D674" s="1320" t="str">
        <f>IF('päd.Personal - Leitung'!$D$2="","",'päd.Personal - Leitung'!$D$2)</f>
        <v/>
      </c>
      <c r="E674" s="1320"/>
      <c r="F674" s="1320"/>
      <c r="G674" s="1320"/>
      <c r="H674" s="1320"/>
      <c r="I674" s="1320"/>
      <c r="J674" s="1320"/>
      <c r="K674" s="1320"/>
      <c r="L674" s="1320"/>
      <c r="M674" s="1320"/>
      <c r="N674" s="1320"/>
    </row>
    <row r="675" spans="1:19" s="10" customFormat="1" ht="15" customHeight="1" x14ac:dyDescent="0.2">
      <c r="A675" s="1321" t="s">
        <v>15</v>
      </c>
      <c r="B675" s="1321"/>
      <c r="C675" s="1321" t="s">
        <v>14</v>
      </c>
      <c r="D675" s="1320" t="str">
        <f>IF('päd.Personal - Leitung'!$D$3="","",'päd.Personal - Leitung'!$D$3)</f>
        <v/>
      </c>
      <c r="E675" s="1320"/>
      <c r="F675" s="1320"/>
      <c r="G675" s="1320"/>
      <c r="H675" s="1320"/>
      <c r="I675" s="1320"/>
      <c r="J675" s="1320"/>
      <c r="K675" s="1321" t="s">
        <v>100</v>
      </c>
      <c r="L675" s="1321"/>
      <c r="M675" s="1321"/>
      <c r="N675" s="38" t="str">
        <f>IF('päd.Personal - Leitung'!$N$3="","",'päd.Personal - Leitung'!$N$3)</f>
        <v/>
      </c>
    </row>
    <row r="676" spans="1:19" s="923" customFormat="1" ht="7.5" customHeight="1" x14ac:dyDescent="0.15">
      <c r="A676" s="1353"/>
      <c r="B676" s="1353"/>
      <c r="C676" s="1353"/>
      <c r="D676" s="1354"/>
      <c r="E676" s="1354"/>
      <c r="F676" s="1354"/>
      <c r="G676" s="1354"/>
      <c r="H676" s="1354"/>
      <c r="I676" s="1354"/>
      <c r="J676" s="1354"/>
      <c r="K676" s="922"/>
      <c r="L676" s="922"/>
      <c r="M676" s="922"/>
      <c r="N676" s="922"/>
      <c r="O676" s="922"/>
      <c r="P676" s="922"/>
    </row>
    <row r="677" spans="1:19" s="13" customFormat="1" ht="13.5" customHeight="1" x14ac:dyDescent="0.2">
      <c r="A677" s="1355" t="s">
        <v>151</v>
      </c>
      <c r="B677" s="1355"/>
      <c r="C677" s="1355"/>
      <c r="D677" s="1355"/>
      <c r="E677" s="1355"/>
      <c r="F677" s="1355"/>
      <c r="G677" s="1355"/>
      <c r="H677" s="1355"/>
      <c r="I677" s="1355"/>
      <c r="J677" s="1355"/>
      <c r="K677" s="7"/>
      <c r="L677" s="7"/>
      <c r="M677" s="7"/>
      <c r="N677" s="52"/>
      <c r="O677" s="138">
        <f>'päd.Personal - Leitung'!$O$5</f>
        <v>2025</v>
      </c>
      <c r="P677" s="52" t="s">
        <v>140</v>
      </c>
    </row>
    <row r="678" spans="1:19" s="8" customFormat="1" ht="13.5" customHeight="1" x14ac:dyDescent="0.25">
      <c r="B678" s="29"/>
      <c r="C678" s="29"/>
      <c r="D678" s="3" t="s">
        <v>154</v>
      </c>
      <c r="E678" s="28"/>
      <c r="F678" s="28"/>
      <c r="G678" s="28"/>
      <c r="H678" s="28"/>
      <c r="I678" s="24"/>
      <c r="K678" s="1327" t="s">
        <v>13</v>
      </c>
      <c r="L678" s="1327"/>
      <c r="M678" s="131"/>
      <c r="O678" s="928" t="str">
        <f>A701</f>
        <v>Jan 2025</v>
      </c>
      <c r="P678" s="1402">
        <f>IF(M680="","",M680)</f>
        <v>0</v>
      </c>
    </row>
    <row r="679" spans="1:19" s="5" customFormat="1" ht="13.5" customHeight="1" x14ac:dyDescent="0.25">
      <c r="A679" s="1328" t="s">
        <v>754</v>
      </c>
      <c r="B679" s="1328"/>
      <c r="C679" s="1328"/>
      <c r="D679" s="1345"/>
      <c r="E679" s="1345"/>
      <c r="F679" s="1345"/>
      <c r="G679" s="1345"/>
      <c r="H679" s="1345"/>
      <c r="I679" s="1345"/>
      <c r="K679" s="1327" t="s">
        <v>101</v>
      </c>
      <c r="L679" s="1327"/>
      <c r="M679" s="101"/>
      <c r="O679" s="928" t="str">
        <f t="shared" ref="O679:O689" si="112">A702</f>
        <v>Feb 2025</v>
      </c>
      <c r="P679" s="1403">
        <f t="shared" ref="P679:P686" si="113">IF(P678="","",P678)</f>
        <v>0</v>
      </c>
    </row>
    <row r="680" spans="1:19" s="1" customFormat="1" ht="13.5" customHeight="1" x14ac:dyDescent="0.2">
      <c r="A680" s="1328" t="s">
        <v>12</v>
      </c>
      <c r="B680" s="1328"/>
      <c r="C680" s="1328"/>
      <c r="D680" s="1345"/>
      <c r="E680" s="1345"/>
      <c r="F680" s="1345"/>
      <c r="G680" s="1345"/>
      <c r="H680" s="1345"/>
      <c r="I680" s="1345"/>
      <c r="K680" s="1327" t="s">
        <v>149</v>
      </c>
      <c r="L680" s="1327"/>
      <c r="M680" s="101">
        <f>IF((M681+M682)&gt;M679,0,M679-M681-M682)</f>
        <v>0</v>
      </c>
      <c r="O680" s="928" t="str">
        <f t="shared" si="112"/>
        <v>Mrz 2025</v>
      </c>
      <c r="P680" s="1403">
        <f t="shared" si="113"/>
        <v>0</v>
      </c>
    </row>
    <row r="681" spans="1:19" s="1" customFormat="1" ht="13.5" customHeight="1" x14ac:dyDescent="0.2">
      <c r="A681" s="1328" t="s">
        <v>11</v>
      </c>
      <c r="B681" s="1328"/>
      <c r="C681" s="1328"/>
      <c r="D681" s="1345"/>
      <c r="E681" s="1345"/>
      <c r="F681" s="1345"/>
      <c r="G681" s="1345"/>
      <c r="H681" s="1345"/>
      <c r="I681" s="1345"/>
      <c r="K681" s="1327" t="s">
        <v>150</v>
      </c>
      <c r="L681" s="1327"/>
      <c r="M681" s="101"/>
      <c r="O681" s="928" t="str">
        <f t="shared" si="112"/>
        <v>Apr 2025</v>
      </c>
      <c r="P681" s="1403">
        <f t="shared" si="113"/>
        <v>0</v>
      </c>
    </row>
    <row r="682" spans="1:19" s="1" customFormat="1" ht="13.5" customHeight="1" x14ac:dyDescent="0.2">
      <c r="A682" s="1328" t="s">
        <v>18</v>
      </c>
      <c r="B682" s="1328"/>
      <c r="C682" s="1328"/>
      <c r="D682" s="1345"/>
      <c r="E682" s="1345"/>
      <c r="F682" s="1345"/>
      <c r="G682" s="1345"/>
      <c r="H682" s="1345"/>
      <c r="I682" s="1345"/>
      <c r="K682" s="1327" t="s">
        <v>222</v>
      </c>
      <c r="L682" s="1327"/>
      <c r="M682" s="101"/>
      <c r="O682" s="928" t="str">
        <f t="shared" si="112"/>
        <v>Mai 2025</v>
      </c>
      <c r="P682" s="1403">
        <f t="shared" si="113"/>
        <v>0</v>
      </c>
    </row>
    <row r="683" spans="1:19" s="1" customFormat="1" ht="13.5" customHeight="1" x14ac:dyDescent="0.2">
      <c r="B683" s="6"/>
      <c r="C683" s="1029" t="s">
        <v>147</v>
      </c>
      <c r="D683" s="1324"/>
      <c r="E683" s="1324"/>
      <c r="F683" s="1359" t="s">
        <v>103</v>
      </c>
      <c r="G683" s="1359"/>
      <c r="H683" s="1361"/>
      <c r="I683" s="1361"/>
      <c r="K683" s="1327" t="s">
        <v>94</v>
      </c>
      <c r="L683" s="1327"/>
      <c r="M683" s="15" t="str">
        <f>IF(IF((COUNTIF(B701:B712,"&gt;0"))=0,0,(COUNTIF(B701:B712,"&gt;0")))&gt;Grundlagen!$C$26,Grundlagen!$C$26,IF((COUNTIF(B701:B712,"&gt;0"))=0,"",(COUNTIF(B701:B712,"&gt;0"))))</f>
        <v/>
      </c>
      <c r="O683" s="928" t="str">
        <f t="shared" si="112"/>
        <v>Jun 2025</v>
      </c>
      <c r="P683" s="1403">
        <f t="shared" si="113"/>
        <v>0</v>
      </c>
    </row>
    <row r="684" spans="1:19" s="1" customFormat="1" ht="13.5" customHeight="1" x14ac:dyDescent="0.2">
      <c r="I684" s="4"/>
      <c r="M684" s="102" t="str">
        <f>IF((SUM(F686:F689))=0,"",IF(P690&gt;M680,M680,IF(M680="","",IF(M683="","",P690))))</f>
        <v/>
      </c>
      <c r="O684" s="928" t="str">
        <f t="shared" si="112"/>
        <v>Jul 2025</v>
      </c>
      <c r="P684" s="1403">
        <f t="shared" si="113"/>
        <v>0</v>
      </c>
    </row>
    <row r="685" spans="1:19" s="46" customFormat="1" ht="13.5" customHeight="1" x14ac:dyDescent="0.2">
      <c r="A685" s="54" t="s">
        <v>134</v>
      </c>
      <c r="B685" s="1356" t="s">
        <v>135</v>
      </c>
      <c r="C685" s="1356"/>
      <c r="D685" s="55" t="s">
        <v>136</v>
      </c>
      <c r="E685" s="56" t="s">
        <v>137</v>
      </c>
      <c r="F685" s="57" t="str">
        <f>CONCATENATE("Entg. ",N675," h/Wo")</f>
        <v>Entg.  h/Wo</v>
      </c>
      <c r="G685" s="58" t="s">
        <v>138</v>
      </c>
      <c r="I685" s="58" t="s">
        <v>139</v>
      </c>
      <c r="K685" s="970"/>
      <c r="L685" s="970"/>
      <c r="M685" s="59"/>
      <c r="N685" s="968"/>
      <c r="O685" s="928" t="str">
        <f t="shared" si="112"/>
        <v>Aug 2025</v>
      </c>
      <c r="P685" s="1403">
        <f t="shared" si="113"/>
        <v>0</v>
      </c>
      <c r="Q685" s="85"/>
      <c r="R685" s="85"/>
      <c r="S685" s="85"/>
    </row>
    <row r="686" spans="1:19" s="46" customFormat="1" ht="13.5" customHeight="1" x14ac:dyDescent="0.25">
      <c r="A686" s="48" t="str">
        <f>'päd.Personal - Leitung'!$A$14</f>
        <v>Jan 2025</v>
      </c>
      <c r="B686" s="1357" t="str">
        <f>IF($D$3="","",$D$3)</f>
        <v/>
      </c>
      <c r="C686" s="1358"/>
      <c r="D686" s="132"/>
      <c r="E686" s="132"/>
      <c r="F686" s="71"/>
      <c r="G686" s="50">
        <f>IF(N675="",0,F686/N675/4.348)</f>
        <v>0</v>
      </c>
      <c r="I686" s="125">
        <f>SUM(J686:M686)</f>
        <v>0</v>
      </c>
      <c r="J686" s="124"/>
      <c r="K686" s="124"/>
      <c r="L686" s="124"/>
      <c r="M686" s="124"/>
      <c r="N686" s="969"/>
      <c r="O686" s="928" t="str">
        <f t="shared" si="112"/>
        <v>Sep 2025</v>
      </c>
      <c r="P686" s="1403">
        <f t="shared" si="113"/>
        <v>0</v>
      </c>
      <c r="Q686" s="85"/>
      <c r="R686" s="85"/>
      <c r="S686" s="85"/>
    </row>
    <row r="687" spans="1:19" s="46" customFormat="1" ht="13.5" customHeight="1" x14ac:dyDescent="0.25">
      <c r="A687" s="49"/>
      <c r="B687" s="1322" t="str">
        <f>IF(A687="","",B686)</f>
        <v/>
      </c>
      <c r="C687" s="1323"/>
      <c r="D687" s="132"/>
      <c r="E687" s="132"/>
      <c r="F687" s="71"/>
      <c r="G687" s="50">
        <f>IF(N675="",0,F687/N675/4.348)</f>
        <v>0</v>
      </c>
      <c r="I687" s="125">
        <f t="shared" ref="I687:I689" si="114">SUM(J687:M687)</f>
        <v>0</v>
      </c>
      <c r="J687" s="124"/>
      <c r="K687" s="124"/>
      <c r="L687" s="124"/>
      <c r="M687" s="124"/>
      <c r="N687" s="969"/>
      <c r="O687" s="928" t="str">
        <f t="shared" si="112"/>
        <v>Okt 2025</v>
      </c>
      <c r="P687" s="1403">
        <f t="shared" ref="P687:P689" si="115">IF(P686="","",P686)</f>
        <v>0</v>
      </c>
      <c r="Q687" s="85"/>
      <c r="R687" s="85"/>
      <c r="S687" s="85"/>
    </row>
    <row r="688" spans="1:19" s="46" customFormat="1" ht="13.5" customHeight="1" x14ac:dyDescent="0.25">
      <c r="A688" s="49"/>
      <c r="B688" s="1322" t="str">
        <f>IF(A688="","",B687)</f>
        <v/>
      </c>
      <c r="C688" s="1323"/>
      <c r="D688" s="132"/>
      <c r="E688" s="132"/>
      <c r="F688" s="71"/>
      <c r="G688" s="50">
        <f>IF(N675="",0,F688/N675/4.348)</f>
        <v>0</v>
      </c>
      <c r="I688" s="125">
        <f t="shared" si="114"/>
        <v>0</v>
      </c>
      <c r="J688" s="124"/>
      <c r="K688" s="124"/>
      <c r="L688" s="124"/>
      <c r="M688" s="124"/>
      <c r="N688" s="969"/>
      <c r="O688" s="928" t="str">
        <f t="shared" si="112"/>
        <v>Nov 2025</v>
      </c>
      <c r="P688" s="1403">
        <f t="shared" si="115"/>
        <v>0</v>
      </c>
      <c r="Q688" s="85"/>
      <c r="R688" s="85"/>
      <c r="S688" s="85"/>
    </row>
    <row r="689" spans="1:22" s="46" customFormat="1" ht="13.5" customHeight="1" x14ac:dyDescent="0.25">
      <c r="A689" s="49"/>
      <c r="B689" s="1322" t="str">
        <f>IF(A689="","",B688)</f>
        <v/>
      </c>
      <c r="C689" s="1323"/>
      <c r="D689" s="132"/>
      <c r="E689" s="132"/>
      <c r="F689" s="71"/>
      <c r="G689" s="50">
        <f>IF(N675="",0,F689/N675/4.348)</f>
        <v>0</v>
      </c>
      <c r="I689" s="125">
        <f t="shared" si="114"/>
        <v>0</v>
      </c>
      <c r="J689" s="124"/>
      <c r="K689" s="124"/>
      <c r="L689" s="124"/>
      <c r="M689" s="124"/>
      <c r="N689" s="969"/>
      <c r="O689" s="928" t="str">
        <f t="shared" si="112"/>
        <v>Dez 2025</v>
      </c>
      <c r="P689" s="1403">
        <f t="shared" si="115"/>
        <v>0</v>
      </c>
      <c r="Q689" s="85"/>
      <c r="R689" s="85"/>
      <c r="S689" s="85"/>
    </row>
    <row r="690" spans="1:22" s="46" customFormat="1" ht="13.5" customHeight="1" x14ac:dyDescent="0.25">
      <c r="B690" s="972"/>
      <c r="C690" s="972"/>
      <c r="E690" s="972"/>
      <c r="F690" s="972"/>
      <c r="I690" s="930" t="s">
        <v>730</v>
      </c>
      <c r="J690" s="1060"/>
      <c r="K690" s="1060"/>
      <c r="L690" s="1060"/>
      <c r="M690" s="1060"/>
      <c r="N690" s="971"/>
      <c r="O690" s="126" t="s">
        <v>221</v>
      </c>
      <c r="P690" s="127">
        <f>IF(M683="",0,((IF(SUMIF(B701,"&gt;0"),P678,0))+(IF(SUMIF(B702,"&gt;0"),P679,0))+(IF(SUMIF(B703,"&gt;0"),P680,0))+(IF(SUMIF(B704,"&gt;0"),P681,0))+(IF(SUMIF(B705,"&gt;0"),P682,0))+(IF(SUMIF(B706,"&gt;0"),P683,0))+(IF(SUMIF(B707,"&gt;0"),P684,0))+(IF(SUMIF(B708,"&gt;0"),P685,0))+(IF(SUMIF(B709,"&gt;0"),P686,0))+(IF(SUMIF(B710,"&gt;0"),P687,0))+(IF(SUMIF(B711,"&gt;0"),P688,0))+(IF(SUMIF(B712,"&gt;0"),P689,0)))/Grundlagen!$C$26)</f>
        <v>0</v>
      </c>
      <c r="Q690" s="944" t="str">
        <f>CONCATENATE("BBG"," anteilig ",O692)</f>
        <v>BBG anteilig 2025</v>
      </c>
      <c r="R690" s="931" t="s">
        <v>659</v>
      </c>
      <c r="S690" s="931" t="s">
        <v>398</v>
      </c>
      <c r="T690" s="107"/>
    </row>
    <row r="691" spans="1:22" s="46" customFormat="1" ht="13.5" customHeight="1" x14ac:dyDescent="0.2">
      <c r="A691" s="924" t="s">
        <v>732</v>
      </c>
      <c r="D691" s="55" t="s">
        <v>369</v>
      </c>
      <c r="E691" s="56" t="s">
        <v>368</v>
      </c>
      <c r="F691" s="58"/>
      <c r="J691" s="61"/>
      <c r="Q691" s="932" t="s">
        <v>144</v>
      </c>
      <c r="R691" s="140">
        <f>IF(M680=0,R695,IF(M679="",R695,(SUM(R701:R712)/M683)))</f>
        <v>5175</v>
      </c>
      <c r="S691" s="933">
        <f>IF(M680=0,S695,IF(M679="",S695,SUM(R701:R712)))</f>
        <v>0</v>
      </c>
      <c r="T691" s="107"/>
    </row>
    <row r="692" spans="1:22" s="46" customFormat="1" ht="13.5" customHeight="1" x14ac:dyDescent="0.25">
      <c r="A692" s="60"/>
      <c r="B692" s="1314" t="str">
        <f>IF($B$20="","",$B$20)</f>
        <v>Jahressonderzahlung (JSZ)</v>
      </c>
      <c r="C692" s="1315"/>
      <c r="D692" s="926"/>
      <c r="E692" s="929" t="str">
        <f>IF(A692="","",ROUND((((SUM(B707:B709)+SUM(F707:F709))/3)*D692)/Grundlagen!$C$26*M683,2))</f>
        <v/>
      </c>
      <c r="G692" s="941" t="s">
        <v>733</v>
      </c>
      <c r="H692" s="943"/>
      <c r="I692" s="1316" t="str">
        <f>CONCATENATE(R715,":"," Übergangsbereich von ",R716+0.01," €"," bis ",R717," €")</f>
        <v>2025: Übergangsbereich von 556,01 € bis 2000 €</v>
      </c>
      <c r="J692" s="1317"/>
      <c r="K692" s="1317"/>
      <c r="L692" s="1067"/>
      <c r="M692" s="1067"/>
      <c r="N692" s="1068" t="s">
        <v>736</v>
      </c>
      <c r="O692" s="1069">
        <f>P692+1</f>
        <v>2025</v>
      </c>
      <c r="P692" s="1069" t="s">
        <v>721</v>
      </c>
      <c r="Q692" s="932" t="s">
        <v>145</v>
      </c>
      <c r="R692" s="140">
        <f>IF(M680=0,R696,IF(M679="",R696,(SUM(S701:S712)/M683)))</f>
        <v>7450</v>
      </c>
      <c r="S692" s="933">
        <f>IF(M680=0,S696,IF(M679="",S696,SUM(S701:S712)))</f>
        <v>0</v>
      </c>
      <c r="T692" s="109"/>
    </row>
    <row r="693" spans="1:22" s="1" customFormat="1" ht="14.25" customHeight="1" x14ac:dyDescent="0.2">
      <c r="A693" s="60"/>
      <c r="B693" s="1314" t="str">
        <f>IF($B$21="","",$B$21)</f>
        <v>Leistungsentgelt (LOB)</v>
      </c>
      <c r="C693" s="1315"/>
      <c r="D693" s="926"/>
      <c r="E693" s="929" t="str">
        <f>IF(A693="","",ROUND(((B713+F713)*D693)/Grundlagen!$C$26*M683,2))</f>
        <v/>
      </c>
      <c r="G693" s="941" t="str">
        <f>IF(OR(H692="",H692="nein")=TRUE,"","Faktor (F):")</f>
        <v/>
      </c>
      <c r="H693" s="949" t="str">
        <f>IF(OR(H692="",H692="nein")=TRUE,"",IF(H692="","",R719))</f>
        <v/>
      </c>
      <c r="I693" s="1318" t="str">
        <f>IF(OR(H692="",H692="nein")=TRUE,"",IF(H693="","",CONCATENATE(S719*100,"%"," / ","(",R718*100,"%"," Gesamt-SV-Beitragssatz 2024)")))</f>
        <v/>
      </c>
      <c r="J693" s="1319"/>
      <c r="K693" s="1319"/>
      <c r="L693" s="1070"/>
      <c r="M693" s="1070"/>
      <c r="N693" s="1071" t="s">
        <v>144</v>
      </c>
      <c r="O693" s="1072">
        <f>'päd.Personal - Leitung'!$O$21</f>
        <v>5175</v>
      </c>
      <c r="P693" s="1072">
        <f>'päd.Personal - Leitung'!$P$21</f>
        <v>5175</v>
      </c>
      <c r="Q693" s="11"/>
      <c r="R693" s="11"/>
      <c r="S693" s="11"/>
      <c r="T693" s="109"/>
    </row>
    <row r="694" spans="1:22" s="1" customFormat="1" ht="14.25" customHeight="1" x14ac:dyDescent="0.2">
      <c r="C694" s="925" t="s">
        <v>731</v>
      </c>
      <c r="L694" s="1070"/>
      <c r="M694" s="1070"/>
      <c r="N694" s="1071" t="s">
        <v>145</v>
      </c>
      <c r="O694" s="1073">
        <f>'päd.Personal - Leitung'!$O$22</f>
        <v>7450</v>
      </c>
      <c r="P694" s="1073">
        <f>'päd.Personal - Leitung'!$P$22</f>
        <v>7450</v>
      </c>
      <c r="Q694" s="944" t="str">
        <f>CONCATENATE("BBG"," ",O692)</f>
        <v>BBG 2025</v>
      </c>
      <c r="R694" s="11"/>
      <c r="S694" s="11"/>
      <c r="T694" s="109"/>
    </row>
    <row r="695" spans="1:22" s="1" customFormat="1" ht="14.25" customHeight="1" x14ac:dyDescent="0.2">
      <c r="A695" s="53" t="s">
        <v>141</v>
      </c>
      <c r="B695" s="46"/>
      <c r="C695" s="46"/>
      <c r="D695" s="46"/>
      <c r="E695" s="46"/>
      <c r="F695" s="46"/>
      <c r="G695" s="46"/>
      <c r="H695" s="46"/>
      <c r="I695" s="46"/>
      <c r="J695" s="46"/>
      <c r="K695" s="46"/>
      <c r="L695" s="46"/>
      <c r="M695" s="46"/>
      <c r="N695" s="46"/>
      <c r="O695" s="46"/>
      <c r="P695" s="46"/>
      <c r="Q695" s="932" t="s">
        <v>144</v>
      </c>
      <c r="R695" s="141">
        <f>IF($O$21="",0,$O$21)</f>
        <v>5175</v>
      </c>
      <c r="S695" s="933">
        <f>R695*IF(M683="",0,M683)</f>
        <v>0</v>
      </c>
      <c r="T695" s="295"/>
    </row>
    <row r="696" spans="1:22" s="1" customFormat="1" ht="14.25" customHeight="1" x14ac:dyDescent="0.2">
      <c r="A696" s="1346"/>
      <c r="B696" s="1348" t="s">
        <v>8</v>
      </c>
      <c r="C696" s="1349"/>
      <c r="D696" s="1349"/>
      <c r="E696" s="1349"/>
      <c r="F696" s="1349"/>
      <c r="G696" s="1350"/>
      <c r="H696" s="1351" t="s">
        <v>113</v>
      </c>
      <c r="I696" s="1352"/>
      <c r="J696" s="1352"/>
      <c r="K696" s="1352"/>
      <c r="L696" s="1352"/>
      <c r="M696" s="1352"/>
      <c r="N696" s="1352"/>
      <c r="O696" s="30"/>
      <c r="P696" s="1330" t="s">
        <v>0</v>
      </c>
      <c r="Q696" s="932" t="s">
        <v>145</v>
      </c>
      <c r="R696" s="141">
        <f>IF($O$22="",0,$O$22)</f>
        <v>7450</v>
      </c>
      <c r="S696" s="933">
        <f>R696*IF(M683="",0,M683)</f>
        <v>0</v>
      </c>
      <c r="T696" s="830"/>
    </row>
    <row r="697" spans="1:22" s="1" customFormat="1" ht="14.25" customHeight="1" x14ac:dyDescent="0.2">
      <c r="A697" s="1347"/>
      <c r="B697" s="1333" t="s">
        <v>111</v>
      </c>
      <c r="C697" s="1335" t="s">
        <v>743</v>
      </c>
      <c r="D697" s="1337" t="s">
        <v>226</v>
      </c>
      <c r="E697" s="1339" t="s">
        <v>133</v>
      </c>
      <c r="F697" s="1030" t="s">
        <v>6</v>
      </c>
      <c r="G697" s="1340" t="s">
        <v>5</v>
      </c>
      <c r="H697" s="1339" t="s">
        <v>119</v>
      </c>
      <c r="I697" s="1339" t="s">
        <v>4</v>
      </c>
      <c r="J697" s="1339" t="s">
        <v>3</v>
      </c>
      <c r="K697" s="1339" t="s">
        <v>2</v>
      </c>
      <c r="L697" s="1339" t="s">
        <v>114</v>
      </c>
      <c r="M697" s="1339" t="s">
        <v>115</v>
      </c>
      <c r="N697" s="1339" t="s">
        <v>116</v>
      </c>
      <c r="O697" s="1338" t="s">
        <v>109</v>
      </c>
      <c r="P697" s="1331"/>
      <c r="Q697" s="456"/>
      <c r="R697" s="11"/>
      <c r="S697" s="11"/>
      <c r="T697" s="621"/>
    </row>
    <row r="698" spans="1:22" s="1" customFormat="1" ht="14.25" customHeight="1" x14ac:dyDescent="0.2">
      <c r="A698" s="1347"/>
      <c r="B698" s="1333"/>
      <c r="C698" s="1335"/>
      <c r="D698" s="1338"/>
      <c r="E698" s="1339"/>
      <c r="F698" s="1343" t="str">
        <f>I690</f>
        <v>Zuschläge / Zulagen / o.ä.:</v>
      </c>
      <c r="G698" s="1340"/>
      <c r="H698" s="1342" t="s">
        <v>117</v>
      </c>
      <c r="I698" s="1342"/>
      <c r="J698" s="1342"/>
      <c r="K698" s="1342"/>
      <c r="L698" s="1342"/>
      <c r="M698" s="1342"/>
      <c r="N698" s="1342"/>
      <c r="O698" s="1338"/>
      <c r="P698" s="1331"/>
      <c r="Q698" s="456"/>
      <c r="R698" s="1306" t="str">
        <f>Q690</f>
        <v>BBG anteilig 2025</v>
      </c>
      <c r="S698" s="1306"/>
      <c r="T698" s="829"/>
    </row>
    <row r="699" spans="1:22" s="1" customFormat="1" ht="14.25" customHeight="1" x14ac:dyDescent="0.2">
      <c r="A699" s="1347"/>
      <c r="B699" s="1333"/>
      <c r="C699" s="1335"/>
      <c r="D699" s="1338"/>
      <c r="E699" s="1339"/>
      <c r="F699" s="1343"/>
      <c r="G699" s="1340"/>
      <c r="H699" s="39" t="str">
        <f>'päd.Personal - Leitung'!$H$27</f>
        <v>(7,30% + Zusatz)</v>
      </c>
      <c r="I699" s="39" t="str">
        <f>'päd.Personal - Leitung'!$I$27</f>
        <v xml:space="preserve"> (2024: 9,30%)</v>
      </c>
      <c r="J699" s="39" t="str">
        <f>'päd.Personal - Leitung'!$J$27</f>
        <v>(2024: 1,30%)</v>
      </c>
      <c r="K699" s="39" t="str">
        <f>'päd.Personal - Leitung'!$K$27</f>
        <v>(2024: 1,700%)</v>
      </c>
      <c r="L699" s="39"/>
      <c r="M699" s="39"/>
      <c r="N699" s="39" t="str">
        <f>'päd.Personal - Leitung'!$N$27</f>
        <v>(2024: 0,06%)</v>
      </c>
      <c r="O699" s="1338"/>
      <c r="P699" s="1331"/>
      <c r="Q699" s="456"/>
      <c r="R699" s="1307" t="s">
        <v>659</v>
      </c>
      <c r="S699" s="1307"/>
      <c r="T699" s="829"/>
      <c r="U699" s="1308" t="s">
        <v>1</v>
      </c>
      <c r="V699" s="1308" t="s">
        <v>741</v>
      </c>
    </row>
    <row r="700" spans="1:22" s="1" customFormat="1" x14ac:dyDescent="0.2">
      <c r="A700" s="1347"/>
      <c r="B700" s="1334"/>
      <c r="C700" s="1336"/>
      <c r="D700" s="45"/>
      <c r="E700" s="45"/>
      <c r="F700" s="1344"/>
      <c r="G700" s="1341"/>
      <c r="H700" s="74"/>
      <c r="I700" s="99">
        <f>'päd.Personal - Leitung'!$I$28</f>
        <v>0</v>
      </c>
      <c r="J700" s="99">
        <f>'päd.Personal - Leitung'!$J$28</f>
        <v>0</v>
      </c>
      <c r="K700" s="40">
        <f>'päd.Personal - Leitung'!$K$28</f>
        <v>0</v>
      </c>
      <c r="L700" s="19"/>
      <c r="M700" s="19"/>
      <c r="N700" s="99">
        <f>'päd.Personal - Leitung'!$N$28</f>
        <v>0</v>
      </c>
      <c r="O700" s="23"/>
      <c r="P700" s="1332"/>
      <c r="Q700" s="456"/>
      <c r="R700" s="935" t="s">
        <v>144</v>
      </c>
      <c r="S700" s="935" t="s">
        <v>145</v>
      </c>
      <c r="T700" s="829"/>
      <c r="U700" s="1308"/>
      <c r="V700" s="1308"/>
    </row>
    <row r="701" spans="1:22" s="1" customFormat="1" x14ac:dyDescent="0.2">
      <c r="A701" s="76" t="str">
        <f>CONCATENATE("Jan ",O677)</f>
        <v>Jan 2025</v>
      </c>
      <c r="B701" s="22">
        <f>ROUND(IF(P678=0,0,(LOOKUP(2,1/(A686:A689=A701),G686:G689))*P678*4.348),2)</f>
        <v>0</v>
      </c>
      <c r="C701" s="21">
        <f>ROUND(IFERROR((LOOKUP(2,1/(A692=A701),E692)),0)+IFERROR((LOOKUP(2,1/(A693=A701),E693)),0),2)</f>
        <v>0</v>
      </c>
      <c r="D701" s="21">
        <f>ROUND(IF(B701=0,0,D700/M679*P678),2)</f>
        <v>0</v>
      </c>
      <c r="E701" s="21">
        <f>ROUND(IF(B701=0,0,E700/N675*P678),2)</f>
        <v>0</v>
      </c>
      <c r="F701" s="22">
        <f>ROUND(IF(P678=0,0,(LOOKUP(2,1/(A686:A689=A701),I686:I689))/N675*P678),2)</f>
        <v>0</v>
      </c>
      <c r="G701" s="25">
        <f t="shared" ref="G701:G712" si="116">SUM(B701+C701+E701+F701)</f>
        <v>0</v>
      </c>
      <c r="H701" s="64">
        <f>IF(B701=0,0,IF(AND(H692="ja",((U701)&lt;R717)),ROUND(((R719*R716+((R717/(R717-R716))-(R716/(R717-R716))*R719)*((U701)-R716))*(H700*2))-(((R717/(R717-R716))*((U701)-R716))*H700),2),ROUND(IF((U701)&gt;R701,R701*H700,U701*H700),2)))</f>
        <v>0</v>
      </c>
      <c r="I701" s="64">
        <f>IF(B701=0,0,IF(AND(H692="ja",((U701)&lt;R717)),ROUND(((R719*R716+((R717/(R717-R716))-(R716/(R717-R716))*R719)*((U701)-R716))*(I700*2))-(((R717/(R717-R716))*((U701)-R716))*I700),2),ROUND(IF((U701)&gt;S701,S701*I700,U701*I700),2)))</f>
        <v>0</v>
      </c>
      <c r="J701" s="64">
        <f>IF(B701=0,0,IF(AND(H692="ja",((U701)&lt;R717)),ROUND(((R719*R716+((R717/(R717-R716))-(R716/(R717-R716))*R719)*((U701)-R716))*(J700*2))-(((R717/(R717-R716))*((U701)-R716))*J700),2),ROUND(IF((U701)&gt;S701,S701*J700,U701*J700),2)))</f>
        <v>0</v>
      </c>
      <c r="K701" s="64">
        <f>IF(B701=0,0,IF(AND(H692="ja",((U701)&lt;R717)),ROUND(((R719*R716+((R717/(R717-R716))-(R716/(R717-R716))*R719)*((U701)-R716))*(K700*2))-(((R717/(R717-R716))*((U701)-R716))*K700),2),ROUND(IF((U701)&gt;R701,R701*K700,U701*K700),2)))</f>
        <v>0</v>
      </c>
      <c r="L701" s="64">
        <f>IF(B701=0,0,IF(AND(H692="ja",((U701-C701)&lt;R717)),ROUND(((R719*R716+((R717/(R717-R716))-(R716/(R717-R716))*R719)*((U701-C701)-R716))*(L700)),2),ROUND(IF((SUM(B701:F701))&gt;S701,S701*L700,(SUM(B701:F701)-C701)*L700),2)))</f>
        <v>0</v>
      </c>
      <c r="M701" s="64">
        <f>IF(B701=0,0,IF(AND(H692="ja",((U701-C701)&lt;R717)),ROUND(((R719*R716+((R717/(R717-R716))-(R716/(R717-R716))*R719)*((U701-C701)-R716))*(M700)),2),ROUND(IF((SUM(B701:F701))&gt;S701,S701*M700,(SUM(B701:F701)-C701)*M700),2)))</f>
        <v>0</v>
      </c>
      <c r="N701" s="64">
        <f>IF(B701=0,0,IF(AND(H692="ja",((U701)&lt;R717)),ROUND(((R719*R716+((R717/(R717-R716))-(R716/(R717-R716))*R719)*((U701)-R716))*(N700)),2),ROUND(IF((SUM(B701:F701))&gt;S701,S701*N700,SUM(B701:F701)*N700),2)))</f>
        <v>0</v>
      </c>
      <c r="O701" s="21">
        <f>ROUND(SUM(B701+C701+F701)*O700,2)</f>
        <v>0</v>
      </c>
      <c r="P701" s="25">
        <f>SUM(G701:O701)</f>
        <v>0</v>
      </c>
      <c r="Q701" s="456"/>
      <c r="R701" s="140">
        <f>ROUND(IF(M679="",R695,R695/M679*P678),2)</f>
        <v>5175</v>
      </c>
      <c r="S701" s="140">
        <f>ROUND(IF(M679="",R696,R696/M679*P678),2)</f>
        <v>7450</v>
      </c>
      <c r="U701" s="950">
        <f>SUM(B701:F701)</f>
        <v>0</v>
      </c>
      <c r="V701" s="950">
        <f>SUM(B701:F701)</f>
        <v>0</v>
      </c>
    </row>
    <row r="702" spans="1:22" s="1" customFormat="1" x14ac:dyDescent="0.2">
      <c r="A702" s="76" t="str">
        <f>CONCATENATE("Feb ",O677)</f>
        <v>Feb 2025</v>
      </c>
      <c r="B702" s="22">
        <f>ROUND(IF(P679=0,0,IFERROR(((LOOKUP(2,1/(A686:A689=A702),G686:G689))*P679*4.348),B701/P678*P679)),2)</f>
        <v>0</v>
      </c>
      <c r="C702" s="21">
        <f>ROUND(IFERROR((LOOKUP(2,1/(A692=A702),E692)),0)+IFERROR((LOOKUP(2,1/(A693=A702),E693)),0),2)</f>
        <v>0</v>
      </c>
      <c r="D702" s="21">
        <f>ROUND(IF(B702=0,0,D700/M679*P679),2)</f>
        <v>0</v>
      </c>
      <c r="E702" s="21">
        <f>ROUND(IF(B702=0,0,E700/N675*P679),2)</f>
        <v>0</v>
      </c>
      <c r="F702" s="22">
        <f>ROUND(IF(P679=0,0,IFERROR(((LOOKUP(2,1/(A686:A689=A702),I686:I689))/N675*P679),F701/P678*P679)),2)</f>
        <v>0</v>
      </c>
      <c r="G702" s="25">
        <f t="shared" si="116"/>
        <v>0</v>
      </c>
      <c r="H702" s="64">
        <f>IF(B702=0,0,IF(AND(H692="ja",((U702)&lt;R717)),ROUND(((R719*R716+((R717/(R717-R716))-(R716/(R717-R716))*R719)*((U702)-R716))*(H700*2))-(((R717/(R717-R716))*((U702)-R716))*H700),2),ROUND(IF(U701&lt;(R701),IF((V702)&gt;(SUM(R701:R702)),(((SUM(R701:R702))-(V702-C701))*H700)+((U702-C701)*H700),U702*H700),IF(V702&gt;(SUM(R701:R702)),R702*H700,U702*H700)),2)))</f>
        <v>0</v>
      </c>
      <c r="I702" s="64">
        <f>IF(B702=0,0,IF(AND(H692="ja",((U702)&lt;R717)),ROUND(((R719*R716+((R717/(R717-R716))-(R716/(R717-R716))*R719)*((U702)-R716))*(I700*2))-(((R717/(R717-R716))*((U702)-R716))*I700),2),ROUND(IF(U701&lt;(S701),IF((V702)&gt;(SUM(S701:S702)),(((SUM(S701:S702))-(V702-C701))*I700)+((U702-C701)*I700),U702*I700),IF(V702&gt;(SUM(S701:S702)),S702*I700,U702*I700)),2)))</f>
        <v>0</v>
      </c>
      <c r="J702" s="64">
        <f>IF(B702=0,0,IF(AND(H692="ja",((U702)&lt;R717)),ROUND(((R719*R716+((R717/(R717-R716))-(R716/(R717-R716))*R719)*((U702)-R716))*(J700*2))-(((R717/(R717-R716))*((U702)-R716))*J700),2),ROUND(IF(U701&lt;(S701),IF((V702)&gt;(SUM(S701:S702)),(((SUM(S701:S702))-(V702-C701))*J700)+((U702-C701)*J700),U702*J700),IF(V702&gt;(SUM(S701:S702)),S702*J700,U702*J700)),2)))</f>
        <v>0</v>
      </c>
      <c r="K702" s="64">
        <f>IF(B702=0,0,IF(AND(H692="ja",((U702)&lt;R717)),ROUND(((R719*R716+((R717/(R717-R716))-(R716/(R717-R716))*R719)*((U702)-R716))*(K700*2))-(((R717/(R717-R716))*((U702)-R716))*K700),2),ROUND(IF(U701&lt;(R701),IF((V702)&gt;(SUM(R701:R702)),(((SUM(R701:R702))-(V702-C701))*K700)+((U702-C701)*K700),U702*K700),IF(V702&gt;(SUM(R701:R702)),R702*K700,U702*K700)),2)))</f>
        <v>0</v>
      </c>
      <c r="L702" s="64">
        <f>IF(B702=0,0,IF(AND(H692="ja",((U702-C702)&lt;R717)),ROUND(((R719*R716+((R717/(R717-R716))-(R716/(R717-R716))*R719)*((U702-C702)-R716))*(L700)),2),ROUND(IF(SUM(B701:F701)&lt;(S701),IF((SUM(B701:F702))&gt;(SUM(S701:S702)),(((SUM(S701:S702))-(SUM(B701:F702)-C702))*L700)+((SUM(B702:F702)-C702)*L700),(SUM(B702:F702)-C702)*L700),IF(SUM(B701:F702)&gt;(SUM(S701:S702)),S702*L700,SUM(B702:F702)*L700)),2)))</f>
        <v>0</v>
      </c>
      <c r="M702" s="64">
        <f>IF(B702=0,0,IF(AND(H692="ja",((U702-C702)&lt;R717)),ROUND(((R719*R716+((R717/(R717-R716))-(R716/(R717-R716))*R719)*((U702-C702)-R716))*(M700)),2),ROUND(IF(SUM(B701:F701)&lt;(S701),IF((SUM(B701:F702))&gt;(SUM(S701:S702)),(((SUM(S701:S702))-(SUM(B701:F702)-C702))*M700)+((SUM(B702:F702)-C702)*M700),(SUM(B702:F702)-C702)*M700),IF(SUM(B701:F702)&gt;(SUM(S701:S702)),S702*M700,SUM(B702:F702)*M700)),2)))</f>
        <v>0</v>
      </c>
      <c r="N702" s="64">
        <f>IF(B702=0,0,IF(AND(H692="ja",((U702)&lt;R717)),ROUND(((R719*R716+((R717/(R717-R716))-(R716/(R717-R716))*R719)*((U702)-R716))*(N700)),2),ROUND(IF(SUM(B701:F701)&lt;(S701),IF((SUM(B701:F702))&gt;(SUM(S701:S702)),(((SUM(S701:S702))-(SUM(B701:F702)-C701))*N700)+((SUM(B702:F702)-C701)*N700),SUM(B702:F702)*N700),IF(SUM(B701:F702)&gt;(SUM(S701:S702)),S702*N700,SUM(B702:F702)*N700)),2)))</f>
        <v>0</v>
      </c>
      <c r="O702" s="21">
        <f>ROUND(SUM(B702+C702+F702)*O700,2)</f>
        <v>0</v>
      </c>
      <c r="P702" s="25">
        <f t="shared" ref="P702:P712" si="117">SUM(G702:O702)</f>
        <v>0</v>
      </c>
      <c r="Q702" s="456"/>
      <c r="R702" s="140">
        <f>ROUND(IF(M679="",R695,R695/M679*P679),2)</f>
        <v>5175</v>
      </c>
      <c r="S702" s="140">
        <f>ROUND(IF(M679="",R696,R696/M679*P679),2)</f>
        <v>7450</v>
      </c>
      <c r="U702" s="950">
        <f t="shared" ref="U702:U712" si="118">SUM(B702:F702)</f>
        <v>0</v>
      </c>
      <c r="V702" s="950">
        <f>SUM(B701:F702)</f>
        <v>0</v>
      </c>
    </row>
    <row r="703" spans="1:22" s="1" customFormat="1" x14ac:dyDescent="0.2">
      <c r="A703" s="76" t="str">
        <f>CONCATENATE("Mrz ",O677)</f>
        <v>Mrz 2025</v>
      </c>
      <c r="B703" s="22">
        <f>ROUND(IF(P680=0,0,IFERROR(((LOOKUP(2,1/(A686:A689=A703),G686:G689))*P680*4.348),B702/P679*P680)),2)</f>
        <v>0</v>
      </c>
      <c r="C703" s="21">
        <f>ROUND(IFERROR((LOOKUP(2,1/(A692=A703),E692)),0)+IFERROR((LOOKUP(2,1/(A693=A703),E693)),0),2)</f>
        <v>0</v>
      </c>
      <c r="D703" s="21">
        <f>ROUND(IF(B703=0,0,D700/M679*P680),2)</f>
        <v>0</v>
      </c>
      <c r="E703" s="21">
        <f>ROUND(IF(B703=0,0,E700/N675*P680),2)</f>
        <v>0</v>
      </c>
      <c r="F703" s="22">
        <f>ROUND(IF(P680=0,0,IFERROR(((LOOKUP(2,1/(A686:A689=A703),I686:I689))/N675*P680),F702/P679*P680)),2)</f>
        <v>0</v>
      </c>
      <c r="G703" s="25">
        <f t="shared" si="116"/>
        <v>0</v>
      </c>
      <c r="H703" s="64">
        <f>IF(B703=0,0,IF(AND(H692="ja",((U703)&lt;R717)),ROUND(((R719*R716+((R717/(R717-R716))-(R716/(R717-R716))*R719)*((U703)-R716))*(H700*2))-(((R717/(R717-R716))*((U703)-R716))*H700),2),ROUND(IF(V702&lt;(SUM(R701:R702)),IF((V703)&gt;(SUM(R701:R703)),(((SUM(R701:R703))-(V703-C702))*H700)+((U703-C702)*H700),U703*H700),IF(V703&gt;(SUM(R701:R703)),R703*H700,U703*H700)),2)))</f>
        <v>0</v>
      </c>
      <c r="I703" s="64">
        <f>IF(B703=0,0,IF(AND(H692="ja",((U703)&lt;R717)),ROUND(((R719*R716+((R717/(R717-R716))-(R716/(R717-R716))*R719)*((U703)-R716))*(I700*2))-(((R717/(R717-R716))*((U703)-R716))*I700),2),ROUND(IF(V702&lt;(SUM(S701:S702)),IF((V703)&gt;(SUM(S701:S703)),(((SUM(S701:S703))-(V703-C702))*I700)+((U703-C702)*I700),U703*I700),IF(V703&gt;(SUM(S701:S703)),S703*I700,U703*I700)),2)))</f>
        <v>0</v>
      </c>
      <c r="J703" s="64">
        <f>IF(B703=0,0,IF(AND(H692="ja",((U703)&lt;R717)),ROUND(((R719*R716+((R717/(R717-R716))-(R716/(R717-R716))*R719)*((U703)-R716))*(J700*2))-(((R717/(R717-R716))*((U703)-R716))*J700),2),ROUND(IF(V702&lt;(SUM(S701:S702)),IF((V703)&gt;(SUM(S701:S703)),(((SUM(S701:S703))-(V703-C702))*J700)+((U703-C702)*J700),U703*J700),IF(V703&gt;(SUM(S701:S703)),S703*J700,U703*J700)),2)))</f>
        <v>0</v>
      </c>
      <c r="K703" s="64">
        <f>IF(B703=0,0,IF(AND(H692="ja",((U703)&lt;R717)),ROUND(((R719*R716+((R717/(R717-R716))-(R716/(R717-R716))*R719)*((U703)-R716))*(K700*2))-(((R717/(R717-R716))*((U703)-R716))*K700),2),ROUND(IF(V702&lt;(SUM(R701:R702)),IF((V703)&gt;(SUM(R701:R703)),(((SUM(R701:R703))-(V703-C702))*K700)+((U703-C702)*K700),U703*K700),IF(V703&gt;(SUM(R701:R703)),R703*K700,U703*K700)),2)))</f>
        <v>0</v>
      </c>
      <c r="L703" s="64">
        <f>IF(B703=0,0,IF(AND(H692="ja",((U703-C703)&lt;R717)),ROUND(((R719*R716+((R717/(R717-R716))-(R716/(R717-R716))*R719)*((U703-C703)-R716))*(L700)),2),ROUND(IF(SUM(B701:F702)&lt;(SUM(S701:S702)),IF((SUM(B701:F703))&gt;(SUM(S701:S703)),(((SUM(S701:S703))-(SUM(B701:F703)-C703))*L700)+((SUM(B703:F703)-C703)*L700),(SUM(B703:F703)-C703)*L700),IF(SUM(B701:F703)&gt;(SUM(S701:S703)),S703*L700,SUM(B703:F703)*L700)),2)))</f>
        <v>0</v>
      </c>
      <c r="M703" s="64">
        <f>IF(B703=0,0,IF(AND(H692="ja",((U703-C703)&lt;R717)),ROUND(((R719*R716+((R717/(R717-R716))-(R716/(R717-R716))*R719)*((U703-C703)-R716))*(M700)),2),ROUND(IF(SUM(B701:F702)&lt;(SUM(S701:S702)),IF((SUM(B701:F703))&gt;(SUM(S701:S703)),(((SUM(S701:S703))-(SUM(B701:F703)-C703))*M700)+((SUM(B703:F703)-C703)*M700),(SUM(B703:F703)-C703)*M700),IF(SUM(B701:F703)&gt;(SUM(S701:S703)),S703*M700,SUM(B703:F703)*M700)),2)))</f>
        <v>0</v>
      </c>
      <c r="N703" s="64">
        <f>IF(B703=0,0,IF(AND(H692="ja",((U703)&lt;R717)),ROUND(((R719*R716+((R717/(R717-R716))-(R716/(R717-R716))*R719)*((U703)-R716))*(N700)),2),ROUND(IF(SUM(B701:F702)&lt;(SUM(S701:S702)),IF((SUM(B701:F703))&gt;(SUM(S701:S703)),(((SUM(S701:S703))-(SUM(B701:F703)-C702))*N700)+((SUM(B703:F703)-C702)*N700),SUM(B703:F703)*N700),IF(SUM(B701:F703)&gt;(SUM(S701:S703)),S703*N700,SUM(B703:F703)*N700)),2)))</f>
        <v>0</v>
      </c>
      <c r="O703" s="21">
        <f>ROUND(SUM(B703+C703+F703)*O700,2)</f>
        <v>0</v>
      </c>
      <c r="P703" s="25">
        <f t="shared" si="117"/>
        <v>0</v>
      </c>
      <c r="Q703" s="456"/>
      <c r="R703" s="140">
        <f>ROUND(IF(M679="",R695,R695/M679*P680),2)</f>
        <v>5175</v>
      </c>
      <c r="S703" s="140">
        <f>ROUND(IF(M679="",R696,R696/M679*P680),2)</f>
        <v>7450</v>
      </c>
      <c r="U703" s="950">
        <f t="shared" si="118"/>
        <v>0</v>
      </c>
      <c r="V703" s="950">
        <f>SUM(B701:F703)</f>
        <v>0</v>
      </c>
    </row>
    <row r="704" spans="1:22" s="1" customFormat="1" x14ac:dyDescent="0.2">
      <c r="A704" s="76" t="str">
        <f>CONCATENATE("Apr ",O677)</f>
        <v>Apr 2025</v>
      </c>
      <c r="B704" s="22">
        <f>ROUND(IF(P681=0,0,IFERROR(((LOOKUP(2,1/(A686:A689=A704),G686:G689))*P681*4.348),B703/P680*P681)),2)</f>
        <v>0</v>
      </c>
      <c r="C704" s="21">
        <f>ROUND(IFERROR((LOOKUP(2,1/(A692=A704),E692)),0)+IFERROR((LOOKUP(2,1/(A693=A704),E693)),0),2)</f>
        <v>0</v>
      </c>
      <c r="D704" s="21">
        <f>ROUND(IF(B704=0,0,D700/M679*P681),2)</f>
        <v>0</v>
      </c>
      <c r="E704" s="21">
        <f>ROUND(IF(B704=0,0,E700/N675*P681),2)</f>
        <v>0</v>
      </c>
      <c r="F704" s="22">
        <f>ROUND(IF(P681=0,0,IFERROR(((LOOKUP(2,1/(A686:A689=A704),I686:I689))/N675*P681),F703/P680*P681)),2)</f>
        <v>0</v>
      </c>
      <c r="G704" s="25">
        <f t="shared" si="116"/>
        <v>0</v>
      </c>
      <c r="H704" s="64">
        <f>IF(B704=0,0,IF(AND(H692="ja",((U704)&lt;R717)),ROUND(((R719*R716+((R717/(R717-R716))-(R716/(R717-R716))*R719)*((U704)-R716))*(H700*2))-(((R717/(R717-R716))*((U704)-R716))*H700),2),ROUND(IF(V703&lt;(SUM(R701:R703)),IF((V704)&gt;(SUM(R701:R704)),(((SUM(R701:R704))-(V704-C703))*H700)+((U704-C703)*H700),U704*H700),IF(V704&gt;(SUM(R701:R704)),R704*H700,U704*H700)),2)))</f>
        <v>0</v>
      </c>
      <c r="I704" s="64">
        <f>IF(B704=0,0,IF(AND(H692="ja",((U704)&lt;R717)),ROUND(((R719*R716+((R717/(R717-R716))-(R716/(R717-R716))*R719)*((U704)-R716))*(I700*2))-(((R717/(R717-R716))*((U704)-R716))*I700),2),ROUND(IF(V703&lt;(SUM(S701:S703)),IF((V704)&gt;(SUM(S701:S704)),(((SUM(S701:S704))-(V704-C703))*I700)+((U704-C703)*I700),U704*I700),IF(V704&gt;(SUM(S701:S704)),S704*I700,U704*I700)),2)))</f>
        <v>0</v>
      </c>
      <c r="J704" s="64">
        <f>IF(B704=0,0,IF(AND(H692="ja",((U704)&lt;R717)),ROUND(((R719*R716+((R717/(R717-R716))-(R716/(R717-R716))*R719)*((U704)-R716))*(J700*2))-(((R717/(R717-R716))*((U704)-R716))*J700),2),ROUND(IF(U703&lt;(SUM(S701:S703)),IF((V704)&gt;(SUM(S701:S704)),(((SUM(S701:S704))-(V704-C703))*J700)+((U704-C703)*J700),U704*J700),IF(V704&gt;(SUM(S701:S704)),S704*J700,U704*J700)),2)))</f>
        <v>0</v>
      </c>
      <c r="K704" s="64">
        <f>IF(B704=0,0,IF(AND(H692="ja",((U704)&lt;R717)),ROUND(((R719*R716+((R717/(R717-R716))-(R716/(R717-R716))*R719)*((U704)-R716))*(K700*2))-(((R717/(R717-R716))*((U704)-R716))*K700),2),ROUND(IF(V703&lt;(SUM(R701:R703)),IF((V704)&gt;(SUM(R701:R704)),(((SUM(R701:R704))-(V704-C703))*K700)+((U704-C703)*K700),U704*K700),IF(V704&gt;(SUM(R701:R704)),R704*K700,U704*K700)),2)))</f>
        <v>0</v>
      </c>
      <c r="L704" s="64">
        <f>IF(B704=0,0,IF(AND(H692="ja",((U704-C704)&lt;R717)),ROUND(((R719*R716+((R717/(R717-R716))-(R716/(R717-R716))*R719)*((U704-C704)-R716))*(L700)),2),ROUND(IF(SUM(B701:F703)&lt;(SUM(S701:S703)),IF((SUM(B701:F704))&gt;(SUM(S701:S704)),(((SUM(S701:S704))-(SUM(B701:F704)-C704))*L700)+((SUM(B704:F704)-C704)*L700),(SUM(B704:F704)-C704)*L700),IF(SUM(B701:F704)&gt;(SUM(S701:S704)),S704*L700,SUM(B704:F704)*L700)),2)))</f>
        <v>0</v>
      </c>
      <c r="M704" s="64">
        <f>IF(B704=0,0,IF(AND(H692="ja",((U704-C704)&lt;R717)),ROUND(((R719*R716+((R717/(R717-R716))-(R716/(R717-R716))*R719)*((U704-C704)-R716))*(M700)),2),ROUND(IF(SUM(B701:F703)&lt;(SUM(S701:S703)),IF((SUM(B701:F704))&gt;(SUM(S701:S704)),(((SUM(S701:S704))-(SUM(B701:F704)-C704))*M700)+((SUM(B704:F704)-C704)*M700),(SUM(B704:F704)-C704)*M700),IF(SUM(B701:F704)&gt;(SUM(S701:S704)),S704*M700,SUM(B704:F704)*M700)),2)))</f>
        <v>0</v>
      </c>
      <c r="N704" s="64">
        <f>IF(B704=0,0,IF(AND(H692="ja",((U704)&lt;R717)),ROUND(((R719*R716+((R717/(R717-R716))-(R716/(R717-R716))*R719)*((U704)-R716))*(N700)),2),ROUND(IF(SUM(B701:F703)&lt;(SUM(S701:S703)),IF((SUM(B701:F704))&gt;(SUM(S701:S704)),(((SUM(S701:S704))-(SUM(B701:F704)-C703))*N700)+((SUM(B704:F704)-C703)*N700),SUM(B704:F704)*N700),IF(SUM(B701:F704)&gt;(SUM(S701:S704)),S704*N700,SUM(B704:F704)*N700)),2)))</f>
        <v>0</v>
      </c>
      <c r="O704" s="21">
        <f>ROUND(SUM(B704+C704+F704)*O700,2)</f>
        <v>0</v>
      </c>
      <c r="P704" s="25">
        <f t="shared" si="117"/>
        <v>0</v>
      </c>
      <c r="Q704" s="456"/>
      <c r="R704" s="140">
        <f>ROUND(IF(M679="",R695,R695/M679*P681),2)</f>
        <v>5175</v>
      </c>
      <c r="S704" s="140">
        <f>ROUND(IF(M679="",R696,R696/M679*P681),2)</f>
        <v>7450</v>
      </c>
      <c r="U704" s="950">
        <f t="shared" si="118"/>
        <v>0</v>
      </c>
      <c r="V704" s="950">
        <f>SUM(B701:F704)</f>
        <v>0</v>
      </c>
    </row>
    <row r="705" spans="1:24" s="1" customFormat="1" x14ac:dyDescent="0.2">
      <c r="A705" s="76" t="str">
        <f>CONCATENATE("Mai ",O677)</f>
        <v>Mai 2025</v>
      </c>
      <c r="B705" s="22">
        <f>ROUND(IF(P682=0,0,IFERROR(((LOOKUP(2,1/(A686:A689=A705),G686:G689))*P682*4.348),B704/P681*P682)),2)</f>
        <v>0</v>
      </c>
      <c r="C705" s="21">
        <f>ROUND(IFERROR((LOOKUP(2,1/(A692=A705),E692)),0)+IFERROR((LOOKUP(2,1/(A693=A705),E693)),0),2)</f>
        <v>0</v>
      </c>
      <c r="D705" s="21">
        <f>ROUND(IF(B705=0,0,D700/M679*P682),2)</f>
        <v>0</v>
      </c>
      <c r="E705" s="21">
        <f>ROUND(IF(B705=0,0,E700/N675*P682),2)</f>
        <v>0</v>
      </c>
      <c r="F705" s="22">
        <f>ROUND(IF(P682=0,0,IFERROR(((LOOKUP(2,1/(A686:A689=A705),I686:I689))/N675*P682),F704/P681*P682)),2)</f>
        <v>0</v>
      </c>
      <c r="G705" s="25">
        <f t="shared" si="116"/>
        <v>0</v>
      </c>
      <c r="H705" s="64">
        <f>IF(B705=0,0,IF(AND(H692="ja",((U705)&lt;R717)),ROUND(((R719*R716+((R717/(R717-R716))-(R716/(R717-R716))*R719)*((U705)-R716))*(H700*2))-(((R717/(R717-R716))*((U705)-R716))*H700),2),ROUND(IF(V704&lt;(SUM(R701:R704)),IF((V705)&gt;(SUM(R701:R705)),(((SUM(R701:R705))-(V705-C704))*H700)+((U705-C704)*H700),U705*H700),IF(V705&gt;(SUM(R701:R705)),R705*H700,U705*H700)),2)))</f>
        <v>0</v>
      </c>
      <c r="I705" s="64">
        <f>IF(B705=0,0,IF(AND(H692="ja",((U705)&lt;R717)),ROUND(((R719*R716+((R717/(R717-R716))-(R716/(R717-R716))*R719)*((U705)-R716))*(I700*2))-(((R717/(R717-R716))*((U705)-R716))*I700),2),ROUND(IF(V704&lt;(SUM(S701:S704)),IF((V705)&gt;(SUM(S701:S705)),(((SUM(S701:S705))-(V705-C704))*I700)+((U705-C704)*I700),U705*I700),IF(V705&gt;(SUM(S701:S705)),S705*I700,U705*I700)),2)))</f>
        <v>0</v>
      </c>
      <c r="J705" s="64">
        <f>IF(B705=0,0,IF(AND(H692="ja",((U705)&lt;R717)),ROUND(((R719*R716+((R717/(R717-R716))-(R716/(R717-R716))*R719)*((U705)-R716))*(J700*2))-(((R717/(R717-R716))*((U705)-R716))*J700),2),ROUND(IF(V704&lt;(SUM(S701:S704)),IF((V705)&gt;(SUM(S701:S705)),(((SUM(S701:S705))-(V705-C704))*J700)+((U705-C704)*J700),U705*J700),IF(V705&gt;(SUM(S701:S705)),S705*J700,U705*J700)),2)))</f>
        <v>0</v>
      </c>
      <c r="K705" s="64">
        <f>IF(B705=0,0,IF(AND(H692="ja",((U705)&lt;R717)),ROUND(((R719*R716+((R717/(R717-R716))-(R716/(R717-R716))*R719)*((U705)-R716))*(K700*2))-(((R717/(R717-R716))*((U705)-R716))*K700),2),ROUND(IF(V704&lt;(SUM(R701:R704)),IF((V705)&gt;(SUM(R701:R705)),(((SUM(R701:R705))-(V705-C704))*K700)+((U705-C704)*K700),U705*K700),IF(V705&gt;(SUM(R701:R705)),R705*K700,U705*K700)),2)))</f>
        <v>0</v>
      </c>
      <c r="L705" s="64">
        <f>IF(B705=0,0,IF(AND(H692="ja",((U705-C705)&lt;R717)),ROUND(((R719*R716+((R717/(R717-R716))-(R716/(R717-R716))*R719)*((U705-C705)-R716))*(L700)),2),ROUND(IF(SUM(B701:F704)&lt;(SUM(S701:S704)),IF((SUM(B701:F705))&gt;(SUM(S701:S705)),(((SUM(S701:S705))-(SUM(B701:F705)-C705))*L700)+((SUM(B705:F705)-C705)*L700),(SUM(B705:F705)-C705)*L700),IF(SUM(B701:F705)&gt;(SUM(S701:S705)),S705*L700,SUM(B705:F705)*L700)),2)))</f>
        <v>0</v>
      </c>
      <c r="M705" s="64">
        <f>IF(B705=0,0,IF(AND(H692="ja",((U705-C705)&lt;R717)),ROUND(((R719*R716+((R717/(R717-R716))-(R716/(R717-R716))*R719)*((U705-C705)-R716))*(M700)),2),ROUND(IF(SUM(B701:F704)&lt;(SUM(S701:S704)),IF((SUM(B701:F705))&gt;(SUM(S701:S705)),(((SUM(S701:S705))-(SUM(B701:F705)-C705))*M700)+((SUM(B705:F705)-C705)*M700),(SUM(B705:F705)-C705)*M700),IF(SUM(B701:F705)&gt;(SUM(S701:S705)),S705*M700,SUM(B705:F705)*M700)),2)))</f>
        <v>0</v>
      </c>
      <c r="N705" s="64">
        <f>IF(B705=0,0,IF(AND(H692="ja",((U705)&lt;R717)),ROUND(((R719*R716+((R717/(R717-R716))-(R716/(R717-R716))*R719)*((U705)-R716))*(N700)),2),ROUND(IF(SUM(B701:F704)&lt;(SUM(S701:S704)),IF((SUM(B701:F705))&gt;(SUM(S701:S705)),(((SUM(S701:S705))-(SUM(B701:F705)-C704))*N700)+((SUM(B705:F705)-C704)*N700),SUM(B705:F705)*N700),IF(SUM(B701:F705)&gt;(SUM(S701:S705)),S705*N700,SUM(B705:F705)*N700)),2)))</f>
        <v>0</v>
      </c>
      <c r="O705" s="21">
        <f>ROUND(SUM(B705+C705+F705)*O700,2)</f>
        <v>0</v>
      </c>
      <c r="P705" s="25">
        <f t="shared" si="117"/>
        <v>0</v>
      </c>
      <c r="Q705" s="456"/>
      <c r="R705" s="140">
        <f>ROUND(IF(M679="",R695,R695/M679*P682),2)</f>
        <v>5175</v>
      </c>
      <c r="S705" s="140">
        <f>ROUND(IF(M679="",R696,R696/M679*P682),2)</f>
        <v>7450</v>
      </c>
      <c r="U705" s="950">
        <f t="shared" si="118"/>
        <v>0</v>
      </c>
      <c r="V705" s="950">
        <f>SUM(B701:F705)</f>
        <v>0</v>
      </c>
    </row>
    <row r="706" spans="1:24" s="1" customFormat="1" x14ac:dyDescent="0.2">
      <c r="A706" s="76" t="str">
        <f>CONCATENATE("Jun ",O677)</f>
        <v>Jun 2025</v>
      </c>
      <c r="B706" s="22">
        <f>ROUND(IF(P683=0,0,IFERROR(((LOOKUP(2,1/(A686:A689=A706),G686:G689))*P683*4.348),B705/P682*P683)),2)</f>
        <v>0</v>
      </c>
      <c r="C706" s="21">
        <f>ROUND(IFERROR((LOOKUP(2,1/(A692=A706),E692)),0)+IFERROR((LOOKUP(2,1/(A693=A706),E693)),0),2)</f>
        <v>0</v>
      </c>
      <c r="D706" s="21">
        <f>ROUND(IF(B706=0,0,D700/M679*P683),2)</f>
        <v>0</v>
      </c>
      <c r="E706" s="21">
        <f>ROUND(IF(B706=0,0,E700/N675*P683),2)</f>
        <v>0</v>
      </c>
      <c r="F706" s="22">
        <f>ROUND(IF(P683=0,0,IFERROR(((LOOKUP(2,1/(A686:A689=A706),I686:I689))/N675*P683),F705/P682*P683)),2)</f>
        <v>0</v>
      </c>
      <c r="G706" s="25">
        <f t="shared" si="116"/>
        <v>0</v>
      </c>
      <c r="H706" s="64">
        <f>IF(B706=0,0,IF(AND(H692="ja",((U706)&lt;R717)),ROUND(((R719*R716+((R717/(R717-R716))-(R716/(R717-R716))*R719)*((U706)-R716))*(H700*2))-(((R717/(R717-R716))*((U706)-R716))*H700),2),ROUND(IF(V705&lt;(SUM(R701:R705)),IF((V706)&gt;(SUM(R701:R706)),(((SUM(R701:R706))-(V706-C705))*H700)+((U706-C705)*H700),U706*H700),IF(V706&gt;(SUM(R701:R706)),R706*H700,U706*H700)),2)))</f>
        <v>0</v>
      </c>
      <c r="I706" s="64">
        <f>IF(B706=0,0,IF(AND(H692="ja",((U706)&lt;R717)),ROUND(((R719*R716+((R717/(R717-R716))-(R716/(R717-R716))*R719)*((U706)-R716))*(I700*2))-(((R717/(R717-R716))*((U706)-R716))*I700),2),ROUND(IF(V705&lt;(SUM(S701:S705)),IF((V706)&gt;(SUM(S701:S706)),(((SUM(S701:S706))-(V706-C705))*I700)+((U706-C705)*I700),U706*I700),IF(V706&gt;(SUM(S701:S706)),S706*I700,U706*I700)),2)))</f>
        <v>0</v>
      </c>
      <c r="J706" s="64">
        <f>IF(B706=0,0,IF(AND(H692="ja",((U706)&lt;R717)),ROUND(((R719*R716+((R717/(R717-R716))-(R716/(R717-R716))*R719)*((U706)-R716))*(J700*2))-(((R717/(R717-R716))*((U706)-R716))*J700),2),ROUND(IF(V705&lt;(SUM(S701:S705)),IF((V706)&gt;(SUM(S701:S706)),(((SUM(S701:S706))-(V706-C705))*J700)+((U706-C705)*J700),U706*J700),IF(V706&gt;(SUM(S701:S706)),S706*J700,U706*J700)),2)))</f>
        <v>0</v>
      </c>
      <c r="K706" s="64">
        <f>IF(B706=0,0,IF(AND(H692="ja",((U706)&lt;R717)),ROUND(((R719*R716+((R717/(R717-R716))-(R716/(R717-R716))*R719)*((U706)-R716))*(K700*2))-(((R717/(R717-R716))*((U706)-R716))*K700),2),ROUND(IF(V705&lt;(SUM(R701:R705)),IF((V706)&gt;(SUM(R701:R706)),(((SUM(R701:R706))-(V706-C705))*K700)+((U706-C705)*K700),U706*K700),IF(V706&gt;(SUM(R701:R706)),R706*K700,U706*K700)),2)))</f>
        <v>0</v>
      </c>
      <c r="L706" s="64">
        <f>IF(B706=0,0,IF(AND(H692="ja",((U706-C706)&lt;R717)),ROUND(((R719*R716+((R717/(R717-R716))-(R716/(R717-R716))*R719)*((U706-C706)-R716))*(L700)),2),ROUND(IF(SUM(B701:F705)&lt;(SUM(S701:S705)),IF((SUM(B701:F706))&gt;(SUM(S701:S706)),(((SUM(S701:S706))-(SUM(B701:F706)-C706))*L700)+((SUM(B706:F706)-C706)*L700),(SUM(B706:F706)-C706)*L700),IF(SUM(B701:F706)&gt;(SUM(S701:S706)),S706*L700,SUM(B706:F706)*L700)),2)))</f>
        <v>0</v>
      </c>
      <c r="M706" s="64">
        <f>IF(B706=0,0,IF(AND(H692="ja",((U706-C706)&lt;R717)),ROUND(((R719*R716+((R717/(R717-R716))-(R716/(R717-R716))*R719)*((U706-C706)-R716))*(M700)),2),ROUND(IF(SUM(B701:F705)&lt;(SUM(S701:S705)),IF((SUM(B701:F706))&gt;(SUM(S701:S706)),(((SUM(S701:S706))-(SUM(B701:F706)-C706))*M700)+((SUM(B706:F706)-C706)*M700),(SUM(B706:F706)-C706)*M700),IF(SUM(B701:F706)&gt;(SUM(S701:S706)),S706*M700,SUM(B706:F706)*M700)),2)))</f>
        <v>0</v>
      </c>
      <c r="N706" s="64">
        <f>IF(B706=0,0,IF(AND(H692="ja",((U706)&lt;R717)),ROUND(((R719*R716+((R717/(R717-R716))-(R716/(R717-R716))*R719)*((U706)-R716))*(N700)),2),ROUND(IF(SUM(B701:F705)&lt;(SUM(S701:S705)),IF((SUM(B701:F706))&gt;(SUM(S701:S706)),(((SUM(S701:S706))-(SUM(B701:F706)-C705))*N700)+((SUM(B706:F706)-C705)*N700),SUM(B706:F706)*N700),IF(SUM(B701:F706)&gt;(SUM(S701:S706)),S706*N700,SUM(B706:F706)*N700)),2)))</f>
        <v>0</v>
      </c>
      <c r="O706" s="21">
        <f>ROUND(SUM(B706+C706+F706)*O700,2)</f>
        <v>0</v>
      </c>
      <c r="P706" s="25">
        <f t="shared" si="117"/>
        <v>0</v>
      </c>
      <c r="Q706" s="456"/>
      <c r="R706" s="140">
        <f>ROUND(IF(M679="",R695,R695/M679*P683),2)</f>
        <v>5175</v>
      </c>
      <c r="S706" s="140">
        <f>ROUND(IF(M679="",R696,R696/M679*P683),2)</f>
        <v>7450</v>
      </c>
      <c r="U706" s="950">
        <f t="shared" si="118"/>
        <v>0</v>
      </c>
      <c r="V706" s="950">
        <f>SUM(B701:F706)</f>
        <v>0</v>
      </c>
    </row>
    <row r="707" spans="1:24" s="1" customFormat="1" x14ac:dyDescent="0.2">
      <c r="A707" s="76" t="str">
        <f>CONCATENATE("Jul ",O677)</f>
        <v>Jul 2025</v>
      </c>
      <c r="B707" s="22">
        <f>ROUND(IF(P684=0,0,IFERROR(((LOOKUP(2,1/(A686:A689=A707),G686:G689))*P684*4.348),B706/P683*P684)),2)</f>
        <v>0</v>
      </c>
      <c r="C707" s="21">
        <f>ROUND(IFERROR((LOOKUP(2,1/(A692=A707),E692)),0)+IFERROR((LOOKUP(2,1/(A693=A707),E693)),0),2)</f>
        <v>0</v>
      </c>
      <c r="D707" s="21">
        <f>ROUND(IF(B707=0,0,D700/M679*P684),2)</f>
        <v>0</v>
      </c>
      <c r="E707" s="21">
        <f>ROUND(IF(B707=0,0,E700/N675*P684),2)</f>
        <v>0</v>
      </c>
      <c r="F707" s="22">
        <f>ROUND(IF(P684=0,0,IFERROR(((LOOKUP(2,1/(A686:A689=A707),I686:I689))/N675*P684),F706/P683*P684)),2)</f>
        <v>0</v>
      </c>
      <c r="G707" s="25">
        <f t="shared" si="116"/>
        <v>0</v>
      </c>
      <c r="H707" s="64">
        <f>IF(B707=0,0,IF(AND(H692="ja",((U707)&lt;R717)),ROUND(((R719*R716+((R717/(R717-R716))-(R716/(R717-R716))*R719)*((U707)-R716))*(H700*2))-(((R717/(R717-R716))*((U707)-R716))*H700),2),ROUND(IF(V706&lt;(SUM(R701:R706)),IF((V707)&gt;(SUM(R701:R707)),(((SUM(R701:R707))-(V707-C706))*H700)+((U707-C706)*H700),U707*H700),IF(V707&gt;(SUM(R701:R707)),R707*H700,U707*H700)),2)))</f>
        <v>0</v>
      </c>
      <c r="I707" s="64">
        <f>IF(B707=0,0,IF(AND(H692="ja",((U707)&lt;R717)),ROUND(((R719*R716+((R717/(R717-R716))-(R716/(R717-R716))*R719)*((U707)-R716))*(I700*2))-(((R717/(R717-R716))*((U707)-R716))*I700),2),ROUND(IF(V706&lt;(SUM(S701:S706)),IF((V707)&gt;(SUM(S701:S707)),(((SUM(S701:S707))-(V707-C706))*I700)+((U707-C706)*I700),U707*I700),IF(V707&gt;(SUM(S701:S707)),S707*I700,U707*I700)),2)))</f>
        <v>0</v>
      </c>
      <c r="J707" s="64">
        <f>IF(B707=0,0,IF(AND(H692="ja",((U707)&lt;R717)),ROUND(((R719*R716+((R717/(R717-R716))-(R716/(R717-R716))*R719)*((U707)-R716))*(J700*2))-(((R717/(R717-R716))*((U707)-R716))*J700),2),ROUND(IF(V706&lt;(SUM(S701:S706)),IF((V707)&gt;(SUM(S701:S707)),(((SUM(S701:S707))-(V707-C706))*J700)+((U707-C706)*J700),U707*J700),IF(V707&gt;(SUM(S701:S707)),S707*J700,U707*J700)),2)))</f>
        <v>0</v>
      </c>
      <c r="K707" s="64">
        <f>IF(B707=0,0,IF(AND(H692="ja",((U707)&lt;R717)),ROUND(((R719*R716+((R717/(R717-R716))-(R716/(R717-R716))*R719)*((U707)-R716))*(K700*2))-(((R717/(R717-R716))*((U707)-R716))*K700),2),ROUND(IF(V706&lt;(SUM(R701:R706)),IF((V707)&gt;(SUM(R701:R707)),(((SUM(R701:R707))-(V707-C706))*K700)+((U707-C706)*K700),U707*K700),IF(V707&gt;(SUM(R701:R707)),R707*K700,U707*K700)),2)))</f>
        <v>0</v>
      </c>
      <c r="L707" s="64">
        <f>IF(B707=0,0,IF(AND(H692="ja",((U707-C707)&lt;R717)),ROUND(((R719*R716+((R717/(R717-R716))-(R716/(R717-R716))*R719)*((U707-C707)-R716))*(L700)),2),ROUND(IF(SUM(B701:F706)&lt;(SUM(S701:S706)),IF((SUM(B701:F707))&gt;(SUM(S701:S707)),(((SUM(S701:S707))-(SUM(B701:F707)-C707))*L700)+((SUM(B707:F707)-C707)*L700),(SUM(B707:F707)-C707)*L700),IF(SUM(B701:F707)&gt;(SUM(S701:S707)),S707*L700,SUM(B707:F707)*L700)),2)))</f>
        <v>0</v>
      </c>
      <c r="M707" s="64">
        <f>IF(B707=0,0,IF(AND(H692="ja",((U707-C707)&lt;R717)),ROUND(((R719*R716+((R717/(R717-R716))-(R716/(R717-R716))*R719)*((U707-C707)-R716))*(M700)),2),ROUND(IF(SUM(B701:F706)&lt;(SUM(S701:S706)),IF((SUM(B701:F707))&gt;(SUM(S701:S707)),(((SUM(S701:S707))-(SUM(B701:F707)-C707))*M700)+((SUM(B707:F707)-C707)*M700),(SUM(B707:F707)-C707)*M700),IF(SUM(B701:F707)&gt;(SUM(S701:S707)),S707*M700,SUM(B707:F707)*M700)),2)))</f>
        <v>0</v>
      </c>
      <c r="N707" s="64">
        <f>IF(B707=0,0,IF(AND(H692="ja",((U707)&lt;R717)),ROUND(((R719*R716+((R717/(R717-R716))-(R716/(R717-R716))*R719)*((U707)-R716))*(N700)),2),ROUND(IF(SUM(B701:F706)&lt;(SUM(S701:S706)),IF((SUM(B701:F707))&gt;(SUM(S701:S707)),(((SUM(S701:S707))-(SUM(B701:F707)-C706))*N700)+((SUM(B707:F707)-C706)*N700),SUM(B707:F707)*N700),IF(SUM(B701:F707)&gt;(SUM(S701:S707)),S707*N700,SUM(B707:F707)*N700)),2)))</f>
        <v>0</v>
      </c>
      <c r="O707" s="21">
        <f>ROUND(SUM(B707+C707+F707)*O700,2)</f>
        <v>0</v>
      </c>
      <c r="P707" s="25">
        <f t="shared" si="117"/>
        <v>0</v>
      </c>
      <c r="Q707" s="456"/>
      <c r="R707" s="140">
        <f>ROUND(IF(M679="",R695,R695/M679*P684),2)</f>
        <v>5175</v>
      </c>
      <c r="S707" s="140">
        <f>ROUND(IF(M679="",R696,R696/M679*P684),2)</f>
        <v>7450</v>
      </c>
      <c r="U707" s="950">
        <f t="shared" si="118"/>
        <v>0</v>
      </c>
      <c r="V707" s="950">
        <f>SUM(B701:F707)</f>
        <v>0</v>
      </c>
    </row>
    <row r="708" spans="1:24" s="1" customFormat="1" x14ac:dyDescent="0.2">
      <c r="A708" s="76" t="str">
        <f>CONCATENATE("Aug ",O677)</f>
        <v>Aug 2025</v>
      </c>
      <c r="B708" s="22">
        <f>ROUND(IF(P685=0,0,IFERROR(((LOOKUP(2,1/(A686:A689=A708),G686:G689))*P685*4.348),B707/P684*P685)),2)</f>
        <v>0</v>
      </c>
      <c r="C708" s="21">
        <f>ROUND(IFERROR((LOOKUP(2,1/(A692=A708),E692)),0)+IFERROR((LOOKUP(2,1/(A693=A708),E693)),0),2)</f>
        <v>0</v>
      </c>
      <c r="D708" s="21">
        <f>ROUND(IF(B708=0,0,D700/M679*P685),2)</f>
        <v>0</v>
      </c>
      <c r="E708" s="21">
        <f>ROUND(IF(B708=0,0,E700/N675*P685),2)</f>
        <v>0</v>
      </c>
      <c r="F708" s="22">
        <f>ROUND(IF(P685=0,0,IFERROR(((LOOKUP(2,1/(A686:A689=A708),I686:I689))/N675*P685),F707/P684*P685)),2)</f>
        <v>0</v>
      </c>
      <c r="G708" s="25">
        <f t="shared" si="116"/>
        <v>0</v>
      </c>
      <c r="H708" s="64">
        <f>IF(B708=0,0,IF(AND(H692="ja",((U708)&lt;R717)),ROUND(((R719*R716+((R717/(R717-R716))-(R716/(R717-R716))*R719)*((U708)-R716))*(H700*2))-(((R717/(R717-R716))*((U708)-R716))*H700),2),ROUND(IF(V707&lt;(SUM(R701:R707)),IF((V708)&gt;(SUM(R701:R708)),(((SUM(R701:R708))-(V708-C707))*H700)+((U708-C707)*H700),U708*H700),IF(V708&gt;(SUM(R701:R708)),R708*H700,U708*H700)),2)))</f>
        <v>0</v>
      </c>
      <c r="I708" s="64">
        <f>IF(B708=0,0,IF(AND(H692="ja",((U708)&lt;R717)),ROUND(((R719*R716+((R717/(R717-R716))-(R716/(R717-R716))*R719)*((U708)-R716))*(I700*2))-(((R717/(R717-R716))*((U708)-R716))*I700),2),ROUND(IF(V707&lt;(SUM(S701:S707)),IF((V708)&gt;(SUM(S701:S708)),(((SUM(S701:S708))-(V708-C707))*I700)+((U708-C707)*I700),U708*I700),IF(V708&gt;(SUM(S701:S708)),S708*I700,U708*I700)),2)))</f>
        <v>0</v>
      </c>
      <c r="J708" s="64">
        <f>IF(B708=0,0,IF(AND(H692="ja",((U708)&lt;R717)),ROUND(((R719*R716+((R717/(R717-R716))-(R716/(R717-R716))*R719)*((U708)-R716))*(J700*2))-(((R717/(R717-R716))*((U708)-R716))*J700),2),ROUND(IF(V707&lt;(SUM(S701:S707)),IF((V708)&gt;(SUM(S701:S708)),(((SUM(S701:S708))-(V708-C707))*J700)+((U708-C707)*J700),U708*J700),IF(V708&gt;(SUM(S701:S708)),S708*J700,U708*J700)),2)))</f>
        <v>0</v>
      </c>
      <c r="K708" s="64">
        <f>IF(B708=0,0,IF(AND(H692="ja",((U708)&lt;R717)),ROUND(((R719*R716+((R717/(R717-R716))-(R716/(R717-R716))*R719)*((U708)-R716))*(K700*2))-(((R717/(R717-R716))*((U708)-R716))*K700),2),ROUND(IF(V707&lt;(SUM(R701:R707)),IF((V708)&gt;(SUM(R701:R708)),(((SUM(R701:R708))-(V708-C707))*K700)+((U708-C707)*K700),U708*K700),IF(V708&gt;(SUM(R701:R708)),R708*K700,U708*K700)),2)))</f>
        <v>0</v>
      </c>
      <c r="L708" s="64">
        <f>IF(B708=0,0,IF(AND(H692="ja",((U708-C708)&lt;R717)),ROUND(((R719*R716+((R717/(R717-R716))-(R716/(R717-R716))*R719)*((U708-C708)-R716))*(L700)),2),ROUND(IF(SUM(B701:F707)&lt;(SUM(S701:S707)),IF((SUM(B701:F708))&gt;(SUM(S701:S708)),(((SUM(S701:S708))-(SUM(B701:F708)-C708))*L700)+((SUM(B708:F708)-C708)*L700),(SUM(B708:F708)-C708)*L700),IF(SUM(B701:F708)&gt;(SUM(S701:S708)),S708*L700,SUM(B708:F708)*L700)),2)))</f>
        <v>0</v>
      </c>
      <c r="M708" s="64">
        <f>IF(B708=0,0,IF(AND(H692="ja",((U708-C708)&lt;R717)),ROUND(((R719*R716+((R717/(R717-R716))-(R716/(R717-R716))*R719)*((U708-C708)-R716))*(M700)),2),ROUND(IF(SUM(B701:F707)&lt;(SUM(S701:S707)),IF((SUM(B701:F708))&gt;(SUM(S701:S708)),(((SUM(S701:S708))-(SUM(B701:F708)-C708))*M700)+((SUM(B708:F708)-C708)*M700),(SUM(B708:F708)-C708)*M700),IF(SUM(B701:F708)&gt;(SUM(S701:S708)),S708*M700,SUM(B708:F708)*M700)),2)))</f>
        <v>0</v>
      </c>
      <c r="N708" s="64">
        <f>IF(B708=0,0,IF(AND(H692="ja",((U708)&lt;R717)),ROUND(((R719*R716+((R717/(R717-R716))-(R716/(R717-R716))*R719)*((U708)-R716))*(N700)),2),ROUND(IF(SUM(B701:F707)&lt;(SUM(S701:S707)),IF((SUM(B701:F708))&gt;(SUM(S701:S708)),(((SUM(S701:S708))-(SUM(B701:F708)-C707))*N700)+((SUM(B708:F708)-C707)*N700),SUM(B708:F708)*N700),IF(SUM(B701:F708)&gt;(SUM(S701:S708)),S708*N700,SUM(B708:F708)*N700)),2)))</f>
        <v>0</v>
      </c>
      <c r="O708" s="21">
        <f>ROUND(SUM(B708+C708+F708)*O700,2)</f>
        <v>0</v>
      </c>
      <c r="P708" s="25">
        <f t="shared" si="117"/>
        <v>0</v>
      </c>
      <c r="Q708" s="456"/>
      <c r="R708" s="140">
        <f>ROUND(IF(M679="",R695,R695/M679*P685),2)</f>
        <v>5175</v>
      </c>
      <c r="S708" s="140">
        <f>ROUND(IF(M679="",R696,R696/M679*P685),2)</f>
        <v>7450</v>
      </c>
      <c r="U708" s="950">
        <f t="shared" si="118"/>
        <v>0</v>
      </c>
      <c r="V708" s="950">
        <f>SUM(B701:F708)</f>
        <v>0</v>
      </c>
    </row>
    <row r="709" spans="1:24" s="1" customFormat="1" x14ac:dyDescent="0.2">
      <c r="A709" s="76" t="str">
        <f>CONCATENATE("Sep ",O677)</f>
        <v>Sep 2025</v>
      </c>
      <c r="B709" s="22">
        <f>ROUND(IF(P686=0,0,IFERROR(((LOOKUP(2,1/(A686:A689=A709),G686:G689))*P686*4.348),B708/P685*P686)),2)</f>
        <v>0</v>
      </c>
      <c r="C709" s="21">
        <f>ROUND(IFERROR((LOOKUP(2,1/(A692=A709),E692)),0)+IFERROR((LOOKUP(2,1/(A693=A709),E693)),0),2)</f>
        <v>0</v>
      </c>
      <c r="D709" s="21">
        <f>ROUND(IF(B709=0,0,D700/M679*P686),2)</f>
        <v>0</v>
      </c>
      <c r="E709" s="21">
        <f>ROUND(IF(B709=0,0,E700/N675*P686),2)</f>
        <v>0</v>
      </c>
      <c r="F709" s="22">
        <f>ROUND(IF(P686=0,0,IFERROR(((LOOKUP(2,1/(A686:A689=A709),I686:I689))/N675*P686),F708/P685*P686)),2)</f>
        <v>0</v>
      </c>
      <c r="G709" s="25">
        <f t="shared" si="116"/>
        <v>0</v>
      </c>
      <c r="H709" s="64">
        <f>IF(B709=0,0,IF(AND(H692="ja",((U709)&lt;R717)),ROUND(((R719*R716+((R717/(R717-R716))-(R716/(R717-R716))*R719)*((U709)-R716))*(H700*2))-(((R717/(R717-R716))*((U709)-R716))*H700),2),ROUND(IF(V708&lt;(SUM(R701:R708)),IF((V709)&gt;(SUM(R701:R709)),(((SUM(R701:R709))-(V709-C708))*H700)+((U709-C708)*H700),U709*H700),IF(V709&gt;(SUM(R701:R709)),R709*H700,U709*H700)),2)))</f>
        <v>0</v>
      </c>
      <c r="I709" s="64">
        <f>IF(B709=0,0,IF(AND(H692="ja",((U709)&lt;R717)),ROUND(((R719*R716+((R717/(R717-R716))-(R716/(R717-R716))*R719)*((U709)-R716))*(I700*2))-(((R717/(R717-R716))*((U709)-R716))*I700),2),ROUND(IF(V708&lt;(SUM(S701:S708)),IF((V709)&gt;(SUM(S701:S709)),(((SUM(S701:S709))-(V709-C708))*I700)+((U709-C708)*I700),U709*I700),IF(V709&gt;(SUM(S701:S709)),S709*I700,U709*I700)),2)))</f>
        <v>0</v>
      </c>
      <c r="J709" s="64">
        <f>IF(B709=0,0,IF(AND(H692="ja",((U709)&lt;R717)),ROUND(((R719*R716+((R717/(R717-R716))-(R716/(R717-R716))*R719)*((U709)-R716))*(J700*2))-(((R717/(R717-R716))*((U709)-R716))*J700),2),ROUND(IF(V708&lt;(SUM(S701:S708)),IF((V709)&gt;(SUM(S701:S709)),(((SUM(S701:S709))-(V709-C708))*J700)+((U709-C708)*J700),U709*J700),IF(V709&gt;(SUM(S701:S709)),S709*J700,U709*J700)),2)))</f>
        <v>0</v>
      </c>
      <c r="K709" s="64">
        <f>IF(B709=0,0,IF(AND(H692="ja",((U709)&lt;R717)),ROUND(((R719*R716+((R717/(R717-R716))-(R716/(R717-R716))*R719)*((U709)-R716))*(K700*2))-(((R717/(R717-R716))*((U709)-R716))*K700),2),ROUND(IF(V708&lt;(SUM(R701:R708)),IF((V709)&gt;(SUM(R701:R709)),(((SUM(R701:R709))-(V709-C708))*K700)+((U709-C708)*K700),U709*K700),IF(V709&gt;(SUM(R701:R709)),R709*K700,U709*K700)),2)))</f>
        <v>0</v>
      </c>
      <c r="L709" s="64">
        <f>IF(B709=0,0,IF(AND(H692="ja",((U709-C709)&lt;R717)),ROUND(((R719*R716+((R717/(R717-R716))-(R716/(R717-R716))*R719)*((U709-C709)-R716))*(L700)),2),ROUND(IF(SUM(B701:F708)&lt;(SUM(S701:S708)),IF((SUM(B701:F709))&gt;(SUM(S701:S709)),(((SUM(S701:S709))-(SUM(B701:F709)-C709))*L700)+((SUM(B709:F709)-C709)*L700),(SUM(B709:F709)-C709)*L700),IF(SUM(B701:F709)&gt;(SUM(S701:S709)),S709*L700,SUM(B709:F709)*L700)),2)))</f>
        <v>0</v>
      </c>
      <c r="M709" s="64">
        <f>IF(B709=0,0,IF(AND(H692="ja",((U709-C709)&lt;R717)),ROUND(((R719*R716+((R717/(R717-R716))-(R716/(R717-R716))*R719)*((U709-C709)-R716))*(M700)),2),ROUND(IF(SUM(B701:F708)&lt;(SUM(S701:S708)),IF((SUM(B701:F709))&gt;(SUM(S701:S709)),(((SUM(S701:S709))-(SUM(B701:F709)-C709))*M700)+((SUM(B709:F709)-C709)*M700),(SUM(B709:F709)-C709)*M700),IF(SUM(B701:F709)&gt;(SUM(S701:S709)),S709*M700,SUM(B709:F709)*M700)),2)))</f>
        <v>0</v>
      </c>
      <c r="N709" s="64">
        <f>IF(B709=0,0,IF(AND(H692="ja",((U709)&lt;R717)),ROUND(((R719*R716+((R717/(R717-R716))-(R716/(R717-R716))*R719)*((U709)-R716))*(N700)),2),ROUND(IF(SUM(B701:F708)&lt;(SUM(S701:S708)),IF((SUM(B701:F709))&gt;(SUM(S701:S709)),(((SUM(S701:S709))-(SUM(B701:F709)-C708))*N700)+((SUM(B709:F709)-C708)*N700),SUM(B709:F709)*N700),IF(SUM(B701:F709)&gt;(SUM(S701:S709)),S709*N700,SUM(B709:F709)*N700)),2)))</f>
        <v>0</v>
      </c>
      <c r="O709" s="21">
        <f>ROUND(SUM(B709+C709+F709)*O700,2)</f>
        <v>0</v>
      </c>
      <c r="P709" s="25">
        <f t="shared" si="117"/>
        <v>0</v>
      </c>
      <c r="Q709" s="456"/>
      <c r="R709" s="140">
        <f>ROUND(IF(M679="",R695,R695/M679*P686),2)</f>
        <v>5175</v>
      </c>
      <c r="S709" s="140">
        <f>ROUND(IF(M679="",R696,R696/M679*P686),2)</f>
        <v>7450</v>
      </c>
      <c r="U709" s="950">
        <f t="shared" si="118"/>
        <v>0</v>
      </c>
      <c r="V709" s="950">
        <f>SUM(B701:F709)</f>
        <v>0</v>
      </c>
    </row>
    <row r="710" spans="1:24" s="12" customFormat="1" ht="15" x14ac:dyDescent="0.25">
      <c r="A710" s="76" t="str">
        <f>CONCATENATE("Okt ",O677)</f>
        <v>Okt 2025</v>
      </c>
      <c r="B710" s="22">
        <f>ROUND(IF(P687=0,0,IFERROR(((LOOKUP(2,1/(A686:A689=A710),G686:G689))*P687*4.348),B709/P686*P687)),2)</f>
        <v>0</v>
      </c>
      <c r="C710" s="21">
        <f>ROUND(IFERROR((LOOKUP(2,1/(A692=A710),E692)),0)+IFERROR((LOOKUP(2,1/(A693=A710),E693)),0),2)</f>
        <v>0</v>
      </c>
      <c r="D710" s="21">
        <f>ROUND(IF(B710=0,0,D700/M679*P687),2)</f>
        <v>0</v>
      </c>
      <c r="E710" s="21">
        <f>ROUND(IF(B710=0,0,E700/N675*P687),2)</f>
        <v>0</v>
      </c>
      <c r="F710" s="22">
        <f>ROUND(IF(P687=0,0,IFERROR(((LOOKUP(2,1/(A686:A689=A710),I686:I689))/N675*P687),F709/P686*P687)),2)</f>
        <v>0</v>
      </c>
      <c r="G710" s="25">
        <f t="shared" si="116"/>
        <v>0</v>
      </c>
      <c r="H710" s="64">
        <f>IF(B710=0,0,IF(AND(H692="ja",((U710)&lt;R717)),ROUND(((R719*R716+((R717/(R717-R716))-(R716/(R717-R716))*R719)*((U710)-R716))*(H700*2))-(((R717/(R717-R716))*((U710)-R716))*H700),2),ROUND(IF(V709&lt;(SUM(R701:R709)),IF((V710)&gt;(SUM(R701:R710)),(((SUM(R701:R710))-(V710-C709))*H700)+((U710-C709)*H700),U710*H700),IF(V710&gt;(SUM(R701:R710)),R710*H700,U710*H700)),2)))</f>
        <v>0</v>
      </c>
      <c r="I710" s="64">
        <f>IF(B710=0,0,IF(AND(H692="ja",((U710)&lt;R717)),ROUND(((R719*R716+((R717/(R717-R716))-(R716/(R717-R716))*R719)*((U710)-R716))*(I700*2))-(((R717/(R717-R716))*((U710)-R716))*I700),2),ROUND(IF(V709&lt;(SUM(S701:S709)),IF((V710)&gt;(SUM(S701:S710)),(((SUM(S701:S710))-(V710-C709))*I700)+((U710-C709)*I700),U710*I700),IF(V710&gt;(SUM(S701:S710)),S710*I700,U710*I700)),2)))</f>
        <v>0</v>
      </c>
      <c r="J710" s="64">
        <f>IF(B710=0,0,IF(AND(H692="ja",((U710)&lt;R717)),ROUND(((R719*R716+((R717/(R717-R716))-(R716/(R717-R716))*R719)*((U710)-R716))*(J700*2))-(((R717/(R717-R716))*((U710)-R716))*J700),2),ROUND(IF(V709&lt;(SUM(S701:S709)),IF((V710)&gt;(SUM(S701:S710)),(((SUM(S701:S710))-(V710-C709))*J700)+((U710-C709)*J700),U710*J700),IF(V710&gt;(SUM(S701:S710)),S710*J700,U710*J700)),2)))</f>
        <v>0</v>
      </c>
      <c r="K710" s="64">
        <f>IF(B710=0,0,IF(AND(H692="ja",((U710)&lt;R717)),ROUND(((R719*R716+((R717/(R717-R716))-(R716/(R717-R716))*R719)*((U710)-R716))*(K700*2))-(((R717/(R717-R716))*((U710)-R716))*K700),2),ROUND(IF(V709&lt;(SUM(R701:R709)),IF((V710)&gt;(SUM(R701:R710)),(((SUM(R701:R710))-(V710-C709))*K700)+((U710-C709)*K700),U710*K700),IF(V710&gt;(SUM(R701:R710)),R710*K700,U710*K700)),2)))</f>
        <v>0</v>
      </c>
      <c r="L710" s="64">
        <f>IF(B710=0,0,IF(AND(H692="ja",((U710-C710)&lt;R717)),ROUND(((R719*R716+((R717/(R717-R716))-(R716/(R717-R716))*R719)*((U710-C710)-R716))*(L700)),2),ROUND(IF(SUM(B701:F709)&lt;(SUM(S701:S709)),IF((SUM(B701:F710))&gt;(SUM(S701:S710)),(((SUM(S701:S710))-(SUM(B701:F710)-C710))*L700)+((SUM(B710:F710)-C710)*L700),(SUM(B710:F710)-C710)*L700),IF(SUM(B701:F710)&gt;(SUM(S701:S710)),S710*L700,SUM(B710:F710)*L700)),2)))</f>
        <v>0</v>
      </c>
      <c r="M710" s="64">
        <f>IF(B710=0,0,IF(AND(H692="ja",((U710-C710)&lt;R717)),ROUND(((R719*R716+((R717/(R717-R716))-(R716/(R717-R716))*R719)*((U710-C710)-R716))*(M700)),2),ROUND(IF(SUM(B701:F709)&lt;(SUM(S701:S709)),IF((SUM(B701:F710))&gt;(SUM(S701:S710)),(((SUM(S701:S710))-(SUM(B701:F710)-C710))*M700)+((SUM(B710:F710)-C710)*M700),(SUM(B710:F710)-C710)*M700),IF(SUM(B701:F710)&gt;(SUM(S701:S710)),S710*M700,SUM(B710:F710)*M700)),2)))</f>
        <v>0</v>
      </c>
      <c r="N710" s="64">
        <f>IF(B710=0,0,IF(AND(H692="ja",((U710)&lt;R717)),ROUND(((R719*R716+((R717/(R717-R716))-(R716/(R717-R716))*R719)*((U710)-R716))*(N700)),2),ROUND(IF(SUM(B701:F709)&lt;(SUM(S701:S709)),IF((SUM(B701:F710))&gt;(SUM(S701:S710)),(((SUM(S701:S710))-(SUM(B701:F710)-C709))*N700)+((SUM(B710:F710)-C709)*N700),SUM(B710:F710)*N700),IF(SUM(B701:F710)&gt;(SUM(S701:S710)),S710*N700,SUM(B710:F710)*N700)),2)))</f>
        <v>0</v>
      </c>
      <c r="O710" s="21">
        <f>ROUND(SUM(B710+C710+F710)*O700,2)</f>
        <v>0</v>
      </c>
      <c r="P710" s="25">
        <f t="shared" si="117"/>
        <v>0</v>
      </c>
      <c r="Q710" s="936"/>
      <c r="R710" s="140">
        <f>ROUND(IF(M679="",R695,R695/M679*P687),2)</f>
        <v>5175</v>
      </c>
      <c r="S710" s="140">
        <f>ROUND(IF(M679="",R696,R696/M679*P687),2)</f>
        <v>7450</v>
      </c>
      <c r="U710" s="950">
        <f t="shared" si="118"/>
        <v>0</v>
      </c>
      <c r="V710" s="950">
        <f>SUM(B701:F710)</f>
        <v>0</v>
      </c>
      <c r="X710" s="1"/>
    </row>
    <row r="711" spans="1:24" s="11" customFormat="1" x14ac:dyDescent="0.2">
      <c r="A711" s="76" t="str">
        <f>CONCATENATE("Nov ",O677)</f>
        <v>Nov 2025</v>
      </c>
      <c r="B711" s="22">
        <f>ROUND(IF(P688=0,0,IFERROR(((LOOKUP(2,1/(A686:A689=A711),G686:G689))*P688*4.348),B710/P687*P688)),2)</f>
        <v>0</v>
      </c>
      <c r="C711" s="21">
        <f>ROUND(IFERROR((LOOKUP(2,1/(A692=A711),E692)),0)+(IFERROR((LOOKUP(2,1/(A693=A711),E693)),0)),2)</f>
        <v>0</v>
      </c>
      <c r="D711" s="21">
        <f>ROUND(IF(B711=0,0,D700/M679*P688),2)</f>
        <v>0</v>
      </c>
      <c r="E711" s="21">
        <f>ROUND(IF(B711=0,0,E700/N675*P688),2)</f>
        <v>0</v>
      </c>
      <c r="F711" s="22">
        <f>ROUND(IF(P688=0,0,IFERROR(((LOOKUP(2,1/(A686:A689=A711),I686:I689))/N675*P688),F710/P687*P688)),2)</f>
        <v>0</v>
      </c>
      <c r="G711" s="25">
        <f t="shared" si="116"/>
        <v>0</v>
      </c>
      <c r="H711" s="64">
        <f>IF(B711=0,0,IF(AND(H692="ja",((U711)&lt;R717)),ROUND(((R719*R716+((R717/(R717-R716))-(R716/(R717-R716))*R719)*((U711)-R716))*(H700*2))-(((R717/(R717-R716))*((U711)-R716))*H700),2),ROUND(IF(V710&lt;(SUM(R701:R710)),IF((V711)&gt;(SUM(R701:R711)),(((SUM(R701:R711))-(V711-C710))*H700)+((U711-C710)*H700),U711*H700),IF(V711&gt;(SUM(R701:R711)),R711*H700,U711*H700)),2)))</f>
        <v>0</v>
      </c>
      <c r="I711" s="64">
        <f>IF(B711=0,0,IF(AND(H692="ja",((U711)&lt;R717)),ROUND(((R719*R716+((R717/(R717-R716))-(R716/(R717-R716))*R719)*((U711)-R716))*(I700*2))-(((R717/(R717-R716))*((U711)-R716))*I700),2),ROUND(IF(V710&lt;(SUM(S701:S710)),IF((V711)&gt;(SUM(S701:S711)),(((SUM(S701:S711))-(V711-C710))*I700)+((U711-C710)*I700),U711*I700),IF(V711&gt;(SUM(S701:S711)),S711*I700,U711*I700)),2)))</f>
        <v>0</v>
      </c>
      <c r="J711" s="64">
        <f>IF(B711=0,0,IF(AND(H692="ja",((U711)&lt;R717)),ROUND(((R719*R716+((R717/(R717-R716))-(R716/(R717-R716))*R719)*((U711)-R716))*(J700*2))-(((R717/(R717-R716))*((U711)-R716))*J700),2),ROUND(IF(V710&lt;(SUM(S701:S710)),IF((V711)&gt;(SUM(S701:S711)),(((SUM(S701:S711))-(V711-C710))*J700)+((U711-C710)*J700),U711*J700),IF(V711&gt;(SUM(S701:S711)),S711*J700,U711*J700)),2)))</f>
        <v>0</v>
      </c>
      <c r="K711" s="64">
        <f>IF(B711=0,0,IF(AND(H692="ja",((U711)&lt;R717)),ROUND(((R719*R716+((R717/(R717-R716))-(R716/(R717-R716))*R719)*((U711)-R716))*(K700*2))-(((R717/(R717-R716))*((U711)-R716))*K700),2),ROUND(IF(V710&lt;(SUM(R701:R710)),IF((V711)&gt;(SUM(R701:R711)),(((SUM(R701:R711))-(V711-C710))*K700)+((U711-C710)*K700),U711*K700),IF(V711&gt;(SUM(R701:R711)),R711*K700,U711*K700)),2)))</f>
        <v>0</v>
      </c>
      <c r="L711" s="64">
        <f>IF(B711=0,0,IF(AND(H692="ja",((U711-C711)&lt;R717)),ROUND(((R719*R716+((R717/(R717-R716))-(R716/(R717-R716))*R719)*((U711-C711)-R716))*(L700)),2),ROUND(IF(SUM(B701:F710)&lt;(SUM(S701:S710)),IF((SUM(B701:F711))&gt;(SUM(S701:S711)),(((SUM(S701:S711))-(SUM(B701:F711)-C711))*L700)+((SUM(B711:F711)-C711)*L700),(SUM(B711:F711)-C711)*L700),IF(SUM(B701:F711)&gt;(SUM(S701:S711)),S711*L700,SUM(B711:F711)*L700)),2)))</f>
        <v>0</v>
      </c>
      <c r="M711" s="64">
        <f>IF(B711=0,0,IF(AND(H692="ja",((U711-C711)&lt;R717)),ROUND(((R719*R716+((R717/(R717-R716))-(R716/(R717-R716))*R719)*((U711-C711)-R716))*(M700)),2),ROUND(IF(SUM(B701:F710)&lt;(SUM(S701:S710)),IF((SUM(B701:F711))&gt;(SUM(S701:S711)),(((SUM(S701:S711))-(SUM(B701:F711)-C711))*M700)+((SUM(B711:F711)-C711)*M700),(SUM(B711:F711)-C711)*M700),IF(SUM(B701:F711)&gt;(SUM(S701:S711)),S711*M700,SUM(B711:F711)*M700)),2)))</f>
        <v>0</v>
      </c>
      <c r="N711" s="64">
        <f>IF(B711=0,0,IF(AND(H692="ja",((U711)&lt;R717)),ROUND(((R719*R716+((R717/(R717-R716))-(R716/(R717-R716))*R719)*((U711)-R716))*(N700)),2),ROUND(IF(SUM(B701:F710)&lt;(SUM(S701:S710)),IF((SUM(B701:F711))&gt;(SUM(S701:S711)),(((SUM(S701:S711))-(SUM(B701:F711)-C710))*N700)+((SUM(B711:F711)-C710)*N700),SUM(B711:F711)*N700),IF(SUM(B701:F711)&gt;(SUM(S701:S711)),S711*N700,SUM(B711:F711)*N700)),2)))</f>
        <v>0</v>
      </c>
      <c r="O711" s="21">
        <f>ROUND(SUM(B711+C711+F711)*O700,2)</f>
        <v>0</v>
      </c>
      <c r="P711" s="25">
        <f t="shared" si="117"/>
        <v>0</v>
      </c>
      <c r="R711" s="140">
        <f>ROUND(IF(M679="",R695,R695/M679*P688),2)</f>
        <v>5175</v>
      </c>
      <c r="S711" s="140">
        <f>ROUND(IF(M679="",R696,R696/M679*P688),2)</f>
        <v>7450</v>
      </c>
      <c r="U711" s="950">
        <f t="shared" si="118"/>
        <v>0</v>
      </c>
      <c r="V711" s="950">
        <f>SUM(B701:F711)</f>
        <v>0</v>
      </c>
      <c r="X711" s="1"/>
    </row>
    <row r="712" spans="1:24" s="1" customFormat="1" ht="14.25" customHeight="1" x14ac:dyDescent="0.2">
      <c r="A712" s="76" t="str">
        <f>CONCATENATE("Dez ",O677)</f>
        <v>Dez 2025</v>
      </c>
      <c r="B712" s="22">
        <f>ROUND(IF(P689=0,0,IFERROR(((LOOKUP(2,1/(A686:A689=A712),G686:G689))*P689*4.348),B711/P688*P689)),2)</f>
        <v>0</v>
      </c>
      <c r="C712" s="21">
        <f>ROUND(IFERROR((LOOKUP(2,1/(A692=A712),E692)),0)+IFERROR((LOOKUP(2,1/(A693=A712),E693)),0),2)</f>
        <v>0</v>
      </c>
      <c r="D712" s="21">
        <f>ROUND(IF(B712=0,0,D700/M679*P689),2)</f>
        <v>0</v>
      </c>
      <c r="E712" s="21">
        <f>ROUND(IF(B712=0,0,E700/N675*P689),2)</f>
        <v>0</v>
      </c>
      <c r="F712" s="22">
        <f>ROUND(IF(P689=0,0,IFERROR(((LOOKUP(2,1/(A686:A689=A712),I686:I689))/N675*P689),F711/P688*P689)),2)</f>
        <v>0</v>
      </c>
      <c r="G712" s="25">
        <f t="shared" si="116"/>
        <v>0</v>
      </c>
      <c r="H712" s="64">
        <f>IF(B712=0,0,IF(AND(H692="ja",((U712)&lt;R717)),ROUND(((R719*R716+((R717/(R717-R716))-(R716/(R717-R716))*R719)*((U712)-R716))*(H700*2))-(((R717/(R717-R716))*((U712)-R716))*H700),2),ROUND(IF(V711&lt;(SUM(R701:R711)),IF((V712)&gt;(SUM(R701:R712)),(((SUM(R701:R712))-(V712-C711))*H700)+((U712-C711)*H700),U712*H700),IF(V712&gt;(SUM(R701:R712)),R712*H700,U712*H700)),2)))</f>
        <v>0</v>
      </c>
      <c r="I712" s="64">
        <f>IF(B712=0,0,IF(AND(H692="ja",((U712)&lt;R717)),ROUND(((R719*R716+((R717/(R717-R716))-(R716/(R717-R716))*R719)*((U712)-R716))*(I700*2))-(((R717/(R717-R716))*((U712)-R716))*I700),2),ROUND(IF(V711&lt;(SUM(S701:S711)),IF((V712)&gt;(SUM(S701:S712)),(((SUM(S701:S712))-(V712-C711))*I700)+((U712-C711)*I700),U712*I700),IF(V712&gt;(SUM(S701:S712)),S712*I700,U712*I700)),2)))</f>
        <v>0</v>
      </c>
      <c r="J712" s="64">
        <f>IF(B712=0,0,IF(AND(H692="ja",((U712)&lt;R717)),ROUND(((R719*R716+((R717/(R717-R716))-(R716/(R717-R716))*R719)*((U712)-R716))*(J700*2))-(((R717/(R717-R716))*((U712)-R716))*J700),2),ROUND(IF(V711&lt;(SUM(S701:S711)),IF((V712)&gt;(SUM(S701:S712)),(((SUM(S701:S712))-(V712-C711))*J700)+((U712-C711)*J700),U712*J700),IF(V712&gt;(SUM(S701:S712)),S712*J700,U712*J700)),2)))</f>
        <v>0</v>
      </c>
      <c r="K712" s="64">
        <f>IF(B712=0,0,IF(AND(H692="ja",((U712)&lt;R717)),ROUND(((R719*R716+((R717/(R717-R716))-(R716/(R717-R716))*R719)*((U712)-R716))*(K700*2))-(((R717/(R717-R716))*((U712)-R716))*K700),2),ROUND(IF(V711&lt;(SUM(R701:R711)),IF((V712)&gt;(SUM(R701:R712)),(((SUM(R701:R712))-(V712-C711))*K700)+((U712-C711)*K700),U712*K700),IF(V712&gt;(SUM(R701:R712)),R712*K700,U712*K700)),2)))</f>
        <v>0</v>
      </c>
      <c r="L712" s="64">
        <f>IF(B712=0,0,IF(AND(H692="ja",((U712-C712)&lt;R717)),ROUND(((R719*R716+((R717/(R717-R716))-(R716/(R717-R716))*R719)*((U712-C712)-R716))*(L700)),2),ROUND(IF(SUM(B701:F711)&lt;(SUM(S701:S711)),IF((SUM(B701:F712))&gt;(SUM(S701:S712)),(((SUM(S701:S712))-(SUM(B701:F712)-C712))*L700)+((SUM(B712:F712)-C712)*L700),(SUM(B712:F712)-C712)*L700),IF(SUM(B701:F712)&gt;(SUM(S701:S712)),S712*L700,SUM(B712:F712)*L700)),2)))</f>
        <v>0</v>
      </c>
      <c r="M712" s="64">
        <f>IF(B712=0,0,IF(AND(H692="ja",((U712-C712)&lt;R717)),ROUND(((R719*R716+((R717/(R717-R716))-(R716/(R717-R716))*R719)*((U712-C712)-R716))*(M700)),2),ROUND(IF(SUM(B701:F711)&lt;(SUM(S701:S711)),IF((SUM(B701:F712))&gt;(SUM(S701:S712)),(((SUM(S701:S712))-(SUM(B701:F712)-C712))*M700)+((SUM(B712:F712)-C712)*M700),(SUM(B712:F712)-C712)*M700),IF(SUM(B701:F712)&gt;(SUM(S701:S712)),S712*M700,SUM(B712:F712)*M700)),2)))</f>
        <v>0</v>
      </c>
      <c r="N712" s="64">
        <f>IF(B712=0,0,IF(AND(H692="ja",((U712)&lt;R717)),ROUND(((R719*R716+((R717/(R717-R716))-(R716/(R717-R716))*R719)*((U712)-R716))*(N700)),2),ROUND(IF(SUM(B701:F711)&lt;(SUM(S701:S711)),IF((SUM(B701:F712))&gt;(SUM(S701:S712)),(((SUM(S701:S712))-(SUM(B701:F712)-C711))*N700)+((SUM(B712:F712)-C711)*N700),SUM(B712:F712)*N700),IF(SUM(B701:F712)&gt;(SUM(S701:S712)),S712*N700,SUM(B712:F712)*N700)),2)))</f>
        <v>0</v>
      </c>
      <c r="O712" s="21">
        <f>ROUND(SUM(B712+C712+F712)*O700,2)</f>
        <v>0</v>
      </c>
      <c r="P712" s="25">
        <f t="shared" si="117"/>
        <v>0</v>
      </c>
      <c r="Q712" s="11"/>
      <c r="R712" s="140">
        <f>ROUND(IF(M679="",R695,R695/M679*P689),2)</f>
        <v>5175</v>
      </c>
      <c r="S712" s="140">
        <f>ROUND(IF(M679="",R696,R696/M679*P689),2)</f>
        <v>7450</v>
      </c>
      <c r="U712" s="950">
        <f t="shared" si="118"/>
        <v>0</v>
      </c>
      <c r="V712" s="950">
        <f>SUM(B701:F712)</f>
        <v>0</v>
      </c>
    </row>
    <row r="713" spans="1:24" s="1" customFormat="1" ht="15" customHeight="1" x14ac:dyDescent="0.2">
      <c r="A713" s="2" t="s">
        <v>1</v>
      </c>
      <c r="B713" s="25">
        <f t="shared" ref="B713:G713" si="119">SUM(B701:B712)</f>
        <v>0</v>
      </c>
      <c r="C713" s="25">
        <f t="shared" si="119"/>
        <v>0</v>
      </c>
      <c r="D713" s="25">
        <f t="shared" si="119"/>
        <v>0</v>
      </c>
      <c r="E713" s="25">
        <f t="shared" si="119"/>
        <v>0</v>
      </c>
      <c r="F713" s="25">
        <f t="shared" si="119"/>
        <v>0</v>
      </c>
      <c r="G713" s="25">
        <f t="shared" si="119"/>
        <v>0</v>
      </c>
      <c r="H713" s="1309">
        <f>SUM(H701:N712)</f>
        <v>0</v>
      </c>
      <c r="I713" s="1310"/>
      <c r="J713" s="1310"/>
      <c r="K713" s="1310"/>
      <c r="L713" s="1310"/>
      <c r="M713" s="1310"/>
      <c r="N713" s="1311"/>
      <c r="O713" s="25">
        <f>SUM(O701:O712)</f>
        <v>0</v>
      </c>
      <c r="P713" s="25">
        <f>SUM(P701:P712)</f>
        <v>0</v>
      </c>
    </row>
    <row r="714" spans="1:24" s="1" customFormat="1" ht="12" customHeight="1" x14ac:dyDescent="0.2"/>
    <row r="715" spans="1:24" s="1" customFormat="1" ht="14.25" customHeight="1" x14ac:dyDescent="0.2">
      <c r="B715" s="906"/>
      <c r="H715" s="905"/>
      <c r="I715" s="62"/>
      <c r="J715" s="914" t="s">
        <v>123</v>
      </c>
      <c r="L715" s="900" t="s">
        <v>124</v>
      </c>
      <c r="M715" s="974" t="str">
        <f>IF(IF(G713=0,"",'päd.Personal - Leitung'!$M$43)=0,"",IF(G713=0,"",'päd.Personal - Leitung'!$M$43))</f>
        <v/>
      </c>
      <c r="N715" s="902" t="s">
        <v>125</v>
      </c>
      <c r="O715" s="963" t="str">
        <f>IF(IF(G713=0,"",'päd.Personal - Leitung'!$O$43)=0,"",IF(G713=0,"",'päd.Personal - Leitung'!$O$43))</f>
        <v/>
      </c>
      <c r="P715" s="25">
        <f>ROUND(IF(M715="",0,G713*M715*O715/1000),2)</f>
        <v>0</v>
      </c>
      <c r="Q715" s="937"/>
      <c r="R715" s="938">
        <v>2025</v>
      </c>
      <c r="S715" s="939"/>
    </row>
    <row r="716" spans="1:24" s="1" customFormat="1" ht="14.25" customHeight="1" x14ac:dyDescent="0.2">
      <c r="H716" s="907"/>
      <c r="I716" s="42"/>
      <c r="M716" s="915" t="s">
        <v>129</v>
      </c>
      <c r="N716" s="80" t="s">
        <v>125</v>
      </c>
      <c r="O716" s="75" t="str">
        <f>IF(IF(G713=0,"",'päd.Personal - Leitung'!$O$44)=0,"",IF(G713=0,"",'päd.Personal - Leitung'!$O$44))</f>
        <v/>
      </c>
      <c r="P716" s="25">
        <f>ROUND(IF(O716="",0,G713*O716/1000),2)</f>
        <v>0</v>
      </c>
      <c r="Q716" s="942" t="s">
        <v>737</v>
      </c>
      <c r="R716" s="141">
        <f>'päd.Personal - Leitung'!$R$44</f>
        <v>556</v>
      </c>
      <c r="S716" s="955">
        <f>'päd.Personal - Leitung'!$S$44</f>
        <v>12.82</v>
      </c>
    </row>
    <row r="717" spans="1:24" s="1" customFormat="1" ht="14.25" customHeight="1" x14ac:dyDescent="0.2">
      <c r="H717" s="912" t="s">
        <v>126</v>
      </c>
      <c r="I717" s="1013" t="s">
        <v>127</v>
      </c>
      <c r="J717" s="975" t="str">
        <f>IF(IF(G713=0,"",'päd.Personal - Leitung'!$J$45)=0,"",IF(G713=0,"",'päd.Personal - Leitung'!$J$45))</f>
        <v/>
      </c>
      <c r="K717" s="902" t="s">
        <v>128</v>
      </c>
      <c r="L717" s="964" t="str">
        <f>IF(IF(G713=0,"",'päd.Personal - Leitung'!$L$45)=0,"",IF(G713=0,"",'päd.Personal - Leitung'!$L$45))</f>
        <v/>
      </c>
      <c r="M717" s="16"/>
      <c r="N717" s="900" t="s">
        <v>132</v>
      </c>
      <c r="O717" s="965" t="str">
        <f>IF(IF(G713=0,"",'päd.Personal - Leitung'!$O$45)=0,"",IF(G713=0,"",'päd.Personal - Leitung'!$O$45))</f>
        <v/>
      </c>
      <c r="P717" s="25">
        <f>ROUND(IF(J717="",0,(J717*L717/O717)/M681*M682),2)</f>
        <v>0</v>
      </c>
      <c r="Q717" s="942" t="s">
        <v>738</v>
      </c>
      <c r="R717" s="140">
        <f>'päd.Personal - Leitung'!$R$45</f>
        <v>2000</v>
      </c>
      <c r="S717" s="939"/>
    </row>
    <row r="718" spans="1:24" s="1" customFormat="1" ht="14.25" customHeight="1" x14ac:dyDescent="0.2">
      <c r="D718" s="16"/>
      <c r="I718" s="16"/>
      <c r="J718" s="16"/>
      <c r="K718" s="63"/>
      <c r="L718" s="67"/>
      <c r="M718" s="915" t="s">
        <v>130</v>
      </c>
      <c r="N718" s="80" t="s">
        <v>131</v>
      </c>
      <c r="O718" s="904">
        <f>IF(IF(G713="",0,'päd.Personal - Leitung'!$O$94)=0,0,IF(G713="",0,'päd.Personal - Leitung'!$O$94))</f>
        <v>0</v>
      </c>
      <c r="P718" s="21">
        <f>ROUND(IF(G713=0,0,O718/M679*M680),2)</f>
        <v>0</v>
      </c>
      <c r="Q718" s="942" t="s">
        <v>740</v>
      </c>
      <c r="R718" s="956">
        <f>'päd.Personal - Leitung'!$R$46</f>
        <v>0.40900000000000003</v>
      </c>
    </row>
    <row r="719" spans="1:24" s="1" customFormat="1" ht="14.25" customHeight="1" x14ac:dyDescent="0.2">
      <c r="A719" s="16"/>
      <c r="B719" s="16"/>
      <c r="I719" s="905"/>
      <c r="J719" s="961" t="s">
        <v>176</v>
      </c>
      <c r="K719" s="1312" t="str">
        <f>IF($K$47="","",$K$47)</f>
        <v/>
      </c>
      <c r="L719" s="1312"/>
      <c r="M719" s="1312"/>
      <c r="N719" s="80" t="s">
        <v>131</v>
      </c>
      <c r="O719" s="904">
        <f>IF(IF(G713="",0,'päd.Personal - Leitung'!$O$95)=0,0,IF(G713="",0,'päd.Personal - Leitung'!$O$95))</f>
        <v>0</v>
      </c>
      <c r="P719" s="21">
        <f>ROUND(IF(G713=0,0,O719/M679*M680),2)</f>
        <v>0</v>
      </c>
      <c r="Q719" s="942" t="s">
        <v>739</v>
      </c>
      <c r="R719" s="940">
        <f>'päd.Personal - Leitung'!$R$47</f>
        <v>0.68459999999999999</v>
      </c>
      <c r="S719" s="957">
        <f>'päd.Personal - Leitung'!$S$47</f>
        <v>0.28000000000000003</v>
      </c>
    </row>
    <row r="720" spans="1:24" s="1" customFormat="1" ht="14.25" customHeight="1" x14ac:dyDescent="0.2">
      <c r="A720" s="908"/>
      <c r="B720" s="908"/>
      <c r="C720" s="1013"/>
      <c r="D720" s="1013"/>
      <c r="I720" s="913"/>
      <c r="J720" s="913"/>
      <c r="K720" s="916"/>
      <c r="L720" s="27"/>
      <c r="M720" s="27"/>
      <c r="N720" s="27"/>
      <c r="O720" s="26" t="s">
        <v>0</v>
      </c>
      <c r="P720" s="25">
        <f>P713+SUM(P715:P719)</f>
        <v>0</v>
      </c>
    </row>
    <row r="721" spans="1:19" s="10" customFormat="1" ht="13.5" customHeight="1" x14ac:dyDescent="0.2">
      <c r="A721" s="1321" t="s">
        <v>17</v>
      </c>
      <c r="B721" s="1321"/>
      <c r="C721" s="1321"/>
      <c r="D721" s="1320" t="str">
        <f>IF('päd.Personal - Leitung'!$D$1="","",'päd.Personal - Leitung'!$D$1)</f>
        <v/>
      </c>
      <c r="E721" s="1320"/>
      <c r="F721" s="1320"/>
      <c r="G721" s="1320"/>
      <c r="H721" s="1320"/>
      <c r="I721" s="1320"/>
      <c r="J721" s="1320"/>
      <c r="K721" s="1320"/>
      <c r="L721" s="1320"/>
      <c r="M721" s="1320"/>
      <c r="N721" s="1320"/>
    </row>
    <row r="722" spans="1:19" s="10" customFormat="1" ht="15" customHeight="1" x14ac:dyDescent="0.2">
      <c r="A722" s="1321" t="s">
        <v>16</v>
      </c>
      <c r="B722" s="1321"/>
      <c r="C722" s="1321" t="s">
        <v>14</v>
      </c>
      <c r="D722" s="1320" t="str">
        <f>IF('päd.Personal - Leitung'!$D$2="","",'päd.Personal - Leitung'!$D$2)</f>
        <v/>
      </c>
      <c r="E722" s="1320"/>
      <c r="F722" s="1320"/>
      <c r="G722" s="1320"/>
      <c r="H722" s="1320"/>
      <c r="I722" s="1320"/>
      <c r="J722" s="1320"/>
      <c r="K722" s="1320"/>
      <c r="L722" s="1320"/>
      <c r="M722" s="1320"/>
      <c r="N722" s="1320"/>
    </row>
    <row r="723" spans="1:19" s="10" customFormat="1" ht="15" customHeight="1" x14ac:dyDescent="0.2">
      <c r="A723" s="1321" t="s">
        <v>15</v>
      </c>
      <c r="B723" s="1321"/>
      <c r="C723" s="1321" t="s">
        <v>14</v>
      </c>
      <c r="D723" s="1320" t="str">
        <f>IF('päd.Personal - Leitung'!$D$3="","",'päd.Personal - Leitung'!$D$3)</f>
        <v/>
      </c>
      <c r="E723" s="1320"/>
      <c r="F723" s="1320"/>
      <c r="G723" s="1320"/>
      <c r="H723" s="1320"/>
      <c r="I723" s="1320"/>
      <c r="J723" s="1320"/>
      <c r="K723" s="1321" t="s">
        <v>100</v>
      </c>
      <c r="L723" s="1321"/>
      <c r="M723" s="1321"/>
      <c r="N723" s="38" t="str">
        <f>IF('päd.Personal - Leitung'!$N$3="","",'päd.Personal - Leitung'!$N$3)</f>
        <v/>
      </c>
    </row>
    <row r="724" spans="1:19" s="923" customFormat="1" ht="7.5" customHeight="1" x14ac:dyDescent="0.15">
      <c r="A724" s="1353"/>
      <c r="B724" s="1353"/>
      <c r="C724" s="1353"/>
      <c r="D724" s="1354"/>
      <c r="E724" s="1354"/>
      <c r="F724" s="1354"/>
      <c r="G724" s="1354"/>
      <c r="H724" s="1354"/>
      <c r="I724" s="1354"/>
      <c r="J724" s="1354"/>
      <c r="K724" s="922"/>
      <c r="L724" s="922"/>
      <c r="M724" s="922"/>
      <c r="N724" s="922"/>
      <c r="O724" s="922"/>
      <c r="P724" s="922"/>
    </row>
    <row r="725" spans="1:19" s="13" customFormat="1" ht="13.5" customHeight="1" x14ac:dyDescent="0.2">
      <c r="A725" s="1355" t="s">
        <v>151</v>
      </c>
      <c r="B725" s="1355"/>
      <c r="C725" s="1355"/>
      <c r="D725" s="1355"/>
      <c r="E725" s="1355"/>
      <c r="F725" s="1355"/>
      <c r="G725" s="1355"/>
      <c r="H725" s="1355"/>
      <c r="I725" s="1355"/>
      <c r="J725" s="1355"/>
      <c r="K725" s="7"/>
      <c r="L725" s="7"/>
      <c r="M725" s="7"/>
      <c r="N725" s="52"/>
      <c r="O725" s="138">
        <f>'päd.Personal - Leitung'!$O$5</f>
        <v>2025</v>
      </c>
      <c r="P725" s="52" t="s">
        <v>140</v>
      </c>
    </row>
    <row r="726" spans="1:19" s="8" customFormat="1" ht="13.5" customHeight="1" x14ac:dyDescent="0.25">
      <c r="B726" s="29"/>
      <c r="C726" s="29"/>
      <c r="D726" s="3" t="s">
        <v>155</v>
      </c>
      <c r="E726" s="28"/>
      <c r="F726" s="28"/>
      <c r="G726" s="28"/>
      <c r="H726" s="28"/>
      <c r="I726" s="24"/>
      <c r="K726" s="1327" t="s">
        <v>13</v>
      </c>
      <c r="L726" s="1327"/>
      <c r="M726" s="131"/>
      <c r="O726" s="928" t="str">
        <f>A749</f>
        <v>Jan 2025</v>
      </c>
      <c r="P726" s="1402">
        <f>IF(M728="","",M728)</f>
        <v>0</v>
      </c>
    </row>
    <row r="727" spans="1:19" s="5" customFormat="1" ht="13.5" customHeight="1" x14ac:dyDescent="0.25">
      <c r="A727" s="1328" t="s">
        <v>754</v>
      </c>
      <c r="B727" s="1328"/>
      <c r="C727" s="1328"/>
      <c r="D727" s="1345"/>
      <c r="E727" s="1345"/>
      <c r="F727" s="1345"/>
      <c r="G727" s="1345"/>
      <c r="H727" s="1345"/>
      <c r="I727" s="1345"/>
      <c r="K727" s="1327" t="s">
        <v>101</v>
      </c>
      <c r="L727" s="1327"/>
      <c r="M727" s="101"/>
      <c r="O727" s="928" t="str">
        <f t="shared" ref="O727:O737" si="120">A750</f>
        <v>Feb 2025</v>
      </c>
      <c r="P727" s="1403">
        <f t="shared" ref="P727:P734" si="121">IF(P726="","",P726)</f>
        <v>0</v>
      </c>
    </row>
    <row r="728" spans="1:19" s="1" customFormat="1" ht="13.5" customHeight="1" x14ac:dyDescent="0.2">
      <c r="A728" s="1328" t="s">
        <v>12</v>
      </c>
      <c r="B728" s="1328"/>
      <c r="C728" s="1328"/>
      <c r="D728" s="1345"/>
      <c r="E728" s="1345"/>
      <c r="F728" s="1345"/>
      <c r="G728" s="1345"/>
      <c r="H728" s="1345"/>
      <c r="I728" s="1345"/>
      <c r="K728" s="1327" t="s">
        <v>149</v>
      </c>
      <c r="L728" s="1327"/>
      <c r="M728" s="101">
        <f>IF((M729+M730)&gt;M727,0,M727-M729-M730)</f>
        <v>0</v>
      </c>
      <c r="O728" s="928" t="str">
        <f t="shared" si="120"/>
        <v>Mrz 2025</v>
      </c>
      <c r="P728" s="1403">
        <f t="shared" si="121"/>
        <v>0</v>
      </c>
    </row>
    <row r="729" spans="1:19" s="1" customFormat="1" ht="13.5" customHeight="1" x14ac:dyDescent="0.2">
      <c r="A729" s="1328" t="s">
        <v>11</v>
      </c>
      <c r="B729" s="1328"/>
      <c r="C729" s="1328"/>
      <c r="D729" s="1345"/>
      <c r="E729" s="1345"/>
      <c r="F729" s="1345"/>
      <c r="G729" s="1345"/>
      <c r="H729" s="1345"/>
      <c r="I729" s="1345"/>
      <c r="K729" s="1327" t="s">
        <v>150</v>
      </c>
      <c r="L729" s="1327"/>
      <c r="M729" s="101"/>
      <c r="O729" s="928" t="str">
        <f t="shared" si="120"/>
        <v>Apr 2025</v>
      </c>
      <c r="P729" s="1403">
        <f t="shared" si="121"/>
        <v>0</v>
      </c>
    </row>
    <row r="730" spans="1:19" s="1" customFormat="1" ht="13.5" customHeight="1" x14ac:dyDescent="0.2">
      <c r="A730" s="1328" t="s">
        <v>18</v>
      </c>
      <c r="B730" s="1328"/>
      <c r="C730" s="1328"/>
      <c r="D730" s="1345"/>
      <c r="E730" s="1345"/>
      <c r="F730" s="1345"/>
      <c r="G730" s="1345"/>
      <c r="H730" s="1345"/>
      <c r="I730" s="1345"/>
      <c r="K730" s="1327" t="s">
        <v>222</v>
      </c>
      <c r="L730" s="1327"/>
      <c r="M730" s="101"/>
      <c r="O730" s="928" t="str">
        <f t="shared" si="120"/>
        <v>Mai 2025</v>
      </c>
      <c r="P730" s="1403">
        <f t="shared" si="121"/>
        <v>0</v>
      </c>
    </row>
    <row r="731" spans="1:19" s="1" customFormat="1" ht="13.5" customHeight="1" x14ac:dyDescent="0.2">
      <c r="B731" s="6"/>
      <c r="C731" s="1029" t="s">
        <v>147</v>
      </c>
      <c r="D731" s="1324"/>
      <c r="E731" s="1324"/>
      <c r="F731" s="1359" t="s">
        <v>103</v>
      </c>
      <c r="G731" s="1359"/>
      <c r="H731" s="1361"/>
      <c r="I731" s="1361"/>
      <c r="K731" s="1327" t="s">
        <v>94</v>
      </c>
      <c r="L731" s="1327"/>
      <c r="M731" s="15" t="str">
        <f>IF(IF((COUNTIF(B749:B760,"&gt;0"))=0,0,(COUNTIF(B749:B760,"&gt;0")))&gt;Grundlagen!$C$26,Grundlagen!$C$26,IF((COUNTIF(B749:B760,"&gt;0"))=0,"",(COUNTIF(B749:B760,"&gt;0"))))</f>
        <v/>
      </c>
      <c r="O731" s="928" t="str">
        <f t="shared" si="120"/>
        <v>Jun 2025</v>
      </c>
      <c r="P731" s="1403">
        <f t="shared" si="121"/>
        <v>0</v>
      </c>
    </row>
    <row r="732" spans="1:19" s="1" customFormat="1" ht="13.5" customHeight="1" x14ac:dyDescent="0.2">
      <c r="I732" s="4"/>
      <c r="M732" s="102" t="str">
        <f>IF((SUM(F734:F737))=0,"",IF(P738&gt;M728,M728,IF(M728="","",IF(M731="","",P738))))</f>
        <v/>
      </c>
      <c r="O732" s="928" t="str">
        <f t="shared" si="120"/>
        <v>Jul 2025</v>
      </c>
      <c r="P732" s="1403">
        <f t="shared" si="121"/>
        <v>0</v>
      </c>
    </row>
    <row r="733" spans="1:19" s="46" customFormat="1" ht="13.5" customHeight="1" x14ac:dyDescent="0.2">
      <c r="A733" s="54" t="s">
        <v>134</v>
      </c>
      <c r="B733" s="1356" t="s">
        <v>135</v>
      </c>
      <c r="C733" s="1356"/>
      <c r="D733" s="55" t="s">
        <v>136</v>
      </c>
      <c r="E733" s="56" t="s">
        <v>137</v>
      </c>
      <c r="F733" s="57" t="str">
        <f>CONCATENATE("Entg. ",N723," h/Wo")</f>
        <v>Entg.  h/Wo</v>
      </c>
      <c r="G733" s="58" t="s">
        <v>138</v>
      </c>
      <c r="I733" s="58" t="s">
        <v>139</v>
      </c>
      <c r="K733" s="970"/>
      <c r="L733" s="970"/>
      <c r="M733" s="59"/>
      <c r="N733" s="968"/>
      <c r="O733" s="928" t="str">
        <f t="shared" si="120"/>
        <v>Aug 2025</v>
      </c>
      <c r="P733" s="1403">
        <f t="shared" si="121"/>
        <v>0</v>
      </c>
      <c r="Q733" s="85"/>
      <c r="R733" s="85"/>
      <c r="S733" s="85"/>
    </row>
    <row r="734" spans="1:19" s="46" customFormat="1" ht="13.5" customHeight="1" x14ac:dyDescent="0.25">
      <c r="A734" s="48" t="str">
        <f>'päd.Personal - Leitung'!$A$14</f>
        <v>Jan 2025</v>
      </c>
      <c r="B734" s="1357" t="str">
        <f>IF($D$3="","",$D$3)</f>
        <v/>
      </c>
      <c r="C734" s="1358"/>
      <c r="D734" s="132"/>
      <c r="E734" s="132"/>
      <c r="F734" s="71"/>
      <c r="G734" s="50">
        <f>IF(N723="",0,F734/N723/4.348)</f>
        <v>0</v>
      </c>
      <c r="I734" s="125">
        <f>SUM(J734:M734)</f>
        <v>0</v>
      </c>
      <c r="J734" s="124"/>
      <c r="K734" s="124"/>
      <c r="L734" s="124"/>
      <c r="M734" s="124"/>
      <c r="N734" s="969"/>
      <c r="O734" s="928" t="str">
        <f t="shared" si="120"/>
        <v>Sep 2025</v>
      </c>
      <c r="P734" s="1403">
        <f t="shared" si="121"/>
        <v>0</v>
      </c>
      <c r="Q734" s="85"/>
      <c r="R734" s="85"/>
      <c r="S734" s="85"/>
    </row>
    <row r="735" spans="1:19" s="46" customFormat="1" ht="13.5" customHeight="1" x14ac:dyDescent="0.25">
      <c r="A735" s="49"/>
      <c r="B735" s="1322" t="str">
        <f>IF(A735="","",B734)</f>
        <v/>
      </c>
      <c r="C735" s="1323"/>
      <c r="D735" s="132"/>
      <c r="E735" s="132"/>
      <c r="F735" s="71"/>
      <c r="G735" s="50">
        <f>IF(N723="",0,F735/N723/4.348)</f>
        <v>0</v>
      </c>
      <c r="I735" s="125">
        <f t="shared" ref="I735:I737" si="122">SUM(J735:M735)</f>
        <v>0</v>
      </c>
      <c r="J735" s="124"/>
      <c r="K735" s="124"/>
      <c r="L735" s="124"/>
      <c r="M735" s="124"/>
      <c r="N735" s="969"/>
      <c r="O735" s="928" t="str">
        <f t="shared" si="120"/>
        <v>Okt 2025</v>
      </c>
      <c r="P735" s="1403">
        <f t="shared" ref="P735:P737" si="123">IF(P734="","",P734)</f>
        <v>0</v>
      </c>
      <c r="Q735" s="85"/>
      <c r="R735" s="85"/>
      <c r="S735" s="85"/>
    </row>
    <row r="736" spans="1:19" s="46" customFormat="1" ht="13.5" customHeight="1" x14ac:dyDescent="0.25">
      <c r="A736" s="49"/>
      <c r="B736" s="1322" t="str">
        <f>IF(A736="","",B735)</f>
        <v/>
      </c>
      <c r="C736" s="1323"/>
      <c r="D736" s="132"/>
      <c r="E736" s="132"/>
      <c r="F736" s="71"/>
      <c r="G736" s="50">
        <f>IF(N723="",0,F736/N723/4.348)</f>
        <v>0</v>
      </c>
      <c r="I736" s="125">
        <f t="shared" si="122"/>
        <v>0</v>
      </c>
      <c r="J736" s="124"/>
      <c r="K736" s="124"/>
      <c r="L736" s="124"/>
      <c r="M736" s="124"/>
      <c r="N736" s="969"/>
      <c r="O736" s="928" t="str">
        <f t="shared" si="120"/>
        <v>Nov 2025</v>
      </c>
      <c r="P736" s="1403">
        <f t="shared" si="123"/>
        <v>0</v>
      </c>
      <c r="Q736" s="85"/>
      <c r="R736" s="85"/>
      <c r="S736" s="85"/>
    </row>
    <row r="737" spans="1:22" s="46" customFormat="1" ht="13.5" customHeight="1" x14ac:dyDescent="0.25">
      <c r="A737" s="49"/>
      <c r="B737" s="1322" t="str">
        <f>IF(A737="","",B736)</f>
        <v/>
      </c>
      <c r="C737" s="1323"/>
      <c r="D737" s="132"/>
      <c r="E737" s="132"/>
      <c r="F737" s="71"/>
      <c r="G737" s="50">
        <f>IF(N723="",0,F737/N723/4.348)</f>
        <v>0</v>
      </c>
      <c r="I737" s="125">
        <f t="shared" si="122"/>
        <v>0</v>
      </c>
      <c r="J737" s="124"/>
      <c r="K737" s="124"/>
      <c r="L737" s="124"/>
      <c r="M737" s="124"/>
      <c r="N737" s="969"/>
      <c r="O737" s="928" t="str">
        <f t="shared" si="120"/>
        <v>Dez 2025</v>
      </c>
      <c r="P737" s="1403">
        <f t="shared" si="123"/>
        <v>0</v>
      </c>
      <c r="Q737" s="85"/>
      <c r="R737" s="85"/>
      <c r="S737" s="85"/>
    </row>
    <row r="738" spans="1:22" s="46" customFormat="1" ht="13.5" customHeight="1" x14ac:dyDescent="0.25">
      <c r="B738" s="972"/>
      <c r="C738" s="972"/>
      <c r="E738" s="972"/>
      <c r="F738" s="972"/>
      <c r="I738" s="930" t="s">
        <v>730</v>
      </c>
      <c r="J738" s="1060"/>
      <c r="K738" s="1060"/>
      <c r="L738" s="1060"/>
      <c r="M738" s="1060"/>
      <c r="N738" s="971"/>
      <c r="O738" s="126" t="s">
        <v>221</v>
      </c>
      <c r="P738" s="127">
        <f>IF(M731="",0,((IF(SUMIF(B749,"&gt;0"),P726,0))+(IF(SUMIF(B750,"&gt;0"),P727,0))+(IF(SUMIF(B751,"&gt;0"),P728,0))+(IF(SUMIF(B752,"&gt;0"),P729,0))+(IF(SUMIF(B753,"&gt;0"),P730,0))+(IF(SUMIF(B754,"&gt;0"),P731,0))+(IF(SUMIF(B755,"&gt;0"),P732,0))+(IF(SUMIF(B756,"&gt;0"),P733,0))+(IF(SUMIF(B757,"&gt;0"),P734,0))+(IF(SUMIF(B758,"&gt;0"),P735,0))+(IF(SUMIF(B759,"&gt;0"),P736,0))+(IF(SUMIF(B760,"&gt;0"),P737,0)))/Grundlagen!$C$26)</f>
        <v>0</v>
      </c>
      <c r="Q738" s="944" t="str">
        <f>CONCATENATE("BBG"," anteilig ",O740)</f>
        <v>BBG anteilig 2025</v>
      </c>
      <c r="R738" s="931" t="s">
        <v>659</v>
      </c>
      <c r="S738" s="931" t="s">
        <v>398</v>
      </c>
      <c r="T738" s="107"/>
    </row>
    <row r="739" spans="1:22" s="46" customFormat="1" ht="13.5" customHeight="1" x14ac:dyDescent="0.2">
      <c r="A739" s="924" t="s">
        <v>732</v>
      </c>
      <c r="D739" s="55" t="s">
        <v>369</v>
      </c>
      <c r="E739" s="56" t="s">
        <v>368</v>
      </c>
      <c r="F739" s="58"/>
      <c r="J739" s="61"/>
      <c r="Q739" s="932" t="s">
        <v>144</v>
      </c>
      <c r="R739" s="140">
        <f>IF(M728=0,R743,IF(M727="",R743,(SUM(R749:R760)/M731)))</f>
        <v>5175</v>
      </c>
      <c r="S739" s="933">
        <f>IF(M728=0,S743,IF(M727="",S743,SUM(R749:R760)))</f>
        <v>0</v>
      </c>
      <c r="T739" s="107"/>
    </row>
    <row r="740" spans="1:22" s="46" customFormat="1" ht="13.5" customHeight="1" x14ac:dyDescent="0.25">
      <c r="A740" s="60"/>
      <c r="B740" s="1314" t="str">
        <f>IF($B$20="","",$B$20)</f>
        <v>Jahressonderzahlung (JSZ)</v>
      </c>
      <c r="C740" s="1315"/>
      <c r="D740" s="926"/>
      <c r="E740" s="929" t="str">
        <f>IF(A740="","",ROUND((((SUM(B755:B757)+SUM(F755:F757))/3)*D740)/Grundlagen!$C$26*M731,2))</f>
        <v/>
      </c>
      <c r="G740" s="941" t="s">
        <v>733</v>
      </c>
      <c r="H740" s="943"/>
      <c r="I740" s="1316" t="str">
        <f>CONCATENATE(R763,":"," Übergangsbereich von ",R764+0.01," €"," bis ",R765," €")</f>
        <v>2025: Übergangsbereich von 556,01 € bis 2000 €</v>
      </c>
      <c r="J740" s="1317"/>
      <c r="K740" s="1317"/>
      <c r="L740" s="1067"/>
      <c r="M740" s="1067"/>
      <c r="N740" s="1068" t="s">
        <v>736</v>
      </c>
      <c r="O740" s="1069">
        <f>P740+1</f>
        <v>2025</v>
      </c>
      <c r="P740" s="1069" t="s">
        <v>721</v>
      </c>
      <c r="Q740" s="932" t="s">
        <v>145</v>
      </c>
      <c r="R740" s="140">
        <f>IF(M728=0,R744,IF(M727="",R744,(SUM(S749:S760)/M731)))</f>
        <v>7450</v>
      </c>
      <c r="S740" s="933">
        <f>IF(M728=0,S744,IF(M727="",S744,SUM(S749:S760)))</f>
        <v>0</v>
      </c>
      <c r="T740" s="109"/>
    </row>
    <row r="741" spans="1:22" s="1" customFormat="1" ht="14.25" customHeight="1" x14ac:dyDescent="0.2">
      <c r="A741" s="60"/>
      <c r="B741" s="1314" t="str">
        <f>IF($B$21="","",$B$21)</f>
        <v>Leistungsentgelt (LOB)</v>
      </c>
      <c r="C741" s="1315"/>
      <c r="D741" s="926"/>
      <c r="E741" s="929" t="str">
        <f>IF(A741="","",ROUND(((B761+F761)*D741)/Grundlagen!$C$26*M731,2))</f>
        <v/>
      </c>
      <c r="G741" s="941" t="str">
        <f>IF(OR(H740="",H740="nein")=TRUE,"","Faktor (F):")</f>
        <v/>
      </c>
      <c r="H741" s="949" t="str">
        <f>IF(OR(H740="",H740="nein")=TRUE,"",IF(H740="","",R767))</f>
        <v/>
      </c>
      <c r="I741" s="1318" t="str">
        <f>IF(OR(H740="",H740="nein")=TRUE,"",IF(H741="","",CONCATENATE(S767*100,"%"," / ","(",R766*100,"%"," Gesamt-SV-Beitragssatz 2024)")))</f>
        <v/>
      </c>
      <c r="J741" s="1319"/>
      <c r="K741" s="1319"/>
      <c r="L741" s="1070"/>
      <c r="M741" s="1070"/>
      <c r="N741" s="1071" t="s">
        <v>144</v>
      </c>
      <c r="O741" s="1072">
        <f>'päd.Personal - Leitung'!$O$21</f>
        <v>5175</v>
      </c>
      <c r="P741" s="1072">
        <f>'päd.Personal - Leitung'!$P$21</f>
        <v>5175</v>
      </c>
      <c r="Q741" s="11"/>
      <c r="R741" s="11"/>
      <c r="S741" s="11"/>
      <c r="T741" s="109"/>
    </row>
    <row r="742" spans="1:22" s="1" customFormat="1" ht="14.25" customHeight="1" x14ac:dyDescent="0.2">
      <c r="C742" s="925" t="s">
        <v>731</v>
      </c>
      <c r="L742" s="1070"/>
      <c r="M742" s="1070"/>
      <c r="N742" s="1071" t="s">
        <v>145</v>
      </c>
      <c r="O742" s="1073">
        <f>'päd.Personal - Leitung'!$O$22</f>
        <v>7450</v>
      </c>
      <c r="P742" s="1073">
        <f>'päd.Personal - Leitung'!$P$22</f>
        <v>7450</v>
      </c>
      <c r="Q742" s="944" t="str">
        <f>CONCATENATE("BBG"," ",O740)</f>
        <v>BBG 2025</v>
      </c>
      <c r="R742" s="11"/>
      <c r="S742" s="11"/>
      <c r="T742" s="109"/>
    </row>
    <row r="743" spans="1:22" s="1" customFormat="1" ht="14.25" customHeight="1" x14ac:dyDescent="0.2">
      <c r="A743" s="53" t="s">
        <v>141</v>
      </c>
      <c r="B743" s="46"/>
      <c r="C743" s="46"/>
      <c r="D743" s="46"/>
      <c r="E743" s="46"/>
      <c r="F743" s="46"/>
      <c r="G743" s="46"/>
      <c r="H743" s="46"/>
      <c r="I743" s="46"/>
      <c r="J743" s="46"/>
      <c r="K743" s="46"/>
      <c r="L743" s="46"/>
      <c r="M743" s="46"/>
      <c r="N743" s="46"/>
      <c r="O743" s="46"/>
      <c r="P743" s="46"/>
      <c r="Q743" s="932" t="s">
        <v>144</v>
      </c>
      <c r="R743" s="141">
        <f>IF($O$21="",0,$O$21)</f>
        <v>5175</v>
      </c>
      <c r="S743" s="933">
        <f>R743*IF(M731="",0,M731)</f>
        <v>0</v>
      </c>
      <c r="T743" s="295"/>
    </row>
    <row r="744" spans="1:22" s="1" customFormat="1" ht="14.25" customHeight="1" x14ac:dyDescent="0.2">
      <c r="A744" s="1346"/>
      <c r="B744" s="1348" t="s">
        <v>8</v>
      </c>
      <c r="C744" s="1349"/>
      <c r="D744" s="1349"/>
      <c r="E744" s="1349"/>
      <c r="F744" s="1349"/>
      <c r="G744" s="1350"/>
      <c r="H744" s="1351" t="s">
        <v>113</v>
      </c>
      <c r="I744" s="1352"/>
      <c r="J744" s="1352"/>
      <c r="K744" s="1352"/>
      <c r="L744" s="1352"/>
      <c r="M744" s="1352"/>
      <c r="N744" s="1352"/>
      <c r="O744" s="30"/>
      <c r="P744" s="1330" t="s">
        <v>0</v>
      </c>
      <c r="Q744" s="932" t="s">
        <v>145</v>
      </c>
      <c r="R744" s="141">
        <f>IF($O$22="",0,$O$22)</f>
        <v>7450</v>
      </c>
      <c r="S744" s="933">
        <f>R744*IF(M731="",0,M731)</f>
        <v>0</v>
      </c>
      <c r="T744" s="830"/>
    </row>
    <row r="745" spans="1:22" s="1" customFormat="1" ht="14.25" customHeight="1" x14ac:dyDescent="0.2">
      <c r="A745" s="1347"/>
      <c r="B745" s="1333" t="s">
        <v>111</v>
      </c>
      <c r="C745" s="1335" t="s">
        <v>743</v>
      </c>
      <c r="D745" s="1337" t="s">
        <v>226</v>
      </c>
      <c r="E745" s="1339" t="s">
        <v>133</v>
      </c>
      <c r="F745" s="1030" t="s">
        <v>6</v>
      </c>
      <c r="G745" s="1340" t="s">
        <v>5</v>
      </c>
      <c r="H745" s="1339" t="s">
        <v>119</v>
      </c>
      <c r="I745" s="1339" t="s">
        <v>4</v>
      </c>
      <c r="J745" s="1339" t="s">
        <v>3</v>
      </c>
      <c r="K745" s="1339" t="s">
        <v>2</v>
      </c>
      <c r="L745" s="1339" t="s">
        <v>114</v>
      </c>
      <c r="M745" s="1339" t="s">
        <v>115</v>
      </c>
      <c r="N745" s="1339" t="s">
        <v>116</v>
      </c>
      <c r="O745" s="1338" t="s">
        <v>109</v>
      </c>
      <c r="P745" s="1331"/>
      <c r="Q745" s="456"/>
      <c r="R745" s="11"/>
      <c r="S745" s="11"/>
      <c r="T745" s="621"/>
    </row>
    <row r="746" spans="1:22" s="1" customFormat="1" ht="14.25" customHeight="1" x14ac:dyDescent="0.2">
      <c r="A746" s="1347"/>
      <c r="B746" s="1333"/>
      <c r="C746" s="1335"/>
      <c r="D746" s="1338"/>
      <c r="E746" s="1339"/>
      <c r="F746" s="1343" t="str">
        <f>I738</f>
        <v>Zuschläge / Zulagen / o.ä.:</v>
      </c>
      <c r="G746" s="1340"/>
      <c r="H746" s="1342" t="s">
        <v>117</v>
      </c>
      <c r="I746" s="1342"/>
      <c r="J746" s="1342"/>
      <c r="K746" s="1342"/>
      <c r="L746" s="1342"/>
      <c r="M746" s="1342"/>
      <c r="N746" s="1342"/>
      <c r="O746" s="1338"/>
      <c r="P746" s="1331"/>
      <c r="Q746" s="456"/>
      <c r="R746" s="1306" t="str">
        <f>Q738</f>
        <v>BBG anteilig 2025</v>
      </c>
      <c r="S746" s="1306"/>
      <c r="T746" s="829"/>
    </row>
    <row r="747" spans="1:22" s="1" customFormat="1" ht="14.25" customHeight="1" x14ac:dyDescent="0.2">
      <c r="A747" s="1347"/>
      <c r="B747" s="1333"/>
      <c r="C747" s="1335"/>
      <c r="D747" s="1338"/>
      <c r="E747" s="1339"/>
      <c r="F747" s="1343"/>
      <c r="G747" s="1340"/>
      <c r="H747" s="39" t="str">
        <f>'päd.Personal - Leitung'!$H$27</f>
        <v>(7,30% + Zusatz)</v>
      </c>
      <c r="I747" s="39" t="str">
        <f>'päd.Personal - Leitung'!$I$27</f>
        <v xml:space="preserve"> (2024: 9,30%)</v>
      </c>
      <c r="J747" s="39" t="str">
        <f>'päd.Personal - Leitung'!$J$27</f>
        <v>(2024: 1,30%)</v>
      </c>
      <c r="K747" s="39" t="str">
        <f>'päd.Personal - Leitung'!$K$27</f>
        <v>(2024: 1,700%)</v>
      </c>
      <c r="L747" s="39"/>
      <c r="M747" s="39"/>
      <c r="N747" s="39" t="str">
        <f>'päd.Personal - Leitung'!$N$27</f>
        <v>(2024: 0,06%)</v>
      </c>
      <c r="O747" s="1338"/>
      <c r="P747" s="1331"/>
      <c r="Q747" s="456"/>
      <c r="R747" s="1307" t="s">
        <v>659</v>
      </c>
      <c r="S747" s="1307"/>
      <c r="T747" s="829"/>
      <c r="U747" s="1308" t="s">
        <v>1</v>
      </c>
      <c r="V747" s="1308" t="s">
        <v>741</v>
      </c>
    </row>
    <row r="748" spans="1:22" s="1" customFormat="1" x14ac:dyDescent="0.2">
      <c r="A748" s="1347"/>
      <c r="B748" s="1334"/>
      <c r="C748" s="1336"/>
      <c r="D748" s="45"/>
      <c r="E748" s="45"/>
      <c r="F748" s="1344"/>
      <c r="G748" s="1341"/>
      <c r="H748" s="74"/>
      <c r="I748" s="99">
        <f>'päd.Personal - Leitung'!$I$28</f>
        <v>0</v>
      </c>
      <c r="J748" s="99">
        <f>'päd.Personal - Leitung'!$J$28</f>
        <v>0</v>
      </c>
      <c r="K748" s="40">
        <f>'päd.Personal - Leitung'!$K$28</f>
        <v>0</v>
      </c>
      <c r="L748" s="19"/>
      <c r="M748" s="19"/>
      <c r="N748" s="99">
        <f>'päd.Personal - Leitung'!$N$28</f>
        <v>0</v>
      </c>
      <c r="O748" s="23"/>
      <c r="P748" s="1332"/>
      <c r="Q748" s="456"/>
      <c r="R748" s="935" t="s">
        <v>144</v>
      </c>
      <c r="S748" s="935" t="s">
        <v>145</v>
      </c>
      <c r="T748" s="829"/>
      <c r="U748" s="1308"/>
      <c r="V748" s="1308"/>
    </row>
    <row r="749" spans="1:22" s="1" customFormat="1" x14ac:dyDescent="0.2">
      <c r="A749" s="76" t="str">
        <f>CONCATENATE("Jan ",O725)</f>
        <v>Jan 2025</v>
      </c>
      <c r="B749" s="22">
        <f>ROUND(IF(P726=0,0,(LOOKUP(2,1/(A734:A737=A749),G734:G737))*P726*4.348),2)</f>
        <v>0</v>
      </c>
      <c r="C749" s="21">
        <f>ROUND(IFERROR((LOOKUP(2,1/(A740=A749),E740)),0)+IFERROR((LOOKUP(2,1/(A741=A749),E741)),0),2)</f>
        <v>0</v>
      </c>
      <c r="D749" s="21">
        <f>ROUND(IF(B749=0,0,D748/M727*P726),2)</f>
        <v>0</v>
      </c>
      <c r="E749" s="21">
        <f>ROUND(IF(B749=0,0,E748/N723*P726),2)</f>
        <v>0</v>
      </c>
      <c r="F749" s="22">
        <f>ROUND(IF(P726=0,0,(LOOKUP(2,1/(A734:A737=A749),I734:I737))/N723*P726),2)</f>
        <v>0</v>
      </c>
      <c r="G749" s="25">
        <f t="shared" ref="G749:G760" si="124">SUM(B749+C749+E749+F749)</f>
        <v>0</v>
      </c>
      <c r="H749" s="64">
        <f>IF(B749=0,0,IF(AND(H740="ja",((U749)&lt;R765)),ROUND(((R767*R764+((R765/(R765-R764))-(R764/(R765-R764))*R767)*((U749)-R764))*(H748*2))-(((R765/(R765-R764))*((U749)-R764))*H748),2),ROUND(IF((U749)&gt;R749,R749*H748,U749*H748),2)))</f>
        <v>0</v>
      </c>
      <c r="I749" s="64">
        <f>IF(B749=0,0,IF(AND(H740="ja",((U749)&lt;R765)),ROUND(((R767*R764+((R765/(R765-R764))-(R764/(R765-R764))*R767)*((U749)-R764))*(I748*2))-(((R765/(R765-R764))*((U749)-R764))*I748),2),ROUND(IF((U749)&gt;S749,S749*I748,U749*I748),2)))</f>
        <v>0</v>
      </c>
      <c r="J749" s="64">
        <f>IF(B749=0,0,IF(AND(H740="ja",((U749)&lt;R765)),ROUND(((R767*R764+((R765/(R765-R764))-(R764/(R765-R764))*R767)*((U749)-R764))*(J748*2))-(((R765/(R765-R764))*((U749)-R764))*J748),2),ROUND(IF((U749)&gt;S749,S749*J748,U749*J748),2)))</f>
        <v>0</v>
      </c>
      <c r="K749" s="64">
        <f>IF(B749=0,0,IF(AND(H740="ja",((U749)&lt;R765)),ROUND(((R767*R764+((R765/(R765-R764))-(R764/(R765-R764))*R767)*((U749)-R764))*(K748*2))-(((R765/(R765-R764))*((U749)-R764))*K748),2),ROUND(IF((U749)&gt;R749,R749*K748,U749*K748),2)))</f>
        <v>0</v>
      </c>
      <c r="L749" s="64">
        <f>IF(B749=0,0,IF(AND(H740="ja",((U749-C749)&lt;R765)),ROUND(((R767*R764+((R765/(R765-R764))-(R764/(R765-R764))*R767)*((U749-C749)-R764))*(L748)),2),ROUND(IF((SUM(B749:F749))&gt;S749,S749*L748,(SUM(B749:F749)-C749)*L748),2)))</f>
        <v>0</v>
      </c>
      <c r="M749" s="64">
        <f>IF(B749=0,0,IF(AND(H740="ja",((U749-C749)&lt;R765)),ROUND(((R767*R764+((R765/(R765-R764))-(R764/(R765-R764))*R767)*((U749-C749)-R764))*(M748)),2),ROUND(IF((SUM(B749:F749))&gt;S749,S749*M748,(SUM(B749:F749)-C749)*M748),2)))</f>
        <v>0</v>
      </c>
      <c r="N749" s="64">
        <f>IF(B749=0,0,IF(AND(H740="ja",((U749)&lt;R765)),ROUND(((R767*R764+((R765/(R765-R764))-(R764/(R765-R764))*R767)*((U749)-R764))*(N748)),2),ROUND(IF((SUM(B749:F749))&gt;S749,S749*N748,SUM(B749:F749)*N748),2)))</f>
        <v>0</v>
      </c>
      <c r="O749" s="21">
        <f>ROUND(SUM(B749+C749+F749)*O748,2)</f>
        <v>0</v>
      </c>
      <c r="P749" s="25">
        <f>SUM(G749:O749)</f>
        <v>0</v>
      </c>
      <c r="Q749" s="456"/>
      <c r="R749" s="140">
        <f>ROUND(IF(M727="",R743,R743/M727*P726),2)</f>
        <v>5175</v>
      </c>
      <c r="S749" s="140">
        <f>ROUND(IF(M727="",R744,R744/M727*P726),2)</f>
        <v>7450</v>
      </c>
      <c r="U749" s="950">
        <f>SUM(B749:F749)</f>
        <v>0</v>
      </c>
      <c r="V749" s="950">
        <f>SUM(B749:F749)</f>
        <v>0</v>
      </c>
    </row>
    <row r="750" spans="1:22" s="1" customFormat="1" x14ac:dyDescent="0.2">
      <c r="A750" s="76" t="str">
        <f>CONCATENATE("Feb ",O725)</f>
        <v>Feb 2025</v>
      </c>
      <c r="B750" s="22">
        <f>ROUND(IF(P727=0,0,IFERROR(((LOOKUP(2,1/(A734:A737=A750),G734:G737))*P727*4.348),B749/P726*P727)),2)</f>
        <v>0</v>
      </c>
      <c r="C750" s="21">
        <f>ROUND(IFERROR((LOOKUP(2,1/(A740=A750),E740)),0)+IFERROR((LOOKUP(2,1/(A741=A750),E741)),0),2)</f>
        <v>0</v>
      </c>
      <c r="D750" s="21">
        <f>ROUND(IF(B750=0,0,D748/M727*P727),2)</f>
        <v>0</v>
      </c>
      <c r="E750" s="21">
        <f>ROUND(IF(B750=0,0,E748/N723*P727),2)</f>
        <v>0</v>
      </c>
      <c r="F750" s="22">
        <f>ROUND(IF(P727=0,0,IFERROR(((LOOKUP(2,1/(A734:A737=A750),I734:I737))/N723*P727),F749/P726*P727)),2)</f>
        <v>0</v>
      </c>
      <c r="G750" s="25">
        <f t="shared" si="124"/>
        <v>0</v>
      </c>
      <c r="H750" s="64">
        <f>IF(B750=0,0,IF(AND(H740="ja",((U750)&lt;R765)),ROUND(((R767*R764+((R765/(R765-R764))-(R764/(R765-R764))*R767)*((U750)-R764))*(H748*2))-(((R765/(R765-R764))*((U750)-R764))*H748),2),ROUND(IF(U749&lt;(R749),IF((V750)&gt;(SUM(R749:R750)),(((SUM(R749:R750))-(V750-C749))*H748)+((U750-C749)*H748),U750*H748),IF(V750&gt;(SUM(R749:R750)),R750*H748,U750*H748)),2)))</f>
        <v>0</v>
      </c>
      <c r="I750" s="64">
        <f>IF(B750=0,0,IF(AND(H740="ja",((U750)&lt;R765)),ROUND(((R767*R764+((R765/(R765-R764))-(R764/(R765-R764))*R767)*((U750)-R764))*(I748*2))-(((R765/(R765-R764))*((U750)-R764))*I748),2),ROUND(IF(U749&lt;(S749),IF((V750)&gt;(SUM(S749:S750)),(((SUM(S749:S750))-(V750-C749))*I748)+((U750-C749)*I748),U750*I748),IF(V750&gt;(SUM(S749:S750)),S750*I748,U750*I748)),2)))</f>
        <v>0</v>
      </c>
      <c r="J750" s="64">
        <f>IF(B750=0,0,IF(AND(H740="ja",((U750)&lt;R765)),ROUND(((R767*R764+((R765/(R765-R764))-(R764/(R765-R764))*R767)*((U750)-R764))*(J748*2))-(((R765/(R765-R764))*((U750)-R764))*J748),2),ROUND(IF(U749&lt;(S749),IF((V750)&gt;(SUM(S749:S750)),(((SUM(S749:S750))-(V750-C749))*J748)+((U750-C749)*J748),U750*J748),IF(V750&gt;(SUM(S749:S750)),S750*J748,U750*J748)),2)))</f>
        <v>0</v>
      </c>
      <c r="K750" s="64">
        <f>IF(B750=0,0,IF(AND(H740="ja",((U750)&lt;R765)),ROUND(((R767*R764+((R765/(R765-R764))-(R764/(R765-R764))*R767)*((U750)-R764))*(K748*2))-(((R765/(R765-R764))*((U750)-R764))*K748),2),ROUND(IF(U749&lt;(R749),IF((V750)&gt;(SUM(R749:R750)),(((SUM(R749:R750))-(V750-C749))*K748)+((U750-C749)*K748),U750*K748),IF(V750&gt;(SUM(R749:R750)),R750*K748,U750*K748)),2)))</f>
        <v>0</v>
      </c>
      <c r="L750" s="64">
        <f>IF(B750=0,0,IF(AND(H740="ja",((U750-C750)&lt;R765)),ROUND(((R767*R764+((R765/(R765-R764))-(R764/(R765-R764))*R767)*((U750-C750)-R764))*(L748)),2),ROUND(IF(SUM(B749:F749)&lt;(S749),IF((SUM(B749:F750))&gt;(SUM(S749:S750)),(((SUM(S749:S750))-(SUM(B749:F750)-C750))*L748)+((SUM(B750:F750)-C750)*L748),(SUM(B750:F750)-C750)*L748),IF(SUM(B749:F750)&gt;(SUM(S749:S750)),S750*L748,SUM(B750:F750)*L748)),2)))</f>
        <v>0</v>
      </c>
      <c r="M750" s="64">
        <f>IF(B750=0,0,IF(AND(H740="ja",((U750-C750)&lt;R765)),ROUND(((R767*R764+((R765/(R765-R764))-(R764/(R765-R764))*R767)*((U750-C750)-R764))*(M748)),2),ROUND(IF(SUM(B749:F749)&lt;(S749),IF((SUM(B749:F750))&gt;(SUM(S749:S750)),(((SUM(S749:S750))-(SUM(B749:F750)-C750))*M748)+((SUM(B750:F750)-C750)*M748),(SUM(B750:F750)-C750)*M748),IF(SUM(B749:F750)&gt;(SUM(S749:S750)),S750*M748,SUM(B750:F750)*M748)),2)))</f>
        <v>0</v>
      </c>
      <c r="N750" s="64">
        <f>IF(B750=0,0,IF(AND(H740="ja",((U750)&lt;R765)),ROUND(((R767*R764+((R765/(R765-R764))-(R764/(R765-R764))*R767)*((U750)-R764))*(N748)),2),ROUND(IF(SUM(B749:F749)&lt;(S749),IF((SUM(B749:F750))&gt;(SUM(S749:S750)),(((SUM(S749:S750))-(SUM(B749:F750)-C749))*N748)+((SUM(B750:F750)-C749)*N748),SUM(B750:F750)*N748),IF(SUM(B749:F750)&gt;(SUM(S749:S750)),S750*N748,SUM(B750:F750)*N748)),2)))</f>
        <v>0</v>
      </c>
      <c r="O750" s="21">
        <f>ROUND(SUM(B750+C750+F750)*O748,2)</f>
        <v>0</v>
      </c>
      <c r="P750" s="25">
        <f t="shared" ref="P750:P760" si="125">SUM(G750:O750)</f>
        <v>0</v>
      </c>
      <c r="Q750" s="456"/>
      <c r="R750" s="140">
        <f>ROUND(IF(M727="",R743,R743/M727*P727),2)</f>
        <v>5175</v>
      </c>
      <c r="S750" s="140">
        <f>ROUND(IF(M727="",R744,R744/M727*P727),2)</f>
        <v>7450</v>
      </c>
      <c r="U750" s="950">
        <f t="shared" ref="U750:U760" si="126">SUM(B750:F750)</f>
        <v>0</v>
      </c>
      <c r="V750" s="950">
        <f>SUM(B749:F750)</f>
        <v>0</v>
      </c>
    </row>
    <row r="751" spans="1:22" s="1" customFormat="1" x14ac:dyDescent="0.2">
      <c r="A751" s="76" t="str">
        <f>CONCATENATE("Mrz ",O725)</f>
        <v>Mrz 2025</v>
      </c>
      <c r="B751" s="22">
        <f>ROUND(IF(P728=0,0,IFERROR(((LOOKUP(2,1/(A734:A737=A751),G734:G737))*P728*4.348),B750/P727*P728)),2)</f>
        <v>0</v>
      </c>
      <c r="C751" s="21">
        <f>ROUND(IFERROR((LOOKUP(2,1/(A740=A751),E740)),0)+IFERROR((LOOKUP(2,1/(A741=A751),E741)),0),2)</f>
        <v>0</v>
      </c>
      <c r="D751" s="21">
        <f>ROUND(IF(B751=0,0,D748/M727*P728),2)</f>
        <v>0</v>
      </c>
      <c r="E751" s="21">
        <f>ROUND(IF(B751=0,0,E748/N723*P728),2)</f>
        <v>0</v>
      </c>
      <c r="F751" s="22">
        <f>ROUND(IF(P728=0,0,IFERROR(((LOOKUP(2,1/(A734:A737=A751),I734:I737))/N723*P728),F750/P727*P728)),2)</f>
        <v>0</v>
      </c>
      <c r="G751" s="25">
        <f t="shared" si="124"/>
        <v>0</v>
      </c>
      <c r="H751" s="64">
        <f>IF(B751=0,0,IF(AND(H740="ja",((U751)&lt;R765)),ROUND(((R767*R764+((R765/(R765-R764))-(R764/(R765-R764))*R767)*((U751)-R764))*(H748*2))-(((R765/(R765-R764))*((U751)-R764))*H748),2),ROUND(IF(V750&lt;(SUM(R749:R750)),IF((V751)&gt;(SUM(R749:R751)),(((SUM(R749:R751))-(V751-C750))*H748)+((U751-C750)*H748),U751*H748),IF(V751&gt;(SUM(R749:R751)),R751*H748,U751*H748)),2)))</f>
        <v>0</v>
      </c>
      <c r="I751" s="64">
        <f>IF(B751=0,0,IF(AND(H740="ja",((U751)&lt;R765)),ROUND(((R767*R764+((R765/(R765-R764))-(R764/(R765-R764))*R767)*((U751)-R764))*(I748*2))-(((R765/(R765-R764))*((U751)-R764))*I748),2),ROUND(IF(V750&lt;(SUM(S749:S750)),IF((V751)&gt;(SUM(S749:S751)),(((SUM(S749:S751))-(V751-C750))*I748)+((U751-C750)*I748),U751*I748),IF(V751&gt;(SUM(S749:S751)),S751*I748,U751*I748)),2)))</f>
        <v>0</v>
      </c>
      <c r="J751" s="64">
        <f>IF(B751=0,0,IF(AND(H740="ja",((U751)&lt;R765)),ROUND(((R767*R764+((R765/(R765-R764))-(R764/(R765-R764))*R767)*((U751)-R764))*(J748*2))-(((R765/(R765-R764))*((U751)-R764))*J748),2),ROUND(IF(V750&lt;(SUM(S749:S750)),IF((V751)&gt;(SUM(S749:S751)),(((SUM(S749:S751))-(V751-C750))*J748)+((U751-C750)*J748),U751*J748),IF(V751&gt;(SUM(S749:S751)),S751*J748,U751*J748)),2)))</f>
        <v>0</v>
      </c>
      <c r="K751" s="64">
        <f>IF(B751=0,0,IF(AND(H740="ja",((U751)&lt;R765)),ROUND(((R767*R764+((R765/(R765-R764))-(R764/(R765-R764))*R767)*((U751)-R764))*(K748*2))-(((R765/(R765-R764))*((U751)-R764))*K748),2),ROUND(IF(V750&lt;(SUM(R749:R750)),IF((V751)&gt;(SUM(R749:R751)),(((SUM(R749:R751))-(V751-C750))*K748)+((U751-C750)*K748),U751*K748),IF(V751&gt;(SUM(R749:R751)),R751*K748,U751*K748)),2)))</f>
        <v>0</v>
      </c>
      <c r="L751" s="64">
        <f>IF(B751=0,0,IF(AND(H740="ja",((U751-C751)&lt;R765)),ROUND(((R767*R764+((R765/(R765-R764))-(R764/(R765-R764))*R767)*((U751-C751)-R764))*(L748)),2),ROUND(IF(SUM(B749:F750)&lt;(SUM(S749:S750)),IF((SUM(B749:F751))&gt;(SUM(S749:S751)),(((SUM(S749:S751))-(SUM(B749:F751)-C751))*L748)+((SUM(B751:F751)-C751)*L748),(SUM(B751:F751)-C751)*L748),IF(SUM(B749:F751)&gt;(SUM(S749:S751)),S751*L748,SUM(B751:F751)*L748)),2)))</f>
        <v>0</v>
      </c>
      <c r="M751" s="64">
        <f>IF(B751=0,0,IF(AND(H740="ja",((U751-C751)&lt;R765)),ROUND(((R767*R764+((R765/(R765-R764))-(R764/(R765-R764))*R767)*((U751-C751)-R764))*(M748)),2),ROUND(IF(SUM(B749:F750)&lt;(SUM(S749:S750)),IF((SUM(B749:F751))&gt;(SUM(S749:S751)),(((SUM(S749:S751))-(SUM(B749:F751)-C751))*M748)+((SUM(B751:F751)-C751)*M748),(SUM(B751:F751)-C751)*M748),IF(SUM(B749:F751)&gt;(SUM(S749:S751)),S751*M748,SUM(B751:F751)*M748)),2)))</f>
        <v>0</v>
      </c>
      <c r="N751" s="64">
        <f>IF(B751=0,0,IF(AND(H740="ja",((U751)&lt;R765)),ROUND(((R767*R764+((R765/(R765-R764))-(R764/(R765-R764))*R767)*((U751)-R764))*(N748)),2),ROUND(IF(SUM(B749:F750)&lt;(SUM(S749:S750)),IF((SUM(B749:F751))&gt;(SUM(S749:S751)),(((SUM(S749:S751))-(SUM(B749:F751)-C750))*N748)+((SUM(B751:F751)-C750)*N748),SUM(B751:F751)*N748),IF(SUM(B749:F751)&gt;(SUM(S749:S751)),S751*N748,SUM(B751:F751)*N748)),2)))</f>
        <v>0</v>
      </c>
      <c r="O751" s="21">
        <f>ROUND(SUM(B751+C751+F751)*O748,2)</f>
        <v>0</v>
      </c>
      <c r="P751" s="25">
        <f t="shared" si="125"/>
        <v>0</v>
      </c>
      <c r="Q751" s="456"/>
      <c r="R751" s="140">
        <f>ROUND(IF(M727="",R743,R743/M727*P728),2)</f>
        <v>5175</v>
      </c>
      <c r="S751" s="140">
        <f>ROUND(IF(M727="",R744,R744/M727*P728),2)</f>
        <v>7450</v>
      </c>
      <c r="U751" s="950">
        <f t="shared" si="126"/>
        <v>0</v>
      </c>
      <c r="V751" s="950">
        <f>SUM(B749:F751)</f>
        <v>0</v>
      </c>
    </row>
    <row r="752" spans="1:22" s="1" customFormat="1" x14ac:dyDescent="0.2">
      <c r="A752" s="76" t="str">
        <f>CONCATENATE("Apr ",O725)</f>
        <v>Apr 2025</v>
      </c>
      <c r="B752" s="22">
        <f>ROUND(IF(P729=0,0,IFERROR(((LOOKUP(2,1/(A734:A737=A752),G734:G737))*P729*4.348),B751/P728*P729)),2)</f>
        <v>0</v>
      </c>
      <c r="C752" s="21">
        <f>ROUND(IFERROR((LOOKUP(2,1/(A740=A752),E740)),0)+IFERROR((LOOKUP(2,1/(A741=A752),E741)),0),2)</f>
        <v>0</v>
      </c>
      <c r="D752" s="21">
        <f>ROUND(IF(B752=0,0,D748/M727*P729),2)</f>
        <v>0</v>
      </c>
      <c r="E752" s="21">
        <f>ROUND(IF(B752=0,0,E748/N723*P729),2)</f>
        <v>0</v>
      </c>
      <c r="F752" s="22">
        <f>ROUND(IF(P729=0,0,IFERROR(((LOOKUP(2,1/(A734:A737=A752),I734:I737))/N723*P729),F751/P728*P729)),2)</f>
        <v>0</v>
      </c>
      <c r="G752" s="25">
        <f t="shared" si="124"/>
        <v>0</v>
      </c>
      <c r="H752" s="64">
        <f>IF(B752=0,0,IF(AND(H740="ja",((U752)&lt;R765)),ROUND(((R767*R764+((R765/(R765-R764))-(R764/(R765-R764))*R767)*((U752)-R764))*(H748*2))-(((R765/(R765-R764))*((U752)-R764))*H748),2),ROUND(IF(V751&lt;(SUM(R749:R751)),IF((V752)&gt;(SUM(R749:R752)),(((SUM(R749:R752))-(V752-C751))*H748)+((U752-C751)*H748),U752*H748),IF(V752&gt;(SUM(R749:R752)),R752*H748,U752*H748)),2)))</f>
        <v>0</v>
      </c>
      <c r="I752" s="64">
        <f>IF(B752=0,0,IF(AND(H740="ja",((U752)&lt;R765)),ROUND(((R767*R764+((R765/(R765-R764))-(R764/(R765-R764))*R767)*((U752)-R764))*(I748*2))-(((R765/(R765-R764))*((U752)-R764))*I748),2),ROUND(IF(V751&lt;(SUM(S749:S751)),IF((V752)&gt;(SUM(S749:S752)),(((SUM(S749:S752))-(V752-C751))*I748)+((U752-C751)*I748),U752*I748),IF(V752&gt;(SUM(S749:S752)),S752*I748,U752*I748)),2)))</f>
        <v>0</v>
      </c>
      <c r="J752" s="64">
        <f>IF(B752=0,0,IF(AND(H740="ja",((U752)&lt;R765)),ROUND(((R767*R764+((R765/(R765-R764))-(R764/(R765-R764))*R767)*((U752)-R764))*(J748*2))-(((R765/(R765-R764))*((U752)-R764))*J748),2),ROUND(IF(U751&lt;(SUM(S749:S751)),IF((V752)&gt;(SUM(S749:S752)),(((SUM(S749:S752))-(V752-C751))*J748)+((U752-C751)*J748),U752*J748),IF(V752&gt;(SUM(S749:S752)),S752*J748,U752*J748)),2)))</f>
        <v>0</v>
      </c>
      <c r="K752" s="64">
        <f>IF(B752=0,0,IF(AND(H740="ja",((U752)&lt;R765)),ROUND(((R767*R764+((R765/(R765-R764))-(R764/(R765-R764))*R767)*((U752)-R764))*(K748*2))-(((R765/(R765-R764))*((U752)-R764))*K748),2),ROUND(IF(V751&lt;(SUM(R749:R751)),IF((V752)&gt;(SUM(R749:R752)),(((SUM(R749:R752))-(V752-C751))*K748)+((U752-C751)*K748),U752*K748),IF(V752&gt;(SUM(R749:R752)),R752*K748,U752*K748)),2)))</f>
        <v>0</v>
      </c>
      <c r="L752" s="64">
        <f>IF(B752=0,0,IF(AND(H740="ja",((U752-C752)&lt;R765)),ROUND(((R767*R764+((R765/(R765-R764))-(R764/(R765-R764))*R767)*((U752-C752)-R764))*(L748)),2),ROUND(IF(SUM(B749:F751)&lt;(SUM(S749:S751)),IF((SUM(B749:F752))&gt;(SUM(S749:S752)),(((SUM(S749:S752))-(SUM(B749:F752)-C752))*L748)+((SUM(B752:F752)-C752)*L748),(SUM(B752:F752)-C752)*L748),IF(SUM(B749:F752)&gt;(SUM(S749:S752)),S752*L748,SUM(B752:F752)*L748)),2)))</f>
        <v>0</v>
      </c>
      <c r="M752" s="64">
        <f>IF(B752=0,0,IF(AND(H740="ja",((U752-C752)&lt;R765)),ROUND(((R767*R764+((R765/(R765-R764))-(R764/(R765-R764))*R767)*((U752-C752)-R764))*(M748)),2),ROUND(IF(SUM(B749:F751)&lt;(SUM(S749:S751)),IF((SUM(B749:F752))&gt;(SUM(S749:S752)),(((SUM(S749:S752))-(SUM(B749:F752)-C752))*M748)+((SUM(B752:F752)-C752)*M748),(SUM(B752:F752)-C752)*M748),IF(SUM(B749:F752)&gt;(SUM(S749:S752)),S752*M748,SUM(B752:F752)*M748)),2)))</f>
        <v>0</v>
      </c>
      <c r="N752" s="64">
        <f>IF(B752=0,0,IF(AND(H740="ja",((U752)&lt;R765)),ROUND(((R767*R764+((R765/(R765-R764))-(R764/(R765-R764))*R767)*((U752)-R764))*(N748)),2),ROUND(IF(SUM(B749:F751)&lt;(SUM(S749:S751)),IF((SUM(B749:F752))&gt;(SUM(S749:S752)),(((SUM(S749:S752))-(SUM(B749:F752)-C751))*N748)+((SUM(B752:F752)-C751)*N748),SUM(B752:F752)*N748),IF(SUM(B749:F752)&gt;(SUM(S749:S752)),S752*N748,SUM(B752:F752)*N748)),2)))</f>
        <v>0</v>
      </c>
      <c r="O752" s="21">
        <f>ROUND(SUM(B752+C752+F752)*O748,2)</f>
        <v>0</v>
      </c>
      <c r="P752" s="25">
        <f t="shared" si="125"/>
        <v>0</v>
      </c>
      <c r="Q752" s="456"/>
      <c r="R752" s="140">
        <f>ROUND(IF(M727="",R743,R743/M727*P729),2)</f>
        <v>5175</v>
      </c>
      <c r="S752" s="140">
        <f>ROUND(IF(M727="",R744,R744/M727*P729),2)</f>
        <v>7450</v>
      </c>
      <c r="U752" s="950">
        <f t="shared" si="126"/>
        <v>0</v>
      </c>
      <c r="V752" s="950">
        <f>SUM(B749:F752)</f>
        <v>0</v>
      </c>
    </row>
    <row r="753" spans="1:24" s="1" customFormat="1" x14ac:dyDescent="0.2">
      <c r="A753" s="76" t="str">
        <f>CONCATENATE("Mai ",O725)</f>
        <v>Mai 2025</v>
      </c>
      <c r="B753" s="22">
        <f>ROUND(IF(P730=0,0,IFERROR(((LOOKUP(2,1/(A734:A737=A753),G734:G737))*P730*4.348),B752/P729*P730)),2)</f>
        <v>0</v>
      </c>
      <c r="C753" s="21">
        <f>ROUND(IFERROR((LOOKUP(2,1/(A740=A753),E740)),0)+IFERROR((LOOKUP(2,1/(A741=A753),E741)),0),2)</f>
        <v>0</v>
      </c>
      <c r="D753" s="21">
        <f>ROUND(IF(B753=0,0,D748/M727*P730),2)</f>
        <v>0</v>
      </c>
      <c r="E753" s="21">
        <f>ROUND(IF(B753=0,0,E748/N723*P730),2)</f>
        <v>0</v>
      </c>
      <c r="F753" s="22">
        <f>ROUND(IF(P730=0,0,IFERROR(((LOOKUP(2,1/(A734:A737=A753),I734:I737))/N723*P730),F752/P729*P730)),2)</f>
        <v>0</v>
      </c>
      <c r="G753" s="25">
        <f t="shared" si="124"/>
        <v>0</v>
      </c>
      <c r="H753" s="64">
        <f>IF(B753=0,0,IF(AND(H740="ja",((U753)&lt;R765)),ROUND(((R767*R764+((R765/(R765-R764))-(R764/(R765-R764))*R767)*((U753)-R764))*(H748*2))-(((R765/(R765-R764))*((U753)-R764))*H748),2),ROUND(IF(V752&lt;(SUM(R749:R752)),IF((V753)&gt;(SUM(R749:R753)),(((SUM(R749:R753))-(V753-C752))*H748)+((U753-C752)*H748),U753*H748),IF(V753&gt;(SUM(R749:R753)),R753*H748,U753*H748)),2)))</f>
        <v>0</v>
      </c>
      <c r="I753" s="64">
        <f>IF(B753=0,0,IF(AND(H740="ja",((U753)&lt;R765)),ROUND(((R767*R764+((R765/(R765-R764))-(R764/(R765-R764))*R767)*((U753)-R764))*(I748*2))-(((R765/(R765-R764))*((U753)-R764))*I748),2),ROUND(IF(V752&lt;(SUM(S749:S752)),IF((V753)&gt;(SUM(S749:S753)),(((SUM(S749:S753))-(V753-C752))*I748)+((U753-C752)*I748),U753*I748),IF(V753&gt;(SUM(S749:S753)),S753*I748,U753*I748)),2)))</f>
        <v>0</v>
      </c>
      <c r="J753" s="64">
        <f>IF(B753=0,0,IF(AND(H740="ja",((U753)&lt;R765)),ROUND(((R767*R764+((R765/(R765-R764))-(R764/(R765-R764))*R767)*((U753)-R764))*(J748*2))-(((R765/(R765-R764))*((U753)-R764))*J748),2),ROUND(IF(V752&lt;(SUM(S749:S752)),IF((V753)&gt;(SUM(S749:S753)),(((SUM(S749:S753))-(V753-C752))*J748)+((U753-C752)*J748),U753*J748),IF(V753&gt;(SUM(S749:S753)),S753*J748,U753*J748)),2)))</f>
        <v>0</v>
      </c>
      <c r="K753" s="64">
        <f>IF(B753=0,0,IF(AND(H740="ja",((U753)&lt;R765)),ROUND(((R767*R764+((R765/(R765-R764))-(R764/(R765-R764))*R767)*((U753)-R764))*(K748*2))-(((R765/(R765-R764))*((U753)-R764))*K748),2),ROUND(IF(V752&lt;(SUM(R749:R752)),IF((V753)&gt;(SUM(R749:R753)),(((SUM(R749:R753))-(V753-C752))*K748)+((U753-C752)*K748),U753*K748),IF(V753&gt;(SUM(R749:R753)),R753*K748,U753*K748)),2)))</f>
        <v>0</v>
      </c>
      <c r="L753" s="64">
        <f>IF(B753=0,0,IF(AND(H740="ja",((U753-C753)&lt;R765)),ROUND(((R767*R764+((R765/(R765-R764))-(R764/(R765-R764))*R767)*((U753-C753)-R764))*(L748)),2),ROUND(IF(SUM(B749:F752)&lt;(SUM(S749:S752)),IF((SUM(B749:F753))&gt;(SUM(S749:S753)),(((SUM(S749:S753))-(SUM(B749:F753)-C753))*L748)+((SUM(B753:F753)-C753)*L748),(SUM(B753:F753)-C753)*L748),IF(SUM(B749:F753)&gt;(SUM(S749:S753)),S753*L748,SUM(B753:F753)*L748)),2)))</f>
        <v>0</v>
      </c>
      <c r="M753" s="64">
        <f>IF(B753=0,0,IF(AND(H740="ja",((U753-C753)&lt;R765)),ROUND(((R767*R764+((R765/(R765-R764))-(R764/(R765-R764))*R767)*((U753-C753)-R764))*(M748)),2),ROUND(IF(SUM(B749:F752)&lt;(SUM(S749:S752)),IF((SUM(B749:F753))&gt;(SUM(S749:S753)),(((SUM(S749:S753))-(SUM(B749:F753)-C753))*M748)+((SUM(B753:F753)-C753)*M748),(SUM(B753:F753)-C753)*M748),IF(SUM(B749:F753)&gt;(SUM(S749:S753)),S753*M748,SUM(B753:F753)*M748)),2)))</f>
        <v>0</v>
      </c>
      <c r="N753" s="64">
        <f>IF(B753=0,0,IF(AND(H740="ja",((U753)&lt;R765)),ROUND(((R767*R764+((R765/(R765-R764))-(R764/(R765-R764))*R767)*((U753)-R764))*(N748)),2),ROUND(IF(SUM(B749:F752)&lt;(SUM(S749:S752)),IF((SUM(B749:F753))&gt;(SUM(S749:S753)),(((SUM(S749:S753))-(SUM(B749:F753)-C752))*N748)+((SUM(B753:F753)-C752)*N748),SUM(B753:F753)*N748),IF(SUM(B749:F753)&gt;(SUM(S749:S753)),S753*N748,SUM(B753:F753)*N748)),2)))</f>
        <v>0</v>
      </c>
      <c r="O753" s="21">
        <f>ROUND(SUM(B753+C753+F753)*O748,2)</f>
        <v>0</v>
      </c>
      <c r="P753" s="25">
        <f t="shared" si="125"/>
        <v>0</v>
      </c>
      <c r="Q753" s="456"/>
      <c r="R753" s="140">
        <f>ROUND(IF(M727="",R743,R743/M727*P730),2)</f>
        <v>5175</v>
      </c>
      <c r="S753" s="140">
        <f>ROUND(IF(M727="",R744,R744/M727*P730),2)</f>
        <v>7450</v>
      </c>
      <c r="U753" s="950">
        <f t="shared" si="126"/>
        <v>0</v>
      </c>
      <c r="V753" s="950">
        <f>SUM(B749:F753)</f>
        <v>0</v>
      </c>
    </row>
    <row r="754" spans="1:24" s="1" customFormat="1" x14ac:dyDescent="0.2">
      <c r="A754" s="76" t="str">
        <f>CONCATENATE("Jun ",O725)</f>
        <v>Jun 2025</v>
      </c>
      <c r="B754" s="22">
        <f>ROUND(IF(P731=0,0,IFERROR(((LOOKUP(2,1/(A734:A737=A754),G734:G737))*P731*4.348),B753/P730*P731)),2)</f>
        <v>0</v>
      </c>
      <c r="C754" s="21">
        <f>ROUND(IFERROR((LOOKUP(2,1/(A740=A754),E740)),0)+IFERROR((LOOKUP(2,1/(A741=A754),E741)),0),2)</f>
        <v>0</v>
      </c>
      <c r="D754" s="21">
        <f>ROUND(IF(B754=0,0,D748/M727*P731),2)</f>
        <v>0</v>
      </c>
      <c r="E754" s="21">
        <f>ROUND(IF(B754=0,0,E748/N723*P731),2)</f>
        <v>0</v>
      </c>
      <c r="F754" s="22">
        <f>ROUND(IF(P731=0,0,IFERROR(((LOOKUP(2,1/(A734:A737=A754),I734:I737))/N723*P731),F753/P730*P731)),2)</f>
        <v>0</v>
      </c>
      <c r="G754" s="25">
        <f t="shared" si="124"/>
        <v>0</v>
      </c>
      <c r="H754" s="64">
        <f>IF(B754=0,0,IF(AND(H740="ja",((U754)&lt;R765)),ROUND(((R767*R764+((R765/(R765-R764))-(R764/(R765-R764))*R767)*((U754)-R764))*(H748*2))-(((R765/(R765-R764))*((U754)-R764))*H748),2),ROUND(IF(V753&lt;(SUM(R749:R753)),IF((V754)&gt;(SUM(R749:R754)),(((SUM(R749:R754))-(V754-C753))*H748)+((U754-C753)*H748),U754*H748),IF(V754&gt;(SUM(R749:R754)),R754*H748,U754*H748)),2)))</f>
        <v>0</v>
      </c>
      <c r="I754" s="64">
        <f>IF(B754=0,0,IF(AND(H740="ja",((U754)&lt;R765)),ROUND(((R767*R764+((R765/(R765-R764))-(R764/(R765-R764))*R767)*((U754)-R764))*(I748*2))-(((R765/(R765-R764))*((U754)-R764))*I748),2),ROUND(IF(V753&lt;(SUM(S749:S753)),IF((V754)&gt;(SUM(S749:S754)),(((SUM(S749:S754))-(V754-C753))*I748)+((U754-C753)*I748),U754*I748),IF(V754&gt;(SUM(S749:S754)),S754*I748,U754*I748)),2)))</f>
        <v>0</v>
      </c>
      <c r="J754" s="64">
        <f>IF(B754=0,0,IF(AND(H740="ja",((U754)&lt;R765)),ROUND(((R767*R764+((R765/(R765-R764))-(R764/(R765-R764))*R767)*((U754)-R764))*(J748*2))-(((R765/(R765-R764))*((U754)-R764))*J748),2),ROUND(IF(V753&lt;(SUM(S749:S753)),IF((V754)&gt;(SUM(S749:S754)),(((SUM(S749:S754))-(V754-C753))*J748)+((U754-C753)*J748),U754*J748),IF(V754&gt;(SUM(S749:S754)),S754*J748,U754*J748)),2)))</f>
        <v>0</v>
      </c>
      <c r="K754" s="64">
        <f>IF(B754=0,0,IF(AND(H740="ja",((U754)&lt;R765)),ROUND(((R767*R764+((R765/(R765-R764))-(R764/(R765-R764))*R767)*((U754)-R764))*(K748*2))-(((R765/(R765-R764))*((U754)-R764))*K748),2),ROUND(IF(V753&lt;(SUM(R749:R753)),IF((V754)&gt;(SUM(R749:R754)),(((SUM(R749:R754))-(V754-C753))*K748)+((U754-C753)*K748),U754*K748),IF(V754&gt;(SUM(R749:R754)),R754*K748,U754*K748)),2)))</f>
        <v>0</v>
      </c>
      <c r="L754" s="64">
        <f>IF(B754=0,0,IF(AND(H740="ja",((U754-C754)&lt;R765)),ROUND(((R767*R764+((R765/(R765-R764))-(R764/(R765-R764))*R767)*((U754-C754)-R764))*(L748)),2),ROUND(IF(SUM(B749:F753)&lt;(SUM(S749:S753)),IF((SUM(B749:F754))&gt;(SUM(S749:S754)),(((SUM(S749:S754))-(SUM(B749:F754)-C754))*L748)+((SUM(B754:F754)-C754)*L748),(SUM(B754:F754)-C754)*L748),IF(SUM(B749:F754)&gt;(SUM(S749:S754)),S754*L748,SUM(B754:F754)*L748)),2)))</f>
        <v>0</v>
      </c>
      <c r="M754" s="64">
        <f>IF(B754=0,0,IF(AND(H740="ja",((U754-C754)&lt;R765)),ROUND(((R767*R764+((R765/(R765-R764))-(R764/(R765-R764))*R767)*((U754-C754)-R764))*(M748)),2),ROUND(IF(SUM(B749:F753)&lt;(SUM(S749:S753)),IF((SUM(B749:F754))&gt;(SUM(S749:S754)),(((SUM(S749:S754))-(SUM(B749:F754)-C754))*M748)+((SUM(B754:F754)-C754)*M748),(SUM(B754:F754)-C754)*M748),IF(SUM(B749:F754)&gt;(SUM(S749:S754)),S754*M748,SUM(B754:F754)*M748)),2)))</f>
        <v>0</v>
      </c>
      <c r="N754" s="64">
        <f>IF(B754=0,0,IF(AND(H740="ja",((U754)&lt;R765)),ROUND(((R767*R764+((R765/(R765-R764))-(R764/(R765-R764))*R767)*((U754)-R764))*(N748)),2),ROUND(IF(SUM(B749:F753)&lt;(SUM(S749:S753)),IF((SUM(B749:F754))&gt;(SUM(S749:S754)),(((SUM(S749:S754))-(SUM(B749:F754)-C753))*N748)+((SUM(B754:F754)-C753)*N748),SUM(B754:F754)*N748),IF(SUM(B749:F754)&gt;(SUM(S749:S754)),S754*N748,SUM(B754:F754)*N748)),2)))</f>
        <v>0</v>
      </c>
      <c r="O754" s="21">
        <f>ROUND(SUM(B754+C754+F754)*O748,2)</f>
        <v>0</v>
      </c>
      <c r="P754" s="25">
        <f t="shared" si="125"/>
        <v>0</v>
      </c>
      <c r="Q754" s="456"/>
      <c r="R754" s="140">
        <f>ROUND(IF(M727="",R743,R743/M727*P731),2)</f>
        <v>5175</v>
      </c>
      <c r="S754" s="140">
        <f>ROUND(IF(M727="",R744,R744/M727*P731),2)</f>
        <v>7450</v>
      </c>
      <c r="U754" s="950">
        <f t="shared" si="126"/>
        <v>0</v>
      </c>
      <c r="V754" s="950">
        <f>SUM(B749:F754)</f>
        <v>0</v>
      </c>
    </row>
    <row r="755" spans="1:24" s="1" customFormat="1" x14ac:dyDescent="0.2">
      <c r="A755" s="76" t="str">
        <f>CONCATENATE("Jul ",O725)</f>
        <v>Jul 2025</v>
      </c>
      <c r="B755" s="22">
        <f>ROUND(IF(P732=0,0,IFERROR(((LOOKUP(2,1/(A734:A737=A755),G734:G737))*P732*4.348),B754/P731*P732)),2)</f>
        <v>0</v>
      </c>
      <c r="C755" s="21">
        <f>ROUND(IFERROR((LOOKUP(2,1/(A740=A755),E740)),0)+IFERROR((LOOKUP(2,1/(A741=A755),E741)),0),2)</f>
        <v>0</v>
      </c>
      <c r="D755" s="21">
        <f>ROUND(IF(B755=0,0,D748/M727*P732),2)</f>
        <v>0</v>
      </c>
      <c r="E755" s="21">
        <f>ROUND(IF(B755=0,0,E748/N723*P732),2)</f>
        <v>0</v>
      </c>
      <c r="F755" s="22">
        <f>ROUND(IF(P732=0,0,IFERROR(((LOOKUP(2,1/(A734:A737=A755),I734:I737))/N723*P732),F754/P731*P732)),2)</f>
        <v>0</v>
      </c>
      <c r="G755" s="25">
        <f t="shared" si="124"/>
        <v>0</v>
      </c>
      <c r="H755" s="64">
        <f>IF(B755=0,0,IF(AND(H740="ja",((U755)&lt;R765)),ROUND(((R767*R764+((R765/(R765-R764))-(R764/(R765-R764))*R767)*((U755)-R764))*(H748*2))-(((R765/(R765-R764))*((U755)-R764))*H748),2),ROUND(IF(V754&lt;(SUM(R749:R754)),IF((V755)&gt;(SUM(R749:R755)),(((SUM(R749:R755))-(V755-C754))*H748)+((U755-C754)*H748),U755*H748),IF(V755&gt;(SUM(R749:R755)),R755*H748,U755*H748)),2)))</f>
        <v>0</v>
      </c>
      <c r="I755" s="64">
        <f>IF(B755=0,0,IF(AND(H740="ja",((U755)&lt;R765)),ROUND(((R767*R764+((R765/(R765-R764))-(R764/(R765-R764))*R767)*((U755)-R764))*(I748*2))-(((R765/(R765-R764))*((U755)-R764))*I748),2),ROUND(IF(V754&lt;(SUM(S749:S754)),IF((V755)&gt;(SUM(S749:S755)),(((SUM(S749:S755))-(V755-C754))*I748)+((U755-C754)*I748),U755*I748),IF(V755&gt;(SUM(S749:S755)),S755*I748,U755*I748)),2)))</f>
        <v>0</v>
      </c>
      <c r="J755" s="64">
        <f>IF(B755=0,0,IF(AND(H740="ja",((U755)&lt;R765)),ROUND(((R767*R764+((R765/(R765-R764))-(R764/(R765-R764))*R767)*((U755)-R764))*(J748*2))-(((R765/(R765-R764))*((U755)-R764))*J748),2),ROUND(IF(V754&lt;(SUM(S749:S754)),IF((V755)&gt;(SUM(S749:S755)),(((SUM(S749:S755))-(V755-C754))*J748)+((U755-C754)*J748),U755*J748),IF(V755&gt;(SUM(S749:S755)),S755*J748,U755*J748)),2)))</f>
        <v>0</v>
      </c>
      <c r="K755" s="64">
        <f>IF(B755=0,0,IF(AND(H740="ja",((U755)&lt;R765)),ROUND(((R767*R764+((R765/(R765-R764))-(R764/(R765-R764))*R767)*((U755)-R764))*(K748*2))-(((R765/(R765-R764))*((U755)-R764))*K748),2),ROUND(IF(V754&lt;(SUM(R749:R754)),IF((V755)&gt;(SUM(R749:R755)),(((SUM(R749:R755))-(V755-C754))*K748)+((U755-C754)*K748),U755*K748),IF(V755&gt;(SUM(R749:R755)),R755*K748,U755*K748)),2)))</f>
        <v>0</v>
      </c>
      <c r="L755" s="64">
        <f>IF(B755=0,0,IF(AND(H740="ja",((U755-C755)&lt;R765)),ROUND(((R767*R764+((R765/(R765-R764))-(R764/(R765-R764))*R767)*((U755-C755)-R764))*(L748)),2),ROUND(IF(SUM(B749:F754)&lt;(SUM(S749:S754)),IF((SUM(B749:F755))&gt;(SUM(S749:S755)),(((SUM(S749:S755))-(SUM(B749:F755)-C755))*L748)+((SUM(B755:F755)-C755)*L748),(SUM(B755:F755)-C755)*L748),IF(SUM(B749:F755)&gt;(SUM(S749:S755)),S755*L748,SUM(B755:F755)*L748)),2)))</f>
        <v>0</v>
      </c>
      <c r="M755" s="64">
        <f>IF(B755=0,0,IF(AND(H740="ja",((U755-C755)&lt;R765)),ROUND(((R767*R764+((R765/(R765-R764))-(R764/(R765-R764))*R767)*((U755-C755)-R764))*(M748)),2),ROUND(IF(SUM(B749:F754)&lt;(SUM(S749:S754)),IF((SUM(B749:F755))&gt;(SUM(S749:S755)),(((SUM(S749:S755))-(SUM(B749:F755)-C755))*M748)+((SUM(B755:F755)-C755)*M748),(SUM(B755:F755)-C755)*M748),IF(SUM(B749:F755)&gt;(SUM(S749:S755)),S755*M748,SUM(B755:F755)*M748)),2)))</f>
        <v>0</v>
      </c>
      <c r="N755" s="64">
        <f>IF(B755=0,0,IF(AND(H740="ja",((U755)&lt;R765)),ROUND(((R767*R764+((R765/(R765-R764))-(R764/(R765-R764))*R767)*((U755)-R764))*(N748)),2),ROUND(IF(SUM(B749:F754)&lt;(SUM(S749:S754)),IF((SUM(B749:F755))&gt;(SUM(S749:S755)),(((SUM(S749:S755))-(SUM(B749:F755)-C754))*N748)+((SUM(B755:F755)-C754)*N748),SUM(B755:F755)*N748),IF(SUM(B749:F755)&gt;(SUM(S749:S755)),S755*N748,SUM(B755:F755)*N748)),2)))</f>
        <v>0</v>
      </c>
      <c r="O755" s="21">
        <f>ROUND(SUM(B755+C755+F755)*O748,2)</f>
        <v>0</v>
      </c>
      <c r="P755" s="25">
        <f t="shared" si="125"/>
        <v>0</v>
      </c>
      <c r="Q755" s="456"/>
      <c r="R755" s="140">
        <f>ROUND(IF(M727="",R743,R743/M727*P732),2)</f>
        <v>5175</v>
      </c>
      <c r="S755" s="140">
        <f>ROUND(IF(M727="",R744,R744/M727*P732),2)</f>
        <v>7450</v>
      </c>
      <c r="U755" s="950">
        <f t="shared" si="126"/>
        <v>0</v>
      </c>
      <c r="V755" s="950">
        <f>SUM(B749:F755)</f>
        <v>0</v>
      </c>
    </row>
    <row r="756" spans="1:24" s="1" customFormat="1" x14ac:dyDescent="0.2">
      <c r="A756" s="76" t="str">
        <f>CONCATENATE("Aug ",O725)</f>
        <v>Aug 2025</v>
      </c>
      <c r="B756" s="22">
        <f>ROUND(IF(P733=0,0,IFERROR(((LOOKUP(2,1/(A734:A737=A756),G734:G737))*P733*4.348),B755/P732*P733)),2)</f>
        <v>0</v>
      </c>
      <c r="C756" s="21">
        <f>ROUND(IFERROR((LOOKUP(2,1/(A740=A756),E740)),0)+IFERROR((LOOKUP(2,1/(A741=A756),E741)),0),2)</f>
        <v>0</v>
      </c>
      <c r="D756" s="21">
        <f>ROUND(IF(B756=0,0,D748/M727*P733),2)</f>
        <v>0</v>
      </c>
      <c r="E756" s="21">
        <f>ROUND(IF(B756=0,0,E748/N723*P733),2)</f>
        <v>0</v>
      </c>
      <c r="F756" s="22">
        <f>ROUND(IF(P733=0,0,IFERROR(((LOOKUP(2,1/(A734:A737=A756),I734:I737))/N723*P733),F755/P732*P733)),2)</f>
        <v>0</v>
      </c>
      <c r="G756" s="25">
        <f t="shared" si="124"/>
        <v>0</v>
      </c>
      <c r="H756" s="64">
        <f>IF(B756=0,0,IF(AND(H740="ja",((U756)&lt;R765)),ROUND(((R767*R764+((R765/(R765-R764))-(R764/(R765-R764))*R767)*((U756)-R764))*(H748*2))-(((R765/(R765-R764))*((U756)-R764))*H748),2),ROUND(IF(V755&lt;(SUM(R749:R755)),IF((V756)&gt;(SUM(R749:R756)),(((SUM(R749:R756))-(V756-C755))*H748)+((U756-C755)*H748),U756*H748),IF(V756&gt;(SUM(R749:R756)),R756*H748,U756*H748)),2)))</f>
        <v>0</v>
      </c>
      <c r="I756" s="64">
        <f>IF(B756=0,0,IF(AND(H740="ja",((U756)&lt;R765)),ROUND(((R767*R764+((R765/(R765-R764))-(R764/(R765-R764))*R767)*((U756)-R764))*(I748*2))-(((R765/(R765-R764))*((U756)-R764))*I748),2),ROUND(IF(V755&lt;(SUM(S749:S755)),IF((V756)&gt;(SUM(S749:S756)),(((SUM(S749:S756))-(V756-C755))*I748)+((U756-C755)*I748),U756*I748),IF(V756&gt;(SUM(S749:S756)),S756*I748,U756*I748)),2)))</f>
        <v>0</v>
      </c>
      <c r="J756" s="64">
        <f>IF(B756=0,0,IF(AND(H740="ja",((U756)&lt;R765)),ROUND(((R767*R764+((R765/(R765-R764))-(R764/(R765-R764))*R767)*((U756)-R764))*(J748*2))-(((R765/(R765-R764))*((U756)-R764))*J748),2),ROUND(IF(V755&lt;(SUM(S749:S755)),IF((V756)&gt;(SUM(S749:S756)),(((SUM(S749:S756))-(V756-C755))*J748)+((U756-C755)*J748),U756*J748),IF(V756&gt;(SUM(S749:S756)),S756*J748,U756*J748)),2)))</f>
        <v>0</v>
      </c>
      <c r="K756" s="64">
        <f>IF(B756=0,0,IF(AND(H740="ja",((U756)&lt;R765)),ROUND(((R767*R764+((R765/(R765-R764))-(R764/(R765-R764))*R767)*((U756)-R764))*(K748*2))-(((R765/(R765-R764))*((U756)-R764))*K748),2),ROUND(IF(V755&lt;(SUM(R749:R755)),IF((V756)&gt;(SUM(R749:R756)),(((SUM(R749:R756))-(V756-C755))*K748)+((U756-C755)*K748),U756*K748),IF(V756&gt;(SUM(R749:R756)),R756*K748,U756*K748)),2)))</f>
        <v>0</v>
      </c>
      <c r="L756" s="64">
        <f>IF(B756=0,0,IF(AND(H740="ja",((U756-C756)&lt;R765)),ROUND(((R767*R764+((R765/(R765-R764))-(R764/(R765-R764))*R767)*((U756-C756)-R764))*(L748)),2),ROUND(IF(SUM(B749:F755)&lt;(SUM(S749:S755)),IF((SUM(B749:F756))&gt;(SUM(S749:S756)),(((SUM(S749:S756))-(SUM(B749:F756)-C756))*L748)+((SUM(B756:F756)-C756)*L748),(SUM(B756:F756)-C756)*L748),IF(SUM(B749:F756)&gt;(SUM(S749:S756)),S756*L748,SUM(B756:F756)*L748)),2)))</f>
        <v>0</v>
      </c>
      <c r="M756" s="64">
        <f>IF(B756=0,0,IF(AND(H740="ja",((U756-C756)&lt;R765)),ROUND(((R767*R764+((R765/(R765-R764))-(R764/(R765-R764))*R767)*((U756-C756)-R764))*(M748)),2),ROUND(IF(SUM(B749:F755)&lt;(SUM(S749:S755)),IF((SUM(B749:F756))&gt;(SUM(S749:S756)),(((SUM(S749:S756))-(SUM(B749:F756)-C756))*M748)+((SUM(B756:F756)-C756)*M748),(SUM(B756:F756)-C756)*M748),IF(SUM(B749:F756)&gt;(SUM(S749:S756)),S756*M748,SUM(B756:F756)*M748)),2)))</f>
        <v>0</v>
      </c>
      <c r="N756" s="64">
        <f>IF(B756=0,0,IF(AND(H740="ja",((U756)&lt;R765)),ROUND(((R767*R764+((R765/(R765-R764))-(R764/(R765-R764))*R767)*((U756)-R764))*(N748)),2),ROUND(IF(SUM(B749:F755)&lt;(SUM(S749:S755)),IF((SUM(B749:F756))&gt;(SUM(S749:S756)),(((SUM(S749:S756))-(SUM(B749:F756)-C755))*N748)+((SUM(B756:F756)-C755)*N748),SUM(B756:F756)*N748),IF(SUM(B749:F756)&gt;(SUM(S749:S756)),S756*N748,SUM(B756:F756)*N748)),2)))</f>
        <v>0</v>
      </c>
      <c r="O756" s="21">
        <f>ROUND(SUM(B756+C756+F756)*O748,2)</f>
        <v>0</v>
      </c>
      <c r="P756" s="25">
        <f t="shared" si="125"/>
        <v>0</v>
      </c>
      <c r="Q756" s="456"/>
      <c r="R756" s="140">
        <f>ROUND(IF(M727="",R743,R743/M727*P733),2)</f>
        <v>5175</v>
      </c>
      <c r="S756" s="140">
        <f>ROUND(IF(M727="",R744,R744/M727*P733),2)</f>
        <v>7450</v>
      </c>
      <c r="U756" s="950">
        <f t="shared" si="126"/>
        <v>0</v>
      </c>
      <c r="V756" s="950">
        <f>SUM(B749:F756)</f>
        <v>0</v>
      </c>
    </row>
    <row r="757" spans="1:24" s="1" customFormat="1" x14ac:dyDescent="0.2">
      <c r="A757" s="76" t="str">
        <f>CONCATENATE("Sep ",O725)</f>
        <v>Sep 2025</v>
      </c>
      <c r="B757" s="22">
        <f>ROUND(IF(P734=0,0,IFERROR(((LOOKUP(2,1/(A734:A737=A757),G734:G737))*P734*4.348),B756/P733*P734)),2)</f>
        <v>0</v>
      </c>
      <c r="C757" s="21">
        <f>ROUND(IFERROR((LOOKUP(2,1/(A740=A757),E740)),0)+IFERROR((LOOKUP(2,1/(A741=A757),E741)),0),2)</f>
        <v>0</v>
      </c>
      <c r="D757" s="21">
        <f>ROUND(IF(B757=0,0,D748/M727*P734),2)</f>
        <v>0</v>
      </c>
      <c r="E757" s="21">
        <f>ROUND(IF(B757=0,0,E748/N723*P734),2)</f>
        <v>0</v>
      </c>
      <c r="F757" s="22">
        <f>ROUND(IF(P734=0,0,IFERROR(((LOOKUP(2,1/(A734:A737=A757),I734:I737))/N723*P734),F756/P733*P734)),2)</f>
        <v>0</v>
      </c>
      <c r="G757" s="25">
        <f t="shared" si="124"/>
        <v>0</v>
      </c>
      <c r="H757" s="64">
        <f>IF(B757=0,0,IF(AND(H740="ja",((U757)&lt;R765)),ROUND(((R767*R764+((R765/(R765-R764))-(R764/(R765-R764))*R767)*((U757)-R764))*(H748*2))-(((R765/(R765-R764))*((U757)-R764))*H748),2),ROUND(IF(V756&lt;(SUM(R749:R756)),IF((V757)&gt;(SUM(R749:R757)),(((SUM(R749:R757))-(V757-C756))*H748)+((U757-C756)*H748),U757*H748),IF(V757&gt;(SUM(R749:R757)),R757*H748,U757*H748)),2)))</f>
        <v>0</v>
      </c>
      <c r="I757" s="64">
        <f>IF(B757=0,0,IF(AND(H740="ja",((U757)&lt;R765)),ROUND(((R767*R764+((R765/(R765-R764))-(R764/(R765-R764))*R767)*((U757)-R764))*(I748*2))-(((R765/(R765-R764))*((U757)-R764))*I748),2),ROUND(IF(V756&lt;(SUM(S749:S756)),IF((V757)&gt;(SUM(S749:S757)),(((SUM(S749:S757))-(V757-C756))*I748)+((U757-C756)*I748),U757*I748),IF(V757&gt;(SUM(S749:S757)),S757*I748,U757*I748)),2)))</f>
        <v>0</v>
      </c>
      <c r="J757" s="64">
        <f>IF(B757=0,0,IF(AND(H740="ja",((U757)&lt;R765)),ROUND(((R767*R764+((R765/(R765-R764))-(R764/(R765-R764))*R767)*((U757)-R764))*(J748*2))-(((R765/(R765-R764))*((U757)-R764))*J748),2),ROUND(IF(V756&lt;(SUM(S749:S756)),IF((V757)&gt;(SUM(S749:S757)),(((SUM(S749:S757))-(V757-C756))*J748)+((U757-C756)*J748),U757*J748),IF(V757&gt;(SUM(S749:S757)),S757*J748,U757*J748)),2)))</f>
        <v>0</v>
      </c>
      <c r="K757" s="64">
        <f>IF(B757=0,0,IF(AND(H740="ja",((U757)&lt;R765)),ROUND(((R767*R764+((R765/(R765-R764))-(R764/(R765-R764))*R767)*((U757)-R764))*(K748*2))-(((R765/(R765-R764))*((U757)-R764))*K748),2),ROUND(IF(V756&lt;(SUM(R749:R756)),IF((V757)&gt;(SUM(R749:R757)),(((SUM(R749:R757))-(V757-C756))*K748)+((U757-C756)*K748),U757*K748),IF(V757&gt;(SUM(R749:R757)),R757*K748,U757*K748)),2)))</f>
        <v>0</v>
      </c>
      <c r="L757" s="64">
        <f>IF(B757=0,0,IF(AND(H740="ja",((U757-C757)&lt;R765)),ROUND(((R767*R764+((R765/(R765-R764))-(R764/(R765-R764))*R767)*((U757-C757)-R764))*(L748)),2),ROUND(IF(SUM(B749:F756)&lt;(SUM(S749:S756)),IF((SUM(B749:F757))&gt;(SUM(S749:S757)),(((SUM(S749:S757))-(SUM(B749:F757)-C757))*L748)+((SUM(B757:F757)-C757)*L748),(SUM(B757:F757)-C757)*L748),IF(SUM(B749:F757)&gt;(SUM(S749:S757)),S757*L748,SUM(B757:F757)*L748)),2)))</f>
        <v>0</v>
      </c>
      <c r="M757" s="64">
        <f>IF(B757=0,0,IF(AND(H740="ja",((U757-C757)&lt;R765)),ROUND(((R767*R764+((R765/(R765-R764))-(R764/(R765-R764))*R767)*((U757-C757)-R764))*(M748)),2),ROUND(IF(SUM(B749:F756)&lt;(SUM(S749:S756)),IF((SUM(B749:F757))&gt;(SUM(S749:S757)),(((SUM(S749:S757))-(SUM(B749:F757)-C757))*M748)+((SUM(B757:F757)-C757)*M748),(SUM(B757:F757)-C757)*M748),IF(SUM(B749:F757)&gt;(SUM(S749:S757)),S757*M748,SUM(B757:F757)*M748)),2)))</f>
        <v>0</v>
      </c>
      <c r="N757" s="64">
        <f>IF(B757=0,0,IF(AND(H740="ja",((U757)&lt;R765)),ROUND(((R767*R764+((R765/(R765-R764))-(R764/(R765-R764))*R767)*((U757)-R764))*(N748)),2),ROUND(IF(SUM(B749:F756)&lt;(SUM(S749:S756)),IF((SUM(B749:F757))&gt;(SUM(S749:S757)),(((SUM(S749:S757))-(SUM(B749:F757)-C756))*N748)+((SUM(B757:F757)-C756)*N748),SUM(B757:F757)*N748),IF(SUM(B749:F757)&gt;(SUM(S749:S757)),S757*N748,SUM(B757:F757)*N748)),2)))</f>
        <v>0</v>
      </c>
      <c r="O757" s="21">
        <f>ROUND(SUM(B757+C757+F757)*O748,2)</f>
        <v>0</v>
      </c>
      <c r="P757" s="25">
        <f t="shared" si="125"/>
        <v>0</v>
      </c>
      <c r="Q757" s="456"/>
      <c r="R757" s="140">
        <f>ROUND(IF(M727="",R743,R743/M727*P734),2)</f>
        <v>5175</v>
      </c>
      <c r="S757" s="140">
        <f>ROUND(IF(M727="",R744,R744/M727*P734),2)</f>
        <v>7450</v>
      </c>
      <c r="U757" s="950">
        <f t="shared" si="126"/>
        <v>0</v>
      </c>
      <c r="V757" s="950">
        <f>SUM(B749:F757)</f>
        <v>0</v>
      </c>
    </row>
    <row r="758" spans="1:24" s="12" customFormat="1" ht="15" x14ac:dyDescent="0.25">
      <c r="A758" s="76" t="str">
        <f>CONCATENATE("Okt ",O725)</f>
        <v>Okt 2025</v>
      </c>
      <c r="B758" s="22">
        <f>ROUND(IF(P735=0,0,IFERROR(((LOOKUP(2,1/(A734:A737=A758),G734:G737))*P735*4.348),B757/P734*P735)),2)</f>
        <v>0</v>
      </c>
      <c r="C758" s="21">
        <f>ROUND(IFERROR((LOOKUP(2,1/(A740=A758),E740)),0)+IFERROR((LOOKUP(2,1/(A741=A758),E741)),0),2)</f>
        <v>0</v>
      </c>
      <c r="D758" s="21">
        <f>ROUND(IF(B758=0,0,D748/M727*P735),2)</f>
        <v>0</v>
      </c>
      <c r="E758" s="21">
        <f>ROUND(IF(B758=0,0,E748/N723*P735),2)</f>
        <v>0</v>
      </c>
      <c r="F758" s="22">
        <f>ROUND(IF(P735=0,0,IFERROR(((LOOKUP(2,1/(A734:A737=A758),I734:I737))/N723*P735),F757/P734*P735)),2)</f>
        <v>0</v>
      </c>
      <c r="G758" s="25">
        <f t="shared" si="124"/>
        <v>0</v>
      </c>
      <c r="H758" s="64">
        <f>IF(B758=0,0,IF(AND(H740="ja",((U758)&lt;R765)),ROUND(((R767*R764+((R765/(R765-R764))-(R764/(R765-R764))*R767)*((U758)-R764))*(H748*2))-(((R765/(R765-R764))*((U758)-R764))*H748),2),ROUND(IF(V757&lt;(SUM(R749:R757)),IF((V758)&gt;(SUM(R749:R758)),(((SUM(R749:R758))-(V758-C757))*H748)+((U758-C757)*H748),U758*H748),IF(V758&gt;(SUM(R749:R758)),R758*H748,U758*H748)),2)))</f>
        <v>0</v>
      </c>
      <c r="I758" s="64">
        <f>IF(B758=0,0,IF(AND(H740="ja",((U758)&lt;R765)),ROUND(((R767*R764+((R765/(R765-R764))-(R764/(R765-R764))*R767)*((U758)-R764))*(I748*2))-(((R765/(R765-R764))*((U758)-R764))*I748),2),ROUND(IF(V757&lt;(SUM(S749:S757)),IF((V758)&gt;(SUM(S749:S758)),(((SUM(S749:S758))-(V758-C757))*I748)+((U758-C757)*I748),U758*I748),IF(V758&gt;(SUM(S749:S758)),S758*I748,U758*I748)),2)))</f>
        <v>0</v>
      </c>
      <c r="J758" s="64">
        <f>IF(B758=0,0,IF(AND(H740="ja",((U758)&lt;R765)),ROUND(((R767*R764+((R765/(R765-R764))-(R764/(R765-R764))*R767)*((U758)-R764))*(J748*2))-(((R765/(R765-R764))*((U758)-R764))*J748),2),ROUND(IF(V757&lt;(SUM(S749:S757)),IF((V758)&gt;(SUM(S749:S758)),(((SUM(S749:S758))-(V758-C757))*J748)+((U758-C757)*J748),U758*J748),IF(V758&gt;(SUM(S749:S758)),S758*J748,U758*J748)),2)))</f>
        <v>0</v>
      </c>
      <c r="K758" s="64">
        <f>IF(B758=0,0,IF(AND(H740="ja",((U758)&lt;R765)),ROUND(((R767*R764+((R765/(R765-R764))-(R764/(R765-R764))*R767)*((U758)-R764))*(K748*2))-(((R765/(R765-R764))*((U758)-R764))*K748),2),ROUND(IF(V757&lt;(SUM(R749:R757)),IF((V758)&gt;(SUM(R749:R758)),(((SUM(R749:R758))-(V758-C757))*K748)+((U758-C757)*K748),U758*K748),IF(V758&gt;(SUM(R749:R758)),R758*K748,U758*K748)),2)))</f>
        <v>0</v>
      </c>
      <c r="L758" s="64">
        <f>IF(B758=0,0,IF(AND(H740="ja",((U758-C758)&lt;R765)),ROUND(((R767*R764+((R765/(R765-R764))-(R764/(R765-R764))*R767)*((U758-C758)-R764))*(L748)),2),ROUND(IF(SUM(B749:F757)&lt;(SUM(S749:S757)),IF((SUM(B749:F758))&gt;(SUM(S749:S758)),(((SUM(S749:S758))-(SUM(B749:F758)-C758))*L748)+((SUM(B758:F758)-C758)*L748),(SUM(B758:F758)-C758)*L748),IF(SUM(B749:F758)&gt;(SUM(S749:S758)),S758*L748,SUM(B758:F758)*L748)),2)))</f>
        <v>0</v>
      </c>
      <c r="M758" s="64">
        <f>IF(B758=0,0,IF(AND(H740="ja",((U758-C758)&lt;R765)),ROUND(((R767*R764+((R765/(R765-R764))-(R764/(R765-R764))*R767)*((U758-C758)-R764))*(M748)),2),ROUND(IF(SUM(B749:F757)&lt;(SUM(S749:S757)),IF((SUM(B749:F758))&gt;(SUM(S749:S758)),(((SUM(S749:S758))-(SUM(B749:F758)-C758))*M748)+((SUM(B758:F758)-C758)*M748),(SUM(B758:F758)-C758)*M748),IF(SUM(B749:F758)&gt;(SUM(S749:S758)),S758*M748,SUM(B758:F758)*M748)),2)))</f>
        <v>0</v>
      </c>
      <c r="N758" s="64">
        <f>IF(B758=0,0,IF(AND(H740="ja",((U758)&lt;R765)),ROUND(((R767*R764+((R765/(R765-R764))-(R764/(R765-R764))*R767)*((U758)-R764))*(N748)),2),ROUND(IF(SUM(B749:F757)&lt;(SUM(S749:S757)),IF((SUM(B749:F758))&gt;(SUM(S749:S758)),(((SUM(S749:S758))-(SUM(B749:F758)-C757))*N748)+((SUM(B758:F758)-C757)*N748),SUM(B758:F758)*N748),IF(SUM(B749:F758)&gt;(SUM(S749:S758)),S758*N748,SUM(B758:F758)*N748)),2)))</f>
        <v>0</v>
      </c>
      <c r="O758" s="21">
        <f>ROUND(SUM(B758+C758+F758)*O748,2)</f>
        <v>0</v>
      </c>
      <c r="P758" s="25">
        <f t="shared" si="125"/>
        <v>0</v>
      </c>
      <c r="Q758" s="936"/>
      <c r="R758" s="140">
        <f>ROUND(IF(M727="",R743,R743/M727*P735),2)</f>
        <v>5175</v>
      </c>
      <c r="S758" s="140">
        <f>ROUND(IF(M727="",R744,R744/M727*P735),2)</f>
        <v>7450</v>
      </c>
      <c r="U758" s="950">
        <f t="shared" si="126"/>
        <v>0</v>
      </c>
      <c r="V758" s="950">
        <f>SUM(B749:F758)</f>
        <v>0</v>
      </c>
      <c r="X758" s="1"/>
    </row>
    <row r="759" spans="1:24" s="11" customFormat="1" x14ac:dyDescent="0.2">
      <c r="A759" s="76" t="str">
        <f>CONCATENATE("Nov ",O725)</f>
        <v>Nov 2025</v>
      </c>
      <c r="B759" s="22">
        <f>ROUND(IF(P736=0,0,IFERROR(((LOOKUP(2,1/(A734:A737=A759),G734:G737))*P736*4.348),B758/P735*P736)),2)</f>
        <v>0</v>
      </c>
      <c r="C759" s="21">
        <f>ROUND(IFERROR((LOOKUP(2,1/(A740=A759),E740)),0)+(IFERROR((LOOKUP(2,1/(A741=A759),E741)),0)),2)</f>
        <v>0</v>
      </c>
      <c r="D759" s="21">
        <f>ROUND(IF(B759=0,0,D748/M727*P736),2)</f>
        <v>0</v>
      </c>
      <c r="E759" s="21">
        <f>ROUND(IF(B759=0,0,E748/N723*P736),2)</f>
        <v>0</v>
      </c>
      <c r="F759" s="22">
        <f>ROUND(IF(P736=0,0,IFERROR(((LOOKUP(2,1/(A734:A737=A759),I734:I737))/N723*P736),F758/P735*P736)),2)</f>
        <v>0</v>
      </c>
      <c r="G759" s="25">
        <f t="shared" si="124"/>
        <v>0</v>
      </c>
      <c r="H759" s="64">
        <f>IF(B759=0,0,IF(AND(H740="ja",((U759)&lt;R765)),ROUND(((R767*R764+((R765/(R765-R764))-(R764/(R765-R764))*R767)*((U759)-R764))*(H748*2))-(((R765/(R765-R764))*((U759)-R764))*H748),2),ROUND(IF(V758&lt;(SUM(R749:R758)),IF((V759)&gt;(SUM(R749:R759)),(((SUM(R749:R759))-(V759-C758))*H748)+((U759-C758)*H748),U759*H748),IF(V759&gt;(SUM(R749:R759)),R759*H748,U759*H748)),2)))</f>
        <v>0</v>
      </c>
      <c r="I759" s="64">
        <f>IF(B759=0,0,IF(AND(H740="ja",((U759)&lt;R765)),ROUND(((R767*R764+((R765/(R765-R764))-(R764/(R765-R764))*R767)*((U759)-R764))*(I748*2))-(((R765/(R765-R764))*((U759)-R764))*I748),2),ROUND(IF(V758&lt;(SUM(S749:S758)),IF((V759)&gt;(SUM(S749:S759)),(((SUM(S749:S759))-(V759-C758))*I748)+((U759-C758)*I748),U759*I748),IF(V759&gt;(SUM(S749:S759)),S759*I748,U759*I748)),2)))</f>
        <v>0</v>
      </c>
      <c r="J759" s="64">
        <f>IF(B759=0,0,IF(AND(H740="ja",((U759)&lt;R765)),ROUND(((R767*R764+((R765/(R765-R764))-(R764/(R765-R764))*R767)*((U759)-R764))*(J748*2))-(((R765/(R765-R764))*((U759)-R764))*J748),2),ROUND(IF(V758&lt;(SUM(S749:S758)),IF((V759)&gt;(SUM(S749:S759)),(((SUM(S749:S759))-(V759-C758))*J748)+((U759-C758)*J748),U759*J748),IF(V759&gt;(SUM(S749:S759)),S759*J748,U759*J748)),2)))</f>
        <v>0</v>
      </c>
      <c r="K759" s="64">
        <f>IF(B759=0,0,IF(AND(H740="ja",((U759)&lt;R765)),ROUND(((R767*R764+((R765/(R765-R764))-(R764/(R765-R764))*R767)*((U759)-R764))*(K748*2))-(((R765/(R765-R764))*((U759)-R764))*K748),2),ROUND(IF(V758&lt;(SUM(R749:R758)),IF((V759)&gt;(SUM(R749:R759)),(((SUM(R749:R759))-(V759-C758))*K748)+((U759-C758)*K748),U759*K748),IF(V759&gt;(SUM(R749:R759)),R759*K748,U759*K748)),2)))</f>
        <v>0</v>
      </c>
      <c r="L759" s="64">
        <f>IF(B759=0,0,IF(AND(H740="ja",((U759-C759)&lt;R765)),ROUND(((R767*R764+((R765/(R765-R764))-(R764/(R765-R764))*R767)*((U759-C759)-R764))*(L748)),2),ROUND(IF(SUM(B749:F758)&lt;(SUM(S749:S758)),IF((SUM(B749:F759))&gt;(SUM(S749:S759)),(((SUM(S749:S759))-(SUM(B749:F759)-C759))*L748)+((SUM(B759:F759)-C759)*L748),(SUM(B759:F759)-C759)*L748),IF(SUM(B749:F759)&gt;(SUM(S749:S759)),S759*L748,SUM(B759:F759)*L748)),2)))</f>
        <v>0</v>
      </c>
      <c r="M759" s="64">
        <f>IF(B759=0,0,IF(AND(H740="ja",((U759-C759)&lt;R765)),ROUND(((R767*R764+((R765/(R765-R764))-(R764/(R765-R764))*R767)*((U759-C759)-R764))*(M748)),2),ROUND(IF(SUM(B749:F758)&lt;(SUM(S749:S758)),IF((SUM(B749:F759))&gt;(SUM(S749:S759)),(((SUM(S749:S759))-(SUM(B749:F759)-C759))*M748)+((SUM(B759:F759)-C759)*M748),(SUM(B759:F759)-C759)*M748),IF(SUM(B749:F759)&gt;(SUM(S749:S759)),S759*M748,SUM(B759:F759)*M748)),2)))</f>
        <v>0</v>
      </c>
      <c r="N759" s="64">
        <f>IF(B759=0,0,IF(AND(H740="ja",((U759)&lt;R765)),ROUND(((R767*R764+((R765/(R765-R764))-(R764/(R765-R764))*R767)*((U759)-R764))*(N748)),2),ROUND(IF(SUM(B749:F758)&lt;(SUM(S749:S758)),IF((SUM(B749:F759))&gt;(SUM(S749:S759)),(((SUM(S749:S759))-(SUM(B749:F759)-C758))*N748)+((SUM(B759:F759)-C758)*N748),SUM(B759:F759)*N748),IF(SUM(B749:F759)&gt;(SUM(S749:S759)),S759*N748,SUM(B759:F759)*N748)),2)))</f>
        <v>0</v>
      </c>
      <c r="O759" s="21">
        <f>ROUND(SUM(B759+C759+F759)*O748,2)</f>
        <v>0</v>
      </c>
      <c r="P759" s="25">
        <f t="shared" si="125"/>
        <v>0</v>
      </c>
      <c r="R759" s="140">
        <f>ROUND(IF(M727="",R743,R743/M727*P736),2)</f>
        <v>5175</v>
      </c>
      <c r="S759" s="140">
        <f>ROUND(IF(M727="",R744,R744/M727*P736),2)</f>
        <v>7450</v>
      </c>
      <c r="U759" s="950">
        <f t="shared" si="126"/>
        <v>0</v>
      </c>
      <c r="V759" s="950">
        <f>SUM(B749:F759)</f>
        <v>0</v>
      </c>
      <c r="X759" s="1"/>
    </row>
    <row r="760" spans="1:24" s="1" customFormat="1" ht="14.25" customHeight="1" x14ac:dyDescent="0.2">
      <c r="A760" s="76" t="str">
        <f>CONCATENATE("Dez ",O725)</f>
        <v>Dez 2025</v>
      </c>
      <c r="B760" s="22">
        <f>ROUND(IF(P737=0,0,IFERROR(((LOOKUP(2,1/(A734:A737=A760),G734:G737))*P737*4.348),B759/P736*P737)),2)</f>
        <v>0</v>
      </c>
      <c r="C760" s="21">
        <f>ROUND(IFERROR((LOOKUP(2,1/(A740=A760),E740)),0)+IFERROR((LOOKUP(2,1/(A741=A760),E741)),0),2)</f>
        <v>0</v>
      </c>
      <c r="D760" s="21">
        <f>ROUND(IF(B760=0,0,D748/M727*P737),2)</f>
        <v>0</v>
      </c>
      <c r="E760" s="21">
        <f>ROUND(IF(B760=0,0,E748/N723*P737),2)</f>
        <v>0</v>
      </c>
      <c r="F760" s="22">
        <f>ROUND(IF(P737=0,0,IFERROR(((LOOKUP(2,1/(A734:A737=A760),I734:I737))/N723*P737),F759/P736*P737)),2)</f>
        <v>0</v>
      </c>
      <c r="G760" s="25">
        <f t="shared" si="124"/>
        <v>0</v>
      </c>
      <c r="H760" s="64">
        <f>IF(B760=0,0,IF(AND(H740="ja",((U760)&lt;R765)),ROUND(((R767*R764+((R765/(R765-R764))-(R764/(R765-R764))*R767)*((U760)-R764))*(H748*2))-(((R765/(R765-R764))*((U760)-R764))*H748),2),ROUND(IF(V759&lt;(SUM(R749:R759)),IF((V760)&gt;(SUM(R749:R760)),(((SUM(R749:R760))-(V760-C759))*H748)+((U760-C759)*H748),U760*H748),IF(V760&gt;(SUM(R749:R760)),R760*H748,U760*H748)),2)))</f>
        <v>0</v>
      </c>
      <c r="I760" s="64">
        <f>IF(B760=0,0,IF(AND(H740="ja",((U760)&lt;R765)),ROUND(((R767*R764+((R765/(R765-R764))-(R764/(R765-R764))*R767)*((U760)-R764))*(I748*2))-(((R765/(R765-R764))*((U760)-R764))*I748),2),ROUND(IF(V759&lt;(SUM(S749:S759)),IF((V760)&gt;(SUM(S749:S760)),(((SUM(S749:S760))-(V760-C759))*I748)+((U760-C759)*I748),U760*I748),IF(V760&gt;(SUM(S749:S760)),S760*I748,U760*I748)),2)))</f>
        <v>0</v>
      </c>
      <c r="J760" s="64">
        <f>IF(B760=0,0,IF(AND(H740="ja",((U760)&lt;R765)),ROUND(((R767*R764+((R765/(R765-R764))-(R764/(R765-R764))*R767)*((U760)-R764))*(J748*2))-(((R765/(R765-R764))*((U760)-R764))*J748),2),ROUND(IF(V759&lt;(SUM(S749:S759)),IF((V760)&gt;(SUM(S749:S760)),(((SUM(S749:S760))-(V760-C759))*J748)+((U760-C759)*J748),U760*J748),IF(V760&gt;(SUM(S749:S760)),S760*J748,U760*J748)),2)))</f>
        <v>0</v>
      </c>
      <c r="K760" s="64">
        <f>IF(B760=0,0,IF(AND(H740="ja",((U760)&lt;R765)),ROUND(((R767*R764+((R765/(R765-R764))-(R764/(R765-R764))*R767)*((U760)-R764))*(K748*2))-(((R765/(R765-R764))*((U760)-R764))*K748),2),ROUND(IF(V759&lt;(SUM(R749:R759)),IF((V760)&gt;(SUM(R749:R760)),(((SUM(R749:R760))-(V760-C759))*K748)+((U760-C759)*K748),U760*K748),IF(V760&gt;(SUM(R749:R760)),R760*K748,U760*K748)),2)))</f>
        <v>0</v>
      </c>
      <c r="L760" s="64">
        <f>IF(B760=0,0,IF(AND(H740="ja",((U760-C760)&lt;R765)),ROUND(((R767*R764+((R765/(R765-R764))-(R764/(R765-R764))*R767)*((U760-C760)-R764))*(L748)),2),ROUND(IF(SUM(B749:F759)&lt;(SUM(S749:S759)),IF((SUM(B749:F760))&gt;(SUM(S749:S760)),(((SUM(S749:S760))-(SUM(B749:F760)-C760))*L748)+((SUM(B760:F760)-C760)*L748),(SUM(B760:F760)-C760)*L748),IF(SUM(B749:F760)&gt;(SUM(S749:S760)),S760*L748,SUM(B760:F760)*L748)),2)))</f>
        <v>0</v>
      </c>
      <c r="M760" s="64">
        <f>IF(B760=0,0,IF(AND(H740="ja",((U760-C760)&lt;R765)),ROUND(((R767*R764+((R765/(R765-R764))-(R764/(R765-R764))*R767)*((U760-C760)-R764))*(M748)),2),ROUND(IF(SUM(B749:F759)&lt;(SUM(S749:S759)),IF((SUM(B749:F760))&gt;(SUM(S749:S760)),(((SUM(S749:S760))-(SUM(B749:F760)-C760))*M748)+((SUM(B760:F760)-C760)*M748),(SUM(B760:F760)-C760)*M748),IF(SUM(B749:F760)&gt;(SUM(S749:S760)),S760*M748,SUM(B760:F760)*M748)),2)))</f>
        <v>0</v>
      </c>
      <c r="N760" s="64">
        <f>IF(B760=0,0,IF(AND(H740="ja",((U760)&lt;R765)),ROUND(((R767*R764+((R765/(R765-R764))-(R764/(R765-R764))*R767)*((U760)-R764))*(N748)),2),ROUND(IF(SUM(B749:F759)&lt;(SUM(S749:S759)),IF((SUM(B749:F760))&gt;(SUM(S749:S760)),(((SUM(S749:S760))-(SUM(B749:F760)-C759))*N748)+((SUM(B760:F760)-C759)*N748),SUM(B760:F760)*N748),IF(SUM(B749:F760)&gt;(SUM(S749:S760)),S760*N748,SUM(B760:F760)*N748)),2)))</f>
        <v>0</v>
      </c>
      <c r="O760" s="21">
        <f>ROUND(SUM(B760+C760+F760)*O748,2)</f>
        <v>0</v>
      </c>
      <c r="P760" s="25">
        <f t="shared" si="125"/>
        <v>0</v>
      </c>
      <c r="Q760" s="11"/>
      <c r="R760" s="140">
        <f>ROUND(IF(M727="",R743,R743/M727*P737),2)</f>
        <v>5175</v>
      </c>
      <c r="S760" s="140">
        <f>ROUND(IF(M727="",R744,R744/M727*P737),2)</f>
        <v>7450</v>
      </c>
      <c r="U760" s="950">
        <f t="shared" si="126"/>
        <v>0</v>
      </c>
      <c r="V760" s="950">
        <f>SUM(B749:F760)</f>
        <v>0</v>
      </c>
    </row>
    <row r="761" spans="1:24" s="1" customFormat="1" ht="15" customHeight="1" x14ac:dyDescent="0.2">
      <c r="A761" s="2" t="s">
        <v>1</v>
      </c>
      <c r="B761" s="25">
        <f t="shared" ref="B761:G761" si="127">SUM(B749:B760)</f>
        <v>0</v>
      </c>
      <c r="C761" s="25">
        <f t="shared" si="127"/>
        <v>0</v>
      </c>
      <c r="D761" s="25">
        <f t="shared" si="127"/>
        <v>0</v>
      </c>
      <c r="E761" s="25">
        <f t="shared" si="127"/>
        <v>0</v>
      </c>
      <c r="F761" s="25">
        <f t="shared" si="127"/>
        <v>0</v>
      </c>
      <c r="G761" s="25">
        <f t="shared" si="127"/>
        <v>0</v>
      </c>
      <c r="H761" s="1309">
        <f>SUM(H749:N760)</f>
        <v>0</v>
      </c>
      <c r="I761" s="1310"/>
      <c r="J761" s="1310"/>
      <c r="K761" s="1310"/>
      <c r="L761" s="1310"/>
      <c r="M761" s="1310"/>
      <c r="N761" s="1311"/>
      <c r="O761" s="25">
        <f>SUM(O749:O760)</f>
        <v>0</v>
      </c>
      <c r="P761" s="25">
        <f>SUM(P749:P760)</f>
        <v>0</v>
      </c>
    </row>
    <row r="762" spans="1:24" s="1" customFormat="1" ht="12" customHeight="1" x14ac:dyDescent="0.2"/>
    <row r="763" spans="1:24" s="1" customFormat="1" ht="14.25" customHeight="1" x14ac:dyDescent="0.2">
      <c r="B763" s="906"/>
      <c r="H763" s="905"/>
      <c r="I763" s="62"/>
      <c r="J763" s="914" t="s">
        <v>123</v>
      </c>
      <c r="L763" s="900" t="s">
        <v>124</v>
      </c>
      <c r="M763" s="974" t="str">
        <f>IF(IF(G761=0,"",'päd.Personal - Leitung'!$M$43)=0,"",IF(G761=0,"",'päd.Personal - Leitung'!$M$43))</f>
        <v/>
      </c>
      <c r="N763" s="902" t="s">
        <v>125</v>
      </c>
      <c r="O763" s="963" t="str">
        <f>IF(IF(G761=0,"",'päd.Personal - Leitung'!$O$43)=0,"",IF(G761=0,"",'päd.Personal - Leitung'!$O$43))</f>
        <v/>
      </c>
      <c r="P763" s="25">
        <f>ROUND(IF(M763="",0,G761*M763*O763/1000),2)</f>
        <v>0</v>
      </c>
      <c r="Q763" s="937"/>
      <c r="R763" s="938">
        <v>2025</v>
      </c>
      <c r="S763" s="939"/>
    </row>
    <row r="764" spans="1:24" s="1" customFormat="1" ht="14.25" customHeight="1" x14ac:dyDescent="0.2">
      <c r="H764" s="907"/>
      <c r="I764" s="42"/>
      <c r="M764" s="915" t="s">
        <v>129</v>
      </c>
      <c r="N764" s="80" t="s">
        <v>125</v>
      </c>
      <c r="O764" s="75" t="str">
        <f>IF(IF(G761=0,"",'päd.Personal - Leitung'!$O$44)=0,"",IF(G761=0,"",'päd.Personal - Leitung'!$O$44))</f>
        <v/>
      </c>
      <c r="P764" s="25">
        <f>ROUND(IF(O764="",0,G761*O764/1000),2)</f>
        <v>0</v>
      </c>
      <c r="Q764" s="942" t="s">
        <v>737</v>
      </c>
      <c r="R764" s="141">
        <f>'päd.Personal - Leitung'!$R$44</f>
        <v>556</v>
      </c>
      <c r="S764" s="955">
        <f>'päd.Personal - Leitung'!$S$44</f>
        <v>12.82</v>
      </c>
    </row>
    <row r="765" spans="1:24" s="1" customFormat="1" ht="14.25" customHeight="1" x14ac:dyDescent="0.2">
      <c r="H765" s="912" t="s">
        <v>126</v>
      </c>
      <c r="I765" s="1013" t="s">
        <v>127</v>
      </c>
      <c r="J765" s="975" t="str">
        <f>IF(IF(G761=0,"",'päd.Personal - Leitung'!$J$45)=0,"",IF(G761=0,"",'päd.Personal - Leitung'!$J$45))</f>
        <v/>
      </c>
      <c r="K765" s="902" t="s">
        <v>128</v>
      </c>
      <c r="L765" s="964" t="str">
        <f>IF(IF(G761=0,"",'päd.Personal - Leitung'!$L$45)=0,"",IF(G761=0,"",'päd.Personal - Leitung'!$L$45))</f>
        <v/>
      </c>
      <c r="M765" s="16"/>
      <c r="N765" s="900" t="s">
        <v>132</v>
      </c>
      <c r="O765" s="965" t="str">
        <f>IF(IF(G761=0,"",'päd.Personal - Leitung'!$O$45)=0,"",IF(G761=0,"",'päd.Personal - Leitung'!$O$45))</f>
        <v/>
      </c>
      <c r="P765" s="25">
        <f>ROUND(IF(J765="",0,(J765*L765/O765)/M729*M730),2)</f>
        <v>0</v>
      </c>
      <c r="Q765" s="942" t="s">
        <v>738</v>
      </c>
      <c r="R765" s="140">
        <f>'päd.Personal - Leitung'!$R$45</f>
        <v>2000</v>
      </c>
      <c r="S765" s="939"/>
    </row>
    <row r="766" spans="1:24" s="1" customFormat="1" ht="14.25" customHeight="1" x14ac:dyDescent="0.2">
      <c r="D766" s="16"/>
      <c r="I766" s="16"/>
      <c r="J766" s="16"/>
      <c r="K766" s="63"/>
      <c r="L766" s="67"/>
      <c r="M766" s="915" t="s">
        <v>130</v>
      </c>
      <c r="N766" s="80" t="s">
        <v>131</v>
      </c>
      <c r="O766" s="904">
        <f>IF(IF(G761="",0,'päd.Personal - Leitung'!$O$94)=0,0,IF(G761="",0,'päd.Personal - Leitung'!$O$94))</f>
        <v>0</v>
      </c>
      <c r="P766" s="21">
        <f>ROUND(IF(G761=0,0,O766/M727*M728),2)</f>
        <v>0</v>
      </c>
      <c r="Q766" s="942" t="s">
        <v>740</v>
      </c>
      <c r="R766" s="956">
        <f>'päd.Personal - Leitung'!$R$46</f>
        <v>0.40900000000000003</v>
      </c>
    </row>
    <row r="767" spans="1:24" s="1" customFormat="1" ht="14.25" customHeight="1" x14ac:dyDescent="0.2">
      <c r="A767" s="16"/>
      <c r="B767" s="16"/>
      <c r="I767" s="905"/>
      <c r="J767" s="961" t="s">
        <v>176</v>
      </c>
      <c r="K767" s="1312" t="str">
        <f>IF($K$47="","",$K$47)</f>
        <v/>
      </c>
      <c r="L767" s="1312"/>
      <c r="M767" s="1312"/>
      <c r="N767" s="80" t="s">
        <v>131</v>
      </c>
      <c r="O767" s="904">
        <f>IF(IF(G761="",0,'päd.Personal - Leitung'!$O$95)=0,0,IF(G761="",0,'päd.Personal - Leitung'!$O$95))</f>
        <v>0</v>
      </c>
      <c r="P767" s="21">
        <f>ROUND(IF(G761=0,0,O767/M727*M728),2)</f>
        <v>0</v>
      </c>
      <c r="Q767" s="942" t="s">
        <v>739</v>
      </c>
      <c r="R767" s="940">
        <f>'päd.Personal - Leitung'!$R$47</f>
        <v>0.68459999999999999</v>
      </c>
      <c r="S767" s="957">
        <f>'päd.Personal - Leitung'!$S$47</f>
        <v>0.28000000000000003</v>
      </c>
    </row>
    <row r="768" spans="1:24" s="1" customFormat="1" ht="14.25" customHeight="1" x14ac:dyDescent="0.2">
      <c r="A768" s="908"/>
      <c r="B768" s="908"/>
      <c r="C768" s="1013"/>
      <c r="D768" s="1013"/>
      <c r="I768" s="913"/>
      <c r="J768" s="913"/>
      <c r="K768" s="916"/>
      <c r="L768" s="27"/>
      <c r="M768" s="27"/>
      <c r="N768" s="27"/>
      <c r="O768" s="26" t="s">
        <v>0</v>
      </c>
      <c r="P768" s="25">
        <f>P761+SUM(P763:P767)</f>
        <v>0</v>
      </c>
    </row>
    <row r="769" spans="1:19" s="10" customFormat="1" ht="13.5" customHeight="1" x14ac:dyDescent="0.2">
      <c r="A769" s="1321" t="s">
        <v>17</v>
      </c>
      <c r="B769" s="1321"/>
      <c r="C769" s="1321"/>
      <c r="D769" s="1320" t="str">
        <f>IF('päd.Personal - Leitung'!$D$1="","",'päd.Personal - Leitung'!$D$1)</f>
        <v/>
      </c>
      <c r="E769" s="1320"/>
      <c r="F769" s="1320"/>
      <c r="G769" s="1320"/>
      <c r="H769" s="1320"/>
      <c r="I769" s="1320"/>
      <c r="J769" s="1320"/>
      <c r="K769" s="1320"/>
      <c r="L769" s="1320"/>
      <c r="M769" s="1320"/>
      <c r="N769" s="1320"/>
    </row>
    <row r="770" spans="1:19" s="10" customFormat="1" ht="15" customHeight="1" x14ac:dyDescent="0.2">
      <c r="A770" s="1321" t="s">
        <v>16</v>
      </c>
      <c r="B770" s="1321"/>
      <c r="C770" s="1321" t="s">
        <v>14</v>
      </c>
      <c r="D770" s="1320" t="str">
        <f>IF('päd.Personal - Leitung'!$D$2="","",'päd.Personal - Leitung'!$D$2)</f>
        <v/>
      </c>
      <c r="E770" s="1320"/>
      <c r="F770" s="1320"/>
      <c r="G770" s="1320"/>
      <c r="H770" s="1320"/>
      <c r="I770" s="1320"/>
      <c r="J770" s="1320"/>
      <c r="K770" s="1320"/>
      <c r="L770" s="1320"/>
      <c r="M770" s="1320"/>
      <c r="N770" s="1320"/>
    </row>
    <row r="771" spans="1:19" s="10" customFormat="1" ht="15" customHeight="1" x14ac:dyDescent="0.2">
      <c r="A771" s="1321" t="s">
        <v>15</v>
      </c>
      <c r="B771" s="1321"/>
      <c r="C771" s="1321" t="s">
        <v>14</v>
      </c>
      <c r="D771" s="1320" t="str">
        <f>IF('päd.Personal - Leitung'!$D$3="","",'päd.Personal - Leitung'!$D$3)</f>
        <v/>
      </c>
      <c r="E771" s="1320"/>
      <c r="F771" s="1320"/>
      <c r="G771" s="1320"/>
      <c r="H771" s="1320"/>
      <c r="I771" s="1320"/>
      <c r="J771" s="1320"/>
      <c r="K771" s="1321" t="s">
        <v>100</v>
      </c>
      <c r="L771" s="1321"/>
      <c r="M771" s="1321"/>
      <c r="N771" s="38" t="str">
        <f>IF('päd.Personal - Leitung'!$N$3="","",'päd.Personal - Leitung'!$N$3)</f>
        <v/>
      </c>
    </row>
    <row r="772" spans="1:19" s="923" customFormat="1" ht="7.5" customHeight="1" x14ac:dyDescent="0.15">
      <c r="A772" s="1353"/>
      <c r="B772" s="1353"/>
      <c r="C772" s="1353"/>
      <c r="D772" s="1354"/>
      <c r="E772" s="1354"/>
      <c r="F772" s="1354"/>
      <c r="G772" s="1354"/>
      <c r="H772" s="1354"/>
      <c r="I772" s="1354"/>
      <c r="J772" s="1354"/>
      <c r="K772" s="922"/>
      <c r="L772" s="922"/>
      <c r="M772" s="922"/>
      <c r="N772" s="922"/>
      <c r="O772" s="922"/>
      <c r="P772" s="922"/>
    </row>
    <row r="773" spans="1:19" s="13" customFormat="1" ht="13.5" customHeight="1" x14ac:dyDescent="0.2">
      <c r="A773" s="1355" t="s">
        <v>151</v>
      </c>
      <c r="B773" s="1355"/>
      <c r="C773" s="1355"/>
      <c r="D773" s="1355"/>
      <c r="E773" s="1355"/>
      <c r="F773" s="1355"/>
      <c r="G773" s="1355"/>
      <c r="H773" s="1355"/>
      <c r="I773" s="1355"/>
      <c r="J773" s="1355"/>
      <c r="K773" s="7"/>
      <c r="L773" s="7"/>
      <c r="M773" s="7"/>
      <c r="N773" s="52"/>
      <c r="O773" s="138">
        <f>'päd.Personal - Leitung'!$O$5</f>
        <v>2025</v>
      </c>
      <c r="P773" s="52" t="s">
        <v>140</v>
      </c>
    </row>
    <row r="774" spans="1:19" s="8" customFormat="1" ht="13.5" customHeight="1" x14ac:dyDescent="0.25">
      <c r="B774" s="29"/>
      <c r="C774" s="29"/>
      <c r="D774" s="3" t="s">
        <v>156</v>
      </c>
      <c r="E774" s="28"/>
      <c r="F774" s="28"/>
      <c r="G774" s="28"/>
      <c r="H774" s="28"/>
      <c r="I774" s="24"/>
      <c r="K774" s="1327" t="s">
        <v>13</v>
      </c>
      <c r="L774" s="1327"/>
      <c r="M774" s="131"/>
      <c r="O774" s="928" t="str">
        <f>A797</f>
        <v>Jan 2025</v>
      </c>
      <c r="P774" s="1402">
        <f>IF(M776="","",M776)</f>
        <v>0</v>
      </c>
    </row>
    <row r="775" spans="1:19" s="5" customFormat="1" ht="13.5" customHeight="1" x14ac:dyDescent="0.25">
      <c r="A775" s="1328" t="s">
        <v>754</v>
      </c>
      <c r="B775" s="1328"/>
      <c r="C775" s="1328"/>
      <c r="D775" s="1345"/>
      <c r="E775" s="1345"/>
      <c r="F775" s="1345"/>
      <c r="G775" s="1345"/>
      <c r="H775" s="1345"/>
      <c r="I775" s="1345"/>
      <c r="K775" s="1327" t="s">
        <v>101</v>
      </c>
      <c r="L775" s="1327"/>
      <c r="M775" s="101"/>
      <c r="O775" s="928" t="str">
        <f t="shared" ref="O775:O785" si="128">A798</f>
        <v>Feb 2025</v>
      </c>
      <c r="P775" s="1403">
        <f t="shared" ref="P775:P782" si="129">IF(P774="","",P774)</f>
        <v>0</v>
      </c>
    </row>
    <row r="776" spans="1:19" s="1" customFormat="1" ht="13.5" customHeight="1" x14ac:dyDescent="0.2">
      <c r="A776" s="1328" t="s">
        <v>12</v>
      </c>
      <c r="B776" s="1328"/>
      <c r="C776" s="1328"/>
      <c r="D776" s="1345"/>
      <c r="E776" s="1345"/>
      <c r="F776" s="1345"/>
      <c r="G776" s="1345"/>
      <c r="H776" s="1345"/>
      <c r="I776" s="1345"/>
      <c r="K776" s="1327" t="s">
        <v>149</v>
      </c>
      <c r="L776" s="1327"/>
      <c r="M776" s="101">
        <f>IF((M777+M778)&gt;M775,0,M775-M777-M778)</f>
        <v>0</v>
      </c>
      <c r="O776" s="928" t="str">
        <f t="shared" si="128"/>
        <v>Mrz 2025</v>
      </c>
      <c r="P776" s="1403">
        <f t="shared" si="129"/>
        <v>0</v>
      </c>
    </row>
    <row r="777" spans="1:19" s="1" customFormat="1" ht="13.5" customHeight="1" x14ac:dyDescent="0.2">
      <c r="A777" s="1328" t="s">
        <v>11</v>
      </c>
      <c r="B777" s="1328"/>
      <c r="C777" s="1328"/>
      <c r="D777" s="1345"/>
      <c r="E777" s="1345"/>
      <c r="F777" s="1345"/>
      <c r="G777" s="1345"/>
      <c r="H777" s="1345"/>
      <c r="I777" s="1345"/>
      <c r="K777" s="1327" t="s">
        <v>150</v>
      </c>
      <c r="L777" s="1327"/>
      <c r="M777" s="101"/>
      <c r="O777" s="928" t="str">
        <f t="shared" si="128"/>
        <v>Apr 2025</v>
      </c>
      <c r="P777" s="1403">
        <f t="shared" si="129"/>
        <v>0</v>
      </c>
    </row>
    <row r="778" spans="1:19" s="1" customFormat="1" ht="13.5" customHeight="1" x14ac:dyDescent="0.2">
      <c r="A778" s="1328" t="s">
        <v>18</v>
      </c>
      <c r="B778" s="1328"/>
      <c r="C778" s="1328"/>
      <c r="D778" s="1345"/>
      <c r="E778" s="1345"/>
      <c r="F778" s="1345"/>
      <c r="G778" s="1345"/>
      <c r="H778" s="1345"/>
      <c r="I778" s="1345"/>
      <c r="K778" s="1327" t="s">
        <v>222</v>
      </c>
      <c r="L778" s="1327"/>
      <c r="M778" s="101"/>
      <c r="O778" s="928" t="str">
        <f t="shared" si="128"/>
        <v>Mai 2025</v>
      </c>
      <c r="P778" s="1403">
        <f t="shared" si="129"/>
        <v>0</v>
      </c>
    </row>
    <row r="779" spans="1:19" s="1" customFormat="1" ht="13.5" customHeight="1" x14ac:dyDescent="0.2">
      <c r="B779" s="6"/>
      <c r="C779" s="1029" t="s">
        <v>147</v>
      </c>
      <c r="D779" s="1324"/>
      <c r="E779" s="1324"/>
      <c r="F779" s="1359" t="s">
        <v>103</v>
      </c>
      <c r="G779" s="1359"/>
      <c r="H779" s="1361"/>
      <c r="I779" s="1361"/>
      <c r="K779" s="1327" t="s">
        <v>94</v>
      </c>
      <c r="L779" s="1327"/>
      <c r="M779" s="15" t="str">
        <f>IF(IF((COUNTIF(B797:B808,"&gt;0"))=0,0,(COUNTIF(B797:B808,"&gt;0")))&gt;Grundlagen!$C$26,Grundlagen!$C$26,IF((COUNTIF(B797:B808,"&gt;0"))=0,"",(COUNTIF(B797:B808,"&gt;0"))))</f>
        <v/>
      </c>
      <c r="O779" s="928" t="str">
        <f t="shared" si="128"/>
        <v>Jun 2025</v>
      </c>
      <c r="P779" s="1403">
        <f t="shared" si="129"/>
        <v>0</v>
      </c>
    </row>
    <row r="780" spans="1:19" s="1" customFormat="1" ht="13.5" customHeight="1" x14ac:dyDescent="0.2">
      <c r="I780" s="4"/>
      <c r="M780" s="102" t="str">
        <f>IF((SUM(F782:F785))=0,"",IF(P786&gt;M776,M776,IF(M776="","",IF(M779="","",P786))))</f>
        <v/>
      </c>
      <c r="O780" s="928" t="str">
        <f t="shared" si="128"/>
        <v>Jul 2025</v>
      </c>
      <c r="P780" s="1403">
        <f t="shared" si="129"/>
        <v>0</v>
      </c>
    </row>
    <row r="781" spans="1:19" s="46" customFormat="1" ht="13.5" customHeight="1" x14ac:dyDescent="0.2">
      <c r="A781" s="54" t="s">
        <v>134</v>
      </c>
      <c r="B781" s="1356" t="s">
        <v>135</v>
      </c>
      <c r="C781" s="1356"/>
      <c r="D781" s="55" t="s">
        <v>136</v>
      </c>
      <c r="E781" s="56" t="s">
        <v>137</v>
      </c>
      <c r="F781" s="57" t="str">
        <f>CONCATENATE("Entg. ",N771," h/Wo")</f>
        <v>Entg.  h/Wo</v>
      </c>
      <c r="G781" s="58" t="s">
        <v>138</v>
      </c>
      <c r="I781" s="58" t="s">
        <v>139</v>
      </c>
      <c r="K781" s="970"/>
      <c r="L781" s="970"/>
      <c r="M781" s="59"/>
      <c r="N781" s="968"/>
      <c r="O781" s="928" t="str">
        <f t="shared" si="128"/>
        <v>Aug 2025</v>
      </c>
      <c r="P781" s="1403">
        <f t="shared" si="129"/>
        <v>0</v>
      </c>
      <c r="Q781" s="85"/>
      <c r="R781" s="85"/>
      <c r="S781" s="85"/>
    </row>
    <row r="782" spans="1:19" s="46" customFormat="1" ht="13.5" customHeight="1" x14ac:dyDescent="0.25">
      <c r="A782" s="48" t="str">
        <f>'päd.Personal - Leitung'!$A$14</f>
        <v>Jan 2025</v>
      </c>
      <c r="B782" s="1357" t="str">
        <f>IF($D$3="","",$D$3)</f>
        <v/>
      </c>
      <c r="C782" s="1358"/>
      <c r="D782" s="132"/>
      <c r="E782" s="132"/>
      <c r="F782" s="71"/>
      <c r="G782" s="50">
        <f>IF(N771="",0,F782/N771/4.348)</f>
        <v>0</v>
      </c>
      <c r="I782" s="125">
        <f>SUM(J782:M782)</f>
        <v>0</v>
      </c>
      <c r="J782" s="124"/>
      <c r="K782" s="124"/>
      <c r="L782" s="124"/>
      <c r="M782" s="124"/>
      <c r="N782" s="969"/>
      <c r="O782" s="928" t="str">
        <f t="shared" si="128"/>
        <v>Sep 2025</v>
      </c>
      <c r="P782" s="1403">
        <f t="shared" si="129"/>
        <v>0</v>
      </c>
      <c r="Q782" s="85"/>
      <c r="R782" s="85"/>
      <c r="S782" s="85"/>
    </row>
    <row r="783" spans="1:19" s="46" customFormat="1" ht="13.5" customHeight="1" x14ac:dyDescent="0.25">
      <c r="A783" s="49"/>
      <c r="B783" s="1322" t="str">
        <f>IF(A783="","",B782)</f>
        <v/>
      </c>
      <c r="C783" s="1323"/>
      <c r="D783" s="132"/>
      <c r="E783" s="132"/>
      <c r="F783" s="71"/>
      <c r="G783" s="50">
        <f>IF(N771="",0,F783/N771/4.348)</f>
        <v>0</v>
      </c>
      <c r="I783" s="125">
        <f t="shared" ref="I783:I785" si="130">SUM(J783:M783)</f>
        <v>0</v>
      </c>
      <c r="J783" s="124"/>
      <c r="K783" s="124"/>
      <c r="L783" s="124"/>
      <c r="M783" s="124"/>
      <c r="N783" s="969"/>
      <c r="O783" s="928" t="str">
        <f t="shared" si="128"/>
        <v>Okt 2025</v>
      </c>
      <c r="P783" s="1403">
        <f t="shared" ref="P783:P785" si="131">IF(P782="","",P782)</f>
        <v>0</v>
      </c>
      <c r="Q783" s="85"/>
      <c r="R783" s="85"/>
      <c r="S783" s="85"/>
    </row>
    <row r="784" spans="1:19" s="46" customFormat="1" ht="13.5" customHeight="1" x14ac:dyDescent="0.25">
      <c r="A784" s="49"/>
      <c r="B784" s="1322" t="str">
        <f>IF(A784="","",B783)</f>
        <v/>
      </c>
      <c r="C784" s="1323"/>
      <c r="D784" s="132"/>
      <c r="E784" s="132"/>
      <c r="F784" s="71"/>
      <c r="G784" s="50">
        <f>IF(N771="",0,F784/N771/4.348)</f>
        <v>0</v>
      </c>
      <c r="I784" s="125">
        <f t="shared" si="130"/>
        <v>0</v>
      </c>
      <c r="J784" s="124"/>
      <c r="K784" s="124"/>
      <c r="L784" s="124"/>
      <c r="M784" s="124"/>
      <c r="N784" s="969"/>
      <c r="O784" s="928" t="str">
        <f t="shared" si="128"/>
        <v>Nov 2025</v>
      </c>
      <c r="P784" s="1403">
        <f t="shared" si="131"/>
        <v>0</v>
      </c>
      <c r="Q784" s="85"/>
      <c r="R784" s="85"/>
      <c r="S784" s="85"/>
    </row>
    <row r="785" spans="1:22" s="46" customFormat="1" ht="13.5" customHeight="1" x14ac:dyDescent="0.25">
      <c r="A785" s="49"/>
      <c r="B785" s="1322" t="str">
        <f>IF(A785="","",B784)</f>
        <v/>
      </c>
      <c r="C785" s="1323"/>
      <c r="D785" s="132"/>
      <c r="E785" s="132"/>
      <c r="F785" s="71"/>
      <c r="G785" s="50">
        <f>IF(N771="",0,F785/N771/4.348)</f>
        <v>0</v>
      </c>
      <c r="I785" s="125">
        <f t="shared" si="130"/>
        <v>0</v>
      </c>
      <c r="J785" s="124"/>
      <c r="K785" s="124"/>
      <c r="L785" s="124"/>
      <c r="M785" s="124"/>
      <c r="N785" s="969"/>
      <c r="O785" s="928" t="str">
        <f t="shared" si="128"/>
        <v>Dez 2025</v>
      </c>
      <c r="P785" s="1403">
        <f t="shared" si="131"/>
        <v>0</v>
      </c>
      <c r="Q785" s="85"/>
      <c r="R785" s="85"/>
      <c r="S785" s="85"/>
    </row>
    <row r="786" spans="1:22" s="46" customFormat="1" ht="13.5" customHeight="1" x14ac:dyDescent="0.25">
      <c r="B786" s="972"/>
      <c r="C786" s="972"/>
      <c r="E786" s="972"/>
      <c r="F786" s="972"/>
      <c r="I786" s="930" t="s">
        <v>730</v>
      </c>
      <c r="J786" s="1060"/>
      <c r="K786" s="1060"/>
      <c r="L786" s="1060"/>
      <c r="M786" s="1060"/>
      <c r="N786" s="971"/>
      <c r="O786" s="126" t="s">
        <v>221</v>
      </c>
      <c r="P786" s="127">
        <f>IF(M779="",0,((IF(SUMIF(B797,"&gt;0"),P774,0))+(IF(SUMIF(B798,"&gt;0"),P775,0))+(IF(SUMIF(B799,"&gt;0"),P776,0))+(IF(SUMIF(B800,"&gt;0"),P777,0))+(IF(SUMIF(B801,"&gt;0"),P778,0))+(IF(SUMIF(B802,"&gt;0"),P779,0))+(IF(SUMIF(B803,"&gt;0"),P780,0))+(IF(SUMIF(B804,"&gt;0"),P781,0))+(IF(SUMIF(B805,"&gt;0"),P782,0))+(IF(SUMIF(B806,"&gt;0"),P783,0))+(IF(SUMIF(B807,"&gt;0"),P784,0))+(IF(SUMIF(B808,"&gt;0"),P785,0)))/Grundlagen!$C$26)</f>
        <v>0</v>
      </c>
      <c r="Q786" s="944" t="str">
        <f>CONCATENATE("BBG"," anteilig ",O788)</f>
        <v>BBG anteilig 2025</v>
      </c>
      <c r="R786" s="931" t="s">
        <v>659</v>
      </c>
      <c r="S786" s="931" t="s">
        <v>398</v>
      </c>
      <c r="T786" s="107"/>
    </row>
    <row r="787" spans="1:22" s="46" customFormat="1" ht="13.5" customHeight="1" x14ac:dyDescent="0.2">
      <c r="A787" s="924" t="s">
        <v>732</v>
      </c>
      <c r="D787" s="55" t="s">
        <v>369</v>
      </c>
      <c r="E787" s="56" t="s">
        <v>368</v>
      </c>
      <c r="F787" s="58"/>
      <c r="J787" s="61"/>
      <c r="Q787" s="932" t="s">
        <v>144</v>
      </c>
      <c r="R787" s="140">
        <f>IF(M776=0,R791,IF(M775="",R791,(SUM(R797:R808)/M779)))</f>
        <v>5175</v>
      </c>
      <c r="S787" s="933">
        <f>IF(M776=0,S791,IF(M775="",S791,SUM(R797:R808)))</f>
        <v>0</v>
      </c>
      <c r="T787" s="107"/>
    </row>
    <row r="788" spans="1:22" s="46" customFormat="1" ht="13.5" customHeight="1" x14ac:dyDescent="0.25">
      <c r="A788" s="60"/>
      <c r="B788" s="1314" t="str">
        <f>IF($B$20="","",$B$20)</f>
        <v>Jahressonderzahlung (JSZ)</v>
      </c>
      <c r="C788" s="1315"/>
      <c r="D788" s="926"/>
      <c r="E788" s="929" t="str">
        <f>IF(A788="","",ROUND((((SUM(B803:B805)+SUM(F803:F805))/3)*D788)/Grundlagen!$C$26*M779,2))</f>
        <v/>
      </c>
      <c r="G788" s="941" t="s">
        <v>733</v>
      </c>
      <c r="H788" s="943"/>
      <c r="I788" s="1316" t="str">
        <f>CONCATENATE(R811,":"," Übergangsbereich von ",R812+0.01," €"," bis ",R813," €")</f>
        <v>2025: Übergangsbereich von 556,01 € bis 2000 €</v>
      </c>
      <c r="J788" s="1317"/>
      <c r="K788" s="1317"/>
      <c r="L788" s="1067"/>
      <c r="M788" s="1067"/>
      <c r="N788" s="1068" t="s">
        <v>736</v>
      </c>
      <c r="O788" s="1069">
        <f>P788+1</f>
        <v>2025</v>
      </c>
      <c r="P788" s="1069" t="s">
        <v>721</v>
      </c>
      <c r="Q788" s="932" t="s">
        <v>145</v>
      </c>
      <c r="R788" s="140">
        <f>IF(M776=0,R792,IF(M775="",R792,(SUM(S797:S808)/M779)))</f>
        <v>7450</v>
      </c>
      <c r="S788" s="933">
        <f>IF(M776=0,S792,IF(M775="",S792,SUM(S797:S808)))</f>
        <v>0</v>
      </c>
      <c r="T788" s="109"/>
    </row>
    <row r="789" spans="1:22" s="1" customFormat="1" ht="14.25" customHeight="1" x14ac:dyDescent="0.2">
      <c r="A789" s="60"/>
      <c r="B789" s="1314" t="str">
        <f>IF($B$21="","",$B$21)</f>
        <v>Leistungsentgelt (LOB)</v>
      </c>
      <c r="C789" s="1315"/>
      <c r="D789" s="926"/>
      <c r="E789" s="929" t="str">
        <f>IF(A789="","",ROUND(((B809+F809)*D789)/Grundlagen!$C$26*M779,2))</f>
        <v/>
      </c>
      <c r="G789" s="941" t="str">
        <f>IF(OR(H788="",H788="nein")=TRUE,"","Faktor (F):")</f>
        <v/>
      </c>
      <c r="H789" s="949" t="str">
        <f>IF(OR(H788="",H788="nein")=TRUE,"",IF(H788="","",R815))</f>
        <v/>
      </c>
      <c r="I789" s="1318" t="str">
        <f>IF(OR(H788="",H788="nein")=TRUE,"",IF(H789="","",CONCATENATE(S815*100,"%"," / ","(",R814*100,"%"," Gesamt-SV-Beitragssatz 2024)")))</f>
        <v/>
      </c>
      <c r="J789" s="1319"/>
      <c r="K789" s="1319"/>
      <c r="L789" s="1070"/>
      <c r="M789" s="1070"/>
      <c r="N789" s="1071" t="s">
        <v>144</v>
      </c>
      <c r="O789" s="1072">
        <f>'päd.Personal - Leitung'!$O$21</f>
        <v>5175</v>
      </c>
      <c r="P789" s="1072">
        <f>'päd.Personal - Leitung'!$P$21</f>
        <v>5175</v>
      </c>
      <c r="Q789" s="11"/>
      <c r="R789" s="11"/>
      <c r="S789" s="11"/>
      <c r="T789" s="109"/>
    </row>
    <row r="790" spans="1:22" s="1" customFormat="1" ht="14.25" customHeight="1" x14ac:dyDescent="0.2">
      <c r="C790" s="925" t="s">
        <v>731</v>
      </c>
      <c r="L790" s="1070"/>
      <c r="M790" s="1070"/>
      <c r="N790" s="1071" t="s">
        <v>145</v>
      </c>
      <c r="O790" s="1073">
        <f>'päd.Personal - Leitung'!$O$22</f>
        <v>7450</v>
      </c>
      <c r="P790" s="1073">
        <f>'päd.Personal - Leitung'!$P$22</f>
        <v>7450</v>
      </c>
      <c r="Q790" s="944" t="str">
        <f>CONCATENATE("BBG"," ",O788)</f>
        <v>BBG 2025</v>
      </c>
      <c r="R790" s="11"/>
      <c r="S790" s="11"/>
      <c r="T790" s="109"/>
    </row>
    <row r="791" spans="1:22" s="1" customFormat="1" ht="14.25" customHeight="1" x14ac:dyDescent="0.2">
      <c r="A791" s="53" t="s">
        <v>141</v>
      </c>
      <c r="B791" s="46"/>
      <c r="C791" s="46"/>
      <c r="D791" s="46"/>
      <c r="E791" s="46"/>
      <c r="F791" s="46"/>
      <c r="G791" s="46"/>
      <c r="H791" s="46"/>
      <c r="I791" s="46"/>
      <c r="J791" s="46"/>
      <c r="K791" s="46"/>
      <c r="L791" s="46"/>
      <c r="M791" s="46"/>
      <c r="N791" s="46"/>
      <c r="O791" s="46"/>
      <c r="P791" s="46"/>
      <c r="Q791" s="932" t="s">
        <v>144</v>
      </c>
      <c r="R791" s="141">
        <f>IF($O$21="",0,$O$21)</f>
        <v>5175</v>
      </c>
      <c r="S791" s="933">
        <f>R791*IF(M779="",0,M779)</f>
        <v>0</v>
      </c>
      <c r="T791" s="295"/>
    </row>
    <row r="792" spans="1:22" s="1" customFormat="1" ht="14.25" customHeight="1" x14ac:dyDescent="0.2">
      <c r="A792" s="1346"/>
      <c r="B792" s="1348" t="s">
        <v>8</v>
      </c>
      <c r="C792" s="1349"/>
      <c r="D792" s="1349"/>
      <c r="E792" s="1349"/>
      <c r="F792" s="1349"/>
      <c r="G792" s="1350"/>
      <c r="H792" s="1351" t="s">
        <v>113</v>
      </c>
      <c r="I792" s="1352"/>
      <c r="J792" s="1352"/>
      <c r="K792" s="1352"/>
      <c r="L792" s="1352"/>
      <c r="M792" s="1352"/>
      <c r="N792" s="1352"/>
      <c r="O792" s="30"/>
      <c r="P792" s="1330" t="s">
        <v>0</v>
      </c>
      <c r="Q792" s="932" t="s">
        <v>145</v>
      </c>
      <c r="R792" s="141">
        <f>IF($O$22="",0,$O$22)</f>
        <v>7450</v>
      </c>
      <c r="S792" s="933">
        <f>R792*IF(M779="",0,M779)</f>
        <v>0</v>
      </c>
      <c r="T792" s="830"/>
    </row>
    <row r="793" spans="1:22" s="1" customFormat="1" ht="14.25" customHeight="1" x14ac:dyDescent="0.2">
      <c r="A793" s="1347"/>
      <c r="B793" s="1333" t="s">
        <v>111</v>
      </c>
      <c r="C793" s="1335" t="s">
        <v>743</v>
      </c>
      <c r="D793" s="1337" t="s">
        <v>226</v>
      </c>
      <c r="E793" s="1339" t="s">
        <v>133</v>
      </c>
      <c r="F793" s="1030" t="s">
        <v>6</v>
      </c>
      <c r="G793" s="1340" t="s">
        <v>5</v>
      </c>
      <c r="H793" s="1339" t="s">
        <v>119</v>
      </c>
      <c r="I793" s="1339" t="s">
        <v>4</v>
      </c>
      <c r="J793" s="1339" t="s">
        <v>3</v>
      </c>
      <c r="K793" s="1339" t="s">
        <v>2</v>
      </c>
      <c r="L793" s="1339" t="s">
        <v>114</v>
      </c>
      <c r="M793" s="1339" t="s">
        <v>115</v>
      </c>
      <c r="N793" s="1339" t="s">
        <v>116</v>
      </c>
      <c r="O793" s="1338" t="s">
        <v>109</v>
      </c>
      <c r="P793" s="1331"/>
      <c r="Q793" s="456"/>
      <c r="R793" s="11"/>
      <c r="S793" s="11"/>
      <c r="T793" s="621"/>
    </row>
    <row r="794" spans="1:22" s="1" customFormat="1" ht="14.25" customHeight="1" x14ac:dyDescent="0.2">
      <c r="A794" s="1347"/>
      <c r="B794" s="1333"/>
      <c r="C794" s="1335"/>
      <c r="D794" s="1338"/>
      <c r="E794" s="1339"/>
      <c r="F794" s="1343" t="str">
        <f>I786</f>
        <v>Zuschläge / Zulagen / o.ä.:</v>
      </c>
      <c r="G794" s="1340"/>
      <c r="H794" s="1342" t="s">
        <v>117</v>
      </c>
      <c r="I794" s="1342"/>
      <c r="J794" s="1342"/>
      <c r="K794" s="1342"/>
      <c r="L794" s="1342"/>
      <c r="M794" s="1342"/>
      <c r="N794" s="1342"/>
      <c r="O794" s="1338"/>
      <c r="P794" s="1331"/>
      <c r="Q794" s="456"/>
      <c r="R794" s="1306" t="str">
        <f>Q786</f>
        <v>BBG anteilig 2025</v>
      </c>
      <c r="S794" s="1306"/>
      <c r="T794" s="829"/>
    </row>
    <row r="795" spans="1:22" s="1" customFormat="1" ht="14.25" customHeight="1" x14ac:dyDescent="0.2">
      <c r="A795" s="1347"/>
      <c r="B795" s="1333"/>
      <c r="C795" s="1335"/>
      <c r="D795" s="1338"/>
      <c r="E795" s="1339"/>
      <c r="F795" s="1343"/>
      <c r="G795" s="1340"/>
      <c r="H795" s="39" t="str">
        <f>'päd.Personal - Leitung'!$H$27</f>
        <v>(7,30% + Zusatz)</v>
      </c>
      <c r="I795" s="39" t="str">
        <f>'päd.Personal - Leitung'!$I$27</f>
        <v xml:space="preserve"> (2024: 9,30%)</v>
      </c>
      <c r="J795" s="39" t="str">
        <f>'päd.Personal - Leitung'!$J$27</f>
        <v>(2024: 1,30%)</v>
      </c>
      <c r="K795" s="39" t="str">
        <f>'päd.Personal - Leitung'!$K$27</f>
        <v>(2024: 1,700%)</v>
      </c>
      <c r="L795" s="39"/>
      <c r="M795" s="39"/>
      <c r="N795" s="39" t="str">
        <f>'päd.Personal - Leitung'!$N$27</f>
        <v>(2024: 0,06%)</v>
      </c>
      <c r="O795" s="1338"/>
      <c r="P795" s="1331"/>
      <c r="Q795" s="456"/>
      <c r="R795" s="1307" t="s">
        <v>659</v>
      </c>
      <c r="S795" s="1307"/>
      <c r="T795" s="829"/>
      <c r="U795" s="1308" t="s">
        <v>1</v>
      </c>
      <c r="V795" s="1308" t="s">
        <v>741</v>
      </c>
    </row>
    <row r="796" spans="1:22" s="1" customFormat="1" x14ac:dyDescent="0.2">
      <c r="A796" s="1347"/>
      <c r="B796" s="1334"/>
      <c r="C796" s="1336"/>
      <c r="D796" s="45"/>
      <c r="E796" s="45"/>
      <c r="F796" s="1344"/>
      <c r="G796" s="1341"/>
      <c r="H796" s="74"/>
      <c r="I796" s="99">
        <f>'päd.Personal - Leitung'!$I$28</f>
        <v>0</v>
      </c>
      <c r="J796" s="99">
        <f>'päd.Personal - Leitung'!$J$28</f>
        <v>0</v>
      </c>
      <c r="K796" s="40">
        <f>'päd.Personal - Leitung'!$K$28</f>
        <v>0</v>
      </c>
      <c r="L796" s="19"/>
      <c r="M796" s="19"/>
      <c r="N796" s="99">
        <f>'päd.Personal - Leitung'!$N$28</f>
        <v>0</v>
      </c>
      <c r="O796" s="23"/>
      <c r="P796" s="1332"/>
      <c r="Q796" s="456"/>
      <c r="R796" s="935" t="s">
        <v>144</v>
      </c>
      <c r="S796" s="935" t="s">
        <v>145</v>
      </c>
      <c r="T796" s="829"/>
      <c r="U796" s="1308"/>
      <c r="V796" s="1308"/>
    </row>
    <row r="797" spans="1:22" s="1" customFormat="1" x14ac:dyDescent="0.2">
      <c r="A797" s="76" t="str">
        <f>CONCATENATE("Jan ",O773)</f>
        <v>Jan 2025</v>
      </c>
      <c r="B797" s="22">
        <f>ROUND(IF(P774=0,0,(LOOKUP(2,1/(A782:A785=A797),G782:G785))*P774*4.348),2)</f>
        <v>0</v>
      </c>
      <c r="C797" s="21">
        <f>ROUND(IFERROR((LOOKUP(2,1/(A788=A797),E788)),0)+IFERROR((LOOKUP(2,1/(A789=A797),E789)),0),2)</f>
        <v>0</v>
      </c>
      <c r="D797" s="21">
        <f>ROUND(IF(B797=0,0,D796/M775*P774),2)</f>
        <v>0</v>
      </c>
      <c r="E797" s="21">
        <f>ROUND(IF(B797=0,0,E796/N771*P774),2)</f>
        <v>0</v>
      </c>
      <c r="F797" s="22">
        <f>ROUND(IF(P774=0,0,(LOOKUP(2,1/(A782:A785=A797),I782:I785))/N771*P774),2)</f>
        <v>0</v>
      </c>
      <c r="G797" s="25">
        <f t="shared" ref="G797:G808" si="132">SUM(B797+C797+E797+F797)</f>
        <v>0</v>
      </c>
      <c r="H797" s="64">
        <f>IF(B797=0,0,IF(AND(H788="ja",((U797)&lt;R813)),ROUND(((R815*R812+((R813/(R813-R812))-(R812/(R813-R812))*R815)*((U797)-R812))*(H796*2))-(((R813/(R813-R812))*((U797)-R812))*H796),2),ROUND(IF((U797)&gt;R797,R797*H796,U797*H796),2)))</f>
        <v>0</v>
      </c>
      <c r="I797" s="64">
        <f>IF(B797=0,0,IF(AND(H788="ja",((U797)&lt;R813)),ROUND(((R815*R812+((R813/(R813-R812))-(R812/(R813-R812))*R815)*((U797)-R812))*(I796*2))-(((R813/(R813-R812))*((U797)-R812))*I796),2),ROUND(IF((U797)&gt;S797,S797*I796,U797*I796),2)))</f>
        <v>0</v>
      </c>
      <c r="J797" s="64">
        <f>IF(B797=0,0,IF(AND(H788="ja",((U797)&lt;R813)),ROUND(((R815*R812+((R813/(R813-R812))-(R812/(R813-R812))*R815)*((U797)-R812))*(J796*2))-(((R813/(R813-R812))*((U797)-R812))*J796),2),ROUND(IF((U797)&gt;S797,S797*J796,U797*J796),2)))</f>
        <v>0</v>
      </c>
      <c r="K797" s="64">
        <f>IF(B797=0,0,IF(AND(H788="ja",((U797)&lt;R813)),ROUND(((R815*R812+((R813/(R813-R812))-(R812/(R813-R812))*R815)*((U797)-R812))*(K796*2))-(((R813/(R813-R812))*((U797)-R812))*K796),2),ROUND(IF((U797)&gt;R797,R797*K796,U797*K796),2)))</f>
        <v>0</v>
      </c>
      <c r="L797" s="64">
        <f>IF(B797=0,0,IF(AND(H788="ja",((U797-C797)&lt;R813)),ROUND(((R815*R812+((R813/(R813-R812))-(R812/(R813-R812))*R815)*((U797-C797)-R812))*(L796)),2),ROUND(IF((SUM(B797:F797))&gt;S797,S797*L796,(SUM(B797:F797)-C797)*L796),2)))</f>
        <v>0</v>
      </c>
      <c r="M797" s="64">
        <f>IF(B797=0,0,IF(AND(H788="ja",((U797-C797)&lt;R813)),ROUND(((R815*R812+((R813/(R813-R812))-(R812/(R813-R812))*R815)*((U797-C797)-R812))*(M796)),2),ROUND(IF((SUM(B797:F797))&gt;S797,S797*M796,(SUM(B797:F797)-C797)*M796),2)))</f>
        <v>0</v>
      </c>
      <c r="N797" s="64">
        <f>IF(B797=0,0,IF(AND(H788="ja",((U797)&lt;R813)),ROUND(((R815*R812+((R813/(R813-R812))-(R812/(R813-R812))*R815)*((U797)-R812))*(N796)),2),ROUND(IF((SUM(B797:F797))&gt;S797,S797*N796,SUM(B797:F797)*N796),2)))</f>
        <v>0</v>
      </c>
      <c r="O797" s="21">
        <f>ROUND(SUM(B797+C797+F797)*O796,2)</f>
        <v>0</v>
      </c>
      <c r="P797" s="25">
        <f>SUM(G797:O797)</f>
        <v>0</v>
      </c>
      <c r="Q797" s="456"/>
      <c r="R797" s="140">
        <f>ROUND(IF(M775="",R791,R791/M775*P774),2)</f>
        <v>5175</v>
      </c>
      <c r="S797" s="140">
        <f>ROUND(IF(M775="",R792,R792/M775*P774),2)</f>
        <v>7450</v>
      </c>
      <c r="U797" s="950">
        <f>SUM(B797:F797)</f>
        <v>0</v>
      </c>
      <c r="V797" s="950">
        <f>SUM(B797:F797)</f>
        <v>0</v>
      </c>
    </row>
    <row r="798" spans="1:22" s="1" customFormat="1" x14ac:dyDescent="0.2">
      <c r="A798" s="76" t="str">
        <f>CONCATENATE("Feb ",O773)</f>
        <v>Feb 2025</v>
      </c>
      <c r="B798" s="22">
        <f>ROUND(IF(P775=0,0,IFERROR(((LOOKUP(2,1/(A782:A785=A798),G782:G785))*P775*4.348),B797/P774*P775)),2)</f>
        <v>0</v>
      </c>
      <c r="C798" s="21">
        <f>ROUND(IFERROR((LOOKUP(2,1/(A788=A798),E788)),0)+IFERROR((LOOKUP(2,1/(A789=A798),E789)),0),2)</f>
        <v>0</v>
      </c>
      <c r="D798" s="21">
        <f>ROUND(IF(B798=0,0,D796/M775*P775),2)</f>
        <v>0</v>
      </c>
      <c r="E798" s="21">
        <f>ROUND(IF(B798=0,0,E796/N771*P775),2)</f>
        <v>0</v>
      </c>
      <c r="F798" s="22">
        <f>ROUND(IF(P775=0,0,IFERROR(((LOOKUP(2,1/(A782:A785=A798),I782:I785))/N771*P775),F797/P774*P775)),2)</f>
        <v>0</v>
      </c>
      <c r="G798" s="25">
        <f t="shared" si="132"/>
        <v>0</v>
      </c>
      <c r="H798" s="64">
        <f>IF(B798=0,0,IF(AND(H788="ja",((U798)&lt;R813)),ROUND(((R815*R812+((R813/(R813-R812))-(R812/(R813-R812))*R815)*((U798)-R812))*(H796*2))-(((R813/(R813-R812))*((U798)-R812))*H796),2),ROUND(IF(U797&lt;(R797),IF((V798)&gt;(SUM(R797:R798)),(((SUM(R797:R798))-(V798-C797))*H796)+((U798-C797)*H796),U798*H796),IF(V798&gt;(SUM(R797:R798)),R798*H796,U798*H796)),2)))</f>
        <v>0</v>
      </c>
      <c r="I798" s="64">
        <f>IF(B798=0,0,IF(AND(H788="ja",((U798)&lt;R813)),ROUND(((R815*R812+((R813/(R813-R812))-(R812/(R813-R812))*R815)*((U798)-R812))*(I796*2))-(((R813/(R813-R812))*((U798)-R812))*I796),2),ROUND(IF(U797&lt;(S797),IF((V798)&gt;(SUM(S797:S798)),(((SUM(S797:S798))-(V798-C797))*I796)+((U798-C797)*I796),U798*I796),IF(V798&gt;(SUM(S797:S798)),S798*I796,U798*I796)),2)))</f>
        <v>0</v>
      </c>
      <c r="J798" s="64">
        <f>IF(B798=0,0,IF(AND(H788="ja",((U798)&lt;R813)),ROUND(((R815*R812+((R813/(R813-R812))-(R812/(R813-R812))*R815)*((U798)-R812))*(J796*2))-(((R813/(R813-R812))*((U798)-R812))*J796),2),ROUND(IF(U797&lt;(S797),IF((V798)&gt;(SUM(S797:S798)),(((SUM(S797:S798))-(V798-C797))*J796)+((U798-C797)*J796),U798*J796),IF(V798&gt;(SUM(S797:S798)),S798*J796,U798*J796)),2)))</f>
        <v>0</v>
      </c>
      <c r="K798" s="64">
        <f>IF(B798=0,0,IF(AND(H788="ja",((U798)&lt;R813)),ROUND(((R815*R812+((R813/(R813-R812))-(R812/(R813-R812))*R815)*((U798)-R812))*(K796*2))-(((R813/(R813-R812))*((U798)-R812))*K796),2),ROUND(IF(U797&lt;(R797),IF((V798)&gt;(SUM(R797:R798)),(((SUM(R797:R798))-(V798-C797))*K796)+((U798-C797)*K796),U798*K796),IF(V798&gt;(SUM(R797:R798)),R798*K796,U798*K796)),2)))</f>
        <v>0</v>
      </c>
      <c r="L798" s="64">
        <f>IF(B798=0,0,IF(AND(H788="ja",((U798-C798)&lt;R813)),ROUND(((R815*R812+((R813/(R813-R812))-(R812/(R813-R812))*R815)*((U798-C798)-R812))*(L796)),2),ROUND(IF(SUM(B797:F797)&lt;(S797),IF((SUM(B797:F798))&gt;(SUM(S797:S798)),(((SUM(S797:S798))-(SUM(B797:F798)-C798))*L796)+((SUM(B798:F798)-C798)*L796),(SUM(B798:F798)-C798)*L796),IF(SUM(B797:F798)&gt;(SUM(S797:S798)),S798*L796,SUM(B798:F798)*L796)),2)))</f>
        <v>0</v>
      </c>
      <c r="M798" s="64">
        <f>IF(B798=0,0,IF(AND(H788="ja",((U798-C798)&lt;R813)),ROUND(((R815*R812+((R813/(R813-R812))-(R812/(R813-R812))*R815)*((U798-C798)-R812))*(M796)),2),ROUND(IF(SUM(B797:F797)&lt;(S797),IF((SUM(B797:F798))&gt;(SUM(S797:S798)),(((SUM(S797:S798))-(SUM(B797:F798)-C798))*M796)+((SUM(B798:F798)-C798)*M796),(SUM(B798:F798)-C798)*M796),IF(SUM(B797:F798)&gt;(SUM(S797:S798)),S798*M796,SUM(B798:F798)*M796)),2)))</f>
        <v>0</v>
      </c>
      <c r="N798" s="64">
        <f>IF(B798=0,0,IF(AND(H788="ja",((U798)&lt;R813)),ROUND(((R815*R812+((R813/(R813-R812))-(R812/(R813-R812))*R815)*((U798)-R812))*(N796)),2),ROUND(IF(SUM(B797:F797)&lt;(S797),IF((SUM(B797:F798))&gt;(SUM(S797:S798)),(((SUM(S797:S798))-(SUM(B797:F798)-C797))*N796)+((SUM(B798:F798)-C797)*N796),SUM(B798:F798)*N796),IF(SUM(B797:F798)&gt;(SUM(S797:S798)),S798*N796,SUM(B798:F798)*N796)),2)))</f>
        <v>0</v>
      </c>
      <c r="O798" s="21">
        <f>ROUND(SUM(B798+C798+F798)*O796,2)</f>
        <v>0</v>
      </c>
      <c r="P798" s="25">
        <f t="shared" ref="P798:P808" si="133">SUM(G798:O798)</f>
        <v>0</v>
      </c>
      <c r="Q798" s="456"/>
      <c r="R798" s="140">
        <f>ROUND(IF(M775="",R791,R791/M775*P775),2)</f>
        <v>5175</v>
      </c>
      <c r="S798" s="140">
        <f>ROUND(IF(M775="",R792,R792/M775*P775),2)</f>
        <v>7450</v>
      </c>
      <c r="U798" s="950">
        <f t="shared" ref="U798:U808" si="134">SUM(B798:F798)</f>
        <v>0</v>
      </c>
      <c r="V798" s="950">
        <f>SUM(B797:F798)</f>
        <v>0</v>
      </c>
    </row>
    <row r="799" spans="1:22" s="1" customFormat="1" x14ac:dyDescent="0.2">
      <c r="A799" s="76" t="str">
        <f>CONCATENATE("Mrz ",O773)</f>
        <v>Mrz 2025</v>
      </c>
      <c r="B799" s="22">
        <f>ROUND(IF(P776=0,0,IFERROR(((LOOKUP(2,1/(A782:A785=A799),G782:G785))*P776*4.348),B798/P775*P776)),2)</f>
        <v>0</v>
      </c>
      <c r="C799" s="21">
        <f>ROUND(IFERROR((LOOKUP(2,1/(A788=A799),E788)),0)+IFERROR((LOOKUP(2,1/(A789=A799),E789)),0),2)</f>
        <v>0</v>
      </c>
      <c r="D799" s="21">
        <f>ROUND(IF(B799=0,0,D796/M775*P776),2)</f>
        <v>0</v>
      </c>
      <c r="E799" s="21">
        <f>ROUND(IF(B799=0,0,E796/N771*P776),2)</f>
        <v>0</v>
      </c>
      <c r="F799" s="22">
        <f>ROUND(IF(P776=0,0,IFERROR(((LOOKUP(2,1/(A782:A785=A799),I782:I785))/N771*P776),F798/P775*P776)),2)</f>
        <v>0</v>
      </c>
      <c r="G799" s="25">
        <f t="shared" si="132"/>
        <v>0</v>
      </c>
      <c r="H799" s="64">
        <f>IF(B799=0,0,IF(AND(H788="ja",((U799)&lt;R813)),ROUND(((R815*R812+((R813/(R813-R812))-(R812/(R813-R812))*R815)*((U799)-R812))*(H796*2))-(((R813/(R813-R812))*((U799)-R812))*H796),2),ROUND(IF(V798&lt;(SUM(R797:R798)),IF((V799)&gt;(SUM(R797:R799)),(((SUM(R797:R799))-(V799-C798))*H796)+((U799-C798)*H796),U799*H796),IF(V799&gt;(SUM(R797:R799)),R799*H796,U799*H796)),2)))</f>
        <v>0</v>
      </c>
      <c r="I799" s="64">
        <f>IF(B799=0,0,IF(AND(H788="ja",((U799)&lt;R813)),ROUND(((R815*R812+((R813/(R813-R812))-(R812/(R813-R812))*R815)*((U799)-R812))*(I796*2))-(((R813/(R813-R812))*((U799)-R812))*I796),2),ROUND(IF(V798&lt;(SUM(S797:S798)),IF((V799)&gt;(SUM(S797:S799)),(((SUM(S797:S799))-(V799-C798))*I796)+((U799-C798)*I796),U799*I796),IF(V799&gt;(SUM(S797:S799)),S799*I796,U799*I796)),2)))</f>
        <v>0</v>
      </c>
      <c r="J799" s="64">
        <f>IF(B799=0,0,IF(AND(H788="ja",((U799)&lt;R813)),ROUND(((R815*R812+((R813/(R813-R812))-(R812/(R813-R812))*R815)*((U799)-R812))*(J796*2))-(((R813/(R813-R812))*((U799)-R812))*J796),2),ROUND(IF(V798&lt;(SUM(S797:S798)),IF((V799)&gt;(SUM(S797:S799)),(((SUM(S797:S799))-(V799-C798))*J796)+((U799-C798)*J796),U799*J796),IF(V799&gt;(SUM(S797:S799)),S799*J796,U799*J796)),2)))</f>
        <v>0</v>
      </c>
      <c r="K799" s="64">
        <f>IF(B799=0,0,IF(AND(H788="ja",((U799)&lt;R813)),ROUND(((R815*R812+((R813/(R813-R812))-(R812/(R813-R812))*R815)*((U799)-R812))*(K796*2))-(((R813/(R813-R812))*((U799)-R812))*K796),2),ROUND(IF(V798&lt;(SUM(R797:R798)),IF((V799)&gt;(SUM(R797:R799)),(((SUM(R797:R799))-(V799-C798))*K796)+((U799-C798)*K796),U799*K796),IF(V799&gt;(SUM(R797:R799)),R799*K796,U799*K796)),2)))</f>
        <v>0</v>
      </c>
      <c r="L799" s="64">
        <f>IF(B799=0,0,IF(AND(H788="ja",((U799-C799)&lt;R813)),ROUND(((R815*R812+((R813/(R813-R812))-(R812/(R813-R812))*R815)*((U799-C799)-R812))*(L796)),2),ROUND(IF(SUM(B797:F798)&lt;(SUM(S797:S798)),IF((SUM(B797:F799))&gt;(SUM(S797:S799)),(((SUM(S797:S799))-(SUM(B797:F799)-C799))*L796)+((SUM(B799:F799)-C799)*L796),(SUM(B799:F799)-C799)*L796),IF(SUM(B797:F799)&gt;(SUM(S797:S799)),S799*L796,SUM(B799:F799)*L796)),2)))</f>
        <v>0</v>
      </c>
      <c r="M799" s="64">
        <f>IF(B799=0,0,IF(AND(H788="ja",((U799-C799)&lt;R813)),ROUND(((R815*R812+((R813/(R813-R812))-(R812/(R813-R812))*R815)*((U799-C799)-R812))*(M796)),2),ROUND(IF(SUM(B797:F798)&lt;(SUM(S797:S798)),IF((SUM(B797:F799))&gt;(SUM(S797:S799)),(((SUM(S797:S799))-(SUM(B797:F799)-C799))*M796)+((SUM(B799:F799)-C799)*M796),(SUM(B799:F799)-C799)*M796),IF(SUM(B797:F799)&gt;(SUM(S797:S799)),S799*M796,SUM(B799:F799)*M796)),2)))</f>
        <v>0</v>
      </c>
      <c r="N799" s="64">
        <f>IF(B799=0,0,IF(AND(H788="ja",((U799)&lt;R813)),ROUND(((R815*R812+((R813/(R813-R812))-(R812/(R813-R812))*R815)*((U799)-R812))*(N796)),2),ROUND(IF(SUM(B797:F798)&lt;(SUM(S797:S798)),IF((SUM(B797:F799))&gt;(SUM(S797:S799)),(((SUM(S797:S799))-(SUM(B797:F799)-C798))*N796)+((SUM(B799:F799)-C798)*N796),SUM(B799:F799)*N796),IF(SUM(B797:F799)&gt;(SUM(S797:S799)),S799*N796,SUM(B799:F799)*N796)),2)))</f>
        <v>0</v>
      </c>
      <c r="O799" s="21">
        <f>ROUND(SUM(B799+C799+F799)*O796,2)</f>
        <v>0</v>
      </c>
      <c r="P799" s="25">
        <f t="shared" si="133"/>
        <v>0</v>
      </c>
      <c r="Q799" s="456"/>
      <c r="R799" s="140">
        <f>ROUND(IF(M775="",R791,R791/M775*P776),2)</f>
        <v>5175</v>
      </c>
      <c r="S799" s="140">
        <f>ROUND(IF(M775="",R792,R792/M775*P776),2)</f>
        <v>7450</v>
      </c>
      <c r="U799" s="950">
        <f t="shared" si="134"/>
        <v>0</v>
      </c>
      <c r="V799" s="950">
        <f>SUM(B797:F799)</f>
        <v>0</v>
      </c>
    </row>
    <row r="800" spans="1:22" s="1" customFormat="1" x14ac:dyDescent="0.2">
      <c r="A800" s="76" t="str">
        <f>CONCATENATE("Apr ",O773)</f>
        <v>Apr 2025</v>
      </c>
      <c r="B800" s="22">
        <f>ROUND(IF(P777=0,0,IFERROR(((LOOKUP(2,1/(A782:A785=A800),G782:G785))*P777*4.348),B799/P776*P777)),2)</f>
        <v>0</v>
      </c>
      <c r="C800" s="21">
        <f>ROUND(IFERROR((LOOKUP(2,1/(A788=A800),E788)),0)+IFERROR((LOOKUP(2,1/(A789=A800),E789)),0),2)</f>
        <v>0</v>
      </c>
      <c r="D800" s="21">
        <f>ROUND(IF(B800=0,0,D796/M775*P777),2)</f>
        <v>0</v>
      </c>
      <c r="E800" s="21">
        <f>ROUND(IF(B800=0,0,E796/N771*P777),2)</f>
        <v>0</v>
      </c>
      <c r="F800" s="22">
        <f>ROUND(IF(P777=0,0,IFERROR(((LOOKUP(2,1/(A782:A785=A800),I782:I785))/N771*P777),F799/P776*P777)),2)</f>
        <v>0</v>
      </c>
      <c r="G800" s="25">
        <f t="shared" si="132"/>
        <v>0</v>
      </c>
      <c r="H800" s="64">
        <f>IF(B800=0,0,IF(AND(H788="ja",((U800)&lt;R813)),ROUND(((R815*R812+((R813/(R813-R812))-(R812/(R813-R812))*R815)*((U800)-R812))*(H796*2))-(((R813/(R813-R812))*((U800)-R812))*H796),2),ROUND(IF(V799&lt;(SUM(R797:R799)),IF((V800)&gt;(SUM(R797:R800)),(((SUM(R797:R800))-(V800-C799))*H796)+((U800-C799)*H796),U800*H796),IF(V800&gt;(SUM(R797:R800)),R800*H796,U800*H796)),2)))</f>
        <v>0</v>
      </c>
      <c r="I800" s="64">
        <f>IF(B800=0,0,IF(AND(H788="ja",((U800)&lt;R813)),ROUND(((R815*R812+((R813/(R813-R812))-(R812/(R813-R812))*R815)*((U800)-R812))*(I796*2))-(((R813/(R813-R812))*((U800)-R812))*I796),2),ROUND(IF(V799&lt;(SUM(S797:S799)),IF((V800)&gt;(SUM(S797:S800)),(((SUM(S797:S800))-(V800-C799))*I796)+((U800-C799)*I796),U800*I796),IF(V800&gt;(SUM(S797:S800)),S800*I796,U800*I796)),2)))</f>
        <v>0</v>
      </c>
      <c r="J800" s="64">
        <f>IF(B800=0,0,IF(AND(H788="ja",((U800)&lt;R813)),ROUND(((R815*R812+((R813/(R813-R812))-(R812/(R813-R812))*R815)*((U800)-R812))*(J796*2))-(((R813/(R813-R812))*((U800)-R812))*J796),2),ROUND(IF(U799&lt;(SUM(S797:S799)),IF((V800)&gt;(SUM(S797:S800)),(((SUM(S797:S800))-(V800-C799))*J796)+((U800-C799)*J796),U800*J796),IF(V800&gt;(SUM(S797:S800)),S800*J796,U800*J796)),2)))</f>
        <v>0</v>
      </c>
      <c r="K800" s="64">
        <f>IF(B800=0,0,IF(AND(H788="ja",((U800)&lt;R813)),ROUND(((R815*R812+((R813/(R813-R812))-(R812/(R813-R812))*R815)*((U800)-R812))*(K796*2))-(((R813/(R813-R812))*((U800)-R812))*K796),2),ROUND(IF(V799&lt;(SUM(R797:R799)),IF((V800)&gt;(SUM(R797:R800)),(((SUM(R797:R800))-(V800-C799))*K796)+((U800-C799)*K796),U800*K796),IF(V800&gt;(SUM(R797:R800)),R800*K796,U800*K796)),2)))</f>
        <v>0</v>
      </c>
      <c r="L800" s="64">
        <f>IF(B800=0,0,IF(AND(H788="ja",((U800-C800)&lt;R813)),ROUND(((R815*R812+((R813/(R813-R812))-(R812/(R813-R812))*R815)*((U800-C800)-R812))*(L796)),2),ROUND(IF(SUM(B797:F799)&lt;(SUM(S797:S799)),IF((SUM(B797:F800))&gt;(SUM(S797:S800)),(((SUM(S797:S800))-(SUM(B797:F800)-C800))*L796)+((SUM(B800:F800)-C800)*L796),(SUM(B800:F800)-C800)*L796),IF(SUM(B797:F800)&gt;(SUM(S797:S800)),S800*L796,SUM(B800:F800)*L796)),2)))</f>
        <v>0</v>
      </c>
      <c r="M800" s="64">
        <f>IF(B800=0,0,IF(AND(H788="ja",((U800-C800)&lt;R813)),ROUND(((R815*R812+((R813/(R813-R812))-(R812/(R813-R812))*R815)*((U800-C800)-R812))*(M796)),2),ROUND(IF(SUM(B797:F799)&lt;(SUM(S797:S799)),IF((SUM(B797:F800))&gt;(SUM(S797:S800)),(((SUM(S797:S800))-(SUM(B797:F800)-C800))*M796)+((SUM(B800:F800)-C800)*M796),(SUM(B800:F800)-C800)*M796),IF(SUM(B797:F800)&gt;(SUM(S797:S800)),S800*M796,SUM(B800:F800)*M796)),2)))</f>
        <v>0</v>
      </c>
      <c r="N800" s="64">
        <f>IF(B800=0,0,IF(AND(H788="ja",((U800)&lt;R813)),ROUND(((R815*R812+((R813/(R813-R812))-(R812/(R813-R812))*R815)*((U800)-R812))*(N796)),2),ROUND(IF(SUM(B797:F799)&lt;(SUM(S797:S799)),IF((SUM(B797:F800))&gt;(SUM(S797:S800)),(((SUM(S797:S800))-(SUM(B797:F800)-C799))*N796)+((SUM(B800:F800)-C799)*N796),SUM(B800:F800)*N796),IF(SUM(B797:F800)&gt;(SUM(S797:S800)),S800*N796,SUM(B800:F800)*N796)),2)))</f>
        <v>0</v>
      </c>
      <c r="O800" s="21">
        <f>ROUND(SUM(B800+C800+F800)*O796,2)</f>
        <v>0</v>
      </c>
      <c r="P800" s="25">
        <f t="shared" si="133"/>
        <v>0</v>
      </c>
      <c r="Q800" s="456"/>
      <c r="R800" s="140">
        <f>ROUND(IF(M775="",R791,R791/M775*P777),2)</f>
        <v>5175</v>
      </c>
      <c r="S800" s="140">
        <f>ROUND(IF(M775="",R792,R792/M775*P777),2)</f>
        <v>7450</v>
      </c>
      <c r="U800" s="950">
        <f t="shared" si="134"/>
        <v>0</v>
      </c>
      <c r="V800" s="950">
        <f>SUM(B797:F800)</f>
        <v>0</v>
      </c>
    </row>
    <row r="801" spans="1:24" s="1" customFormat="1" x14ac:dyDescent="0.2">
      <c r="A801" s="76" t="str">
        <f>CONCATENATE("Mai ",O773)</f>
        <v>Mai 2025</v>
      </c>
      <c r="B801" s="22">
        <f>ROUND(IF(P778=0,0,IFERROR(((LOOKUP(2,1/(A782:A785=A801),G782:G785))*P778*4.348),B800/P777*P778)),2)</f>
        <v>0</v>
      </c>
      <c r="C801" s="21">
        <f>ROUND(IFERROR((LOOKUP(2,1/(A788=A801),E788)),0)+IFERROR((LOOKUP(2,1/(A789=A801),E789)),0),2)</f>
        <v>0</v>
      </c>
      <c r="D801" s="21">
        <f>ROUND(IF(B801=0,0,D796/M775*P778),2)</f>
        <v>0</v>
      </c>
      <c r="E801" s="21">
        <f>ROUND(IF(B801=0,0,E796/N771*P778),2)</f>
        <v>0</v>
      </c>
      <c r="F801" s="22">
        <f>ROUND(IF(P778=0,0,IFERROR(((LOOKUP(2,1/(A782:A785=A801),I782:I785))/N771*P778),F800/P777*P778)),2)</f>
        <v>0</v>
      </c>
      <c r="G801" s="25">
        <f t="shared" si="132"/>
        <v>0</v>
      </c>
      <c r="H801" s="64">
        <f>IF(B801=0,0,IF(AND(H788="ja",((U801)&lt;R813)),ROUND(((R815*R812+((R813/(R813-R812))-(R812/(R813-R812))*R815)*((U801)-R812))*(H796*2))-(((R813/(R813-R812))*((U801)-R812))*H796),2),ROUND(IF(V800&lt;(SUM(R797:R800)),IF((V801)&gt;(SUM(R797:R801)),(((SUM(R797:R801))-(V801-C800))*H796)+((U801-C800)*H796),U801*H796),IF(V801&gt;(SUM(R797:R801)),R801*H796,U801*H796)),2)))</f>
        <v>0</v>
      </c>
      <c r="I801" s="64">
        <f>IF(B801=0,0,IF(AND(H788="ja",((U801)&lt;R813)),ROUND(((R815*R812+((R813/(R813-R812))-(R812/(R813-R812))*R815)*((U801)-R812))*(I796*2))-(((R813/(R813-R812))*((U801)-R812))*I796),2),ROUND(IF(V800&lt;(SUM(S797:S800)),IF((V801)&gt;(SUM(S797:S801)),(((SUM(S797:S801))-(V801-C800))*I796)+((U801-C800)*I796),U801*I796),IF(V801&gt;(SUM(S797:S801)),S801*I796,U801*I796)),2)))</f>
        <v>0</v>
      </c>
      <c r="J801" s="64">
        <f>IF(B801=0,0,IF(AND(H788="ja",((U801)&lt;R813)),ROUND(((R815*R812+((R813/(R813-R812))-(R812/(R813-R812))*R815)*((U801)-R812))*(J796*2))-(((R813/(R813-R812))*((U801)-R812))*J796),2),ROUND(IF(V800&lt;(SUM(S797:S800)),IF((V801)&gt;(SUM(S797:S801)),(((SUM(S797:S801))-(V801-C800))*J796)+((U801-C800)*J796),U801*J796),IF(V801&gt;(SUM(S797:S801)),S801*J796,U801*J796)),2)))</f>
        <v>0</v>
      </c>
      <c r="K801" s="64">
        <f>IF(B801=0,0,IF(AND(H788="ja",((U801)&lt;R813)),ROUND(((R815*R812+((R813/(R813-R812))-(R812/(R813-R812))*R815)*((U801)-R812))*(K796*2))-(((R813/(R813-R812))*((U801)-R812))*K796),2),ROUND(IF(V800&lt;(SUM(R797:R800)),IF((V801)&gt;(SUM(R797:R801)),(((SUM(R797:R801))-(V801-C800))*K796)+((U801-C800)*K796),U801*K796),IF(V801&gt;(SUM(R797:R801)),R801*K796,U801*K796)),2)))</f>
        <v>0</v>
      </c>
      <c r="L801" s="64">
        <f>IF(B801=0,0,IF(AND(H788="ja",((U801-C801)&lt;R813)),ROUND(((R815*R812+((R813/(R813-R812))-(R812/(R813-R812))*R815)*((U801-C801)-R812))*(L796)),2),ROUND(IF(SUM(B797:F800)&lt;(SUM(S797:S800)),IF((SUM(B797:F801))&gt;(SUM(S797:S801)),(((SUM(S797:S801))-(SUM(B797:F801)-C801))*L796)+((SUM(B801:F801)-C801)*L796),(SUM(B801:F801)-C801)*L796),IF(SUM(B797:F801)&gt;(SUM(S797:S801)),S801*L796,SUM(B801:F801)*L796)),2)))</f>
        <v>0</v>
      </c>
      <c r="M801" s="64">
        <f>IF(B801=0,0,IF(AND(H788="ja",((U801-C801)&lt;R813)),ROUND(((R815*R812+((R813/(R813-R812))-(R812/(R813-R812))*R815)*((U801-C801)-R812))*(M796)),2),ROUND(IF(SUM(B797:F800)&lt;(SUM(S797:S800)),IF((SUM(B797:F801))&gt;(SUM(S797:S801)),(((SUM(S797:S801))-(SUM(B797:F801)-C801))*M796)+((SUM(B801:F801)-C801)*M796),(SUM(B801:F801)-C801)*M796),IF(SUM(B797:F801)&gt;(SUM(S797:S801)),S801*M796,SUM(B801:F801)*M796)),2)))</f>
        <v>0</v>
      </c>
      <c r="N801" s="64">
        <f>IF(B801=0,0,IF(AND(H788="ja",((U801)&lt;R813)),ROUND(((R815*R812+((R813/(R813-R812))-(R812/(R813-R812))*R815)*((U801)-R812))*(N796)),2),ROUND(IF(SUM(B797:F800)&lt;(SUM(S797:S800)),IF((SUM(B797:F801))&gt;(SUM(S797:S801)),(((SUM(S797:S801))-(SUM(B797:F801)-C800))*N796)+((SUM(B801:F801)-C800)*N796),SUM(B801:F801)*N796),IF(SUM(B797:F801)&gt;(SUM(S797:S801)),S801*N796,SUM(B801:F801)*N796)),2)))</f>
        <v>0</v>
      </c>
      <c r="O801" s="21">
        <f>ROUND(SUM(B801+C801+F801)*O796,2)</f>
        <v>0</v>
      </c>
      <c r="P801" s="25">
        <f t="shared" si="133"/>
        <v>0</v>
      </c>
      <c r="Q801" s="456"/>
      <c r="R801" s="140">
        <f>ROUND(IF(M775="",R791,R791/M775*P778),2)</f>
        <v>5175</v>
      </c>
      <c r="S801" s="140">
        <f>ROUND(IF(M775="",R792,R792/M775*P778),2)</f>
        <v>7450</v>
      </c>
      <c r="U801" s="950">
        <f t="shared" si="134"/>
        <v>0</v>
      </c>
      <c r="V801" s="950">
        <f>SUM(B797:F801)</f>
        <v>0</v>
      </c>
    </row>
    <row r="802" spans="1:24" s="1" customFormat="1" x14ac:dyDescent="0.2">
      <c r="A802" s="76" t="str">
        <f>CONCATENATE("Jun ",O773)</f>
        <v>Jun 2025</v>
      </c>
      <c r="B802" s="22">
        <f>ROUND(IF(P779=0,0,IFERROR(((LOOKUP(2,1/(A782:A785=A802),G782:G785))*P779*4.348),B801/P778*P779)),2)</f>
        <v>0</v>
      </c>
      <c r="C802" s="21">
        <f>ROUND(IFERROR((LOOKUP(2,1/(A788=A802),E788)),0)+IFERROR((LOOKUP(2,1/(A789=A802),E789)),0),2)</f>
        <v>0</v>
      </c>
      <c r="D802" s="21">
        <f>ROUND(IF(B802=0,0,D796/M775*P779),2)</f>
        <v>0</v>
      </c>
      <c r="E802" s="21">
        <f>ROUND(IF(B802=0,0,E796/N771*P779),2)</f>
        <v>0</v>
      </c>
      <c r="F802" s="22">
        <f>ROUND(IF(P779=0,0,IFERROR(((LOOKUP(2,1/(A782:A785=A802),I782:I785))/N771*P779),F801/P778*P779)),2)</f>
        <v>0</v>
      </c>
      <c r="G802" s="25">
        <f t="shared" si="132"/>
        <v>0</v>
      </c>
      <c r="H802" s="64">
        <f>IF(B802=0,0,IF(AND(H788="ja",((U802)&lt;R813)),ROUND(((R815*R812+((R813/(R813-R812))-(R812/(R813-R812))*R815)*((U802)-R812))*(H796*2))-(((R813/(R813-R812))*((U802)-R812))*H796),2),ROUND(IF(V801&lt;(SUM(R797:R801)),IF((V802)&gt;(SUM(R797:R802)),(((SUM(R797:R802))-(V802-C801))*H796)+((U802-C801)*H796),U802*H796),IF(V802&gt;(SUM(R797:R802)),R802*H796,U802*H796)),2)))</f>
        <v>0</v>
      </c>
      <c r="I802" s="64">
        <f>IF(B802=0,0,IF(AND(H788="ja",((U802)&lt;R813)),ROUND(((R815*R812+((R813/(R813-R812))-(R812/(R813-R812))*R815)*((U802)-R812))*(I796*2))-(((R813/(R813-R812))*((U802)-R812))*I796),2),ROUND(IF(V801&lt;(SUM(S797:S801)),IF((V802)&gt;(SUM(S797:S802)),(((SUM(S797:S802))-(V802-C801))*I796)+((U802-C801)*I796),U802*I796),IF(V802&gt;(SUM(S797:S802)),S802*I796,U802*I796)),2)))</f>
        <v>0</v>
      </c>
      <c r="J802" s="64">
        <f>IF(B802=0,0,IF(AND(H788="ja",((U802)&lt;R813)),ROUND(((R815*R812+((R813/(R813-R812))-(R812/(R813-R812))*R815)*((U802)-R812))*(J796*2))-(((R813/(R813-R812))*((U802)-R812))*J796),2),ROUND(IF(V801&lt;(SUM(S797:S801)),IF((V802)&gt;(SUM(S797:S802)),(((SUM(S797:S802))-(V802-C801))*J796)+((U802-C801)*J796),U802*J796),IF(V802&gt;(SUM(S797:S802)),S802*J796,U802*J796)),2)))</f>
        <v>0</v>
      </c>
      <c r="K802" s="64">
        <f>IF(B802=0,0,IF(AND(H788="ja",((U802)&lt;R813)),ROUND(((R815*R812+((R813/(R813-R812))-(R812/(R813-R812))*R815)*((U802)-R812))*(K796*2))-(((R813/(R813-R812))*((U802)-R812))*K796),2),ROUND(IF(V801&lt;(SUM(R797:R801)),IF((V802)&gt;(SUM(R797:R802)),(((SUM(R797:R802))-(V802-C801))*K796)+((U802-C801)*K796),U802*K796),IF(V802&gt;(SUM(R797:R802)),R802*K796,U802*K796)),2)))</f>
        <v>0</v>
      </c>
      <c r="L802" s="64">
        <f>IF(B802=0,0,IF(AND(H788="ja",((U802-C802)&lt;R813)),ROUND(((R815*R812+((R813/(R813-R812))-(R812/(R813-R812))*R815)*((U802-C802)-R812))*(L796)),2),ROUND(IF(SUM(B797:F801)&lt;(SUM(S797:S801)),IF((SUM(B797:F802))&gt;(SUM(S797:S802)),(((SUM(S797:S802))-(SUM(B797:F802)-C802))*L796)+((SUM(B802:F802)-C802)*L796),(SUM(B802:F802)-C802)*L796),IF(SUM(B797:F802)&gt;(SUM(S797:S802)),S802*L796,SUM(B802:F802)*L796)),2)))</f>
        <v>0</v>
      </c>
      <c r="M802" s="64">
        <f>IF(B802=0,0,IF(AND(H788="ja",((U802-C802)&lt;R813)),ROUND(((R815*R812+((R813/(R813-R812))-(R812/(R813-R812))*R815)*((U802-C802)-R812))*(M796)),2),ROUND(IF(SUM(B797:F801)&lt;(SUM(S797:S801)),IF((SUM(B797:F802))&gt;(SUM(S797:S802)),(((SUM(S797:S802))-(SUM(B797:F802)-C802))*M796)+((SUM(B802:F802)-C802)*M796),(SUM(B802:F802)-C802)*M796),IF(SUM(B797:F802)&gt;(SUM(S797:S802)),S802*M796,SUM(B802:F802)*M796)),2)))</f>
        <v>0</v>
      </c>
      <c r="N802" s="64">
        <f>IF(B802=0,0,IF(AND(H788="ja",((U802)&lt;R813)),ROUND(((R815*R812+((R813/(R813-R812))-(R812/(R813-R812))*R815)*((U802)-R812))*(N796)),2),ROUND(IF(SUM(B797:F801)&lt;(SUM(S797:S801)),IF((SUM(B797:F802))&gt;(SUM(S797:S802)),(((SUM(S797:S802))-(SUM(B797:F802)-C801))*N796)+((SUM(B802:F802)-C801)*N796),SUM(B802:F802)*N796),IF(SUM(B797:F802)&gt;(SUM(S797:S802)),S802*N796,SUM(B802:F802)*N796)),2)))</f>
        <v>0</v>
      </c>
      <c r="O802" s="21">
        <f>ROUND(SUM(B802+C802+F802)*O796,2)</f>
        <v>0</v>
      </c>
      <c r="P802" s="25">
        <f t="shared" si="133"/>
        <v>0</v>
      </c>
      <c r="Q802" s="456"/>
      <c r="R802" s="140">
        <f>ROUND(IF(M775="",R791,R791/M775*P779),2)</f>
        <v>5175</v>
      </c>
      <c r="S802" s="140">
        <f>ROUND(IF(M775="",R792,R792/M775*P779),2)</f>
        <v>7450</v>
      </c>
      <c r="U802" s="950">
        <f t="shared" si="134"/>
        <v>0</v>
      </c>
      <c r="V802" s="950">
        <f>SUM(B797:F802)</f>
        <v>0</v>
      </c>
    </row>
    <row r="803" spans="1:24" s="1" customFormat="1" x14ac:dyDescent="0.2">
      <c r="A803" s="76" t="str">
        <f>CONCATENATE("Jul ",O773)</f>
        <v>Jul 2025</v>
      </c>
      <c r="B803" s="22">
        <f>ROUND(IF(P780=0,0,IFERROR(((LOOKUP(2,1/(A782:A785=A803),G782:G785))*P780*4.348),B802/P779*P780)),2)</f>
        <v>0</v>
      </c>
      <c r="C803" s="21">
        <f>ROUND(IFERROR((LOOKUP(2,1/(A788=A803),E788)),0)+IFERROR((LOOKUP(2,1/(A789=A803),E789)),0),2)</f>
        <v>0</v>
      </c>
      <c r="D803" s="21">
        <f>ROUND(IF(B803=0,0,D796/M775*P780),2)</f>
        <v>0</v>
      </c>
      <c r="E803" s="21">
        <f>ROUND(IF(B803=0,0,E796/N771*P780),2)</f>
        <v>0</v>
      </c>
      <c r="F803" s="22">
        <f>ROUND(IF(P780=0,0,IFERROR(((LOOKUP(2,1/(A782:A785=A803),I782:I785))/N771*P780),F802/P779*P780)),2)</f>
        <v>0</v>
      </c>
      <c r="G803" s="25">
        <f t="shared" si="132"/>
        <v>0</v>
      </c>
      <c r="H803" s="64">
        <f>IF(B803=0,0,IF(AND(H788="ja",((U803)&lt;R813)),ROUND(((R815*R812+((R813/(R813-R812))-(R812/(R813-R812))*R815)*((U803)-R812))*(H796*2))-(((R813/(R813-R812))*((U803)-R812))*H796),2),ROUND(IF(V802&lt;(SUM(R797:R802)),IF((V803)&gt;(SUM(R797:R803)),(((SUM(R797:R803))-(V803-C802))*H796)+((U803-C802)*H796),U803*H796),IF(V803&gt;(SUM(R797:R803)),R803*H796,U803*H796)),2)))</f>
        <v>0</v>
      </c>
      <c r="I803" s="64">
        <f>IF(B803=0,0,IF(AND(H788="ja",((U803)&lt;R813)),ROUND(((R815*R812+((R813/(R813-R812))-(R812/(R813-R812))*R815)*((U803)-R812))*(I796*2))-(((R813/(R813-R812))*((U803)-R812))*I796),2),ROUND(IF(V802&lt;(SUM(S797:S802)),IF((V803)&gt;(SUM(S797:S803)),(((SUM(S797:S803))-(V803-C802))*I796)+((U803-C802)*I796),U803*I796),IF(V803&gt;(SUM(S797:S803)),S803*I796,U803*I796)),2)))</f>
        <v>0</v>
      </c>
      <c r="J803" s="64">
        <f>IF(B803=0,0,IF(AND(H788="ja",((U803)&lt;R813)),ROUND(((R815*R812+((R813/(R813-R812))-(R812/(R813-R812))*R815)*((U803)-R812))*(J796*2))-(((R813/(R813-R812))*((U803)-R812))*J796),2),ROUND(IF(V802&lt;(SUM(S797:S802)),IF((V803)&gt;(SUM(S797:S803)),(((SUM(S797:S803))-(V803-C802))*J796)+((U803-C802)*J796),U803*J796),IF(V803&gt;(SUM(S797:S803)),S803*J796,U803*J796)),2)))</f>
        <v>0</v>
      </c>
      <c r="K803" s="64">
        <f>IF(B803=0,0,IF(AND(H788="ja",((U803)&lt;R813)),ROUND(((R815*R812+((R813/(R813-R812))-(R812/(R813-R812))*R815)*((U803)-R812))*(K796*2))-(((R813/(R813-R812))*((U803)-R812))*K796),2),ROUND(IF(V802&lt;(SUM(R797:R802)),IF((V803)&gt;(SUM(R797:R803)),(((SUM(R797:R803))-(V803-C802))*K796)+((U803-C802)*K796),U803*K796),IF(V803&gt;(SUM(R797:R803)),R803*K796,U803*K796)),2)))</f>
        <v>0</v>
      </c>
      <c r="L803" s="64">
        <f>IF(B803=0,0,IF(AND(H788="ja",((U803-C803)&lt;R813)),ROUND(((R815*R812+((R813/(R813-R812))-(R812/(R813-R812))*R815)*((U803-C803)-R812))*(L796)),2),ROUND(IF(SUM(B797:F802)&lt;(SUM(S797:S802)),IF((SUM(B797:F803))&gt;(SUM(S797:S803)),(((SUM(S797:S803))-(SUM(B797:F803)-C803))*L796)+((SUM(B803:F803)-C803)*L796),(SUM(B803:F803)-C803)*L796),IF(SUM(B797:F803)&gt;(SUM(S797:S803)),S803*L796,SUM(B803:F803)*L796)),2)))</f>
        <v>0</v>
      </c>
      <c r="M803" s="64">
        <f>IF(B803=0,0,IF(AND(H788="ja",((U803-C803)&lt;R813)),ROUND(((R815*R812+((R813/(R813-R812))-(R812/(R813-R812))*R815)*((U803-C803)-R812))*(M796)),2),ROUND(IF(SUM(B797:F802)&lt;(SUM(S797:S802)),IF((SUM(B797:F803))&gt;(SUM(S797:S803)),(((SUM(S797:S803))-(SUM(B797:F803)-C803))*M796)+((SUM(B803:F803)-C803)*M796),(SUM(B803:F803)-C803)*M796),IF(SUM(B797:F803)&gt;(SUM(S797:S803)),S803*M796,SUM(B803:F803)*M796)),2)))</f>
        <v>0</v>
      </c>
      <c r="N803" s="64">
        <f>IF(B803=0,0,IF(AND(H788="ja",((U803)&lt;R813)),ROUND(((R815*R812+((R813/(R813-R812))-(R812/(R813-R812))*R815)*((U803)-R812))*(N796)),2),ROUND(IF(SUM(B797:F802)&lt;(SUM(S797:S802)),IF((SUM(B797:F803))&gt;(SUM(S797:S803)),(((SUM(S797:S803))-(SUM(B797:F803)-C802))*N796)+((SUM(B803:F803)-C802)*N796),SUM(B803:F803)*N796),IF(SUM(B797:F803)&gt;(SUM(S797:S803)),S803*N796,SUM(B803:F803)*N796)),2)))</f>
        <v>0</v>
      </c>
      <c r="O803" s="21">
        <f>ROUND(SUM(B803+C803+F803)*O796,2)</f>
        <v>0</v>
      </c>
      <c r="P803" s="25">
        <f t="shared" si="133"/>
        <v>0</v>
      </c>
      <c r="Q803" s="456"/>
      <c r="R803" s="140">
        <f>ROUND(IF(M775="",R791,R791/M775*P780),2)</f>
        <v>5175</v>
      </c>
      <c r="S803" s="140">
        <f>ROUND(IF(M775="",R792,R792/M775*P780),2)</f>
        <v>7450</v>
      </c>
      <c r="U803" s="950">
        <f t="shared" si="134"/>
        <v>0</v>
      </c>
      <c r="V803" s="950">
        <f>SUM(B797:F803)</f>
        <v>0</v>
      </c>
    </row>
    <row r="804" spans="1:24" s="1" customFormat="1" x14ac:dyDescent="0.2">
      <c r="A804" s="76" t="str">
        <f>CONCATENATE("Aug ",O773)</f>
        <v>Aug 2025</v>
      </c>
      <c r="B804" s="22">
        <f>ROUND(IF(P781=0,0,IFERROR(((LOOKUP(2,1/(A782:A785=A804),G782:G785))*P781*4.348),B803/P780*P781)),2)</f>
        <v>0</v>
      </c>
      <c r="C804" s="21">
        <f>ROUND(IFERROR((LOOKUP(2,1/(A788=A804),E788)),0)+IFERROR((LOOKUP(2,1/(A789=A804),E789)),0),2)</f>
        <v>0</v>
      </c>
      <c r="D804" s="21">
        <f>ROUND(IF(B804=0,0,D796/M775*P781),2)</f>
        <v>0</v>
      </c>
      <c r="E804" s="21">
        <f>ROUND(IF(B804=0,0,E796/N771*P781),2)</f>
        <v>0</v>
      </c>
      <c r="F804" s="22">
        <f>ROUND(IF(P781=0,0,IFERROR(((LOOKUP(2,1/(A782:A785=A804),I782:I785))/N771*P781),F803/P780*P781)),2)</f>
        <v>0</v>
      </c>
      <c r="G804" s="25">
        <f t="shared" si="132"/>
        <v>0</v>
      </c>
      <c r="H804" s="64">
        <f>IF(B804=0,0,IF(AND(H788="ja",((U804)&lt;R813)),ROUND(((R815*R812+((R813/(R813-R812))-(R812/(R813-R812))*R815)*((U804)-R812))*(H796*2))-(((R813/(R813-R812))*((U804)-R812))*H796),2),ROUND(IF(V803&lt;(SUM(R797:R803)),IF((V804)&gt;(SUM(R797:R804)),(((SUM(R797:R804))-(V804-C803))*H796)+((U804-C803)*H796),U804*H796),IF(V804&gt;(SUM(R797:R804)),R804*H796,U804*H796)),2)))</f>
        <v>0</v>
      </c>
      <c r="I804" s="64">
        <f>IF(B804=0,0,IF(AND(H788="ja",((U804)&lt;R813)),ROUND(((R815*R812+((R813/(R813-R812))-(R812/(R813-R812))*R815)*((U804)-R812))*(I796*2))-(((R813/(R813-R812))*((U804)-R812))*I796),2),ROUND(IF(V803&lt;(SUM(S797:S803)),IF((V804)&gt;(SUM(S797:S804)),(((SUM(S797:S804))-(V804-C803))*I796)+((U804-C803)*I796),U804*I796),IF(V804&gt;(SUM(S797:S804)),S804*I796,U804*I796)),2)))</f>
        <v>0</v>
      </c>
      <c r="J804" s="64">
        <f>IF(B804=0,0,IF(AND(H788="ja",((U804)&lt;R813)),ROUND(((R815*R812+((R813/(R813-R812))-(R812/(R813-R812))*R815)*((U804)-R812))*(J796*2))-(((R813/(R813-R812))*((U804)-R812))*J796),2),ROUND(IF(V803&lt;(SUM(S797:S803)),IF((V804)&gt;(SUM(S797:S804)),(((SUM(S797:S804))-(V804-C803))*J796)+((U804-C803)*J796),U804*J796),IF(V804&gt;(SUM(S797:S804)),S804*J796,U804*J796)),2)))</f>
        <v>0</v>
      </c>
      <c r="K804" s="64">
        <f>IF(B804=0,0,IF(AND(H788="ja",((U804)&lt;R813)),ROUND(((R815*R812+((R813/(R813-R812))-(R812/(R813-R812))*R815)*((U804)-R812))*(K796*2))-(((R813/(R813-R812))*((U804)-R812))*K796),2),ROUND(IF(V803&lt;(SUM(R797:R803)),IF((V804)&gt;(SUM(R797:R804)),(((SUM(R797:R804))-(V804-C803))*K796)+((U804-C803)*K796),U804*K796),IF(V804&gt;(SUM(R797:R804)),R804*K796,U804*K796)),2)))</f>
        <v>0</v>
      </c>
      <c r="L804" s="64">
        <f>IF(B804=0,0,IF(AND(H788="ja",((U804-C804)&lt;R813)),ROUND(((R815*R812+((R813/(R813-R812))-(R812/(R813-R812))*R815)*((U804-C804)-R812))*(L796)),2),ROUND(IF(SUM(B797:F803)&lt;(SUM(S797:S803)),IF((SUM(B797:F804))&gt;(SUM(S797:S804)),(((SUM(S797:S804))-(SUM(B797:F804)-C804))*L796)+((SUM(B804:F804)-C804)*L796),(SUM(B804:F804)-C804)*L796),IF(SUM(B797:F804)&gt;(SUM(S797:S804)),S804*L796,SUM(B804:F804)*L796)),2)))</f>
        <v>0</v>
      </c>
      <c r="M804" s="64">
        <f>IF(B804=0,0,IF(AND(H788="ja",((U804-C804)&lt;R813)),ROUND(((R815*R812+((R813/(R813-R812))-(R812/(R813-R812))*R815)*((U804-C804)-R812))*(M796)),2),ROUND(IF(SUM(B797:F803)&lt;(SUM(S797:S803)),IF((SUM(B797:F804))&gt;(SUM(S797:S804)),(((SUM(S797:S804))-(SUM(B797:F804)-C804))*M796)+((SUM(B804:F804)-C804)*M796),(SUM(B804:F804)-C804)*M796),IF(SUM(B797:F804)&gt;(SUM(S797:S804)),S804*M796,SUM(B804:F804)*M796)),2)))</f>
        <v>0</v>
      </c>
      <c r="N804" s="64">
        <f>IF(B804=0,0,IF(AND(H788="ja",((U804)&lt;R813)),ROUND(((R815*R812+((R813/(R813-R812))-(R812/(R813-R812))*R815)*((U804)-R812))*(N796)),2),ROUND(IF(SUM(B797:F803)&lt;(SUM(S797:S803)),IF((SUM(B797:F804))&gt;(SUM(S797:S804)),(((SUM(S797:S804))-(SUM(B797:F804)-C803))*N796)+((SUM(B804:F804)-C803)*N796),SUM(B804:F804)*N796),IF(SUM(B797:F804)&gt;(SUM(S797:S804)),S804*N796,SUM(B804:F804)*N796)),2)))</f>
        <v>0</v>
      </c>
      <c r="O804" s="21">
        <f>ROUND(SUM(B804+C804+F804)*O796,2)</f>
        <v>0</v>
      </c>
      <c r="P804" s="25">
        <f t="shared" si="133"/>
        <v>0</v>
      </c>
      <c r="Q804" s="456"/>
      <c r="R804" s="140">
        <f>ROUND(IF(M775="",R791,R791/M775*P781),2)</f>
        <v>5175</v>
      </c>
      <c r="S804" s="140">
        <f>ROUND(IF(M775="",R792,R792/M775*P781),2)</f>
        <v>7450</v>
      </c>
      <c r="U804" s="950">
        <f t="shared" si="134"/>
        <v>0</v>
      </c>
      <c r="V804" s="950">
        <f>SUM(B797:F804)</f>
        <v>0</v>
      </c>
    </row>
    <row r="805" spans="1:24" s="1" customFormat="1" x14ac:dyDescent="0.2">
      <c r="A805" s="76" t="str">
        <f>CONCATENATE("Sep ",O773)</f>
        <v>Sep 2025</v>
      </c>
      <c r="B805" s="22">
        <f>ROUND(IF(P782=0,0,IFERROR(((LOOKUP(2,1/(A782:A785=A805),G782:G785))*P782*4.348),B804/P781*P782)),2)</f>
        <v>0</v>
      </c>
      <c r="C805" s="21">
        <f>ROUND(IFERROR((LOOKUP(2,1/(A788=A805),E788)),0)+IFERROR((LOOKUP(2,1/(A789=A805),E789)),0),2)</f>
        <v>0</v>
      </c>
      <c r="D805" s="21">
        <f>ROUND(IF(B805=0,0,D796/M775*P782),2)</f>
        <v>0</v>
      </c>
      <c r="E805" s="21">
        <f>ROUND(IF(B805=0,0,E796/N771*P782),2)</f>
        <v>0</v>
      </c>
      <c r="F805" s="22">
        <f>ROUND(IF(P782=0,0,IFERROR(((LOOKUP(2,1/(A782:A785=A805),I782:I785))/N771*P782),F804/P781*P782)),2)</f>
        <v>0</v>
      </c>
      <c r="G805" s="25">
        <f t="shared" si="132"/>
        <v>0</v>
      </c>
      <c r="H805" s="64">
        <f>IF(B805=0,0,IF(AND(H788="ja",((U805)&lt;R813)),ROUND(((R815*R812+((R813/(R813-R812))-(R812/(R813-R812))*R815)*((U805)-R812))*(H796*2))-(((R813/(R813-R812))*((U805)-R812))*H796),2),ROUND(IF(V804&lt;(SUM(R797:R804)),IF((V805)&gt;(SUM(R797:R805)),(((SUM(R797:R805))-(V805-C804))*H796)+((U805-C804)*H796),U805*H796),IF(V805&gt;(SUM(R797:R805)),R805*H796,U805*H796)),2)))</f>
        <v>0</v>
      </c>
      <c r="I805" s="64">
        <f>IF(B805=0,0,IF(AND(H788="ja",((U805)&lt;R813)),ROUND(((R815*R812+((R813/(R813-R812))-(R812/(R813-R812))*R815)*((U805)-R812))*(I796*2))-(((R813/(R813-R812))*((U805)-R812))*I796),2),ROUND(IF(V804&lt;(SUM(S797:S804)),IF((V805)&gt;(SUM(S797:S805)),(((SUM(S797:S805))-(V805-C804))*I796)+((U805-C804)*I796),U805*I796),IF(V805&gt;(SUM(S797:S805)),S805*I796,U805*I796)),2)))</f>
        <v>0</v>
      </c>
      <c r="J805" s="64">
        <f>IF(B805=0,0,IF(AND(H788="ja",((U805)&lt;R813)),ROUND(((R815*R812+((R813/(R813-R812))-(R812/(R813-R812))*R815)*((U805)-R812))*(J796*2))-(((R813/(R813-R812))*((U805)-R812))*J796),2),ROUND(IF(V804&lt;(SUM(S797:S804)),IF((V805)&gt;(SUM(S797:S805)),(((SUM(S797:S805))-(V805-C804))*J796)+((U805-C804)*J796),U805*J796),IF(V805&gt;(SUM(S797:S805)),S805*J796,U805*J796)),2)))</f>
        <v>0</v>
      </c>
      <c r="K805" s="64">
        <f>IF(B805=0,0,IF(AND(H788="ja",((U805)&lt;R813)),ROUND(((R815*R812+((R813/(R813-R812))-(R812/(R813-R812))*R815)*((U805)-R812))*(K796*2))-(((R813/(R813-R812))*((U805)-R812))*K796),2),ROUND(IF(V804&lt;(SUM(R797:R804)),IF((V805)&gt;(SUM(R797:R805)),(((SUM(R797:R805))-(V805-C804))*K796)+((U805-C804)*K796),U805*K796),IF(V805&gt;(SUM(R797:R805)),R805*K796,U805*K796)),2)))</f>
        <v>0</v>
      </c>
      <c r="L805" s="64">
        <f>IF(B805=0,0,IF(AND(H788="ja",((U805-C805)&lt;R813)),ROUND(((R815*R812+((R813/(R813-R812))-(R812/(R813-R812))*R815)*((U805-C805)-R812))*(L796)),2),ROUND(IF(SUM(B797:F804)&lt;(SUM(S797:S804)),IF((SUM(B797:F805))&gt;(SUM(S797:S805)),(((SUM(S797:S805))-(SUM(B797:F805)-C805))*L796)+((SUM(B805:F805)-C805)*L796),(SUM(B805:F805)-C805)*L796),IF(SUM(B797:F805)&gt;(SUM(S797:S805)),S805*L796,SUM(B805:F805)*L796)),2)))</f>
        <v>0</v>
      </c>
      <c r="M805" s="64">
        <f>IF(B805=0,0,IF(AND(H788="ja",((U805-C805)&lt;R813)),ROUND(((R815*R812+((R813/(R813-R812))-(R812/(R813-R812))*R815)*((U805-C805)-R812))*(M796)),2),ROUND(IF(SUM(B797:F804)&lt;(SUM(S797:S804)),IF((SUM(B797:F805))&gt;(SUM(S797:S805)),(((SUM(S797:S805))-(SUM(B797:F805)-C805))*M796)+((SUM(B805:F805)-C805)*M796),(SUM(B805:F805)-C805)*M796),IF(SUM(B797:F805)&gt;(SUM(S797:S805)),S805*M796,SUM(B805:F805)*M796)),2)))</f>
        <v>0</v>
      </c>
      <c r="N805" s="64">
        <f>IF(B805=0,0,IF(AND(H788="ja",((U805)&lt;R813)),ROUND(((R815*R812+((R813/(R813-R812))-(R812/(R813-R812))*R815)*((U805)-R812))*(N796)),2),ROUND(IF(SUM(B797:F804)&lt;(SUM(S797:S804)),IF((SUM(B797:F805))&gt;(SUM(S797:S805)),(((SUM(S797:S805))-(SUM(B797:F805)-C804))*N796)+((SUM(B805:F805)-C804)*N796),SUM(B805:F805)*N796),IF(SUM(B797:F805)&gt;(SUM(S797:S805)),S805*N796,SUM(B805:F805)*N796)),2)))</f>
        <v>0</v>
      </c>
      <c r="O805" s="21">
        <f>ROUND(SUM(B805+C805+F805)*O796,2)</f>
        <v>0</v>
      </c>
      <c r="P805" s="25">
        <f t="shared" si="133"/>
        <v>0</v>
      </c>
      <c r="Q805" s="456"/>
      <c r="R805" s="140">
        <f>ROUND(IF(M775="",R791,R791/M775*P782),2)</f>
        <v>5175</v>
      </c>
      <c r="S805" s="140">
        <f>ROUND(IF(M775="",R792,R792/M775*P782),2)</f>
        <v>7450</v>
      </c>
      <c r="U805" s="950">
        <f t="shared" si="134"/>
        <v>0</v>
      </c>
      <c r="V805" s="950">
        <f>SUM(B797:F805)</f>
        <v>0</v>
      </c>
    </row>
    <row r="806" spans="1:24" s="12" customFormat="1" ht="15" x14ac:dyDescent="0.25">
      <c r="A806" s="76" t="str">
        <f>CONCATENATE("Okt ",O773)</f>
        <v>Okt 2025</v>
      </c>
      <c r="B806" s="22">
        <f>ROUND(IF(P783=0,0,IFERROR(((LOOKUP(2,1/(A782:A785=A806),G782:G785))*P783*4.348),B805/P782*P783)),2)</f>
        <v>0</v>
      </c>
      <c r="C806" s="21">
        <f>ROUND(IFERROR((LOOKUP(2,1/(A788=A806),E788)),0)+IFERROR((LOOKUP(2,1/(A789=A806),E789)),0),2)</f>
        <v>0</v>
      </c>
      <c r="D806" s="21">
        <f>ROUND(IF(B806=0,0,D796/M775*P783),2)</f>
        <v>0</v>
      </c>
      <c r="E806" s="21">
        <f>ROUND(IF(B806=0,0,E796/N771*P783),2)</f>
        <v>0</v>
      </c>
      <c r="F806" s="22">
        <f>ROUND(IF(P783=0,0,IFERROR(((LOOKUP(2,1/(A782:A785=A806),I782:I785))/N771*P783),F805/P782*P783)),2)</f>
        <v>0</v>
      </c>
      <c r="G806" s="25">
        <f t="shared" si="132"/>
        <v>0</v>
      </c>
      <c r="H806" s="64">
        <f>IF(B806=0,0,IF(AND(H788="ja",((U806)&lt;R813)),ROUND(((R815*R812+((R813/(R813-R812))-(R812/(R813-R812))*R815)*((U806)-R812))*(H796*2))-(((R813/(R813-R812))*((U806)-R812))*H796),2),ROUND(IF(V805&lt;(SUM(R797:R805)),IF((V806)&gt;(SUM(R797:R806)),(((SUM(R797:R806))-(V806-C805))*H796)+((U806-C805)*H796),U806*H796),IF(V806&gt;(SUM(R797:R806)),R806*H796,U806*H796)),2)))</f>
        <v>0</v>
      </c>
      <c r="I806" s="64">
        <f>IF(B806=0,0,IF(AND(H788="ja",((U806)&lt;R813)),ROUND(((R815*R812+((R813/(R813-R812))-(R812/(R813-R812))*R815)*((U806)-R812))*(I796*2))-(((R813/(R813-R812))*((U806)-R812))*I796),2),ROUND(IF(V805&lt;(SUM(S797:S805)),IF((V806)&gt;(SUM(S797:S806)),(((SUM(S797:S806))-(V806-C805))*I796)+((U806-C805)*I796),U806*I796),IF(V806&gt;(SUM(S797:S806)),S806*I796,U806*I796)),2)))</f>
        <v>0</v>
      </c>
      <c r="J806" s="64">
        <f>IF(B806=0,0,IF(AND(H788="ja",((U806)&lt;R813)),ROUND(((R815*R812+((R813/(R813-R812))-(R812/(R813-R812))*R815)*((U806)-R812))*(J796*2))-(((R813/(R813-R812))*((U806)-R812))*J796),2),ROUND(IF(V805&lt;(SUM(S797:S805)),IF((V806)&gt;(SUM(S797:S806)),(((SUM(S797:S806))-(V806-C805))*J796)+((U806-C805)*J796),U806*J796),IF(V806&gt;(SUM(S797:S806)),S806*J796,U806*J796)),2)))</f>
        <v>0</v>
      </c>
      <c r="K806" s="64">
        <f>IF(B806=0,0,IF(AND(H788="ja",((U806)&lt;R813)),ROUND(((R815*R812+((R813/(R813-R812))-(R812/(R813-R812))*R815)*((U806)-R812))*(K796*2))-(((R813/(R813-R812))*((U806)-R812))*K796),2),ROUND(IF(V805&lt;(SUM(R797:R805)),IF((V806)&gt;(SUM(R797:R806)),(((SUM(R797:R806))-(V806-C805))*K796)+((U806-C805)*K796),U806*K796),IF(V806&gt;(SUM(R797:R806)),R806*K796,U806*K796)),2)))</f>
        <v>0</v>
      </c>
      <c r="L806" s="64">
        <f>IF(B806=0,0,IF(AND(H788="ja",((U806-C806)&lt;R813)),ROUND(((R815*R812+((R813/(R813-R812))-(R812/(R813-R812))*R815)*((U806-C806)-R812))*(L796)),2),ROUND(IF(SUM(B797:F805)&lt;(SUM(S797:S805)),IF((SUM(B797:F806))&gt;(SUM(S797:S806)),(((SUM(S797:S806))-(SUM(B797:F806)-C806))*L796)+((SUM(B806:F806)-C806)*L796),(SUM(B806:F806)-C806)*L796),IF(SUM(B797:F806)&gt;(SUM(S797:S806)),S806*L796,SUM(B806:F806)*L796)),2)))</f>
        <v>0</v>
      </c>
      <c r="M806" s="64">
        <f>IF(B806=0,0,IF(AND(H788="ja",((U806-C806)&lt;R813)),ROUND(((R815*R812+((R813/(R813-R812))-(R812/(R813-R812))*R815)*((U806-C806)-R812))*(M796)),2),ROUND(IF(SUM(B797:F805)&lt;(SUM(S797:S805)),IF((SUM(B797:F806))&gt;(SUM(S797:S806)),(((SUM(S797:S806))-(SUM(B797:F806)-C806))*M796)+((SUM(B806:F806)-C806)*M796),(SUM(B806:F806)-C806)*M796),IF(SUM(B797:F806)&gt;(SUM(S797:S806)),S806*M796,SUM(B806:F806)*M796)),2)))</f>
        <v>0</v>
      </c>
      <c r="N806" s="64">
        <f>IF(B806=0,0,IF(AND(H788="ja",((U806)&lt;R813)),ROUND(((R815*R812+((R813/(R813-R812))-(R812/(R813-R812))*R815)*((U806)-R812))*(N796)),2),ROUND(IF(SUM(B797:F805)&lt;(SUM(S797:S805)),IF((SUM(B797:F806))&gt;(SUM(S797:S806)),(((SUM(S797:S806))-(SUM(B797:F806)-C805))*N796)+((SUM(B806:F806)-C805)*N796),SUM(B806:F806)*N796),IF(SUM(B797:F806)&gt;(SUM(S797:S806)),S806*N796,SUM(B806:F806)*N796)),2)))</f>
        <v>0</v>
      </c>
      <c r="O806" s="21">
        <f>ROUND(SUM(B806+C806+F806)*O796,2)</f>
        <v>0</v>
      </c>
      <c r="P806" s="25">
        <f t="shared" si="133"/>
        <v>0</v>
      </c>
      <c r="Q806" s="936"/>
      <c r="R806" s="140">
        <f>ROUND(IF(M775="",R791,R791/M775*P783),2)</f>
        <v>5175</v>
      </c>
      <c r="S806" s="140">
        <f>ROUND(IF(M775="",R792,R792/M775*P783),2)</f>
        <v>7450</v>
      </c>
      <c r="U806" s="950">
        <f t="shared" si="134"/>
        <v>0</v>
      </c>
      <c r="V806" s="950">
        <f>SUM(B797:F806)</f>
        <v>0</v>
      </c>
      <c r="X806" s="1"/>
    </row>
    <row r="807" spans="1:24" s="11" customFormat="1" x14ac:dyDescent="0.2">
      <c r="A807" s="76" t="str">
        <f>CONCATENATE("Nov ",O773)</f>
        <v>Nov 2025</v>
      </c>
      <c r="B807" s="22">
        <f>ROUND(IF(P784=0,0,IFERROR(((LOOKUP(2,1/(A782:A785=A807),G782:G785))*P784*4.348),B806/P783*P784)),2)</f>
        <v>0</v>
      </c>
      <c r="C807" s="21">
        <f>ROUND(IFERROR((LOOKUP(2,1/(A788=A807),E788)),0)+(IFERROR((LOOKUP(2,1/(A789=A807),E789)),0)),2)</f>
        <v>0</v>
      </c>
      <c r="D807" s="21">
        <f>ROUND(IF(B807=0,0,D796/M775*P784),2)</f>
        <v>0</v>
      </c>
      <c r="E807" s="21">
        <f>ROUND(IF(B807=0,0,E796/N771*P784),2)</f>
        <v>0</v>
      </c>
      <c r="F807" s="22">
        <f>ROUND(IF(P784=0,0,IFERROR(((LOOKUP(2,1/(A782:A785=A807),I782:I785))/N771*P784),F806/P783*P784)),2)</f>
        <v>0</v>
      </c>
      <c r="G807" s="25">
        <f t="shared" si="132"/>
        <v>0</v>
      </c>
      <c r="H807" s="64">
        <f>IF(B807=0,0,IF(AND(H788="ja",((U807)&lt;R813)),ROUND(((R815*R812+((R813/(R813-R812))-(R812/(R813-R812))*R815)*((U807)-R812))*(H796*2))-(((R813/(R813-R812))*((U807)-R812))*H796),2),ROUND(IF(V806&lt;(SUM(R797:R806)),IF((V807)&gt;(SUM(R797:R807)),(((SUM(R797:R807))-(V807-C806))*H796)+((U807-C806)*H796),U807*H796),IF(V807&gt;(SUM(R797:R807)),R807*H796,U807*H796)),2)))</f>
        <v>0</v>
      </c>
      <c r="I807" s="64">
        <f>IF(B807=0,0,IF(AND(H788="ja",((U807)&lt;R813)),ROUND(((R815*R812+((R813/(R813-R812))-(R812/(R813-R812))*R815)*((U807)-R812))*(I796*2))-(((R813/(R813-R812))*((U807)-R812))*I796),2),ROUND(IF(V806&lt;(SUM(S797:S806)),IF((V807)&gt;(SUM(S797:S807)),(((SUM(S797:S807))-(V807-C806))*I796)+((U807-C806)*I796),U807*I796),IF(V807&gt;(SUM(S797:S807)),S807*I796,U807*I796)),2)))</f>
        <v>0</v>
      </c>
      <c r="J807" s="64">
        <f>IF(B807=0,0,IF(AND(H788="ja",((U807)&lt;R813)),ROUND(((R815*R812+((R813/(R813-R812))-(R812/(R813-R812))*R815)*((U807)-R812))*(J796*2))-(((R813/(R813-R812))*((U807)-R812))*J796),2),ROUND(IF(V806&lt;(SUM(S797:S806)),IF((V807)&gt;(SUM(S797:S807)),(((SUM(S797:S807))-(V807-C806))*J796)+((U807-C806)*J796),U807*J796),IF(V807&gt;(SUM(S797:S807)),S807*J796,U807*J796)),2)))</f>
        <v>0</v>
      </c>
      <c r="K807" s="64">
        <f>IF(B807=0,0,IF(AND(H788="ja",((U807)&lt;R813)),ROUND(((R815*R812+((R813/(R813-R812))-(R812/(R813-R812))*R815)*((U807)-R812))*(K796*2))-(((R813/(R813-R812))*((U807)-R812))*K796),2),ROUND(IF(V806&lt;(SUM(R797:R806)),IF((V807)&gt;(SUM(R797:R807)),(((SUM(R797:R807))-(V807-C806))*K796)+((U807-C806)*K796),U807*K796),IF(V807&gt;(SUM(R797:R807)),R807*K796,U807*K796)),2)))</f>
        <v>0</v>
      </c>
      <c r="L807" s="64">
        <f>IF(B807=0,0,IF(AND(H788="ja",((U807-C807)&lt;R813)),ROUND(((R815*R812+((R813/(R813-R812))-(R812/(R813-R812))*R815)*((U807-C807)-R812))*(L796)),2),ROUND(IF(SUM(B797:F806)&lt;(SUM(S797:S806)),IF((SUM(B797:F807))&gt;(SUM(S797:S807)),(((SUM(S797:S807))-(SUM(B797:F807)-C807))*L796)+((SUM(B807:F807)-C807)*L796),(SUM(B807:F807)-C807)*L796),IF(SUM(B797:F807)&gt;(SUM(S797:S807)),S807*L796,SUM(B807:F807)*L796)),2)))</f>
        <v>0</v>
      </c>
      <c r="M807" s="64">
        <f>IF(B807=0,0,IF(AND(H788="ja",((U807-C807)&lt;R813)),ROUND(((R815*R812+((R813/(R813-R812))-(R812/(R813-R812))*R815)*((U807-C807)-R812))*(M796)),2),ROUND(IF(SUM(B797:F806)&lt;(SUM(S797:S806)),IF((SUM(B797:F807))&gt;(SUM(S797:S807)),(((SUM(S797:S807))-(SUM(B797:F807)-C807))*M796)+((SUM(B807:F807)-C807)*M796),(SUM(B807:F807)-C807)*M796),IF(SUM(B797:F807)&gt;(SUM(S797:S807)),S807*M796,SUM(B807:F807)*M796)),2)))</f>
        <v>0</v>
      </c>
      <c r="N807" s="64">
        <f>IF(B807=0,0,IF(AND(H788="ja",((U807)&lt;R813)),ROUND(((R815*R812+((R813/(R813-R812))-(R812/(R813-R812))*R815)*((U807)-R812))*(N796)),2),ROUND(IF(SUM(B797:F806)&lt;(SUM(S797:S806)),IF((SUM(B797:F807))&gt;(SUM(S797:S807)),(((SUM(S797:S807))-(SUM(B797:F807)-C806))*N796)+((SUM(B807:F807)-C806)*N796),SUM(B807:F807)*N796),IF(SUM(B797:F807)&gt;(SUM(S797:S807)),S807*N796,SUM(B807:F807)*N796)),2)))</f>
        <v>0</v>
      </c>
      <c r="O807" s="21">
        <f>ROUND(SUM(B807+C807+F807)*O796,2)</f>
        <v>0</v>
      </c>
      <c r="P807" s="25">
        <f t="shared" si="133"/>
        <v>0</v>
      </c>
      <c r="R807" s="140">
        <f>ROUND(IF(M775="",R791,R791/M775*P784),2)</f>
        <v>5175</v>
      </c>
      <c r="S807" s="140">
        <f>ROUND(IF(M775="",R792,R792/M775*P784),2)</f>
        <v>7450</v>
      </c>
      <c r="U807" s="950">
        <f t="shared" si="134"/>
        <v>0</v>
      </c>
      <c r="V807" s="950">
        <f>SUM(B797:F807)</f>
        <v>0</v>
      </c>
      <c r="X807" s="1"/>
    </row>
    <row r="808" spans="1:24" s="1" customFormat="1" ht="14.25" customHeight="1" x14ac:dyDescent="0.2">
      <c r="A808" s="76" t="str">
        <f>CONCATENATE("Dez ",O773)</f>
        <v>Dez 2025</v>
      </c>
      <c r="B808" s="22">
        <f>ROUND(IF(P785=0,0,IFERROR(((LOOKUP(2,1/(A782:A785=A808),G782:G785))*P785*4.348),B807/P784*P785)),2)</f>
        <v>0</v>
      </c>
      <c r="C808" s="21">
        <f>ROUND(IFERROR((LOOKUP(2,1/(A788=A808),E788)),0)+IFERROR((LOOKUP(2,1/(A789=A808),E789)),0),2)</f>
        <v>0</v>
      </c>
      <c r="D808" s="21">
        <f>ROUND(IF(B808=0,0,D796/M775*P785),2)</f>
        <v>0</v>
      </c>
      <c r="E808" s="21">
        <f>ROUND(IF(B808=0,0,E796/N771*P785),2)</f>
        <v>0</v>
      </c>
      <c r="F808" s="22">
        <f>ROUND(IF(P785=0,0,IFERROR(((LOOKUP(2,1/(A782:A785=A808),I782:I785))/N771*P785),F807/P784*P785)),2)</f>
        <v>0</v>
      </c>
      <c r="G808" s="25">
        <f t="shared" si="132"/>
        <v>0</v>
      </c>
      <c r="H808" s="64">
        <f>IF(B808=0,0,IF(AND(H788="ja",((U808)&lt;R813)),ROUND(((R815*R812+((R813/(R813-R812))-(R812/(R813-R812))*R815)*((U808)-R812))*(H796*2))-(((R813/(R813-R812))*((U808)-R812))*H796),2),ROUND(IF(V807&lt;(SUM(R797:R807)),IF((V808)&gt;(SUM(R797:R808)),(((SUM(R797:R808))-(V808-C807))*H796)+((U808-C807)*H796),U808*H796),IF(V808&gt;(SUM(R797:R808)),R808*H796,U808*H796)),2)))</f>
        <v>0</v>
      </c>
      <c r="I808" s="64">
        <f>IF(B808=0,0,IF(AND(H788="ja",((U808)&lt;R813)),ROUND(((R815*R812+((R813/(R813-R812))-(R812/(R813-R812))*R815)*((U808)-R812))*(I796*2))-(((R813/(R813-R812))*((U808)-R812))*I796),2),ROUND(IF(V807&lt;(SUM(S797:S807)),IF((V808)&gt;(SUM(S797:S808)),(((SUM(S797:S808))-(V808-C807))*I796)+((U808-C807)*I796),U808*I796),IF(V808&gt;(SUM(S797:S808)),S808*I796,U808*I796)),2)))</f>
        <v>0</v>
      </c>
      <c r="J808" s="64">
        <f>IF(B808=0,0,IF(AND(H788="ja",((U808)&lt;R813)),ROUND(((R815*R812+((R813/(R813-R812))-(R812/(R813-R812))*R815)*((U808)-R812))*(J796*2))-(((R813/(R813-R812))*((U808)-R812))*J796),2),ROUND(IF(V807&lt;(SUM(S797:S807)),IF((V808)&gt;(SUM(S797:S808)),(((SUM(S797:S808))-(V808-C807))*J796)+((U808-C807)*J796),U808*J796),IF(V808&gt;(SUM(S797:S808)),S808*J796,U808*J796)),2)))</f>
        <v>0</v>
      </c>
      <c r="K808" s="64">
        <f>IF(B808=0,0,IF(AND(H788="ja",((U808)&lt;R813)),ROUND(((R815*R812+((R813/(R813-R812))-(R812/(R813-R812))*R815)*((U808)-R812))*(K796*2))-(((R813/(R813-R812))*((U808)-R812))*K796),2),ROUND(IF(V807&lt;(SUM(R797:R807)),IF((V808)&gt;(SUM(R797:R808)),(((SUM(R797:R808))-(V808-C807))*K796)+((U808-C807)*K796),U808*K796),IF(V808&gt;(SUM(R797:R808)),R808*K796,U808*K796)),2)))</f>
        <v>0</v>
      </c>
      <c r="L808" s="64">
        <f>IF(B808=0,0,IF(AND(H788="ja",((U808-C808)&lt;R813)),ROUND(((R815*R812+((R813/(R813-R812))-(R812/(R813-R812))*R815)*((U808-C808)-R812))*(L796)),2),ROUND(IF(SUM(B797:F807)&lt;(SUM(S797:S807)),IF((SUM(B797:F808))&gt;(SUM(S797:S808)),(((SUM(S797:S808))-(SUM(B797:F808)-C808))*L796)+((SUM(B808:F808)-C808)*L796),(SUM(B808:F808)-C808)*L796),IF(SUM(B797:F808)&gt;(SUM(S797:S808)),S808*L796,SUM(B808:F808)*L796)),2)))</f>
        <v>0</v>
      </c>
      <c r="M808" s="64">
        <f>IF(B808=0,0,IF(AND(H788="ja",((U808-C808)&lt;R813)),ROUND(((R815*R812+((R813/(R813-R812))-(R812/(R813-R812))*R815)*((U808-C808)-R812))*(M796)),2),ROUND(IF(SUM(B797:F807)&lt;(SUM(S797:S807)),IF((SUM(B797:F808))&gt;(SUM(S797:S808)),(((SUM(S797:S808))-(SUM(B797:F808)-C808))*M796)+((SUM(B808:F808)-C808)*M796),(SUM(B808:F808)-C808)*M796),IF(SUM(B797:F808)&gt;(SUM(S797:S808)),S808*M796,SUM(B808:F808)*M796)),2)))</f>
        <v>0</v>
      </c>
      <c r="N808" s="64">
        <f>IF(B808=0,0,IF(AND(H788="ja",((U808)&lt;R813)),ROUND(((R815*R812+((R813/(R813-R812))-(R812/(R813-R812))*R815)*((U808)-R812))*(N796)),2),ROUND(IF(SUM(B797:F807)&lt;(SUM(S797:S807)),IF((SUM(B797:F808))&gt;(SUM(S797:S808)),(((SUM(S797:S808))-(SUM(B797:F808)-C807))*N796)+((SUM(B808:F808)-C807)*N796),SUM(B808:F808)*N796),IF(SUM(B797:F808)&gt;(SUM(S797:S808)),S808*N796,SUM(B808:F808)*N796)),2)))</f>
        <v>0</v>
      </c>
      <c r="O808" s="21">
        <f>ROUND(SUM(B808+C808+F808)*O796,2)</f>
        <v>0</v>
      </c>
      <c r="P808" s="25">
        <f t="shared" si="133"/>
        <v>0</v>
      </c>
      <c r="Q808" s="11"/>
      <c r="R808" s="140">
        <f>ROUND(IF(M775="",R791,R791/M775*P785),2)</f>
        <v>5175</v>
      </c>
      <c r="S808" s="140">
        <f>ROUND(IF(M775="",R792,R792/M775*P785),2)</f>
        <v>7450</v>
      </c>
      <c r="U808" s="950">
        <f t="shared" si="134"/>
        <v>0</v>
      </c>
      <c r="V808" s="950">
        <f>SUM(B797:F808)</f>
        <v>0</v>
      </c>
    </row>
    <row r="809" spans="1:24" s="1" customFormat="1" ht="15" customHeight="1" x14ac:dyDescent="0.2">
      <c r="A809" s="2" t="s">
        <v>1</v>
      </c>
      <c r="B809" s="25">
        <f t="shared" ref="B809:G809" si="135">SUM(B797:B808)</f>
        <v>0</v>
      </c>
      <c r="C809" s="25">
        <f t="shared" si="135"/>
        <v>0</v>
      </c>
      <c r="D809" s="25">
        <f t="shared" si="135"/>
        <v>0</v>
      </c>
      <c r="E809" s="25">
        <f t="shared" si="135"/>
        <v>0</v>
      </c>
      <c r="F809" s="25">
        <f t="shared" si="135"/>
        <v>0</v>
      </c>
      <c r="G809" s="25">
        <f t="shared" si="135"/>
        <v>0</v>
      </c>
      <c r="H809" s="1309">
        <f>SUM(H797:N808)</f>
        <v>0</v>
      </c>
      <c r="I809" s="1310"/>
      <c r="J809" s="1310"/>
      <c r="K809" s="1310"/>
      <c r="L809" s="1310"/>
      <c r="M809" s="1310"/>
      <c r="N809" s="1311"/>
      <c r="O809" s="25">
        <f>SUM(O797:O808)</f>
        <v>0</v>
      </c>
      <c r="P809" s="25">
        <f>SUM(P797:P808)</f>
        <v>0</v>
      </c>
    </row>
    <row r="810" spans="1:24" s="1" customFormat="1" ht="12" customHeight="1" x14ac:dyDescent="0.2"/>
    <row r="811" spans="1:24" s="1" customFormat="1" ht="14.25" customHeight="1" x14ac:dyDescent="0.2">
      <c r="B811" s="906"/>
      <c r="H811" s="905"/>
      <c r="I811" s="62"/>
      <c r="J811" s="914" t="s">
        <v>123</v>
      </c>
      <c r="L811" s="900" t="s">
        <v>124</v>
      </c>
      <c r="M811" s="974" t="str">
        <f>IF(IF(G809=0,"",'päd.Personal - Leitung'!$M$43)=0,"",IF(G809=0,"",'päd.Personal - Leitung'!$M$43))</f>
        <v/>
      </c>
      <c r="N811" s="902" t="s">
        <v>125</v>
      </c>
      <c r="O811" s="963" t="str">
        <f>IF(IF(G809=0,"",'päd.Personal - Leitung'!$O$43)=0,"",IF(G809=0,"",'päd.Personal - Leitung'!$O$43))</f>
        <v/>
      </c>
      <c r="P811" s="25">
        <f>ROUND(IF(M811="",0,G809*M811*O811/1000),2)</f>
        <v>0</v>
      </c>
      <c r="Q811" s="937"/>
      <c r="R811" s="938">
        <v>2025</v>
      </c>
      <c r="S811" s="939"/>
    </row>
    <row r="812" spans="1:24" s="1" customFormat="1" ht="14.25" customHeight="1" x14ac:dyDescent="0.2">
      <c r="H812" s="907"/>
      <c r="I812" s="42"/>
      <c r="M812" s="915" t="s">
        <v>129</v>
      </c>
      <c r="N812" s="80" t="s">
        <v>125</v>
      </c>
      <c r="O812" s="75" t="str">
        <f>IF(IF(G809=0,"",'päd.Personal - Leitung'!$O$44)=0,"",IF(G809=0,"",'päd.Personal - Leitung'!$O$44))</f>
        <v/>
      </c>
      <c r="P812" s="25">
        <f>ROUND(IF(O812="",0,G809*O812/1000),2)</f>
        <v>0</v>
      </c>
      <c r="Q812" s="942" t="s">
        <v>737</v>
      </c>
      <c r="R812" s="141">
        <f>'päd.Personal - Leitung'!$R$44</f>
        <v>556</v>
      </c>
      <c r="S812" s="955">
        <f>'päd.Personal - Leitung'!$S$44</f>
        <v>12.82</v>
      </c>
    </row>
    <row r="813" spans="1:24" s="1" customFormat="1" ht="14.25" customHeight="1" x14ac:dyDescent="0.2">
      <c r="H813" s="912" t="s">
        <v>126</v>
      </c>
      <c r="I813" s="1013" t="s">
        <v>127</v>
      </c>
      <c r="J813" s="975" t="str">
        <f>IF(IF(G809=0,"",'päd.Personal - Leitung'!$J$45)=0,"",IF(G809=0,"",'päd.Personal - Leitung'!$J$45))</f>
        <v/>
      </c>
      <c r="K813" s="902" t="s">
        <v>128</v>
      </c>
      <c r="L813" s="964" t="str">
        <f>IF(IF(G809=0,"",'päd.Personal - Leitung'!$L$45)=0,"",IF(G809=0,"",'päd.Personal - Leitung'!$L$45))</f>
        <v/>
      </c>
      <c r="M813" s="16"/>
      <c r="N813" s="900" t="s">
        <v>132</v>
      </c>
      <c r="O813" s="965" t="str">
        <f>IF(IF(G809=0,"",'päd.Personal - Leitung'!$O$45)=0,"",IF(G809=0,"",'päd.Personal - Leitung'!$O$45))</f>
        <v/>
      </c>
      <c r="P813" s="25">
        <f>ROUND(IF(J813="",0,(J813*L813/O813)/M777*M778),2)</f>
        <v>0</v>
      </c>
      <c r="Q813" s="942" t="s">
        <v>738</v>
      </c>
      <c r="R813" s="140">
        <f>'päd.Personal - Leitung'!$R$45</f>
        <v>2000</v>
      </c>
      <c r="S813" s="939"/>
    </row>
    <row r="814" spans="1:24" s="1" customFormat="1" ht="14.25" customHeight="1" x14ac:dyDescent="0.2">
      <c r="D814" s="16"/>
      <c r="I814" s="16"/>
      <c r="J814" s="16"/>
      <c r="K814" s="63"/>
      <c r="L814" s="67"/>
      <c r="M814" s="915" t="s">
        <v>130</v>
      </c>
      <c r="N814" s="80" t="s">
        <v>131</v>
      </c>
      <c r="O814" s="904">
        <f>IF(IF(G809="",0,'päd.Personal - Leitung'!$O$94)=0,0,IF(G809="",0,'päd.Personal - Leitung'!$O$94))</f>
        <v>0</v>
      </c>
      <c r="P814" s="21">
        <f>ROUND(IF(G809=0,0,O814/M775*M776),2)</f>
        <v>0</v>
      </c>
      <c r="Q814" s="942" t="s">
        <v>740</v>
      </c>
      <c r="R814" s="956">
        <f>'päd.Personal - Leitung'!$R$46</f>
        <v>0.40900000000000003</v>
      </c>
    </row>
    <row r="815" spans="1:24" s="1" customFormat="1" ht="14.25" customHeight="1" x14ac:dyDescent="0.2">
      <c r="A815" s="16"/>
      <c r="B815" s="16"/>
      <c r="I815" s="905"/>
      <c r="J815" s="961" t="s">
        <v>176</v>
      </c>
      <c r="K815" s="1312" t="str">
        <f>IF($K$47="","",$K$47)</f>
        <v/>
      </c>
      <c r="L815" s="1312"/>
      <c r="M815" s="1312"/>
      <c r="N815" s="80" t="s">
        <v>131</v>
      </c>
      <c r="O815" s="904">
        <f>IF(IF(G809="",0,'päd.Personal - Leitung'!$O$95)=0,0,IF(G809="",0,'päd.Personal - Leitung'!$O$95))</f>
        <v>0</v>
      </c>
      <c r="P815" s="21">
        <f>ROUND(IF(G809=0,0,O815/M775*M776),2)</f>
        <v>0</v>
      </c>
      <c r="Q815" s="942" t="s">
        <v>739</v>
      </c>
      <c r="R815" s="940">
        <f>'päd.Personal - Leitung'!$R$47</f>
        <v>0.68459999999999999</v>
      </c>
      <c r="S815" s="957">
        <f>'päd.Personal - Leitung'!$S$47</f>
        <v>0.28000000000000003</v>
      </c>
    </row>
    <row r="816" spans="1:24" s="1" customFormat="1" ht="14.25" customHeight="1" x14ac:dyDescent="0.2">
      <c r="A816" s="908"/>
      <c r="B816" s="908"/>
      <c r="C816" s="1013"/>
      <c r="D816" s="1013"/>
      <c r="I816" s="913"/>
      <c r="J816" s="913"/>
      <c r="K816" s="916"/>
      <c r="L816" s="27"/>
      <c r="M816" s="27"/>
      <c r="N816" s="27"/>
      <c r="O816" s="26" t="s">
        <v>0</v>
      </c>
      <c r="P816" s="25">
        <f>P809+SUM(P811:P815)</f>
        <v>0</v>
      </c>
    </row>
    <row r="817" spans="1:19" s="10" customFormat="1" ht="13.5" customHeight="1" x14ac:dyDescent="0.2">
      <c r="A817" s="1321" t="s">
        <v>17</v>
      </c>
      <c r="B817" s="1321"/>
      <c r="C817" s="1321"/>
      <c r="D817" s="1320" t="str">
        <f>IF('päd.Personal - Leitung'!$D$1="","",'päd.Personal - Leitung'!$D$1)</f>
        <v/>
      </c>
      <c r="E817" s="1320"/>
      <c r="F817" s="1320"/>
      <c r="G817" s="1320"/>
      <c r="H817" s="1320"/>
      <c r="I817" s="1320"/>
      <c r="J817" s="1320"/>
      <c r="K817" s="1320"/>
      <c r="L817" s="1320"/>
      <c r="M817" s="1320"/>
      <c r="N817" s="1320"/>
    </row>
    <row r="818" spans="1:19" s="10" customFormat="1" ht="15" customHeight="1" x14ac:dyDescent="0.2">
      <c r="A818" s="1321" t="s">
        <v>16</v>
      </c>
      <c r="B818" s="1321"/>
      <c r="C818" s="1321" t="s">
        <v>14</v>
      </c>
      <c r="D818" s="1320" t="str">
        <f>IF('päd.Personal - Leitung'!$D$2="","",'päd.Personal - Leitung'!$D$2)</f>
        <v/>
      </c>
      <c r="E818" s="1320"/>
      <c r="F818" s="1320"/>
      <c r="G818" s="1320"/>
      <c r="H818" s="1320"/>
      <c r="I818" s="1320"/>
      <c r="J818" s="1320"/>
      <c r="K818" s="1320"/>
      <c r="L818" s="1320"/>
      <c r="M818" s="1320"/>
      <c r="N818" s="1320"/>
    </row>
    <row r="819" spans="1:19" s="10" customFormat="1" ht="15" customHeight="1" x14ac:dyDescent="0.2">
      <c r="A819" s="1321" t="s">
        <v>15</v>
      </c>
      <c r="B819" s="1321"/>
      <c r="C819" s="1321" t="s">
        <v>14</v>
      </c>
      <c r="D819" s="1320" t="str">
        <f>IF('päd.Personal - Leitung'!$D$3="","",'päd.Personal - Leitung'!$D$3)</f>
        <v/>
      </c>
      <c r="E819" s="1320"/>
      <c r="F819" s="1320"/>
      <c r="G819" s="1320"/>
      <c r="H819" s="1320"/>
      <c r="I819" s="1320"/>
      <c r="J819" s="1320"/>
      <c r="K819" s="1321" t="s">
        <v>100</v>
      </c>
      <c r="L819" s="1321"/>
      <c r="M819" s="1321"/>
      <c r="N819" s="38" t="str">
        <f>IF('päd.Personal - Leitung'!$N$3="","",'päd.Personal - Leitung'!$N$3)</f>
        <v/>
      </c>
    </row>
    <row r="820" spans="1:19" s="923" customFormat="1" ht="7.5" customHeight="1" x14ac:dyDescent="0.15">
      <c r="A820" s="1353"/>
      <c r="B820" s="1353"/>
      <c r="C820" s="1353"/>
      <c r="D820" s="1354"/>
      <c r="E820" s="1354"/>
      <c r="F820" s="1354"/>
      <c r="G820" s="1354"/>
      <c r="H820" s="1354"/>
      <c r="I820" s="1354"/>
      <c r="J820" s="1354"/>
      <c r="K820" s="922"/>
      <c r="L820" s="922"/>
      <c r="M820" s="922"/>
      <c r="N820" s="922"/>
      <c r="O820" s="922"/>
      <c r="P820" s="922"/>
    </row>
    <row r="821" spans="1:19" s="13" customFormat="1" ht="13.5" customHeight="1" x14ac:dyDescent="0.2">
      <c r="A821" s="1355" t="s">
        <v>151</v>
      </c>
      <c r="B821" s="1355"/>
      <c r="C821" s="1355"/>
      <c r="D821" s="1355"/>
      <c r="E821" s="1355"/>
      <c r="F821" s="1355"/>
      <c r="G821" s="1355"/>
      <c r="H821" s="1355"/>
      <c r="I821" s="1355"/>
      <c r="J821" s="1355"/>
      <c r="K821" s="7"/>
      <c r="L821" s="7"/>
      <c r="M821" s="7"/>
      <c r="N821" s="52"/>
      <c r="O821" s="138">
        <f>'päd.Personal - Leitung'!$O$5</f>
        <v>2025</v>
      </c>
      <c r="P821" s="52" t="s">
        <v>140</v>
      </c>
    </row>
    <row r="822" spans="1:19" s="8" customFormat="1" ht="13.5" customHeight="1" x14ac:dyDescent="0.25">
      <c r="B822" s="29"/>
      <c r="C822" s="29"/>
      <c r="D822" s="3" t="s">
        <v>50</v>
      </c>
      <c r="E822" s="28"/>
      <c r="F822" s="28"/>
      <c r="G822" s="28"/>
      <c r="H822" s="28"/>
      <c r="I822" s="24"/>
      <c r="K822" s="1327" t="s">
        <v>13</v>
      </c>
      <c r="L822" s="1327"/>
      <c r="M822" s="131"/>
      <c r="O822" s="928" t="str">
        <f>A845</f>
        <v>Jan 2025</v>
      </c>
      <c r="P822" s="1402">
        <f>IF(M824="","",M824)</f>
        <v>0</v>
      </c>
    </row>
    <row r="823" spans="1:19" s="5" customFormat="1" ht="13.5" customHeight="1" x14ac:dyDescent="0.25">
      <c r="A823" s="1328" t="s">
        <v>754</v>
      </c>
      <c r="B823" s="1328"/>
      <c r="C823" s="1328"/>
      <c r="D823" s="1345"/>
      <c r="E823" s="1345"/>
      <c r="F823" s="1345"/>
      <c r="G823" s="1345"/>
      <c r="H823" s="1345"/>
      <c r="I823" s="1345"/>
      <c r="K823" s="1327" t="s">
        <v>101</v>
      </c>
      <c r="L823" s="1327"/>
      <c r="M823" s="101"/>
      <c r="O823" s="928" t="str">
        <f t="shared" ref="O823:O833" si="136">A846</f>
        <v>Feb 2025</v>
      </c>
      <c r="P823" s="1403">
        <f t="shared" ref="P823:P830" si="137">IF(P822="","",P822)</f>
        <v>0</v>
      </c>
    </row>
    <row r="824" spans="1:19" s="1" customFormat="1" ht="13.5" customHeight="1" x14ac:dyDescent="0.2">
      <c r="A824" s="1328" t="s">
        <v>12</v>
      </c>
      <c r="B824" s="1328"/>
      <c r="C824" s="1328"/>
      <c r="D824" s="1345"/>
      <c r="E824" s="1345"/>
      <c r="F824" s="1345"/>
      <c r="G824" s="1345"/>
      <c r="H824" s="1345"/>
      <c r="I824" s="1345"/>
      <c r="K824" s="1327" t="s">
        <v>149</v>
      </c>
      <c r="L824" s="1327"/>
      <c r="M824" s="101">
        <f>IF((M825+M826)&gt;M823,0,M823-M825-M826)</f>
        <v>0</v>
      </c>
      <c r="O824" s="928" t="str">
        <f t="shared" si="136"/>
        <v>Mrz 2025</v>
      </c>
      <c r="P824" s="1403">
        <f t="shared" si="137"/>
        <v>0</v>
      </c>
    </row>
    <row r="825" spans="1:19" s="1" customFormat="1" ht="13.5" customHeight="1" x14ac:dyDescent="0.2">
      <c r="A825" s="1328" t="s">
        <v>11</v>
      </c>
      <c r="B825" s="1328"/>
      <c r="C825" s="1328"/>
      <c r="D825" s="1345"/>
      <c r="E825" s="1345"/>
      <c r="F825" s="1345"/>
      <c r="G825" s="1345"/>
      <c r="H825" s="1345"/>
      <c r="I825" s="1345"/>
      <c r="K825" s="1327" t="s">
        <v>150</v>
      </c>
      <c r="L825" s="1327"/>
      <c r="M825" s="101"/>
      <c r="O825" s="928" t="str">
        <f t="shared" si="136"/>
        <v>Apr 2025</v>
      </c>
      <c r="P825" s="1403">
        <f t="shared" si="137"/>
        <v>0</v>
      </c>
    </row>
    <row r="826" spans="1:19" s="1" customFormat="1" ht="13.5" customHeight="1" x14ac:dyDescent="0.2">
      <c r="A826" s="1328" t="s">
        <v>18</v>
      </c>
      <c r="B826" s="1328"/>
      <c r="C826" s="1328"/>
      <c r="D826" s="1345"/>
      <c r="E826" s="1345"/>
      <c r="F826" s="1345"/>
      <c r="G826" s="1345"/>
      <c r="H826" s="1345"/>
      <c r="I826" s="1345"/>
      <c r="K826" s="1327" t="s">
        <v>222</v>
      </c>
      <c r="L826" s="1327"/>
      <c r="M826" s="101"/>
      <c r="O826" s="928" t="str">
        <f t="shared" si="136"/>
        <v>Mai 2025</v>
      </c>
      <c r="P826" s="1403">
        <f t="shared" si="137"/>
        <v>0</v>
      </c>
    </row>
    <row r="827" spans="1:19" s="1" customFormat="1" ht="13.5" customHeight="1" x14ac:dyDescent="0.2">
      <c r="B827" s="6"/>
      <c r="C827" s="1029" t="s">
        <v>147</v>
      </c>
      <c r="D827" s="1324"/>
      <c r="E827" s="1324"/>
      <c r="F827" s="1359" t="s">
        <v>103</v>
      </c>
      <c r="G827" s="1359"/>
      <c r="H827" s="1361"/>
      <c r="I827" s="1361"/>
      <c r="K827" s="1327" t="s">
        <v>94</v>
      </c>
      <c r="L827" s="1327"/>
      <c r="M827" s="15" t="str">
        <f>IF(IF((COUNTIF(B845:B856,"&gt;0"))=0,0,(COUNTIF(B845:B856,"&gt;0")))&gt;Grundlagen!$C$26,Grundlagen!$C$26,IF((COUNTIF(B845:B856,"&gt;0"))=0,"",(COUNTIF(B845:B856,"&gt;0"))))</f>
        <v/>
      </c>
      <c r="O827" s="928" t="str">
        <f t="shared" si="136"/>
        <v>Jun 2025</v>
      </c>
      <c r="P827" s="1403">
        <f t="shared" si="137"/>
        <v>0</v>
      </c>
    </row>
    <row r="828" spans="1:19" s="1" customFormat="1" ht="13.5" customHeight="1" x14ac:dyDescent="0.2">
      <c r="I828" s="4"/>
      <c r="M828" s="102" t="str">
        <f>IF((SUM(F830:F833))=0,"",IF(P834&gt;M824,M824,IF(M824="","",IF(M827="","",P834))))</f>
        <v/>
      </c>
      <c r="O828" s="928" t="str">
        <f t="shared" si="136"/>
        <v>Jul 2025</v>
      </c>
      <c r="P828" s="1403">
        <f t="shared" si="137"/>
        <v>0</v>
      </c>
    </row>
    <row r="829" spans="1:19" s="46" customFormat="1" ht="13.5" customHeight="1" x14ac:dyDescent="0.2">
      <c r="A829" s="54" t="s">
        <v>134</v>
      </c>
      <c r="B829" s="1356" t="s">
        <v>135</v>
      </c>
      <c r="C829" s="1356"/>
      <c r="D829" s="55" t="s">
        <v>136</v>
      </c>
      <c r="E829" s="56" t="s">
        <v>137</v>
      </c>
      <c r="F829" s="57" t="str">
        <f>CONCATENATE("Entg. ",N819," h/Wo")</f>
        <v>Entg.  h/Wo</v>
      </c>
      <c r="G829" s="58" t="s">
        <v>138</v>
      </c>
      <c r="I829" s="58" t="s">
        <v>139</v>
      </c>
      <c r="K829" s="970"/>
      <c r="L829" s="970"/>
      <c r="M829" s="59"/>
      <c r="N829" s="968"/>
      <c r="O829" s="928" t="str">
        <f t="shared" si="136"/>
        <v>Aug 2025</v>
      </c>
      <c r="P829" s="1403">
        <f t="shared" si="137"/>
        <v>0</v>
      </c>
      <c r="Q829" s="85"/>
      <c r="R829" s="85"/>
      <c r="S829" s="85"/>
    </row>
    <row r="830" spans="1:19" s="46" customFormat="1" ht="13.5" customHeight="1" x14ac:dyDescent="0.25">
      <c r="A830" s="48" t="str">
        <f>'päd.Personal - Leitung'!$A$14</f>
        <v>Jan 2025</v>
      </c>
      <c r="B830" s="1357" t="str">
        <f>IF($D$3="","",$D$3)</f>
        <v/>
      </c>
      <c r="C830" s="1358"/>
      <c r="D830" s="132"/>
      <c r="E830" s="132"/>
      <c r="F830" s="71"/>
      <c r="G830" s="50">
        <f>IF(N819="",0,F830/N819/4.348)</f>
        <v>0</v>
      </c>
      <c r="I830" s="125">
        <f>SUM(J830:M830)</f>
        <v>0</v>
      </c>
      <c r="J830" s="124"/>
      <c r="K830" s="124"/>
      <c r="L830" s="124"/>
      <c r="M830" s="124"/>
      <c r="N830" s="969"/>
      <c r="O830" s="928" t="str">
        <f t="shared" si="136"/>
        <v>Sep 2025</v>
      </c>
      <c r="P830" s="1403">
        <f t="shared" si="137"/>
        <v>0</v>
      </c>
      <c r="Q830" s="85"/>
      <c r="R830" s="85"/>
      <c r="S830" s="85"/>
    </row>
    <row r="831" spans="1:19" s="46" customFormat="1" ht="13.5" customHeight="1" x14ac:dyDescent="0.25">
      <c r="A831" s="49"/>
      <c r="B831" s="1322" t="str">
        <f>IF(A831="","",B830)</f>
        <v/>
      </c>
      <c r="C831" s="1323"/>
      <c r="D831" s="132"/>
      <c r="E831" s="132"/>
      <c r="F831" s="71"/>
      <c r="G831" s="50">
        <f>IF(N819="",0,F831/N819/4.348)</f>
        <v>0</v>
      </c>
      <c r="I831" s="125">
        <f t="shared" ref="I831:I833" si="138">SUM(J831:M831)</f>
        <v>0</v>
      </c>
      <c r="J831" s="124"/>
      <c r="K831" s="124"/>
      <c r="L831" s="124"/>
      <c r="M831" s="124"/>
      <c r="N831" s="969"/>
      <c r="O831" s="928" t="str">
        <f t="shared" si="136"/>
        <v>Okt 2025</v>
      </c>
      <c r="P831" s="1403">
        <f t="shared" ref="P831:P833" si="139">IF(P830="","",P830)</f>
        <v>0</v>
      </c>
      <c r="Q831" s="85"/>
      <c r="R831" s="85"/>
      <c r="S831" s="85"/>
    </row>
    <row r="832" spans="1:19" s="46" customFormat="1" ht="13.5" customHeight="1" x14ac:dyDescent="0.25">
      <c r="A832" s="49"/>
      <c r="B832" s="1322" t="str">
        <f>IF(A832="","",B831)</f>
        <v/>
      </c>
      <c r="C832" s="1323"/>
      <c r="D832" s="132"/>
      <c r="E832" s="132"/>
      <c r="F832" s="71"/>
      <c r="G832" s="50">
        <f>IF(N819="",0,F832/N819/4.348)</f>
        <v>0</v>
      </c>
      <c r="I832" s="125">
        <f t="shared" si="138"/>
        <v>0</v>
      </c>
      <c r="J832" s="124"/>
      <c r="K832" s="124"/>
      <c r="L832" s="124"/>
      <c r="M832" s="124"/>
      <c r="N832" s="969"/>
      <c r="O832" s="928" t="str">
        <f t="shared" si="136"/>
        <v>Nov 2025</v>
      </c>
      <c r="P832" s="1403">
        <f t="shared" si="139"/>
        <v>0</v>
      </c>
      <c r="Q832" s="85"/>
      <c r="R832" s="85"/>
      <c r="S832" s="85"/>
    </row>
    <row r="833" spans="1:22" s="46" customFormat="1" ht="13.5" customHeight="1" x14ac:dyDescent="0.25">
      <c r="A833" s="49"/>
      <c r="B833" s="1322" t="str">
        <f>IF(A833="","",B832)</f>
        <v/>
      </c>
      <c r="C833" s="1323"/>
      <c r="D833" s="132"/>
      <c r="E833" s="132"/>
      <c r="F833" s="71"/>
      <c r="G833" s="50">
        <f>IF(N819="",0,F833/N819/4.348)</f>
        <v>0</v>
      </c>
      <c r="I833" s="125">
        <f t="shared" si="138"/>
        <v>0</v>
      </c>
      <c r="J833" s="124"/>
      <c r="K833" s="124"/>
      <c r="L833" s="124"/>
      <c r="M833" s="124"/>
      <c r="N833" s="969"/>
      <c r="O833" s="928" t="str">
        <f t="shared" si="136"/>
        <v>Dez 2025</v>
      </c>
      <c r="P833" s="1403">
        <f t="shared" si="139"/>
        <v>0</v>
      </c>
      <c r="Q833" s="85"/>
      <c r="R833" s="85"/>
      <c r="S833" s="85"/>
    </row>
    <row r="834" spans="1:22" s="46" customFormat="1" ht="13.5" customHeight="1" x14ac:dyDescent="0.25">
      <c r="B834" s="972"/>
      <c r="C834" s="972"/>
      <c r="E834" s="972"/>
      <c r="F834" s="972"/>
      <c r="I834" s="930" t="s">
        <v>730</v>
      </c>
      <c r="J834" s="1060"/>
      <c r="K834" s="1060"/>
      <c r="L834" s="1060"/>
      <c r="M834" s="1060"/>
      <c r="N834" s="971"/>
      <c r="O834" s="126" t="s">
        <v>221</v>
      </c>
      <c r="P834" s="127">
        <f>IF(M827="",0,((IF(SUMIF(B845,"&gt;0"),P822,0))+(IF(SUMIF(B846,"&gt;0"),P823,0))+(IF(SUMIF(B847,"&gt;0"),P824,0))+(IF(SUMIF(B848,"&gt;0"),P825,0))+(IF(SUMIF(B849,"&gt;0"),P826,0))+(IF(SUMIF(B850,"&gt;0"),P827,0))+(IF(SUMIF(B851,"&gt;0"),P828,0))+(IF(SUMIF(B852,"&gt;0"),P829,0))+(IF(SUMIF(B853,"&gt;0"),P830,0))+(IF(SUMIF(B854,"&gt;0"),P831,0))+(IF(SUMIF(B855,"&gt;0"),P832,0))+(IF(SUMIF(B856,"&gt;0"),P833,0)))/Grundlagen!$C$26)</f>
        <v>0</v>
      </c>
      <c r="Q834" s="944" t="str">
        <f>CONCATENATE("BBG"," anteilig ",O836)</f>
        <v>BBG anteilig 2025</v>
      </c>
      <c r="R834" s="931" t="s">
        <v>659</v>
      </c>
      <c r="S834" s="931" t="s">
        <v>398</v>
      </c>
      <c r="T834" s="107"/>
    </row>
    <row r="835" spans="1:22" s="46" customFormat="1" ht="13.5" customHeight="1" x14ac:dyDescent="0.2">
      <c r="A835" s="924" t="s">
        <v>732</v>
      </c>
      <c r="D835" s="55" t="s">
        <v>369</v>
      </c>
      <c r="E835" s="56" t="s">
        <v>368</v>
      </c>
      <c r="F835" s="58"/>
      <c r="J835" s="61"/>
      <c r="Q835" s="932" t="s">
        <v>144</v>
      </c>
      <c r="R835" s="140">
        <f>IF(M824=0,R839,IF(M823="",R839,(SUM(R845:R856)/M827)))</f>
        <v>5175</v>
      </c>
      <c r="S835" s="933">
        <f>IF(M824=0,S839,IF(M823="",S839,SUM(R845:R856)))</f>
        <v>0</v>
      </c>
      <c r="T835" s="107"/>
    </row>
    <row r="836" spans="1:22" s="46" customFormat="1" ht="13.5" customHeight="1" x14ac:dyDescent="0.25">
      <c r="A836" s="60"/>
      <c r="B836" s="1314" t="str">
        <f>IF($B$20="","",$B$20)</f>
        <v>Jahressonderzahlung (JSZ)</v>
      </c>
      <c r="C836" s="1315"/>
      <c r="D836" s="926"/>
      <c r="E836" s="929" t="str">
        <f>IF(A836="","",ROUND((((SUM(B851:B853)+SUM(F851:F853))/3)*D836)/Grundlagen!$C$26*M827,2))</f>
        <v/>
      </c>
      <c r="G836" s="941" t="s">
        <v>733</v>
      </c>
      <c r="H836" s="943"/>
      <c r="I836" s="1316" t="str">
        <f>CONCATENATE(R859,":"," Übergangsbereich von ",R860+0.01," €"," bis ",R861," €")</f>
        <v>2025: Übergangsbereich von 556,01 € bis 2000 €</v>
      </c>
      <c r="J836" s="1317"/>
      <c r="K836" s="1317"/>
      <c r="L836" s="1067"/>
      <c r="M836" s="1067"/>
      <c r="N836" s="1068" t="s">
        <v>736</v>
      </c>
      <c r="O836" s="1069">
        <f>P836+1</f>
        <v>2025</v>
      </c>
      <c r="P836" s="1069" t="s">
        <v>721</v>
      </c>
      <c r="Q836" s="932" t="s">
        <v>145</v>
      </c>
      <c r="R836" s="140">
        <f>IF(M824=0,R840,IF(M823="",R840,(SUM(S845:S856)/M827)))</f>
        <v>7450</v>
      </c>
      <c r="S836" s="933">
        <f>IF(M824=0,S840,IF(M823="",S840,SUM(S845:S856)))</f>
        <v>0</v>
      </c>
      <c r="T836" s="109"/>
    </row>
    <row r="837" spans="1:22" s="1" customFormat="1" ht="14.25" customHeight="1" x14ac:dyDescent="0.2">
      <c r="A837" s="60"/>
      <c r="B837" s="1314" t="str">
        <f>IF($B$21="","",$B$21)</f>
        <v>Leistungsentgelt (LOB)</v>
      </c>
      <c r="C837" s="1315"/>
      <c r="D837" s="926"/>
      <c r="E837" s="929" t="str">
        <f>IF(A837="","",ROUND(((B857+F857)*D837)/Grundlagen!$C$26*M827,2))</f>
        <v/>
      </c>
      <c r="G837" s="941" t="str">
        <f>IF(OR(H836="",H836="nein")=TRUE,"","Faktor (F):")</f>
        <v/>
      </c>
      <c r="H837" s="949" t="str">
        <f>IF(OR(H836="",H836="nein")=TRUE,"",IF(H836="","",R863))</f>
        <v/>
      </c>
      <c r="I837" s="1318" t="str">
        <f>IF(OR(H836="",H836="nein")=TRUE,"",IF(H837="","",CONCATENATE(S863*100,"%"," / ","(",R862*100,"%"," Gesamt-SV-Beitragssatz 2024)")))</f>
        <v/>
      </c>
      <c r="J837" s="1319"/>
      <c r="K837" s="1319"/>
      <c r="L837" s="1070"/>
      <c r="M837" s="1070"/>
      <c r="N837" s="1071" t="s">
        <v>144</v>
      </c>
      <c r="O837" s="1072">
        <f>'päd.Personal - Leitung'!$O$21</f>
        <v>5175</v>
      </c>
      <c r="P837" s="1072">
        <f>'päd.Personal - Leitung'!$P$21</f>
        <v>5175</v>
      </c>
      <c r="Q837" s="11"/>
      <c r="R837" s="11"/>
      <c r="S837" s="11"/>
      <c r="T837" s="109"/>
    </row>
    <row r="838" spans="1:22" s="1" customFormat="1" ht="14.25" customHeight="1" x14ac:dyDescent="0.2">
      <c r="C838" s="925" t="s">
        <v>731</v>
      </c>
      <c r="L838" s="1070"/>
      <c r="M838" s="1070"/>
      <c r="N838" s="1071" t="s">
        <v>145</v>
      </c>
      <c r="O838" s="1073">
        <f>'päd.Personal - Leitung'!$O$22</f>
        <v>7450</v>
      </c>
      <c r="P838" s="1073">
        <f>'päd.Personal - Leitung'!$P$22</f>
        <v>7450</v>
      </c>
      <c r="Q838" s="944" t="str">
        <f>CONCATENATE("BBG"," ",O836)</f>
        <v>BBG 2025</v>
      </c>
      <c r="R838" s="11"/>
      <c r="S838" s="11"/>
      <c r="T838" s="109"/>
    </row>
    <row r="839" spans="1:22" s="1" customFormat="1" ht="14.25" customHeight="1" x14ac:dyDescent="0.2">
      <c r="A839" s="53" t="s">
        <v>141</v>
      </c>
      <c r="B839" s="46"/>
      <c r="C839" s="46"/>
      <c r="D839" s="46"/>
      <c r="E839" s="46"/>
      <c r="F839" s="46"/>
      <c r="G839" s="46"/>
      <c r="H839" s="46"/>
      <c r="I839" s="46"/>
      <c r="J839" s="46"/>
      <c r="K839" s="46"/>
      <c r="L839" s="46"/>
      <c r="M839" s="46"/>
      <c r="N839" s="46"/>
      <c r="O839" s="46"/>
      <c r="P839" s="46"/>
      <c r="Q839" s="932" t="s">
        <v>144</v>
      </c>
      <c r="R839" s="141">
        <f>IF($O$21="",0,$O$21)</f>
        <v>5175</v>
      </c>
      <c r="S839" s="933">
        <f>R839*IF(M827="",0,M827)</f>
        <v>0</v>
      </c>
      <c r="T839" s="295"/>
    </row>
    <row r="840" spans="1:22" s="1" customFormat="1" ht="14.25" customHeight="1" x14ac:dyDescent="0.2">
      <c r="A840" s="1346"/>
      <c r="B840" s="1348" t="s">
        <v>8</v>
      </c>
      <c r="C840" s="1349"/>
      <c r="D840" s="1349"/>
      <c r="E840" s="1349"/>
      <c r="F840" s="1349"/>
      <c r="G840" s="1350"/>
      <c r="H840" s="1351" t="s">
        <v>113</v>
      </c>
      <c r="I840" s="1352"/>
      <c r="J840" s="1352"/>
      <c r="K840" s="1352"/>
      <c r="L840" s="1352"/>
      <c r="M840" s="1352"/>
      <c r="N840" s="1352"/>
      <c r="O840" s="30"/>
      <c r="P840" s="1330" t="s">
        <v>0</v>
      </c>
      <c r="Q840" s="932" t="s">
        <v>145</v>
      </c>
      <c r="R840" s="141">
        <f>IF($O$22="",0,$O$22)</f>
        <v>7450</v>
      </c>
      <c r="S840" s="933">
        <f>R840*IF(M827="",0,M827)</f>
        <v>0</v>
      </c>
      <c r="T840" s="830"/>
    </row>
    <row r="841" spans="1:22" s="1" customFormat="1" ht="14.25" customHeight="1" x14ac:dyDescent="0.2">
      <c r="A841" s="1347"/>
      <c r="B841" s="1333" t="s">
        <v>111</v>
      </c>
      <c r="C841" s="1335" t="s">
        <v>743</v>
      </c>
      <c r="D841" s="1337" t="s">
        <v>226</v>
      </c>
      <c r="E841" s="1339" t="s">
        <v>133</v>
      </c>
      <c r="F841" s="1030" t="s">
        <v>6</v>
      </c>
      <c r="G841" s="1340" t="s">
        <v>5</v>
      </c>
      <c r="H841" s="1339" t="s">
        <v>119</v>
      </c>
      <c r="I841" s="1339" t="s">
        <v>4</v>
      </c>
      <c r="J841" s="1339" t="s">
        <v>3</v>
      </c>
      <c r="K841" s="1339" t="s">
        <v>2</v>
      </c>
      <c r="L841" s="1339" t="s">
        <v>114</v>
      </c>
      <c r="M841" s="1339" t="s">
        <v>115</v>
      </c>
      <c r="N841" s="1339" t="s">
        <v>116</v>
      </c>
      <c r="O841" s="1338" t="s">
        <v>109</v>
      </c>
      <c r="P841" s="1331"/>
      <c r="Q841" s="456"/>
      <c r="R841" s="11"/>
      <c r="S841" s="11"/>
      <c r="T841" s="621"/>
    </row>
    <row r="842" spans="1:22" s="1" customFormat="1" ht="14.25" customHeight="1" x14ac:dyDescent="0.2">
      <c r="A842" s="1347"/>
      <c r="B842" s="1333"/>
      <c r="C842" s="1335"/>
      <c r="D842" s="1338"/>
      <c r="E842" s="1339"/>
      <c r="F842" s="1343" t="str">
        <f>I834</f>
        <v>Zuschläge / Zulagen / o.ä.:</v>
      </c>
      <c r="G842" s="1340"/>
      <c r="H842" s="1342" t="s">
        <v>117</v>
      </c>
      <c r="I842" s="1342"/>
      <c r="J842" s="1342"/>
      <c r="K842" s="1342"/>
      <c r="L842" s="1342"/>
      <c r="M842" s="1342"/>
      <c r="N842" s="1342"/>
      <c r="O842" s="1338"/>
      <c r="P842" s="1331"/>
      <c r="Q842" s="456"/>
      <c r="R842" s="1306" t="str">
        <f>Q834</f>
        <v>BBG anteilig 2025</v>
      </c>
      <c r="S842" s="1306"/>
      <c r="T842" s="829"/>
    </row>
    <row r="843" spans="1:22" s="1" customFormat="1" ht="14.25" customHeight="1" x14ac:dyDescent="0.2">
      <c r="A843" s="1347"/>
      <c r="B843" s="1333"/>
      <c r="C843" s="1335"/>
      <c r="D843" s="1338"/>
      <c r="E843" s="1339"/>
      <c r="F843" s="1343"/>
      <c r="G843" s="1340"/>
      <c r="H843" s="39" t="str">
        <f>'päd.Personal - Leitung'!$H$27</f>
        <v>(7,30% + Zusatz)</v>
      </c>
      <c r="I843" s="39" t="str">
        <f>'päd.Personal - Leitung'!$I$27</f>
        <v xml:space="preserve"> (2024: 9,30%)</v>
      </c>
      <c r="J843" s="39" t="str">
        <f>'päd.Personal - Leitung'!$J$27</f>
        <v>(2024: 1,30%)</v>
      </c>
      <c r="K843" s="39" t="str">
        <f>'päd.Personal - Leitung'!$K$27</f>
        <v>(2024: 1,700%)</v>
      </c>
      <c r="L843" s="39"/>
      <c r="M843" s="39"/>
      <c r="N843" s="39" t="str">
        <f>'päd.Personal - Leitung'!$N$27</f>
        <v>(2024: 0,06%)</v>
      </c>
      <c r="O843" s="1338"/>
      <c r="P843" s="1331"/>
      <c r="Q843" s="456"/>
      <c r="R843" s="1307" t="s">
        <v>659</v>
      </c>
      <c r="S843" s="1307"/>
      <c r="T843" s="829"/>
      <c r="U843" s="1308" t="s">
        <v>1</v>
      </c>
      <c r="V843" s="1308" t="s">
        <v>741</v>
      </c>
    </row>
    <row r="844" spans="1:22" s="1" customFormat="1" x14ac:dyDescent="0.2">
      <c r="A844" s="1347"/>
      <c r="B844" s="1334"/>
      <c r="C844" s="1336"/>
      <c r="D844" s="45"/>
      <c r="E844" s="45"/>
      <c r="F844" s="1344"/>
      <c r="G844" s="1341"/>
      <c r="H844" s="74"/>
      <c r="I844" s="99">
        <f>'päd.Personal - Leitung'!$I$28</f>
        <v>0</v>
      </c>
      <c r="J844" s="99">
        <f>'päd.Personal - Leitung'!$J$28</f>
        <v>0</v>
      </c>
      <c r="K844" s="40">
        <f>'päd.Personal - Leitung'!$K$28</f>
        <v>0</v>
      </c>
      <c r="L844" s="19"/>
      <c r="M844" s="19"/>
      <c r="N844" s="99">
        <f>'päd.Personal - Leitung'!$N$28</f>
        <v>0</v>
      </c>
      <c r="O844" s="23"/>
      <c r="P844" s="1332"/>
      <c r="Q844" s="456"/>
      <c r="R844" s="935" t="s">
        <v>144</v>
      </c>
      <c r="S844" s="935" t="s">
        <v>145</v>
      </c>
      <c r="T844" s="829"/>
      <c r="U844" s="1308"/>
      <c r="V844" s="1308"/>
    </row>
    <row r="845" spans="1:22" s="1" customFormat="1" x14ac:dyDescent="0.2">
      <c r="A845" s="76" t="str">
        <f>CONCATENATE("Jan ",O821)</f>
        <v>Jan 2025</v>
      </c>
      <c r="B845" s="22">
        <f>ROUND(IF(P822=0,0,(LOOKUP(2,1/(A830:A833=A845),G830:G833))*P822*4.348),2)</f>
        <v>0</v>
      </c>
      <c r="C845" s="21">
        <f>ROUND(IFERROR((LOOKUP(2,1/(A836=A845),E836)),0)+IFERROR((LOOKUP(2,1/(A837=A845),E837)),0),2)</f>
        <v>0</v>
      </c>
      <c r="D845" s="21">
        <f>ROUND(IF(B845=0,0,D844/M823*P822),2)</f>
        <v>0</v>
      </c>
      <c r="E845" s="21">
        <f>ROUND(IF(B845=0,0,E844/N819*P822),2)</f>
        <v>0</v>
      </c>
      <c r="F845" s="22">
        <f>ROUND(IF(P822=0,0,(LOOKUP(2,1/(A830:A833=A845),I830:I833))/N819*P822),2)</f>
        <v>0</v>
      </c>
      <c r="G845" s="25">
        <f t="shared" ref="G845:G856" si="140">SUM(B845+C845+E845+F845)</f>
        <v>0</v>
      </c>
      <c r="H845" s="64">
        <f>IF(B845=0,0,IF(AND(H836="ja",((U845)&lt;R861)),ROUND(((R863*R860+((R861/(R861-R860))-(R860/(R861-R860))*R863)*((U845)-R860))*(H844*2))-(((R861/(R861-R860))*((U845)-R860))*H844),2),ROUND(IF((U845)&gt;R845,R845*H844,U845*H844),2)))</f>
        <v>0</v>
      </c>
      <c r="I845" s="64">
        <f>IF(B845=0,0,IF(AND(H836="ja",((U845)&lt;R861)),ROUND(((R863*R860+((R861/(R861-R860))-(R860/(R861-R860))*R863)*((U845)-R860))*(I844*2))-(((R861/(R861-R860))*((U845)-R860))*I844),2),ROUND(IF((U845)&gt;S845,S845*I844,U845*I844),2)))</f>
        <v>0</v>
      </c>
      <c r="J845" s="64">
        <f>IF(B845=0,0,IF(AND(H836="ja",((U845)&lt;R861)),ROUND(((R863*R860+((R861/(R861-R860))-(R860/(R861-R860))*R863)*((U845)-R860))*(J844*2))-(((R861/(R861-R860))*((U845)-R860))*J844),2),ROUND(IF((U845)&gt;S845,S845*J844,U845*J844),2)))</f>
        <v>0</v>
      </c>
      <c r="K845" s="64">
        <f>IF(B845=0,0,IF(AND(H836="ja",((U845)&lt;R861)),ROUND(((R863*R860+((R861/(R861-R860))-(R860/(R861-R860))*R863)*((U845)-R860))*(K844*2))-(((R861/(R861-R860))*((U845)-R860))*K844),2),ROUND(IF((U845)&gt;R845,R845*K844,U845*K844),2)))</f>
        <v>0</v>
      </c>
      <c r="L845" s="64">
        <f>IF(B845=0,0,IF(AND(H836="ja",((U845-C845)&lt;R861)),ROUND(((R863*R860+((R861/(R861-R860))-(R860/(R861-R860))*R863)*((U845-C845)-R860))*(L844)),2),ROUND(IF((SUM(B845:F845))&gt;S845,S845*L844,(SUM(B845:F845)-C845)*L844),2)))</f>
        <v>0</v>
      </c>
      <c r="M845" s="64">
        <f>IF(B845=0,0,IF(AND(H836="ja",((U845-C845)&lt;R861)),ROUND(((R863*R860+((R861/(R861-R860))-(R860/(R861-R860))*R863)*((U845-C845)-R860))*(M844)),2),ROUND(IF((SUM(B845:F845))&gt;S845,S845*M844,(SUM(B845:F845)-C845)*M844),2)))</f>
        <v>0</v>
      </c>
      <c r="N845" s="64">
        <f>IF(B845=0,0,IF(AND(H836="ja",((U845)&lt;R861)),ROUND(((R863*R860+((R861/(R861-R860))-(R860/(R861-R860))*R863)*((U845)-R860))*(N844)),2),ROUND(IF((SUM(B845:F845))&gt;S845,S845*N844,SUM(B845:F845)*N844),2)))</f>
        <v>0</v>
      </c>
      <c r="O845" s="21">
        <f>ROUND(SUM(B845+C845+F845)*O844,2)</f>
        <v>0</v>
      </c>
      <c r="P845" s="25">
        <f>SUM(G845:O845)</f>
        <v>0</v>
      </c>
      <c r="Q845" s="456"/>
      <c r="R845" s="140">
        <f>ROUND(IF(M823="",R839,R839/M823*P822),2)</f>
        <v>5175</v>
      </c>
      <c r="S845" s="140">
        <f>ROUND(IF(M823="",R840,R840/M823*P822),2)</f>
        <v>7450</v>
      </c>
      <c r="U845" s="950">
        <f>SUM(B845:F845)</f>
        <v>0</v>
      </c>
      <c r="V845" s="950">
        <f>SUM(B845:F845)</f>
        <v>0</v>
      </c>
    </row>
    <row r="846" spans="1:22" s="1" customFormat="1" x14ac:dyDescent="0.2">
      <c r="A846" s="76" t="str">
        <f>CONCATENATE("Feb ",O821)</f>
        <v>Feb 2025</v>
      </c>
      <c r="B846" s="22">
        <f>ROUND(IF(P823=0,0,IFERROR(((LOOKUP(2,1/(A830:A833=A846),G830:G833))*P823*4.348),B845/P822*P823)),2)</f>
        <v>0</v>
      </c>
      <c r="C846" s="21">
        <f>ROUND(IFERROR((LOOKUP(2,1/(A836=A846),E836)),0)+IFERROR((LOOKUP(2,1/(A837=A846),E837)),0),2)</f>
        <v>0</v>
      </c>
      <c r="D846" s="21">
        <f>ROUND(IF(B846=0,0,D844/M823*P823),2)</f>
        <v>0</v>
      </c>
      <c r="E846" s="21">
        <f>ROUND(IF(B846=0,0,E844/N819*P823),2)</f>
        <v>0</v>
      </c>
      <c r="F846" s="22">
        <f>ROUND(IF(P823=0,0,IFERROR(((LOOKUP(2,1/(A830:A833=A846),I830:I833))/N819*P823),F845/P822*P823)),2)</f>
        <v>0</v>
      </c>
      <c r="G846" s="25">
        <f t="shared" si="140"/>
        <v>0</v>
      </c>
      <c r="H846" s="64">
        <f>IF(B846=0,0,IF(AND(H836="ja",((U846)&lt;R861)),ROUND(((R863*R860+((R861/(R861-R860))-(R860/(R861-R860))*R863)*((U846)-R860))*(H844*2))-(((R861/(R861-R860))*((U846)-R860))*H844),2),ROUND(IF(U845&lt;(R845),IF((V846)&gt;(SUM(R845:R846)),(((SUM(R845:R846))-(V846-C845))*H844)+((U846-C845)*H844),U846*H844),IF(V846&gt;(SUM(R845:R846)),R846*H844,U846*H844)),2)))</f>
        <v>0</v>
      </c>
      <c r="I846" s="64">
        <f>IF(B846=0,0,IF(AND(H836="ja",((U846)&lt;R861)),ROUND(((R863*R860+((R861/(R861-R860))-(R860/(R861-R860))*R863)*((U846)-R860))*(I844*2))-(((R861/(R861-R860))*((U846)-R860))*I844),2),ROUND(IF(U845&lt;(S845),IF((V846)&gt;(SUM(S845:S846)),(((SUM(S845:S846))-(V846-C845))*I844)+((U846-C845)*I844),U846*I844),IF(V846&gt;(SUM(S845:S846)),S846*I844,U846*I844)),2)))</f>
        <v>0</v>
      </c>
      <c r="J846" s="64">
        <f>IF(B846=0,0,IF(AND(H836="ja",((U846)&lt;R861)),ROUND(((R863*R860+((R861/(R861-R860))-(R860/(R861-R860))*R863)*((U846)-R860))*(J844*2))-(((R861/(R861-R860))*((U846)-R860))*J844),2),ROUND(IF(U845&lt;(S845),IF((V846)&gt;(SUM(S845:S846)),(((SUM(S845:S846))-(V846-C845))*J844)+((U846-C845)*J844),U846*J844),IF(V846&gt;(SUM(S845:S846)),S846*J844,U846*J844)),2)))</f>
        <v>0</v>
      </c>
      <c r="K846" s="64">
        <f>IF(B846=0,0,IF(AND(H836="ja",((U846)&lt;R861)),ROUND(((R863*R860+((R861/(R861-R860))-(R860/(R861-R860))*R863)*((U846)-R860))*(K844*2))-(((R861/(R861-R860))*((U846)-R860))*K844),2),ROUND(IF(U845&lt;(R845),IF((V846)&gt;(SUM(R845:R846)),(((SUM(R845:R846))-(V846-C845))*K844)+((U846-C845)*K844),U846*K844),IF(V846&gt;(SUM(R845:R846)),R846*K844,U846*K844)),2)))</f>
        <v>0</v>
      </c>
      <c r="L846" s="64">
        <f>IF(B846=0,0,IF(AND(H836="ja",((U846-C846)&lt;R861)),ROUND(((R863*R860+((R861/(R861-R860))-(R860/(R861-R860))*R863)*((U846-C846)-R860))*(L844)),2),ROUND(IF(SUM(B845:F845)&lt;(S845),IF((SUM(B845:F846))&gt;(SUM(S845:S846)),(((SUM(S845:S846))-(SUM(B845:F846)-C846))*L844)+((SUM(B846:F846)-C846)*L844),(SUM(B846:F846)-C846)*L844),IF(SUM(B845:F846)&gt;(SUM(S845:S846)),S846*L844,SUM(B846:F846)*L844)),2)))</f>
        <v>0</v>
      </c>
      <c r="M846" s="64">
        <f>IF(B846=0,0,IF(AND(H836="ja",((U846-C846)&lt;R861)),ROUND(((R863*R860+((R861/(R861-R860))-(R860/(R861-R860))*R863)*((U846-C846)-R860))*(M844)),2),ROUND(IF(SUM(B845:F845)&lt;(S845),IF((SUM(B845:F846))&gt;(SUM(S845:S846)),(((SUM(S845:S846))-(SUM(B845:F846)-C846))*M844)+((SUM(B846:F846)-C846)*M844),(SUM(B846:F846)-C846)*M844),IF(SUM(B845:F846)&gt;(SUM(S845:S846)),S846*M844,SUM(B846:F846)*M844)),2)))</f>
        <v>0</v>
      </c>
      <c r="N846" s="64">
        <f>IF(B846=0,0,IF(AND(H836="ja",((U846)&lt;R861)),ROUND(((R863*R860+((R861/(R861-R860))-(R860/(R861-R860))*R863)*((U846)-R860))*(N844)),2),ROUND(IF(SUM(B845:F845)&lt;(S845),IF((SUM(B845:F846))&gt;(SUM(S845:S846)),(((SUM(S845:S846))-(SUM(B845:F846)-C845))*N844)+((SUM(B846:F846)-C845)*N844),SUM(B846:F846)*N844),IF(SUM(B845:F846)&gt;(SUM(S845:S846)),S846*N844,SUM(B846:F846)*N844)),2)))</f>
        <v>0</v>
      </c>
      <c r="O846" s="21">
        <f>ROUND(SUM(B846+C846+F846)*O844,2)</f>
        <v>0</v>
      </c>
      <c r="P846" s="25">
        <f t="shared" ref="P846:P856" si="141">SUM(G846:O846)</f>
        <v>0</v>
      </c>
      <c r="Q846" s="456"/>
      <c r="R846" s="140">
        <f>ROUND(IF(M823="",R839,R839/M823*P823),2)</f>
        <v>5175</v>
      </c>
      <c r="S846" s="140">
        <f>ROUND(IF(M823="",R840,R840/M823*P823),2)</f>
        <v>7450</v>
      </c>
      <c r="U846" s="950">
        <f t="shared" ref="U846:U856" si="142">SUM(B846:F846)</f>
        <v>0</v>
      </c>
      <c r="V846" s="950">
        <f>SUM(B845:F846)</f>
        <v>0</v>
      </c>
    </row>
    <row r="847" spans="1:22" s="1" customFormat="1" x14ac:dyDescent="0.2">
      <c r="A847" s="76" t="str">
        <f>CONCATENATE("Mrz ",O821)</f>
        <v>Mrz 2025</v>
      </c>
      <c r="B847" s="22">
        <f>ROUND(IF(P824=0,0,IFERROR(((LOOKUP(2,1/(A830:A833=A847),G830:G833))*P824*4.348),B846/P823*P824)),2)</f>
        <v>0</v>
      </c>
      <c r="C847" s="21">
        <f>ROUND(IFERROR((LOOKUP(2,1/(A836=A847),E836)),0)+IFERROR((LOOKUP(2,1/(A837=A847),E837)),0),2)</f>
        <v>0</v>
      </c>
      <c r="D847" s="21">
        <f>ROUND(IF(B847=0,0,D844/M823*P824),2)</f>
        <v>0</v>
      </c>
      <c r="E847" s="21">
        <f>ROUND(IF(B847=0,0,E844/N819*P824),2)</f>
        <v>0</v>
      </c>
      <c r="F847" s="22">
        <f>ROUND(IF(P824=0,0,IFERROR(((LOOKUP(2,1/(A830:A833=A847),I830:I833))/N819*P824),F846/P823*P824)),2)</f>
        <v>0</v>
      </c>
      <c r="G847" s="25">
        <f t="shared" si="140"/>
        <v>0</v>
      </c>
      <c r="H847" s="64">
        <f>IF(B847=0,0,IF(AND(H836="ja",((U847)&lt;R861)),ROUND(((R863*R860+((R861/(R861-R860))-(R860/(R861-R860))*R863)*((U847)-R860))*(H844*2))-(((R861/(R861-R860))*((U847)-R860))*H844),2),ROUND(IF(V846&lt;(SUM(R845:R846)),IF((V847)&gt;(SUM(R845:R847)),(((SUM(R845:R847))-(V847-C846))*H844)+((U847-C846)*H844),U847*H844),IF(V847&gt;(SUM(R845:R847)),R847*H844,U847*H844)),2)))</f>
        <v>0</v>
      </c>
      <c r="I847" s="64">
        <f>IF(B847=0,0,IF(AND(H836="ja",((U847)&lt;R861)),ROUND(((R863*R860+((R861/(R861-R860))-(R860/(R861-R860))*R863)*((U847)-R860))*(I844*2))-(((R861/(R861-R860))*((U847)-R860))*I844),2),ROUND(IF(V846&lt;(SUM(S845:S846)),IF((V847)&gt;(SUM(S845:S847)),(((SUM(S845:S847))-(V847-C846))*I844)+((U847-C846)*I844),U847*I844),IF(V847&gt;(SUM(S845:S847)),S847*I844,U847*I844)),2)))</f>
        <v>0</v>
      </c>
      <c r="J847" s="64">
        <f>IF(B847=0,0,IF(AND(H836="ja",((U847)&lt;R861)),ROUND(((R863*R860+((R861/(R861-R860))-(R860/(R861-R860))*R863)*((U847)-R860))*(J844*2))-(((R861/(R861-R860))*((U847)-R860))*J844),2),ROUND(IF(V846&lt;(SUM(S845:S846)),IF((V847)&gt;(SUM(S845:S847)),(((SUM(S845:S847))-(V847-C846))*J844)+((U847-C846)*J844),U847*J844),IF(V847&gt;(SUM(S845:S847)),S847*J844,U847*J844)),2)))</f>
        <v>0</v>
      </c>
      <c r="K847" s="64">
        <f>IF(B847=0,0,IF(AND(H836="ja",((U847)&lt;R861)),ROUND(((R863*R860+((R861/(R861-R860))-(R860/(R861-R860))*R863)*((U847)-R860))*(K844*2))-(((R861/(R861-R860))*((U847)-R860))*K844),2),ROUND(IF(V846&lt;(SUM(R845:R846)),IF((V847)&gt;(SUM(R845:R847)),(((SUM(R845:R847))-(V847-C846))*K844)+((U847-C846)*K844),U847*K844),IF(V847&gt;(SUM(R845:R847)),R847*K844,U847*K844)),2)))</f>
        <v>0</v>
      </c>
      <c r="L847" s="64">
        <f>IF(B847=0,0,IF(AND(H836="ja",((U847-C847)&lt;R861)),ROUND(((R863*R860+((R861/(R861-R860))-(R860/(R861-R860))*R863)*((U847-C847)-R860))*(L844)),2),ROUND(IF(SUM(B845:F846)&lt;(SUM(S845:S846)),IF((SUM(B845:F847))&gt;(SUM(S845:S847)),(((SUM(S845:S847))-(SUM(B845:F847)-C847))*L844)+((SUM(B847:F847)-C847)*L844),(SUM(B847:F847)-C847)*L844),IF(SUM(B845:F847)&gt;(SUM(S845:S847)),S847*L844,SUM(B847:F847)*L844)),2)))</f>
        <v>0</v>
      </c>
      <c r="M847" s="64">
        <f>IF(B847=0,0,IF(AND(H836="ja",((U847-C847)&lt;R861)),ROUND(((R863*R860+((R861/(R861-R860))-(R860/(R861-R860))*R863)*((U847-C847)-R860))*(M844)),2),ROUND(IF(SUM(B845:F846)&lt;(SUM(S845:S846)),IF((SUM(B845:F847))&gt;(SUM(S845:S847)),(((SUM(S845:S847))-(SUM(B845:F847)-C847))*M844)+((SUM(B847:F847)-C847)*M844),(SUM(B847:F847)-C847)*M844),IF(SUM(B845:F847)&gt;(SUM(S845:S847)),S847*M844,SUM(B847:F847)*M844)),2)))</f>
        <v>0</v>
      </c>
      <c r="N847" s="64">
        <f>IF(B847=0,0,IF(AND(H836="ja",((U847)&lt;R861)),ROUND(((R863*R860+((R861/(R861-R860))-(R860/(R861-R860))*R863)*((U847)-R860))*(N844)),2),ROUND(IF(SUM(B845:F846)&lt;(SUM(S845:S846)),IF((SUM(B845:F847))&gt;(SUM(S845:S847)),(((SUM(S845:S847))-(SUM(B845:F847)-C846))*N844)+((SUM(B847:F847)-C846)*N844),SUM(B847:F847)*N844),IF(SUM(B845:F847)&gt;(SUM(S845:S847)),S847*N844,SUM(B847:F847)*N844)),2)))</f>
        <v>0</v>
      </c>
      <c r="O847" s="21">
        <f>ROUND(SUM(B847+C847+F847)*O844,2)</f>
        <v>0</v>
      </c>
      <c r="P847" s="25">
        <f t="shared" si="141"/>
        <v>0</v>
      </c>
      <c r="Q847" s="456"/>
      <c r="R847" s="140">
        <f>ROUND(IF(M823="",R839,R839/M823*P824),2)</f>
        <v>5175</v>
      </c>
      <c r="S847" s="140">
        <f>ROUND(IF(M823="",R840,R840/M823*P824),2)</f>
        <v>7450</v>
      </c>
      <c r="U847" s="950">
        <f t="shared" si="142"/>
        <v>0</v>
      </c>
      <c r="V847" s="950">
        <f>SUM(B845:F847)</f>
        <v>0</v>
      </c>
    </row>
    <row r="848" spans="1:22" s="1" customFormat="1" x14ac:dyDescent="0.2">
      <c r="A848" s="76" t="str">
        <f>CONCATENATE("Apr ",O821)</f>
        <v>Apr 2025</v>
      </c>
      <c r="B848" s="22">
        <f>ROUND(IF(P825=0,0,IFERROR(((LOOKUP(2,1/(A830:A833=A848),G830:G833))*P825*4.348),B847/P824*P825)),2)</f>
        <v>0</v>
      </c>
      <c r="C848" s="21">
        <f>ROUND(IFERROR((LOOKUP(2,1/(A836=A848),E836)),0)+IFERROR((LOOKUP(2,1/(A837=A848),E837)),0),2)</f>
        <v>0</v>
      </c>
      <c r="D848" s="21">
        <f>ROUND(IF(B848=0,0,D844/M823*P825),2)</f>
        <v>0</v>
      </c>
      <c r="E848" s="21">
        <f>ROUND(IF(B848=0,0,E844/N819*P825),2)</f>
        <v>0</v>
      </c>
      <c r="F848" s="22">
        <f>ROUND(IF(P825=0,0,IFERROR(((LOOKUP(2,1/(A830:A833=A848),I830:I833))/N819*P825),F847/P824*P825)),2)</f>
        <v>0</v>
      </c>
      <c r="G848" s="25">
        <f t="shared" si="140"/>
        <v>0</v>
      </c>
      <c r="H848" s="64">
        <f>IF(B848=0,0,IF(AND(H836="ja",((U848)&lt;R861)),ROUND(((R863*R860+((R861/(R861-R860))-(R860/(R861-R860))*R863)*((U848)-R860))*(H844*2))-(((R861/(R861-R860))*((U848)-R860))*H844),2),ROUND(IF(V847&lt;(SUM(R845:R847)),IF((V848)&gt;(SUM(R845:R848)),(((SUM(R845:R848))-(V848-C847))*H844)+((U848-C847)*H844),U848*H844),IF(V848&gt;(SUM(R845:R848)),R848*H844,U848*H844)),2)))</f>
        <v>0</v>
      </c>
      <c r="I848" s="64">
        <f>IF(B848=0,0,IF(AND(H836="ja",((U848)&lt;R861)),ROUND(((R863*R860+((R861/(R861-R860))-(R860/(R861-R860))*R863)*((U848)-R860))*(I844*2))-(((R861/(R861-R860))*((U848)-R860))*I844),2),ROUND(IF(V847&lt;(SUM(S845:S847)),IF((V848)&gt;(SUM(S845:S848)),(((SUM(S845:S848))-(V848-C847))*I844)+((U848-C847)*I844),U848*I844),IF(V848&gt;(SUM(S845:S848)),S848*I844,U848*I844)),2)))</f>
        <v>0</v>
      </c>
      <c r="J848" s="64">
        <f>IF(B848=0,0,IF(AND(H836="ja",((U848)&lt;R861)),ROUND(((R863*R860+((R861/(R861-R860))-(R860/(R861-R860))*R863)*((U848)-R860))*(J844*2))-(((R861/(R861-R860))*((U848)-R860))*J844),2),ROUND(IF(U847&lt;(SUM(S845:S847)),IF((V848)&gt;(SUM(S845:S848)),(((SUM(S845:S848))-(V848-C847))*J844)+((U848-C847)*J844),U848*J844),IF(V848&gt;(SUM(S845:S848)),S848*J844,U848*J844)),2)))</f>
        <v>0</v>
      </c>
      <c r="K848" s="64">
        <f>IF(B848=0,0,IF(AND(H836="ja",((U848)&lt;R861)),ROUND(((R863*R860+((R861/(R861-R860))-(R860/(R861-R860))*R863)*((U848)-R860))*(K844*2))-(((R861/(R861-R860))*((U848)-R860))*K844),2),ROUND(IF(V847&lt;(SUM(R845:R847)),IF((V848)&gt;(SUM(R845:R848)),(((SUM(R845:R848))-(V848-C847))*K844)+((U848-C847)*K844),U848*K844),IF(V848&gt;(SUM(R845:R848)),R848*K844,U848*K844)),2)))</f>
        <v>0</v>
      </c>
      <c r="L848" s="64">
        <f>IF(B848=0,0,IF(AND(H836="ja",((U848-C848)&lt;R861)),ROUND(((R863*R860+((R861/(R861-R860))-(R860/(R861-R860))*R863)*((U848-C848)-R860))*(L844)),2),ROUND(IF(SUM(B845:F847)&lt;(SUM(S845:S847)),IF((SUM(B845:F848))&gt;(SUM(S845:S848)),(((SUM(S845:S848))-(SUM(B845:F848)-C848))*L844)+((SUM(B848:F848)-C848)*L844),(SUM(B848:F848)-C848)*L844),IF(SUM(B845:F848)&gt;(SUM(S845:S848)),S848*L844,SUM(B848:F848)*L844)),2)))</f>
        <v>0</v>
      </c>
      <c r="M848" s="64">
        <f>IF(B848=0,0,IF(AND(H836="ja",((U848-C848)&lt;R861)),ROUND(((R863*R860+((R861/(R861-R860))-(R860/(R861-R860))*R863)*((U848-C848)-R860))*(M844)),2),ROUND(IF(SUM(B845:F847)&lt;(SUM(S845:S847)),IF((SUM(B845:F848))&gt;(SUM(S845:S848)),(((SUM(S845:S848))-(SUM(B845:F848)-C848))*M844)+((SUM(B848:F848)-C848)*M844),(SUM(B848:F848)-C848)*M844),IF(SUM(B845:F848)&gt;(SUM(S845:S848)),S848*M844,SUM(B848:F848)*M844)),2)))</f>
        <v>0</v>
      </c>
      <c r="N848" s="64">
        <f>IF(B848=0,0,IF(AND(H836="ja",((U848)&lt;R861)),ROUND(((R863*R860+((R861/(R861-R860))-(R860/(R861-R860))*R863)*((U848)-R860))*(N844)),2),ROUND(IF(SUM(B845:F847)&lt;(SUM(S845:S847)),IF((SUM(B845:F848))&gt;(SUM(S845:S848)),(((SUM(S845:S848))-(SUM(B845:F848)-C847))*N844)+((SUM(B848:F848)-C847)*N844),SUM(B848:F848)*N844),IF(SUM(B845:F848)&gt;(SUM(S845:S848)),S848*N844,SUM(B848:F848)*N844)),2)))</f>
        <v>0</v>
      </c>
      <c r="O848" s="21">
        <f>ROUND(SUM(B848+C848+F848)*O844,2)</f>
        <v>0</v>
      </c>
      <c r="P848" s="25">
        <f t="shared" si="141"/>
        <v>0</v>
      </c>
      <c r="Q848" s="456"/>
      <c r="R848" s="140">
        <f>ROUND(IF(M823="",R839,R839/M823*P825),2)</f>
        <v>5175</v>
      </c>
      <c r="S848" s="140">
        <f>ROUND(IF(M823="",R840,R840/M823*P825),2)</f>
        <v>7450</v>
      </c>
      <c r="U848" s="950">
        <f t="shared" si="142"/>
        <v>0</v>
      </c>
      <c r="V848" s="950">
        <f>SUM(B845:F848)</f>
        <v>0</v>
      </c>
    </row>
    <row r="849" spans="1:24" s="1" customFormat="1" x14ac:dyDescent="0.2">
      <c r="A849" s="76" t="str">
        <f>CONCATENATE("Mai ",O821)</f>
        <v>Mai 2025</v>
      </c>
      <c r="B849" s="22">
        <f>ROUND(IF(P826=0,0,IFERROR(((LOOKUP(2,1/(A830:A833=A849),G830:G833))*P826*4.348),B848/P825*P826)),2)</f>
        <v>0</v>
      </c>
      <c r="C849" s="21">
        <f>ROUND(IFERROR((LOOKUP(2,1/(A836=A849),E836)),0)+IFERROR((LOOKUP(2,1/(A837=A849),E837)),0),2)</f>
        <v>0</v>
      </c>
      <c r="D849" s="21">
        <f>ROUND(IF(B849=0,0,D844/M823*P826),2)</f>
        <v>0</v>
      </c>
      <c r="E849" s="21">
        <f>ROUND(IF(B849=0,0,E844/N819*P826),2)</f>
        <v>0</v>
      </c>
      <c r="F849" s="22">
        <f>ROUND(IF(P826=0,0,IFERROR(((LOOKUP(2,1/(A830:A833=A849),I830:I833))/N819*P826),F848/P825*P826)),2)</f>
        <v>0</v>
      </c>
      <c r="G849" s="25">
        <f t="shared" si="140"/>
        <v>0</v>
      </c>
      <c r="H849" s="64">
        <f>IF(B849=0,0,IF(AND(H836="ja",((U849)&lt;R861)),ROUND(((R863*R860+((R861/(R861-R860))-(R860/(R861-R860))*R863)*((U849)-R860))*(H844*2))-(((R861/(R861-R860))*((U849)-R860))*H844),2),ROUND(IF(V848&lt;(SUM(R845:R848)),IF((V849)&gt;(SUM(R845:R849)),(((SUM(R845:R849))-(V849-C848))*H844)+((U849-C848)*H844),U849*H844),IF(V849&gt;(SUM(R845:R849)),R849*H844,U849*H844)),2)))</f>
        <v>0</v>
      </c>
      <c r="I849" s="64">
        <f>IF(B849=0,0,IF(AND(H836="ja",((U849)&lt;R861)),ROUND(((R863*R860+((R861/(R861-R860))-(R860/(R861-R860))*R863)*((U849)-R860))*(I844*2))-(((R861/(R861-R860))*((U849)-R860))*I844),2),ROUND(IF(V848&lt;(SUM(S845:S848)),IF((V849)&gt;(SUM(S845:S849)),(((SUM(S845:S849))-(V849-C848))*I844)+((U849-C848)*I844),U849*I844),IF(V849&gt;(SUM(S845:S849)),S849*I844,U849*I844)),2)))</f>
        <v>0</v>
      </c>
      <c r="J849" s="64">
        <f>IF(B849=0,0,IF(AND(H836="ja",((U849)&lt;R861)),ROUND(((R863*R860+((R861/(R861-R860))-(R860/(R861-R860))*R863)*((U849)-R860))*(J844*2))-(((R861/(R861-R860))*((U849)-R860))*J844),2),ROUND(IF(V848&lt;(SUM(S845:S848)),IF((V849)&gt;(SUM(S845:S849)),(((SUM(S845:S849))-(V849-C848))*J844)+((U849-C848)*J844),U849*J844),IF(V849&gt;(SUM(S845:S849)),S849*J844,U849*J844)),2)))</f>
        <v>0</v>
      </c>
      <c r="K849" s="64">
        <f>IF(B849=0,0,IF(AND(H836="ja",((U849)&lt;R861)),ROUND(((R863*R860+((R861/(R861-R860))-(R860/(R861-R860))*R863)*((U849)-R860))*(K844*2))-(((R861/(R861-R860))*((U849)-R860))*K844),2),ROUND(IF(V848&lt;(SUM(R845:R848)),IF((V849)&gt;(SUM(R845:R849)),(((SUM(R845:R849))-(V849-C848))*K844)+((U849-C848)*K844),U849*K844),IF(V849&gt;(SUM(R845:R849)),R849*K844,U849*K844)),2)))</f>
        <v>0</v>
      </c>
      <c r="L849" s="64">
        <f>IF(B849=0,0,IF(AND(H836="ja",((U849-C849)&lt;R861)),ROUND(((R863*R860+((R861/(R861-R860))-(R860/(R861-R860))*R863)*((U849-C849)-R860))*(L844)),2),ROUND(IF(SUM(B845:F848)&lt;(SUM(S845:S848)),IF((SUM(B845:F849))&gt;(SUM(S845:S849)),(((SUM(S845:S849))-(SUM(B845:F849)-C849))*L844)+((SUM(B849:F849)-C849)*L844),(SUM(B849:F849)-C849)*L844),IF(SUM(B845:F849)&gt;(SUM(S845:S849)),S849*L844,SUM(B849:F849)*L844)),2)))</f>
        <v>0</v>
      </c>
      <c r="M849" s="64">
        <f>IF(B849=0,0,IF(AND(H836="ja",((U849-C849)&lt;R861)),ROUND(((R863*R860+((R861/(R861-R860))-(R860/(R861-R860))*R863)*((U849-C849)-R860))*(M844)),2),ROUND(IF(SUM(B845:F848)&lt;(SUM(S845:S848)),IF((SUM(B845:F849))&gt;(SUM(S845:S849)),(((SUM(S845:S849))-(SUM(B845:F849)-C849))*M844)+((SUM(B849:F849)-C849)*M844),(SUM(B849:F849)-C849)*M844),IF(SUM(B845:F849)&gt;(SUM(S845:S849)),S849*M844,SUM(B849:F849)*M844)),2)))</f>
        <v>0</v>
      </c>
      <c r="N849" s="64">
        <f>IF(B849=0,0,IF(AND(H836="ja",((U849)&lt;R861)),ROUND(((R863*R860+((R861/(R861-R860))-(R860/(R861-R860))*R863)*((U849)-R860))*(N844)),2),ROUND(IF(SUM(B845:F848)&lt;(SUM(S845:S848)),IF((SUM(B845:F849))&gt;(SUM(S845:S849)),(((SUM(S845:S849))-(SUM(B845:F849)-C848))*N844)+((SUM(B849:F849)-C848)*N844),SUM(B849:F849)*N844),IF(SUM(B845:F849)&gt;(SUM(S845:S849)),S849*N844,SUM(B849:F849)*N844)),2)))</f>
        <v>0</v>
      </c>
      <c r="O849" s="21">
        <f>ROUND(SUM(B849+C849+F849)*O844,2)</f>
        <v>0</v>
      </c>
      <c r="P849" s="25">
        <f t="shared" si="141"/>
        <v>0</v>
      </c>
      <c r="Q849" s="456"/>
      <c r="R849" s="140">
        <f>ROUND(IF(M823="",R839,R839/M823*P826),2)</f>
        <v>5175</v>
      </c>
      <c r="S849" s="140">
        <f>ROUND(IF(M823="",R840,R840/M823*P826),2)</f>
        <v>7450</v>
      </c>
      <c r="U849" s="950">
        <f t="shared" si="142"/>
        <v>0</v>
      </c>
      <c r="V849" s="950">
        <f>SUM(B845:F849)</f>
        <v>0</v>
      </c>
    </row>
    <row r="850" spans="1:24" s="1" customFormat="1" x14ac:dyDescent="0.2">
      <c r="A850" s="76" t="str">
        <f>CONCATENATE("Jun ",O821)</f>
        <v>Jun 2025</v>
      </c>
      <c r="B850" s="22">
        <f>ROUND(IF(P827=0,0,IFERROR(((LOOKUP(2,1/(A830:A833=A850),G830:G833))*P827*4.348),B849/P826*P827)),2)</f>
        <v>0</v>
      </c>
      <c r="C850" s="21">
        <f>ROUND(IFERROR((LOOKUP(2,1/(A836=A850),E836)),0)+IFERROR((LOOKUP(2,1/(A837=A850),E837)),0),2)</f>
        <v>0</v>
      </c>
      <c r="D850" s="21">
        <f>ROUND(IF(B850=0,0,D844/M823*P827),2)</f>
        <v>0</v>
      </c>
      <c r="E850" s="21">
        <f>ROUND(IF(B850=0,0,E844/N819*P827),2)</f>
        <v>0</v>
      </c>
      <c r="F850" s="22">
        <f>ROUND(IF(P827=0,0,IFERROR(((LOOKUP(2,1/(A830:A833=A850),I830:I833))/N819*P827),F849/P826*P827)),2)</f>
        <v>0</v>
      </c>
      <c r="G850" s="25">
        <f t="shared" si="140"/>
        <v>0</v>
      </c>
      <c r="H850" s="64">
        <f>IF(B850=0,0,IF(AND(H836="ja",((U850)&lt;R861)),ROUND(((R863*R860+((R861/(R861-R860))-(R860/(R861-R860))*R863)*((U850)-R860))*(H844*2))-(((R861/(R861-R860))*((U850)-R860))*H844),2),ROUND(IF(V849&lt;(SUM(R845:R849)),IF((V850)&gt;(SUM(R845:R850)),(((SUM(R845:R850))-(V850-C849))*H844)+((U850-C849)*H844),U850*H844),IF(V850&gt;(SUM(R845:R850)),R850*H844,U850*H844)),2)))</f>
        <v>0</v>
      </c>
      <c r="I850" s="64">
        <f>IF(B850=0,0,IF(AND(H836="ja",((U850)&lt;R861)),ROUND(((R863*R860+((R861/(R861-R860))-(R860/(R861-R860))*R863)*((U850)-R860))*(I844*2))-(((R861/(R861-R860))*((U850)-R860))*I844),2),ROUND(IF(V849&lt;(SUM(S845:S849)),IF((V850)&gt;(SUM(S845:S850)),(((SUM(S845:S850))-(V850-C849))*I844)+((U850-C849)*I844),U850*I844),IF(V850&gt;(SUM(S845:S850)),S850*I844,U850*I844)),2)))</f>
        <v>0</v>
      </c>
      <c r="J850" s="64">
        <f>IF(B850=0,0,IF(AND(H836="ja",((U850)&lt;R861)),ROUND(((R863*R860+((R861/(R861-R860))-(R860/(R861-R860))*R863)*((U850)-R860))*(J844*2))-(((R861/(R861-R860))*((U850)-R860))*J844),2),ROUND(IF(V849&lt;(SUM(S845:S849)),IF((V850)&gt;(SUM(S845:S850)),(((SUM(S845:S850))-(V850-C849))*J844)+((U850-C849)*J844),U850*J844),IF(V850&gt;(SUM(S845:S850)),S850*J844,U850*J844)),2)))</f>
        <v>0</v>
      </c>
      <c r="K850" s="64">
        <f>IF(B850=0,0,IF(AND(H836="ja",((U850)&lt;R861)),ROUND(((R863*R860+((R861/(R861-R860))-(R860/(R861-R860))*R863)*((U850)-R860))*(K844*2))-(((R861/(R861-R860))*((U850)-R860))*K844),2),ROUND(IF(V849&lt;(SUM(R845:R849)),IF((V850)&gt;(SUM(R845:R850)),(((SUM(R845:R850))-(V850-C849))*K844)+((U850-C849)*K844),U850*K844),IF(V850&gt;(SUM(R845:R850)),R850*K844,U850*K844)),2)))</f>
        <v>0</v>
      </c>
      <c r="L850" s="64">
        <f>IF(B850=0,0,IF(AND(H836="ja",((U850-C850)&lt;R861)),ROUND(((R863*R860+((R861/(R861-R860))-(R860/(R861-R860))*R863)*((U850-C850)-R860))*(L844)),2),ROUND(IF(SUM(B845:F849)&lt;(SUM(S845:S849)),IF((SUM(B845:F850))&gt;(SUM(S845:S850)),(((SUM(S845:S850))-(SUM(B845:F850)-C850))*L844)+((SUM(B850:F850)-C850)*L844),(SUM(B850:F850)-C850)*L844),IF(SUM(B845:F850)&gt;(SUM(S845:S850)),S850*L844,SUM(B850:F850)*L844)),2)))</f>
        <v>0</v>
      </c>
      <c r="M850" s="64">
        <f>IF(B850=0,0,IF(AND(H836="ja",((U850-C850)&lt;R861)),ROUND(((R863*R860+((R861/(R861-R860))-(R860/(R861-R860))*R863)*((U850-C850)-R860))*(M844)),2),ROUND(IF(SUM(B845:F849)&lt;(SUM(S845:S849)),IF((SUM(B845:F850))&gt;(SUM(S845:S850)),(((SUM(S845:S850))-(SUM(B845:F850)-C850))*M844)+((SUM(B850:F850)-C850)*M844),(SUM(B850:F850)-C850)*M844),IF(SUM(B845:F850)&gt;(SUM(S845:S850)),S850*M844,SUM(B850:F850)*M844)),2)))</f>
        <v>0</v>
      </c>
      <c r="N850" s="64">
        <f>IF(B850=0,0,IF(AND(H836="ja",((U850)&lt;R861)),ROUND(((R863*R860+((R861/(R861-R860))-(R860/(R861-R860))*R863)*((U850)-R860))*(N844)),2),ROUND(IF(SUM(B845:F849)&lt;(SUM(S845:S849)),IF((SUM(B845:F850))&gt;(SUM(S845:S850)),(((SUM(S845:S850))-(SUM(B845:F850)-C849))*N844)+((SUM(B850:F850)-C849)*N844),SUM(B850:F850)*N844),IF(SUM(B845:F850)&gt;(SUM(S845:S850)),S850*N844,SUM(B850:F850)*N844)),2)))</f>
        <v>0</v>
      </c>
      <c r="O850" s="21">
        <f>ROUND(SUM(B850+C850+F850)*O844,2)</f>
        <v>0</v>
      </c>
      <c r="P850" s="25">
        <f t="shared" si="141"/>
        <v>0</v>
      </c>
      <c r="Q850" s="456"/>
      <c r="R850" s="140">
        <f>ROUND(IF(M823="",R839,R839/M823*P827),2)</f>
        <v>5175</v>
      </c>
      <c r="S850" s="140">
        <f>ROUND(IF(M823="",R840,R840/M823*P827),2)</f>
        <v>7450</v>
      </c>
      <c r="U850" s="950">
        <f t="shared" si="142"/>
        <v>0</v>
      </c>
      <c r="V850" s="950">
        <f>SUM(B845:F850)</f>
        <v>0</v>
      </c>
    </row>
    <row r="851" spans="1:24" s="1" customFormat="1" x14ac:dyDescent="0.2">
      <c r="A851" s="76" t="str">
        <f>CONCATENATE("Jul ",O821)</f>
        <v>Jul 2025</v>
      </c>
      <c r="B851" s="22">
        <f>ROUND(IF(P828=0,0,IFERROR(((LOOKUP(2,1/(A830:A833=A851),G830:G833))*P828*4.348),B850/P827*P828)),2)</f>
        <v>0</v>
      </c>
      <c r="C851" s="21">
        <f>ROUND(IFERROR((LOOKUP(2,1/(A836=A851),E836)),0)+IFERROR((LOOKUP(2,1/(A837=A851),E837)),0),2)</f>
        <v>0</v>
      </c>
      <c r="D851" s="21">
        <f>ROUND(IF(B851=0,0,D844/M823*P828),2)</f>
        <v>0</v>
      </c>
      <c r="E851" s="21">
        <f>ROUND(IF(B851=0,0,E844/N819*P828),2)</f>
        <v>0</v>
      </c>
      <c r="F851" s="22">
        <f>ROUND(IF(P828=0,0,IFERROR(((LOOKUP(2,1/(A830:A833=A851),I830:I833))/N819*P828),F850/P827*P828)),2)</f>
        <v>0</v>
      </c>
      <c r="G851" s="25">
        <f t="shared" si="140"/>
        <v>0</v>
      </c>
      <c r="H851" s="64">
        <f>IF(B851=0,0,IF(AND(H836="ja",((U851)&lt;R861)),ROUND(((R863*R860+((R861/(R861-R860))-(R860/(R861-R860))*R863)*((U851)-R860))*(H844*2))-(((R861/(R861-R860))*((U851)-R860))*H844),2),ROUND(IF(V850&lt;(SUM(R845:R850)),IF((V851)&gt;(SUM(R845:R851)),(((SUM(R845:R851))-(V851-C850))*H844)+((U851-C850)*H844),U851*H844),IF(V851&gt;(SUM(R845:R851)),R851*H844,U851*H844)),2)))</f>
        <v>0</v>
      </c>
      <c r="I851" s="64">
        <f>IF(B851=0,0,IF(AND(H836="ja",((U851)&lt;R861)),ROUND(((R863*R860+((R861/(R861-R860))-(R860/(R861-R860))*R863)*((U851)-R860))*(I844*2))-(((R861/(R861-R860))*((U851)-R860))*I844),2),ROUND(IF(V850&lt;(SUM(S845:S850)),IF((V851)&gt;(SUM(S845:S851)),(((SUM(S845:S851))-(V851-C850))*I844)+((U851-C850)*I844),U851*I844),IF(V851&gt;(SUM(S845:S851)),S851*I844,U851*I844)),2)))</f>
        <v>0</v>
      </c>
      <c r="J851" s="64">
        <f>IF(B851=0,0,IF(AND(H836="ja",((U851)&lt;R861)),ROUND(((R863*R860+((R861/(R861-R860))-(R860/(R861-R860))*R863)*((U851)-R860))*(J844*2))-(((R861/(R861-R860))*((U851)-R860))*J844),2),ROUND(IF(V850&lt;(SUM(S845:S850)),IF((V851)&gt;(SUM(S845:S851)),(((SUM(S845:S851))-(V851-C850))*J844)+((U851-C850)*J844),U851*J844),IF(V851&gt;(SUM(S845:S851)),S851*J844,U851*J844)),2)))</f>
        <v>0</v>
      </c>
      <c r="K851" s="64">
        <f>IF(B851=0,0,IF(AND(H836="ja",((U851)&lt;R861)),ROUND(((R863*R860+((R861/(R861-R860))-(R860/(R861-R860))*R863)*((U851)-R860))*(K844*2))-(((R861/(R861-R860))*((U851)-R860))*K844),2),ROUND(IF(V850&lt;(SUM(R845:R850)),IF((V851)&gt;(SUM(R845:R851)),(((SUM(R845:R851))-(V851-C850))*K844)+((U851-C850)*K844),U851*K844),IF(V851&gt;(SUM(R845:R851)),R851*K844,U851*K844)),2)))</f>
        <v>0</v>
      </c>
      <c r="L851" s="64">
        <f>IF(B851=0,0,IF(AND(H836="ja",((U851-C851)&lt;R861)),ROUND(((R863*R860+((R861/(R861-R860))-(R860/(R861-R860))*R863)*((U851-C851)-R860))*(L844)),2),ROUND(IF(SUM(B845:F850)&lt;(SUM(S845:S850)),IF((SUM(B845:F851))&gt;(SUM(S845:S851)),(((SUM(S845:S851))-(SUM(B845:F851)-C851))*L844)+((SUM(B851:F851)-C851)*L844),(SUM(B851:F851)-C851)*L844),IF(SUM(B845:F851)&gt;(SUM(S845:S851)),S851*L844,SUM(B851:F851)*L844)),2)))</f>
        <v>0</v>
      </c>
      <c r="M851" s="64">
        <f>IF(B851=0,0,IF(AND(H836="ja",((U851-C851)&lt;R861)),ROUND(((R863*R860+((R861/(R861-R860))-(R860/(R861-R860))*R863)*((U851-C851)-R860))*(M844)),2),ROUND(IF(SUM(B845:F850)&lt;(SUM(S845:S850)),IF((SUM(B845:F851))&gt;(SUM(S845:S851)),(((SUM(S845:S851))-(SUM(B845:F851)-C851))*M844)+((SUM(B851:F851)-C851)*M844),(SUM(B851:F851)-C851)*M844),IF(SUM(B845:F851)&gt;(SUM(S845:S851)),S851*M844,SUM(B851:F851)*M844)),2)))</f>
        <v>0</v>
      </c>
      <c r="N851" s="64">
        <f>IF(B851=0,0,IF(AND(H836="ja",((U851)&lt;R861)),ROUND(((R863*R860+((R861/(R861-R860))-(R860/(R861-R860))*R863)*((U851)-R860))*(N844)),2),ROUND(IF(SUM(B845:F850)&lt;(SUM(S845:S850)),IF((SUM(B845:F851))&gt;(SUM(S845:S851)),(((SUM(S845:S851))-(SUM(B845:F851)-C850))*N844)+((SUM(B851:F851)-C850)*N844),SUM(B851:F851)*N844),IF(SUM(B845:F851)&gt;(SUM(S845:S851)),S851*N844,SUM(B851:F851)*N844)),2)))</f>
        <v>0</v>
      </c>
      <c r="O851" s="21">
        <f>ROUND(SUM(B851+C851+F851)*O844,2)</f>
        <v>0</v>
      </c>
      <c r="P851" s="25">
        <f t="shared" si="141"/>
        <v>0</v>
      </c>
      <c r="Q851" s="456"/>
      <c r="R851" s="140">
        <f>ROUND(IF(M823="",R839,R839/M823*P828),2)</f>
        <v>5175</v>
      </c>
      <c r="S851" s="140">
        <f>ROUND(IF(M823="",R840,R840/M823*P828),2)</f>
        <v>7450</v>
      </c>
      <c r="U851" s="950">
        <f t="shared" si="142"/>
        <v>0</v>
      </c>
      <c r="V851" s="950">
        <f>SUM(B845:F851)</f>
        <v>0</v>
      </c>
    </row>
    <row r="852" spans="1:24" s="1" customFormat="1" x14ac:dyDescent="0.2">
      <c r="A852" s="76" t="str">
        <f>CONCATENATE("Aug ",O821)</f>
        <v>Aug 2025</v>
      </c>
      <c r="B852" s="22">
        <f>ROUND(IF(P829=0,0,IFERROR(((LOOKUP(2,1/(A830:A833=A852),G830:G833))*P829*4.348),B851/P828*P829)),2)</f>
        <v>0</v>
      </c>
      <c r="C852" s="21">
        <f>ROUND(IFERROR((LOOKUP(2,1/(A836=A852),E836)),0)+IFERROR((LOOKUP(2,1/(A837=A852),E837)),0),2)</f>
        <v>0</v>
      </c>
      <c r="D852" s="21">
        <f>ROUND(IF(B852=0,0,D844/M823*P829),2)</f>
        <v>0</v>
      </c>
      <c r="E852" s="21">
        <f>ROUND(IF(B852=0,0,E844/N819*P829),2)</f>
        <v>0</v>
      </c>
      <c r="F852" s="22">
        <f>ROUND(IF(P829=0,0,IFERROR(((LOOKUP(2,1/(A830:A833=A852),I830:I833))/N819*P829),F851/P828*P829)),2)</f>
        <v>0</v>
      </c>
      <c r="G852" s="25">
        <f t="shared" si="140"/>
        <v>0</v>
      </c>
      <c r="H852" s="64">
        <f>IF(B852=0,0,IF(AND(H836="ja",((U852)&lt;R861)),ROUND(((R863*R860+((R861/(R861-R860))-(R860/(R861-R860))*R863)*((U852)-R860))*(H844*2))-(((R861/(R861-R860))*((U852)-R860))*H844),2),ROUND(IF(V851&lt;(SUM(R845:R851)),IF((V852)&gt;(SUM(R845:R852)),(((SUM(R845:R852))-(V852-C851))*H844)+((U852-C851)*H844),U852*H844),IF(V852&gt;(SUM(R845:R852)),R852*H844,U852*H844)),2)))</f>
        <v>0</v>
      </c>
      <c r="I852" s="64">
        <f>IF(B852=0,0,IF(AND(H836="ja",((U852)&lt;R861)),ROUND(((R863*R860+((R861/(R861-R860))-(R860/(R861-R860))*R863)*((U852)-R860))*(I844*2))-(((R861/(R861-R860))*((U852)-R860))*I844),2),ROUND(IF(V851&lt;(SUM(S845:S851)),IF((V852)&gt;(SUM(S845:S852)),(((SUM(S845:S852))-(V852-C851))*I844)+((U852-C851)*I844),U852*I844),IF(V852&gt;(SUM(S845:S852)),S852*I844,U852*I844)),2)))</f>
        <v>0</v>
      </c>
      <c r="J852" s="64">
        <f>IF(B852=0,0,IF(AND(H836="ja",((U852)&lt;R861)),ROUND(((R863*R860+((R861/(R861-R860))-(R860/(R861-R860))*R863)*((U852)-R860))*(J844*2))-(((R861/(R861-R860))*((U852)-R860))*J844),2),ROUND(IF(V851&lt;(SUM(S845:S851)),IF((V852)&gt;(SUM(S845:S852)),(((SUM(S845:S852))-(V852-C851))*J844)+((U852-C851)*J844),U852*J844),IF(V852&gt;(SUM(S845:S852)),S852*J844,U852*J844)),2)))</f>
        <v>0</v>
      </c>
      <c r="K852" s="64">
        <f>IF(B852=0,0,IF(AND(H836="ja",((U852)&lt;R861)),ROUND(((R863*R860+((R861/(R861-R860))-(R860/(R861-R860))*R863)*((U852)-R860))*(K844*2))-(((R861/(R861-R860))*((U852)-R860))*K844),2),ROUND(IF(V851&lt;(SUM(R845:R851)),IF((V852)&gt;(SUM(R845:R852)),(((SUM(R845:R852))-(V852-C851))*K844)+((U852-C851)*K844),U852*K844),IF(V852&gt;(SUM(R845:R852)),R852*K844,U852*K844)),2)))</f>
        <v>0</v>
      </c>
      <c r="L852" s="64">
        <f>IF(B852=0,0,IF(AND(H836="ja",((U852-C852)&lt;R861)),ROUND(((R863*R860+((R861/(R861-R860))-(R860/(R861-R860))*R863)*((U852-C852)-R860))*(L844)),2),ROUND(IF(SUM(B845:F851)&lt;(SUM(S845:S851)),IF((SUM(B845:F852))&gt;(SUM(S845:S852)),(((SUM(S845:S852))-(SUM(B845:F852)-C852))*L844)+((SUM(B852:F852)-C852)*L844),(SUM(B852:F852)-C852)*L844),IF(SUM(B845:F852)&gt;(SUM(S845:S852)),S852*L844,SUM(B852:F852)*L844)),2)))</f>
        <v>0</v>
      </c>
      <c r="M852" s="64">
        <f>IF(B852=0,0,IF(AND(H836="ja",((U852-C852)&lt;R861)),ROUND(((R863*R860+((R861/(R861-R860))-(R860/(R861-R860))*R863)*((U852-C852)-R860))*(M844)),2),ROUND(IF(SUM(B845:F851)&lt;(SUM(S845:S851)),IF((SUM(B845:F852))&gt;(SUM(S845:S852)),(((SUM(S845:S852))-(SUM(B845:F852)-C852))*M844)+((SUM(B852:F852)-C852)*M844),(SUM(B852:F852)-C852)*M844),IF(SUM(B845:F852)&gt;(SUM(S845:S852)),S852*M844,SUM(B852:F852)*M844)),2)))</f>
        <v>0</v>
      </c>
      <c r="N852" s="64">
        <f>IF(B852=0,0,IF(AND(H836="ja",((U852)&lt;R861)),ROUND(((R863*R860+((R861/(R861-R860))-(R860/(R861-R860))*R863)*((U852)-R860))*(N844)),2),ROUND(IF(SUM(B845:F851)&lt;(SUM(S845:S851)),IF((SUM(B845:F852))&gt;(SUM(S845:S852)),(((SUM(S845:S852))-(SUM(B845:F852)-C851))*N844)+((SUM(B852:F852)-C851)*N844),SUM(B852:F852)*N844),IF(SUM(B845:F852)&gt;(SUM(S845:S852)),S852*N844,SUM(B852:F852)*N844)),2)))</f>
        <v>0</v>
      </c>
      <c r="O852" s="21">
        <f>ROUND(SUM(B852+C852+F852)*O844,2)</f>
        <v>0</v>
      </c>
      <c r="P852" s="25">
        <f t="shared" si="141"/>
        <v>0</v>
      </c>
      <c r="Q852" s="456"/>
      <c r="R852" s="140">
        <f>ROUND(IF(M823="",R839,R839/M823*P829),2)</f>
        <v>5175</v>
      </c>
      <c r="S852" s="140">
        <f>ROUND(IF(M823="",R840,R840/M823*P829),2)</f>
        <v>7450</v>
      </c>
      <c r="U852" s="950">
        <f t="shared" si="142"/>
        <v>0</v>
      </c>
      <c r="V852" s="950">
        <f>SUM(B845:F852)</f>
        <v>0</v>
      </c>
    </row>
    <row r="853" spans="1:24" s="1" customFormat="1" x14ac:dyDescent="0.2">
      <c r="A853" s="76" t="str">
        <f>CONCATENATE("Sep ",O821)</f>
        <v>Sep 2025</v>
      </c>
      <c r="B853" s="22">
        <f>ROUND(IF(P830=0,0,IFERROR(((LOOKUP(2,1/(A830:A833=A853),G830:G833))*P830*4.348),B852/P829*P830)),2)</f>
        <v>0</v>
      </c>
      <c r="C853" s="21">
        <f>ROUND(IFERROR((LOOKUP(2,1/(A836=A853),E836)),0)+IFERROR((LOOKUP(2,1/(A837=A853),E837)),0),2)</f>
        <v>0</v>
      </c>
      <c r="D853" s="21">
        <f>ROUND(IF(B853=0,0,D844/M823*P830),2)</f>
        <v>0</v>
      </c>
      <c r="E853" s="21">
        <f>ROUND(IF(B853=0,0,E844/N819*P830),2)</f>
        <v>0</v>
      </c>
      <c r="F853" s="22">
        <f>ROUND(IF(P830=0,0,IFERROR(((LOOKUP(2,1/(A830:A833=A853),I830:I833))/N819*P830),F852/P829*P830)),2)</f>
        <v>0</v>
      </c>
      <c r="G853" s="25">
        <f t="shared" si="140"/>
        <v>0</v>
      </c>
      <c r="H853" s="64">
        <f>IF(B853=0,0,IF(AND(H836="ja",((U853)&lt;R861)),ROUND(((R863*R860+((R861/(R861-R860))-(R860/(R861-R860))*R863)*((U853)-R860))*(H844*2))-(((R861/(R861-R860))*((U853)-R860))*H844),2),ROUND(IF(V852&lt;(SUM(R845:R852)),IF((V853)&gt;(SUM(R845:R853)),(((SUM(R845:R853))-(V853-C852))*H844)+((U853-C852)*H844),U853*H844),IF(V853&gt;(SUM(R845:R853)),R853*H844,U853*H844)),2)))</f>
        <v>0</v>
      </c>
      <c r="I853" s="64">
        <f>IF(B853=0,0,IF(AND(H836="ja",((U853)&lt;R861)),ROUND(((R863*R860+((R861/(R861-R860))-(R860/(R861-R860))*R863)*((U853)-R860))*(I844*2))-(((R861/(R861-R860))*((U853)-R860))*I844),2),ROUND(IF(V852&lt;(SUM(S845:S852)),IF((V853)&gt;(SUM(S845:S853)),(((SUM(S845:S853))-(V853-C852))*I844)+((U853-C852)*I844),U853*I844),IF(V853&gt;(SUM(S845:S853)),S853*I844,U853*I844)),2)))</f>
        <v>0</v>
      </c>
      <c r="J853" s="64">
        <f>IF(B853=0,0,IF(AND(H836="ja",((U853)&lt;R861)),ROUND(((R863*R860+((R861/(R861-R860))-(R860/(R861-R860))*R863)*((U853)-R860))*(J844*2))-(((R861/(R861-R860))*((U853)-R860))*J844),2),ROUND(IF(V852&lt;(SUM(S845:S852)),IF((V853)&gt;(SUM(S845:S853)),(((SUM(S845:S853))-(V853-C852))*J844)+((U853-C852)*J844),U853*J844),IF(V853&gt;(SUM(S845:S853)),S853*J844,U853*J844)),2)))</f>
        <v>0</v>
      </c>
      <c r="K853" s="64">
        <f>IF(B853=0,0,IF(AND(H836="ja",((U853)&lt;R861)),ROUND(((R863*R860+((R861/(R861-R860))-(R860/(R861-R860))*R863)*((U853)-R860))*(K844*2))-(((R861/(R861-R860))*((U853)-R860))*K844),2),ROUND(IF(V852&lt;(SUM(R845:R852)),IF((V853)&gt;(SUM(R845:R853)),(((SUM(R845:R853))-(V853-C852))*K844)+((U853-C852)*K844),U853*K844),IF(V853&gt;(SUM(R845:R853)),R853*K844,U853*K844)),2)))</f>
        <v>0</v>
      </c>
      <c r="L853" s="64">
        <f>IF(B853=0,0,IF(AND(H836="ja",((U853-C853)&lt;R861)),ROUND(((R863*R860+((R861/(R861-R860))-(R860/(R861-R860))*R863)*((U853-C853)-R860))*(L844)),2),ROUND(IF(SUM(B845:F852)&lt;(SUM(S845:S852)),IF((SUM(B845:F853))&gt;(SUM(S845:S853)),(((SUM(S845:S853))-(SUM(B845:F853)-C853))*L844)+((SUM(B853:F853)-C853)*L844),(SUM(B853:F853)-C853)*L844),IF(SUM(B845:F853)&gt;(SUM(S845:S853)),S853*L844,SUM(B853:F853)*L844)),2)))</f>
        <v>0</v>
      </c>
      <c r="M853" s="64">
        <f>IF(B853=0,0,IF(AND(H836="ja",((U853-C853)&lt;R861)),ROUND(((R863*R860+((R861/(R861-R860))-(R860/(R861-R860))*R863)*((U853-C853)-R860))*(M844)),2),ROUND(IF(SUM(B845:F852)&lt;(SUM(S845:S852)),IF((SUM(B845:F853))&gt;(SUM(S845:S853)),(((SUM(S845:S853))-(SUM(B845:F853)-C853))*M844)+((SUM(B853:F853)-C853)*M844),(SUM(B853:F853)-C853)*M844),IF(SUM(B845:F853)&gt;(SUM(S845:S853)),S853*M844,SUM(B853:F853)*M844)),2)))</f>
        <v>0</v>
      </c>
      <c r="N853" s="64">
        <f>IF(B853=0,0,IF(AND(H836="ja",((U853)&lt;R861)),ROUND(((R863*R860+((R861/(R861-R860))-(R860/(R861-R860))*R863)*((U853)-R860))*(N844)),2),ROUND(IF(SUM(B845:F852)&lt;(SUM(S845:S852)),IF((SUM(B845:F853))&gt;(SUM(S845:S853)),(((SUM(S845:S853))-(SUM(B845:F853)-C852))*N844)+((SUM(B853:F853)-C852)*N844),SUM(B853:F853)*N844),IF(SUM(B845:F853)&gt;(SUM(S845:S853)),S853*N844,SUM(B853:F853)*N844)),2)))</f>
        <v>0</v>
      </c>
      <c r="O853" s="21">
        <f>ROUND(SUM(B853+C853+F853)*O844,2)</f>
        <v>0</v>
      </c>
      <c r="P853" s="25">
        <f t="shared" si="141"/>
        <v>0</v>
      </c>
      <c r="Q853" s="456"/>
      <c r="R853" s="140">
        <f>ROUND(IF(M823="",R839,R839/M823*P830),2)</f>
        <v>5175</v>
      </c>
      <c r="S853" s="140">
        <f>ROUND(IF(M823="",R840,R840/M823*P830),2)</f>
        <v>7450</v>
      </c>
      <c r="U853" s="950">
        <f t="shared" si="142"/>
        <v>0</v>
      </c>
      <c r="V853" s="950">
        <f>SUM(B845:F853)</f>
        <v>0</v>
      </c>
    </row>
    <row r="854" spans="1:24" s="12" customFormat="1" ht="15" x14ac:dyDescent="0.25">
      <c r="A854" s="76" t="str">
        <f>CONCATENATE("Okt ",O821)</f>
        <v>Okt 2025</v>
      </c>
      <c r="B854" s="22">
        <f>ROUND(IF(P831=0,0,IFERROR(((LOOKUP(2,1/(A830:A833=A854),G830:G833))*P831*4.348),B853/P830*P831)),2)</f>
        <v>0</v>
      </c>
      <c r="C854" s="21">
        <f>ROUND(IFERROR((LOOKUP(2,1/(A836=A854),E836)),0)+IFERROR((LOOKUP(2,1/(A837=A854),E837)),0),2)</f>
        <v>0</v>
      </c>
      <c r="D854" s="21">
        <f>ROUND(IF(B854=0,0,D844/M823*P831),2)</f>
        <v>0</v>
      </c>
      <c r="E854" s="21">
        <f>ROUND(IF(B854=0,0,E844/N819*P831),2)</f>
        <v>0</v>
      </c>
      <c r="F854" s="22">
        <f>ROUND(IF(P831=0,0,IFERROR(((LOOKUP(2,1/(A830:A833=A854),I830:I833))/N819*P831),F853/P830*P831)),2)</f>
        <v>0</v>
      </c>
      <c r="G854" s="25">
        <f t="shared" si="140"/>
        <v>0</v>
      </c>
      <c r="H854" s="64">
        <f>IF(B854=0,0,IF(AND(H836="ja",((U854)&lt;R861)),ROUND(((R863*R860+((R861/(R861-R860))-(R860/(R861-R860))*R863)*((U854)-R860))*(H844*2))-(((R861/(R861-R860))*((U854)-R860))*H844),2),ROUND(IF(V853&lt;(SUM(R845:R853)),IF((V854)&gt;(SUM(R845:R854)),(((SUM(R845:R854))-(V854-C853))*H844)+((U854-C853)*H844),U854*H844),IF(V854&gt;(SUM(R845:R854)),R854*H844,U854*H844)),2)))</f>
        <v>0</v>
      </c>
      <c r="I854" s="64">
        <f>IF(B854=0,0,IF(AND(H836="ja",((U854)&lt;R861)),ROUND(((R863*R860+((R861/(R861-R860))-(R860/(R861-R860))*R863)*((U854)-R860))*(I844*2))-(((R861/(R861-R860))*((U854)-R860))*I844),2),ROUND(IF(V853&lt;(SUM(S845:S853)),IF((V854)&gt;(SUM(S845:S854)),(((SUM(S845:S854))-(V854-C853))*I844)+((U854-C853)*I844),U854*I844),IF(V854&gt;(SUM(S845:S854)),S854*I844,U854*I844)),2)))</f>
        <v>0</v>
      </c>
      <c r="J854" s="64">
        <f>IF(B854=0,0,IF(AND(H836="ja",((U854)&lt;R861)),ROUND(((R863*R860+((R861/(R861-R860))-(R860/(R861-R860))*R863)*((U854)-R860))*(J844*2))-(((R861/(R861-R860))*((U854)-R860))*J844),2),ROUND(IF(V853&lt;(SUM(S845:S853)),IF((V854)&gt;(SUM(S845:S854)),(((SUM(S845:S854))-(V854-C853))*J844)+((U854-C853)*J844),U854*J844),IF(V854&gt;(SUM(S845:S854)),S854*J844,U854*J844)),2)))</f>
        <v>0</v>
      </c>
      <c r="K854" s="64">
        <f>IF(B854=0,0,IF(AND(H836="ja",((U854)&lt;R861)),ROUND(((R863*R860+((R861/(R861-R860))-(R860/(R861-R860))*R863)*((U854)-R860))*(K844*2))-(((R861/(R861-R860))*((U854)-R860))*K844),2),ROUND(IF(V853&lt;(SUM(R845:R853)),IF((V854)&gt;(SUM(R845:R854)),(((SUM(R845:R854))-(V854-C853))*K844)+((U854-C853)*K844),U854*K844),IF(V854&gt;(SUM(R845:R854)),R854*K844,U854*K844)),2)))</f>
        <v>0</v>
      </c>
      <c r="L854" s="64">
        <f>IF(B854=0,0,IF(AND(H836="ja",((U854-C854)&lt;R861)),ROUND(((R863*R860+((R861/(R861-R860))-(R860/(R861-R860))*R863)*((U854-C854)-R860))*(L844)),2),ROUND(IF(SUM(B845:F853)&lt;(SUM(S845:S853)),IF((SUM(B845:F854))&gt;(SUM(S845:S854)),(((SUM(S845:S854))-(SUM(B845:F854)-C854))*L844)+((SUM(B854:F854)-C854)*L844),(SUM(B854:F854)-C854)*L844),IF(SUM(B845:F854)&gt;(SUM(S845:S854)),S854*L844,SUM(B854:F854)*L844)),2)))</f>
        <v>0</v>
      </c>
      <c r="M854" s="64">
        <f>IF(B854=0,0,IF(AND(H836="ja",((U854-C854)&lt;R861)),ROUND(((R863*R860+((R861/(R861-R860))-(R860/(R861-R860))*R863)*((U854-C854)-R860))*(M844)),2),ROUND(IF(SUM(B845:F853)&lt;(SUM(S845:S853)),IF((SUM(B845:F854))&gt;(SUM(S845:S854)),(((SUM(S845:S854))-(SUM(B845:F854)-C854))*M844)+((SUM(B854:F854)-C854)*M844),(SUM(B854:F854)-C854)*M844),IF(SUM(B845:F854)&gt;(SUM(S845:S854)),S854*M844,SUM(B854:F854)*M844)),2)))</f>
        <v>0</v>
      </c>
      <c r="N854" s="64">
        <f>IF(B854=0,0,IF(AND(H836="ja",((U854)&lt;R861)),ROUND(((R863*R860+((R861/(R861-R860))-(R860/(R861-R860))*R863)*((U854)-R860))*(N844)),2),ROUND(IF(SUM(B845:F853)&lt;(SUM(S845:S853)),IF((SUM(B845:F854))&gt;(SUM(S845:S854)),(((SUM(S845:S854))-(SUM(B845:F854)-C853))*N844)+((SUM(B854:F854)-C853)*N844),SUM(B854:F854)*N844),IF(SUM(B845:F854)&gt;(SUM(S845:S854)),S854*N844,SUM(B854:F854)*N844)),2)))</f>
        <v>0</v>
      </c>
      <c r="O854" s="21">
        <f>ROUND(SUM(B854+C854+F854)*O844,2)</f>
        <v>0</v>
      </c>
      <c r="P854" s="25">
        <f t="shared" si="141"/>
        <v>0</v>
      </c>
      <c r="Q854" s="936"/>
      <c r="R854" s="140">
        <f>ROUND(IF(M823="",R839,R839/M823*P831),2)</f>
        <v>5175</v>
      </c>
      <c r="S854" s="140">
        <f>ROUND(IF(M823="",R840,R840/M823*P831),2)</f>
        <v>7450</v>
      </c>
      <c r="U854" s="950">
        <f t="shared" si="142"/>
        <v>0</v>
      </c>
      <c r="V854" s="950">
        <f>SUM(B845:F854)</f>
        <v>0</v>
      </c>
      <c r="X854" s="1"/>
    </row>
    <row r="855" spans="1:24" s="11" customFormat="1" x14ac:dyDescent="0.2">
      <c r="A855" s="76" t="str">
        <f>CONCATENATE("Nov ",O821)</f>
        <v>Nov 2025</v>
      </c>
      <c r="B855" s="22">
        <f>ROUND(IF(P832=0,0,IFERROR(((LOOKUP(2,1/(A830:A833=A855),G830:G833))*P832*4.348),B854/P831*P832)),2)</f>
        <v>0</v>
      </c>
      <c r="C855" s="21">
        <f>ROUND(IFERROR((LOOKUP(2,1/(A836=A855),E836)),0)+(IFERROR((LOOKUP(2,1/(A837=A855),E837)),0)),2)</f>
        <v>0</v>
      </c>
      <c r="D855" s="21">
        <f>ROUND(IF(B855=0,0,D844/M823*P832),2)</f>
        <v>0</v>
      </c>
      <c r="E855" s="21">
        <f>ROUND(IF(B855=0,0,E844/N819*P832),2)</f>
        <v>0</v>
      </c>
      <c r="F855" s="22">
        <f>ROUND(IF(P832=0,0,IFERROR(((LOOKUP(2,1/(A830:A833=A855),I830:I833))/N819*P832),F854/P831*P832)),2)</f>
        <v>0</v>
      </c>
      <c r="G855" s="25">
        <f t="shared" si="140"/>
        <v>0</v>
      </c>
      <c r="H855" s="64">
        <f>IF(B855=0,0,IF(AND(H836="ja",((U855)&lt;R861)),ROUND(((R863*R860+((R861/(R861-R860))-(R860/(R861-R860))*R863)*((U855)-R860))*(H844*2))-(((R861/(R861-R860))*((U855)-R860))*H844),2),ROUND(IF(V854&lt;(SUM(R845:R854)),IF((V855)&gt;(SUM(R845:R855)),(((SUM(R845:R855))-(V855-C854))*H844)+((U855-C854)*H844),U855*H844),IF(V855&gt;(SUM(R845:R855)),R855*H844,U855*H844)),2)))</f>
        <v>0</v>
      </c>
      <c r="I855" s="64">
        <f>IF(B855=0,0,IF(AND(H836="ja",((U855)&lt;R861)),ROUND(((R863*R860+((R861/(R861-R860))-(R860/(R861-R860))*R863)*((U855)-R860))*(I844*2))-(((R861/(R861-R860))*((U855)-R860))*I844),2),ROUND(IF(V854&lt;(SUM(S845:S854)),IF((V855)&gt;(SUM(S845:S855)),(((SUM(S845:S855))-(V855-C854))*I844)+((U855-C854)*I844),U855*I844),IF(V855&gt;(SUM(S845:S855)),S855*I844,U855*I844)),2)))</f>
        <v>0</v>
      </c>
      <c r="J855" s="64">
        <f>IF(B855=0,0,IF(AND(H836="ja",((U855)&lt;R861)),ROUND(((R863*R860+((R861/(R861-R860))-(R860/(R861-R860))*R863)*((U855)-R860))*(J844*2))-(((R861/(R861-R860))*((U855)-R860))*J844),2),ROUND(IF(V854&lt;(SUM(S845:S854)),IF((V855)&gt;(SUM(S845:S855)),(((SUM(S845:S855))-(V855-C854))*J844)+((U855-C854)*J844),U855*J844),IF(V855&gt;(SUM(S845:S855)),S855*J844,U855*J844)),2)))</f>
        <v>0</v>
      </c>
      <c r="K855" s="64">
        <f>IF(B855=0,0,IF(AND(H836="ja",((U855)&lt;R861)),ROUND(((R863*R860+((R861/(R861-R860))-(R860/(R861-R860))*R863)*((U855)-R860))*(K844*2))-(((R861/(R861-R860))*((U855)-R860))*K844),2),ROUND(IF(V854&lt;(SUM(R845:R854)),IF((V855)&gt;(SUM(R845:R855)),(((SUM(R845:R855))-(V855-C854))*K844)+((U855-C854)*K844),U855*K844),IF(V855&gt;(SUM(R845:R855)),R855*K844,U855*K844)),2)))</f>
        <v>0</v>
      </c>
      <c r="L855" s="64">
        <f>IF(B855=0,0,IF(AND(H836="ja",((U855-C855)&lt;R861)),ROUND(((R863*R860+((R861/(R861-R860))-(R860/(R861-R860))*R863)*((U855-C855)-R860))*(L844)),2),ROUND(IF(SUM(B845:F854)&lt;(SUM(S845:S854)),IF((SUM(B845:F855))&gt;(SUM(S845:S855)),(((SUM(S845:S855))-(SUM(B845:F855)-C855))*L844)+((SUM(B855:F855)-C855)*L844),(SUM(B855:F855)-C855)*L844),IF(SUM(B845:F855)&gt;(SUM(S845:S855)),S855*L844,SUM(B855:F855)*L844)),2)))</f>
        <v>0</v>
      </c>
      <c r="M855" s="64">
        <f>IF(B855=0,0,IF(AND(H836="ja",((U855-C855)&lt;R861)),ROUND(((R863*R860+((R861/(R861-R860))-(R860/(R861-R860))*R863)*((U855-C855)-R860))*(M844)),2),ROUND(IF(SUM(B845:F854)&lt;(SUM(S845:S854)),IF((SUM(B845:F855))&gt;(SUM(S845:S855)),(((SUM(S845:S855))-(SUM(B845:F855)-C855))*M844)+((SUM(B855:F855)-C855)*M844),(SUM(B855:F855)-C855)*M844),IF(SUM(B845:F855)&gt;(SUM(S845:S855)),S855*M844,SUM(B855:F855)*M844)),2)))</f>
        <v>0</v>
      </c>
      <c r="N855" s="64">
        <f>IF(B855=0,0,IF(AND(H836="ja",((U855)&lt;R861)),ROUND(((R863*R860+((R861/(R861-R860))-(R860/(R861-R860))*R863)*((U855)-R860))*(N844)),2),ROUND(IF(SUM(B845:F854)&lt;(SUM(S845:S854)),IF((SUM(B845:F855))&gt;(SUM(S845:S855)),(((SUM(S845:S855))-(SUM(B845:F855)-C854))*N844)+((SUM(B855:F855)-C854)*N844),SUM(B855:F855)*N844),IF(SUM(B845:F855)&gt;(SUM(S845:S855)),S855*N844,SUM(B855:F855)*N844)),2)))</f>
        <v>0</v>
      </c>
      <c r="O855" s="21">
        <f>ROUND(SUM(B855+C855+F855)*O844,2)</f>
        <v>0</v>
      </c>
      <c r="P855" s="25">
        <f t="shared" si="141"/>
        <v>0</v>
      </c>
      <c r="R855" s="140">
        <f>ROUND(IF(M823="",R839,R839/M823*P832),2)</f>
        <v>5175</v>
      </c>
      <c r="S855" s="140">
        <f>ROUND(IF(M823="",R840,R840/M823*P832),2)</f>
        <v>7450</v>
      </c>
      <c r="U855" s="950">
        <f t="shared" si="142"/>
        <v>0</v>
      </c>
      <c r="V855" s="950">
        <f>SUM(B845:F855)</f>
        <v>0</v>
      </c>
      <c r="X855" s="1"/>
    </row>
    <row r="856" spans="1:24" s="1" customFormat="1" ht="14.25" customHeight="1" x14ac:dyDescent="0.2">
      <c r="A856" s="76" t="str">
        <f>CONCATENATE("Dez ",O821)</f>
        <v>Dez 2025</v>
      </c>
      <c r="B856" s="22">
        <f>ROUND(IF(P833=0,0,IFERROR(((LOOKUP(2,1/(A830:A833=A856),G830:G833))*P833*4.348),B855/P832*P833)),2)</f>
        <v>0</v>
      </c>
      <c r="C856" s="21">
        <f>ROUND(IFERROR((LOOKUP(2,1/(A836=A856),E836)),0)+IFERROR((LOOKUP(2,1/(A837=A856),E837)),0),2)</f>
        <v>0</v>
      </c>
      <c r="D856" s="21">
        <f>ROUND(IF(B856=0,0,D844/M823*P833),2)</f>
        <v>0</v>
      </c>
      <c r="E856" s="21">
        <f>ROUND(IF(B856=0,0,E844/N819*P833),2)</f>
        <v>0</v>
      </c>
      <c r="F856" s="22">
        <f>ROUND(IF(P833=0,0,IFERROR(((LOOKUP(2,1/(A830:A833=A856),I830:I833))/N819*P833),F855/P832*P833)),2)</f>
        <v>0</v>
      </c>
      <c r="G856" s="25">
        <f t="shared" si="140"/>
        <v>0</v>
      </c>
      <c r="H856" s="64">
        <f>IF(B856=0,0,IF(AND(H836="ja",((U856)&lt;R861)),ROUND(((R863*R860+((R861/(R861-R860))-(R860/(R861-R860))*R863)*((U856)-R860))*(H844*2))-(((R861/(R861-R860))*((U856)-R860))*H844),2),ROUND(IF(V855&lt;(SUM(R845:R855)),IF((V856)&gt;(SUM(R845:R856)),(((SUM(R845:R856))-(V856-C855))*H844)+((U856-C855)*H844),U856*H844),IF(V856&gt;(SUM(R845:R856)),R856*H844,U856*H844)),2)))</f>
        <v>0</v>
      </c>
      <c r="I856" s="64">
        <f>IF(B856=0,0,IF(AND(H836="ja",((U856)&lt;R861)),ROUND(((R863*R860+((R861/(R861-R860))-(R860/(R861-R860))*R863)*((U856)-R860))*(I844*2))-(((R861/(R861-R860))*((U856)-R860))*I844),2),ROUND(IF(V855&lt;(SUM(S845:S855)),IF((V856)&gt;(SUM(S845:S856)),(((SUM(S845:S856))-(V856-C855))*I844)+((U856-C855)*I844),U856*I844),IF(V856&gt;(SUM(S845:S856)),S856*I844,U856*I844)),2)))</f>
        <v>0</v>
      </c>
      <c r="J856" s="64">
        <f>IF(B856=0,0,IF(AND(H836="ja",((U856)&lt;R861)),ROUND(((R863*R860+((R861/(R861-R860))-(R860/(R861-R860))*R863)*((U856)-R860))*(J844*2))-(((R861/(R861-R860))*((U856)-R860))*J844),2),ROUND(IF(V855&lt;(SUM(S845:S855)),IF((V856)&gt;(SUM(S845:S856)),(((SUM(S845:S856))-(V856-C855))*J844)+((U856-C855)*J844),U856*J844),IF(V856&gt;(SUM(S845:S856)),S856*J844,U856*J844)),2)))</f>
        <v>0</v>
      </c>
      <c r="K856" s="64">
        <f>IF(B856=0,0,IF(AND(H836="ja",((U856)&lt;R861)),ROUND(((R863*R860+((R861/(R861-R860))-(R860/(R861-R860))*R863)*((U856)-R860))*(K844*2))-(((R861/(R861-R860))*((U856)-R860))*K844),2),ROUND(IF(V855&lt;(SUM(R845:R855)),IF((V856)&gt;(SUM(R845:R856)),(((SUM(R845:R856))-(V856-C855))*K844)+((U856-C855)*K844),U856*K844),IF(V856&gt;(SUM(R845:R856)),R856*K844,U856*K844)),2)))</f>
        <v>0</v>
      </c>
      <c r="L856" s="64">
        <f>IF(B856=0,0,IF(AND(H836="ja",((U856-C856)&lt;R861)),ROUND(((R863*R860+((R861/(R861-R860))-(R860/(R861-R860))*R863)*((U856-C856)-R860))*(L844)),2),ROUND(IF(SUM(B845:F855)&lt;(SUM(S845:S855)),IF((SUM(B845:F856))&gt;(SUM(S845:S856)),(((SUM(S845:S856))-(SUM(B845:F856)-C856))*L844)+((SUM(B856:F856)-C856)*L844),(SUM(B856:F856)-C856)*L844),IF(SUM(B845:F856)&gt;(SUM(S845:S856)),S856*L844,SUM(B856:F856)*L844)),2)))</f>
        <v>0</v>
      </c>
      <c r="M856" s="64">
        <f>IF(B856=0,0,IF(AND(H836="ja",((U856-C856)&lt;R861)),ROUND(((R863*R860+((R861/(R861-R860))-(R860/(R861-R860))*R863)*((U856-C856)-R860))*(M844)),2),ROUND(IF(SUM(B845:F855)&lt;(SUM(S845:S855)),IF((SUM(B845:F856))&gt;(SUM(S845:S856)),(((SUM(S845:S856))-(SUM(B845:F856)-C856))*M844)+((SUM(B856:F856)-C856)*M844),(SUM(B856:F856)-C856)*M844),IF(SUM(B845:F856)&gt;(SUM(S845:S856)),S856*M844,SUM(B856:F856)*M844)),2)))</f>
        <v>0</v>
      </c>
      <c r="N856" s="64">
        <f>IF(B856=0,0,IF(AND(H836="ja",((U856)&lt;R861)),ROUND(((R863*R860+((R861/(R861-R860))-(R860/(R861-R860))*R863)*((U856)-R860))*(N844)),2),ROUND(IF(SUM(B845:F855)&lt;(SUM(S845:S855)),IF((SUM(B845:F856))&gt;(SUM(S845:S856)),(((SUM(S845:S856))-(SUM(B845:F856)-C855))*N844)+((SUM(B856:F856)-C855)*N844),SUM(B856:F856)*N844),IF(SUM(B845:F856)&gt;(SUM(S845:S856)),S856*N844,SUM(B856:F856)*N844)),2)))</f>
        <v>0</v>
      </c>
      <c r="O856" s="21">
        <f>ROUND(SUM(B856+C856+F856)*O844,2)</f>
        <v>0</v>
      </c>
      <c r="P856" s="25">
        <f t="shared" si="141"/>
        <v>0</v>
      </c>
      <c r="Q856" s="11"/>
      <c r="R856" s="140">
        <f>ROUND(IF(M823="",R839,R839/M823*P833),2)</f>
        <v>5175</v>
      </c>
      <c r="S856" s="140">
        <f>ROUND(IF(M823="",R840,R840/M823*P833),2)</f>
        <v>7450</v>
      </c>
      <c r="U856" s="950">
        <f t="shared" si="142"/>
        <v>0</v>
      </c>
      <c r="V856" s="950">
        <f>SUM(B845:F856)</f>
        <v>0</v>
      </c>
    </row>
    <row r="857" spans="1:24" s="1" customFormat="1" ht="15" customHeight="1" x14ac:dyDescent="0.2">
      <c r="A857" s="2" t="s">
        <v>1</v>
      </c>
      <c r="B857" s="25">
        <f t="shared" ref="B857:G857" si="143">SUM(B845:B856)</f>
        <v>0</v>
      </c>
      <c r="C857" s="25">
        <f t="shared" si="143"/>
        <v>0</v>
      </c>
      <c r="D857" s="25">
        <f t="shared" si="143"/>
        <v>0</v>
      </c>
      <c r="E857" s="25">
        <f t="shared" si="143"/>
        <v>0</v>
      </c>
      <c r="F857" s="25">
        <f t="shared" si="143"/>
        <v>0</v>
      </c>
      <c r="G857" s="25">
        <f t="shared" si="143"/>
        <v>0</v>
      </c>
      <c r="H857" s="1309">
        <f>SUM(H845:N856)</f>
        <v>0</v>
      </c>
      <c r="I857" s="1310"/>
      <c r="J857" s="1310"/>
      <c r="K857" s="1310"/>
      <c r="L857" s="1310"/>
      <c r="M857" s="1310"/>
      <c r="N857" s="1311"/>
      <c r="O857" s="25">
        <f>SUM(O845:O856)</f>
        <v>0</v>
      </c>
      <c r="P857" s="25">
        <f>SUM(P845:P856)</f>
        <v>0</v>
      </c>
    </row>
    <row r="858" spans="1:24" s="1" customFormat="1" ht="12" customHeight="1" x14ac:dyDescent="0.2"/>
    <row r="859" spans="1:24" s="1" customFormat="1" ht="14.25" customHeight="1" x14ac:dyDescent="0.2">
      <c r="B859" s="906"/>
      <c r="H859" s="905"/>
      <c r="I859" s="62"/>
      <c r="J859" s="914" t="s">
        <v>123</v>
      </c>
      <c r="L859" s="900" t="s">
        <v>124</v>
      </c>
      <c r="M859" s="974" t="str">
        <f>IF(IF(G857=0,"",'päd.Personal - Leitung'!$M$43)=0,"",IF(G857=0,"",'päd.Personal - Leitung'!$M$43))</f>
        <v/>
      </c>
      <c r="N859" s="902" t="s">
        <v>125</v>
      </c>
      <c r="O859" s="963" t="str">
        <f>IF(IF(G857=0,"",'päd.Personal - Leitung'!$O$43)=0,"",IF(G857=0,"",'päd.Personal - Leitung'!$O$43))</f>
        <v/>
      </c>
      <c r="P859" s="25">
        <f>ROUND(IF(M859="",0,G857*M859*O859/1000),2)</f>
        <v>0</v>
      </c>
      <c r="Q859" s="937"/>
      <c r="R859" s="938">
        <v>2025</v>
      </c>
      <c r="S859" s="939"/>
    </row>
    <row r="860" spans="1:24" s="1" customFormat="1" ht="14.25" customHeight="1" x14ac:dyDescent="0.2">
      <c r="H860" s="907"/>
      <c r="I860" s="42"/>
      <c r="M860" s="915" t="s">
        <v>129</v>
      </c>
      <c r="N860" s="80" t="s">
        <v>125</v>
      </c>
      <c r="O860" s="75" t="str">
        <f>IF(IF(G857=0,"",'päd.Personal - Leitung'!$O$44)=0,"",IF(G857=0,"",'päd.Personal - Leitung'!$O$44))</f>
        <v/>
      </c>
      <c r="P860" s="25">
        <f>ROUND(IF(O860="",0,G857*O860/1000),2)</f>
        <v>0</v>
      </c>
      <c r="Q860" s="942" t="s">
        <v>737</v>
      </c>
      <c r="R860" s="141">
        <f>'päd.Personal - Leitung'!$R$44</f>
        <v>556</v>
      </c>
      <c r="S860" s="955">
        <f>'päd.Personal - Leitung'!$S$44</f>
        <v>12.82</v>
      </c>
    </row>
    <row r="861" spans="1:24" s="1" customFormat="1" ht="14.25" customHeight="1" x14ac:dyDescent="0.2">
      <c r="H861" s="912" t="s">
        <v>126</v>
      </c>
      <c r="I861" s="1013" t="s">
        <v>127</v>
      </c>
      <c r="J861" s="975" t="str">
        <f>IF(IF(G857=0,"",'päd.Personal - Leitung'!$J$45)=0,"",IF(G857=0,"",'päd.Personal - Leitung'!$J$45))</f>
        <v/>
      </c>
      <c r="K861" s="902" t="s">
        <v>128</v>
      </c>
      <c r="L861" s="964" t="str">
        <f>IF(IF(G857=0,"",'päd.Personal - Leitung'!$L$45)=0,"",IF(G857=0,"",'päd.Personal - Leitung'!$L$45))</f>
        <v/>
      </c>
      <c r="M861" s="16"/>
      <c r="N861" s="900" t="s">
        <v>132</v>
      </c>
      <c r="O861" s="965" t="str">
        <f>IF(IF(G857=0,"",'päd.Personal - Leitung'!$O$45)=0,"",IF(G857=0,"",'päd.Personal - Leitung'!$O$45))</f>
        <v/>
      </c>
      <c r="P861" s="25">
        <f>ROUND(IF(J861="",0,(J861*L861/O861)/M825*M826),2)</f>
        <v>0</v>
      </c>
      <c r="Q861" s="942" t="s">
        <v>738</v>
      </c>
      <c r="R861" s="140">
        <f>'päd.Personal - Leitung'!$R$45</f>
        <v>2000</v>
      </c>
      <c r="S861" s="939"/>
    </row>
    <row r="862" spans="1:24" s="1" customFormat="1" ht="14.25" customHeight="1" x14ac:dyDescent="0.2">
      <c r="D862" s="16"/>
      <c r="I862" s="16"/>
      <c r="J862" s="16"/>
      <c r="K862" s="63"/>
      <c r="L862" s="67"/>
      <c r="M862" s="915" t="s">
        <v>130</v>
      </c>
      <c r="N862" s="80" t="s">
        <v>131</v>
      </c>
      <c r="O862" s="904">
        <f>IF(IF(G857="",0,'päd.Personal - Leitung'!$O$94)=0,0,IF(G857="",0,'päd.Personal - Leitung'!$O$94))</f>
        <v>0</v>
      </c>
      <c r="P862" s="21">
        <f>ROUND(IF(G857=0,0,O862/M823*M824),2)</f>
        <v>0</v>
      </c>
      <c r="Q862" s="942" t="s">
        <v>740</v>
      </c>
      <c r="R862" s="956">
        <f>'päd.Personal - Leitung'!$R$46</f>
        <v>0.40900000000000003</v>
      </c>
    </row>
    <row r="863" spans="1:24" s="1" customFormat="1" ht="14.25" customHeight="1" x14ac:dyDescent="0.2">
      <c r="A863" s="16"/>
      <c r="B863" s="16"/>
      <c r="I863" s="905"/>
      <c r="J863" s="961" t="s">
        <v>176</v>
      </c>
      <c r="K863" s="1312" t="str">
        <f>IF($K$47="","",$K$47)</f>
        <v/>
      </c>
      <c r="L863" s="1312"/>
      <c r="M863" s="1312"/>
      <c r="N863" s="80" t="s">
        <v>131</v>
      </c>
      <c r="O863" s="904">
        <f>IF(IF(G857="",0,'päd.Personal - Leitung'!$O$95)=0,0,IF(G857="",0,'päd.Personal - Leitung'!$O$95))</f>
        <v>0</v>
      </c>
      <c r="P863" s="21">
        <f>ROUND(IF(G857=0,0,O863/M823*M824),2)</f>
        <v>0</v>
      </c>
      <c r="Q863" s="942" t="s">
        <v>739</v>
      </c>
      <c r="R863" s="940">
        <f>'päd.Personal - Leitung'!$R$47</f>
        <v>0.68459999999999999</v>
      </c>
      <c r="S863" s="957">
        <f>'päd.Personal - Leitung'!$S$47</f>
        <v>0.28000000000000003</v>
      </c>
    </row>
    <row r="864" spans="1:24" s="1" customFormat="1" ht="14.25" customHeight="1" x14ac:dyDescent="0.2">
      <c r="A864" s="908"/>
      <c r="B864" s="908"/>
      <c r="C864" s="1013"/>
      <c r="D864" s="1013"/>
      <c r="I864" s="913"/>
      <c r="J864" s="913"/>
      <c r="K864" s="916"/>
      <c r="L864" s="27"/>
      <c r="M864" s="27"/>
      <c r="N864" s="27"/>
      <c r="O864" s="26" t="s">
        <v>0</v>
      </c>
      <c r="P864" s="25">
        <f>P857+SUM(P859:P863)</f>
        <v>0</v>
      </c>
    </row>
    <row r="865" spans="1:19" s="10" customFormat="1" ht="13.5" customHeight="1" x14ac:dyDescent="0.2">
      <c r="A865" s="1321" t="s">
        <v>17</v>
      </c>
      <c r="B865" s="1321"/>
      <c r="C865" s="1321"/>
      <c r="D865" s="1320" t="str">
        <f>IF('päd.Personal - Leitung'!$D$1="","",'päd.Personal - Leitung'!$D$1)</f>
        <v/>
      </c>
      <c r="E865" s="1320"/>
      <c r="F865" s="1320"/>
      <c r="G865" s="1320"/>
      <c r="H865" s="1320"/>
      <c r="I865" s="1320"/>
      <c r="J865" s="1320"/>
      <c r="K865" s="1320"/>
      <c r="L865" s="1320"/>
      <c r="M865" s="1320"/>
      <c r="N865" s="1320"/>
    </row>
    <row r="866" spans="1:19" s="10" customFormat="1" ht="15" customHeight="1" x14ac:dyDescent="0.2">
      <c r="A866" s="1321" t="s">
        <v>16</v>
      </c>
      <c r="B866" s="1321"/>
      <c r="C866" s="1321" t="s">
        <v>14</v>
      </c>
      <c r="D866" s="1320" t="str">
        <f>IF('päd.Personal - Leitung'!$D$2="","",'päd.Personal - Leitung'!$D$2)</f>
        <v/>
      </c>
      <c r="E866" s="1320"/>
      <c r="F866" s="1320"/>
      <c r="G866" s="1320"/>
      <c r="H866" s="1320"/>
      <c r="I866" s="1320"/>
      <c r="J866" s="1320"/>
      <c r="K866" s="1320"/>
      <c r="L866" s="1320"/>
      <c r="M866" s="1320"/>
      <c r="N866" s="1320"/>
    </row>
    <row r="867" spans="1:19" s="10" customFormat="1" ht="15" customHeight="1" x14ac:dyDescent="0.2">
      <c r="A867" s="1321" t="s">
        <v>15</v>
      </c>
      <c r="B867" s="1321"/>
      <c r="C867" s="1321" t="s">
        <v>14</v>
      </c>
      <c r="D867" s="1320" t="str">
        <f>IF('päd.Personal - Leitung'!$D$3="","",'päd.Personal - Leitung'!$D$3)</f>
        <v/>
      </c>
      <c r="E867" s="1320"/>
      <c r="F867" s="1320"/>
      <c r="G867" s="1320"/>
      <c r="H867" s="1320"/>
      <c r="I867" s="1320"/>
      <c r="J867" s="1320"/>
      <c r="K867" s="1321" t="s">
        <v>100</v>
      </c>
      <c r="L867" s="1321"/>
      <c r="M867" s="1321"/>
      <c r="N867" s="38" t="str">
        <f>IF('päd.Personal - Leitung'!$N$3="","",'päd.Personal - Leitung'!$N$3)</f>
        <v/>
      </c>
    </row>
    <row r="868" spans="1:19" s="923" customFormat="1" ht="7.5" customHeight="1" x14ac:dyDescent="0.15">
      <c r="A868" s="1353"/>
      <c r="B868" s="1353"/>
      <c r="C868" s="1353"/>
      <c r="D868" s="1354"/>
      <c r="E868" s="1354"/>
      <c r="F868" s="1354"/>
      <c r="G868" s="1354"/>
      <c r="H868" s="1354"/>
      <c r="I868" s="1354"/>
      <c r="J868" s="1354"/>
      <c r="K868" s="922"/>
      <c r="L868" s="922"/>
      <c r="M868" s="922"/>
      <c r="N868" s="922"/>
      <c r="O868" s="922"/>
      <c r="P868" s="922"/>
    </row>
    <row r="869" spans="1:19" s="13" customFormat="1" ht="13.5" customHeight="1" x14ac:dyDescent="0.2">
      <c r="A869" s="1355" t="s">
        <v>151</v>
      </c>
      <c r="B869" s="1355"/>
      <c r="C869" s="1355"/>
      <c r="D869" s="1355"/>
      <c r="E869" s="1355"/>
      <c r="F869" s="1355"/>
      <c r="G869" s="1355"/>
      <c r="H869" s="1355"/>
      <c r="I869" s="1355"/>
      <c r="J869" s="1355"/>
      <c r="K869" s="7"/>
      <c r="L869" s="7"/>
      <c r="M869" s="7"/>
      <c r="N869" s="52"/>
      <c r="O869" s="138">
        <f>'päd.Personal - Leitung'!$O$5</f>
        <v>2025</v>
      </c>
      <c r="P869" s="52" t="s">
        <v>140</v>
      </c>
    </row>
    <row r="870" spans="1:19" s="8" customFormat="1" ht="13.5" customHeight="1" x14ac:dyDescent="0.25">
      <c r="B870" s="29"/>
      <c r="C870" s="29"/>
      <c r="D870" s="3" t="s">
        <v>51</v>
      </c>
      <c r="E870" s="28"/>
      <c r="F870" s="28"/>
      <c r="G870" s="28"/>
      <c r="H870" s="28"/>
      <c r="I870" s="24"/>
      <c r="K870" s="1327" t="s">
        <v>13</v>
      </c>
      <c r="L870" s="1327"/>
      <c r="M870" s="131"/>
      <c r="O870" s="928" t="str">
        <f>A893</f>
        <v>Jan 2025</v>
      </c>
      <c r="P870" s="1402">
        <f>IF(M872="","",M872)</f>
        <v>0</v>
      </c>
    </row>
    <row r="871" spans="1:19" s="5" customFormat="1" ht="13.5" customHeight="1" x14ac:dyDescent="0.25">
      <c r="A871" s="1328" t="s">
        <v>754</v>
      </c>
      <c r="B871" s="1328"/>
      <c r="C871" s="1328"/>
      <c r="D871" s="1345"/>
      <c r="E871" s="1345"/>
      <c r="F871" s="1345"/>
      <c r="G871" s="1345"/>
      <c r="H871" s="1345"/>
      <c r="I871" s="1345"/>
      <c r="K871" s="1327" t="s">
        <v>101</v>
      </c>
      <c r="L871" s="1327"/>
      <c r="M871" s="101"/>
      <c r="O871" s="928" t="str">
        <f t="shared" ref="O871:O881" si="144">A894</f>
        <v>Feb 2025</v>
      </c>
      <c r="P871" s="1403">
        <f t="shared" ref="P871:P878" si="145">IF(P870="","",P870)</f>
        <v>0</v>
      </c>
    </row>
    <row r="872" spans="1:19" s="1" customFormat="1" ht="13.5" customHeight="1" x14ac:dyDescent="0.2">
      <c r="A872" s="1328" t="s">
        <v>12</v>
      </c>
      <c r="B872" s="1328"/>
      <c r="C872" s="1328"/>
      <c r="D872" s="1345"/>
      <c r="E872" s="1345"/>
      <c r="F872" s="1345"/>
      <c r="G872" s="1345"/>
      <c r="H872" s="1345"/>
      <c r="I872" s="1345"/>
      <c r="K872" s="1327" t="s">
        <v>149</v>
      </c>
      <c r="L872" s="1327"/>
      <c r="M872" s="101">
        <f>IF((M873+M874)&gt;M871,0,M871-M873-M874)</f>
        <v>0</v>
      </c>
      <c r="O872" s="928" t="str">
        <f t="shared" si="144"/>
        <v>Mrz 2025</v>
      </c>
      <c r="P872" s="1403">
        <f t="shared" si="145"/>
        <v>0</v>
      </c>
    </row>
    <row r="873" spans="1:19" s="1" customFormat="1" ht="13.5" customHeight="1" x14ac:dyDescent="0.2">
      <c r="A873" s="1328" t="s">
        <v>11</v>
      </c>
      <c r="B873" s="1328"/>
      <c r="C873" s="1328"/>
      <c r="D873" s="1345"/>
      <c r="E873" s="1345"/>
      <c r="F873" s="1345"/>
      <c r="G873" s="1345"/>
      <c r="H873" s="1345"/>
      <c r="I873" s="1345"/>
      <c r="K873" s="1327" t="s">
        <v>150</v>
      </c>
      <c r="L873" s="1327"/>
      <c r="M873" s="101"/>
      <c r="O873" s="928" t="str">
        <f t="shared" si="144"/>
        <v>Apr 2025</v>
      </c>
      <c r="P873" s="1403">
        <f t="shared" si="145"/>
        <v>0</v>
      </c>
    </row>
    <row r="874" spans="1:19" s="1" customFormat="1" ht="13.5" customHeight="1" x14ac:dyDescent="0.2">
      <c r="A874" s="1328" t="s">
        <v>18</v>
      </c>
      <c r="B874" s="1328"/>
      <c r="C874" s="1328"/>
      <c r="D874" s="1345"/>
      <c r="E874" s="1345"/>
      <c r="F874" s="1345"/>
      <c r="G874" s="1345"/>
      <c r="H874" s="1345"/>
      <c r="I874" s="1345"/>
      <c r="K874" s="1327" t="s">
        <v>222</v>
      </c>
      <c r="L874" s="1327"/>
      <c r="M874" s="101"/>
      <c r="O874" s="928" t="str">
        <f t="shared" si="144"/>
        <v>Mai 2025</v>
      </c>
      <c r="P874" s="1403">
        <f t="shared" si="145"/>
        <v>0</v>
      </c>
    </row>
    <row r="875" spans="1:19" s="1" customFormat="1" ht="13.5" customHeight="1" x14ac:dyDescent="0.2">
      <c r="B875" s="6"/>
      <c r="C875" s="1029" t="s">
        <v>147</v>
      </c>
      <c r="D875" s="1324"/>
      <c r="E875" s="1324"/>
      <c r="F875" s="1359" t="s">
        <v>103</v>
      </c>
      <c r="G875" s="1359"/>
      <c r="H875" s="1361"/>
      <c r="I875" s="1361"/>
      <c r="K875" s="1327" t="s">
        <v>94</v>
      </c>
      <c r="L875" s="1327"/>
      <c r="M875" s="15" t="str">
        <f>IF(IF((COUNTIF(B893:B904,"&gt;0"))=0,0,(COUNTIF(B893:B904,"&gt;0")))&gt;Grundlagen!$C$26,Grundlagen!$C$26,IF((COUNTIF(B893:B904,"&gt;0"))=0,"",(COUNTIF(B893:B904,"&gt;0"))))</f>
        <v/>
      </c>
      <c r="O875" s="928" t="str">
        <f t="shared" si="144"/>
        <v>Jun 2025</v>
      </c>
      <c r="P875" s="1403">
        <f t="shared" si="145"/>
        <v>0</v>
      </c>
    </row>
    <row r="876" spans="1:19" s="1" customFormat="1" ht="13.5" customHeight="1" x14ac:dyDescent="0.2">
      <c r="I876" s="4"/>
      <c r="M876" s="102" t="str">
        <f>IF((SUM(F878:F881))=0,"",IF(P882&gt;M872,M872,IF(M872="","",IF(M875="","",P882))))</f>
        <v/>
      </c>
      <c r="O876" s="928" t="str">
        <f t="shared" si="144"/>
        <v>Jul 2025</v>
      </c>
      <c r="P876" s="1403">
        <f t="shared" si="145"/>
        <v>0</v>
      </c>
    </row>
    <row r="877" spans="1:19" s="46" customFormat="1" ht="13.5" customHeight="1" x14ac:dyDescent="0.2">
      <c r="A877" s="54" t="s">
        <v>134</v>
      </c>
      <c r="B877" s="1356" t="s">
        <v>135</v>
      </c>
      <c r="C877" s="1356"/>
      <c r="D877" s="55" t="s">
        <v>136</v>
      </c>
      <c r="E877" s="56" t="s">
        <v>137</v>
      </c>
      <c r="F877" s="57" t="str">
        <f>CONCATENATE("Entg. ",N867," h/Wo")</f>
        <v>Entg.  h/Wo</v>
      </c>
      <c r="G877" s="58" t="s">
        <v>138</v>
      </c>
      <c r="I877" s="58" t="s">
        <v>139</v>
      </c>
      <c r="K877" s="970"/>
      <c r="L877" s="970"/>
      <c r="M877" s="59"/>
      <c r="N877" s="968"/>
      <c r="O877" s="928" t="str">
        <f t="shared" si="144"/>
        <v>Aug 2025</v>
      </c>
      <c r="P877" s="1403">
        <f t="shared" si="145"/>
        <v>0</v>
      </c>
      <c r="Q877" s="85"/>
      <c r="R877" s="85"/>
      <c r="S877" s="85"/>
    </row>
    <row r="878" spans="1:19" s="46" customFormat="1" ht="13.5" customHeight="1" x14ac:dyDescent="0.25">
      <c r="A878" s="48" t="str">
        <f>'päd.Personal - Leitung'!$A$14</f>
        <v>Jan 2025</v>
      </c>
      <c r="B878" s="1357" t="str">
        <f>IF($D$3="","",$D$3)</f>
        <v/>
      </c>
      <c r="C878" s="1358"/>
      <c r="D878" s="132"/>
      <c r="E878" s="132"/>
      <c r="F878" s="71"/>
      <c r="G878" s="50">
        <f>IF(N867="",0,F878/N867/4.348)</f>
        <v>0</v>
      </c>
      <c r="I878" s="125">
        <f>SUM(J878:M878)</f>
        <v>0</v>
      </c>
      <c r="J878" s="124"/>
      <c r="K878" s="124"/>
      <c r="L878" s="124"/>
      <c r="M878" s="124"/>
      <c r="N878" s="969"/>
      <c r="O878" s="928" t="str">
        <f t="shared" si="144"/>
        <v>Sep 2025</v>
      </c>
      <c r="P878" s="1403">
        <f t="shared" si="145"/>
        <v>0</v>
      </c>
      <c r="Q878" s="85"/>
      <c r="R878" s="85"/>
      <c r="S878" s="85"/>
    </row>
    <row r="879" spans="1:19" s="46" customFormat="1" ht="13.5" customHeight="1" x14ac:dyDescent="0.25">
      <c r="A879" s="49"/>
      <c r="B879" s="1322" t="str">
        <f>IF(A879="","",B878)</f>
        <v/>
      </c>
      <c r="C879" s="1323"/>
      <c r="D879" s="132"/>
      <c r="E879" s="132"/>
      <c r="F879" s="71"/>
      <c r="G879" s="50">
        <f>IF(N867="",0,F879/N867/4.348)</f>
        <v>0</v>
      </c>
      <c r="I879" s="125">
        <f t="shared" ref="I879:I881" si="146">SUM(J879:M879)</f>
        <v>0</v>
      </c>
      <c r="J879" s="124"/>
      <c r="K879" s="124"/>
      <c r="L879" s="124"/>
      <c r="M879" s="124"/>
      <c r="N879" s="969"/>
      <c r="O879" s="928" t="str">
        <f t="shared" si="144"/>
        <v>Okt 2025</v>
      </c>
      <c r="P879" s="1403">
        <f t="shared" ref="P879:P881" si="147">IF(P878="","",P878)</f>
        <v>0</v>
      </c>
      <c r="Q879" s="85"/>
      <c r="R879" s="85"/>
      <c r="S879" s="85"/>
    </row>
    <row r="880" spans="1:19" s="46" customFormat="1" ht="13.5" customHeight="1" x14ac:dyDescent="0.25">
      <c r="A880" s="49"/>
      <c r="B880" s="1322" t="str">
        <f>IF(A880="","",B879)</f>
        <v/>
      </c>
      <c r="C880" s="1323"/>
      <c r="D880" s="132"/>
      <c r="E880" s="132"/>
      <c r="F880" s="71"/>
      <c r="G880" s="50">
        <f>IF(N867="",0,F880/N867/4.348)</f>
        <v>0</v>
      </c>
      <c r="I880" s="125">
        <f t="shared" si="146"/>
        <v>0</v>
      </c>
      <c r="J880" s="124"/>
      <c r="K880" s="124"/>
      <c r="L880" s="124"/>
      <c r="M880" s="124"/>
      <c r="N880" s="969"/>
      <c r="O880" s="928" t="str">
        <f t="shared" si="144"/>
        <v>Nov 2025</v>
      </c>
      <c r="P880" s="1403">
        <f t="shared" si="147"/>
        <v>0</v>
      </c>
      <c r="Q880" s="85"/>
      <c r="R880" s="85"/>
      <c r="S880" s="85"/>
    </row>
    <row r="881" spans="1:22" s="46" customFormat="1" ht="13.5" customHeight="1" x14ac:dyDescent="0.25">
      <c r="A881" s="49"/>
      <c r="B881" s="1322" t="str">
        <f>IF(A881="","",B880)</f>
        <v/>
      </c>
      <c r="C881" s="1323"/>
      <c r="D881" s="132"/>
      <c r="E881" s="132"/>
      <c r="F881" s="71"/>
      <c r="G881" s="50">
        <f>IF(N867="",0,F881/N867/4.348)</f>
        <v>0</v>
      </c>
      <c r="I881" s="125">
        <f t="shared" si="146"/>
        <v>0</v>
      </c>
      <c r="J881" s="124"/>
      <c r="K881" s="124"/>
      <c r="L881" s="124"/>
      <c r="M881" s="124"/>
      <c r="N881" s="969"/>
      <c r="O881" s="928" t="str">
        <f t="shared" si="144"/>
        <v>Dez 2025</v>
      </c>
      <c r="P881" s="1403">
        <f t="shared" si="147"/>
        <v>0</v>
      </c>
      <c r="Q881" s="85"/>
      <c r="R881" s="85"/>
      <c r="S881" s="85"/>
    </row>
    <row r="882" spans="1:22" s="46" customFormat="1" ht="13.5" customHeight="1" x14ac:dyDescent="0.25">
      <c r="B882" s="972"/>
      <c r="C882" s="972"/>
      <c r="E882" s="972"/>
      <c r="F882" s="972"/>
      <c r="I882" s="930" t="s">
        <v>730</v>
      </c>
      <c r="J882" s="1060"/>
      <c r="K882" s="1060"/>
      <c r="L882" s="1060"/>
      <c r="M882" s="1060"/>
      <c r="N882" s="971"/>
      <c r="O882" s="126" t="s">
        <v>221</v>
      </c>
      <c r="P882" s="127">
        <f>IF(M875="",0,((IF(SUMIF(B893,"&gt;0"),P870,0))+(IF(SUMIF(B894,"&gt;0"),P871,0))+(IF(SUMIF(B895,"&gt;0"),P872,0))+(IF(SUMIF(B896,"&gt;0"),P873,0))+(IF(SUMIF(B897,"&gt;0"),P874,0))+(IF(SUMIF(B898,"&gt;0"),P875,0))+(IF(SUMIF(B899,"&gt;0"),P876,0))+(IF(SUMIF(B900,"&gt;0"),P877,0))+(IF(SUMIF(B901,"&gt;0"),P878,0))+(IF(SUMIF(B902,"&gt;0"),P879,0))+(IF(SUMIF(B903,"&gt;0"),P880,0))+(IF(SUMIF(B904,"&gt;0"),P881,0)))/Grundlagen!$C$26)</f>
        <v>0</v>
      </c>
      <c r="Q882" s="944" t="str">
        <f>CONCATENATE("BBG"," anteilig ",O884)</f>
        <v>BBG anteilig 2025</v>
      </c>
      <c r="R882" s="931" t="s">
        <v>659</v>
      </c>
      <c r="S882" s="931" t="s">
        <v>398</v>
      </c>
      <c r="T882" s="107"/>
    </row>
    <row r="883" spans="1:22" s="46" customFormat="1" ht="13.5" customHeight="1" x14ac:dyDescent="0.2">
      <c r="A883" s="924" t="s">
        <v>732</v>
      </c>
      <c r="D883" s="55" t="s">
        <v>369</v>
      </c>
      <c r="E883" s="56" t="s">
        <v>368</v>
      </c>
      <c r="F883" s="58"/>
      <c r="J883" s="61"/>
      <c r="Q883" s="932" t="s">
        <v>144</v>
      </c>
      <c r="R883" s="140">
        <f>IF(M872=0,R887,IF(M871="",R887,(SUM(R893:R904)/M875)))</f>
        <v>5175</v>
      </c>
      <c r="S883" s="933">
        <f>IF(M872=0,S887,IF(M871="",S887,SUM(R893:R904)))</f>
        <v>0</v>
      </c>
      <c r="T883" s="107"/>
    </row>
    <row r="884" spans="1:22" s="46" customFormat="1" ht="13.5" customHeight="1" x14ac:dyDescent="0.25">
      <c r="A884" s="60"/>
      <c r="B884" s="1314" t="str">
        <f>IF($B$20="","",$B$20)</f>
        <v>Jahressonderzahlung (JSZ)</v>
      </c>
      <c r="C884" s="1315"/>
      <c r="D884" s="926"/>
      <c r="E884" s="929" t="str">
        <f>IF(A884="","",ROUND((((SUM(B899:B901)+SUM(F899:F901))/3)*D884)/Grundlagen!$C$26*M875,2))</f>
        <v/>
      </c>
      <c r="G884" s="941" t="s">
        <v>733</v>
      </c>
      <c r="H884" s="943"/>
      <c r="I884" s="1316" t="str">
        <f>CONCATENATE(R907,":"," Übergangsbereich von ",R908+0.01," €"," bis ",R909," €")</f>
        <v>2025: Übergangsbereich von 556,01 € bis 2000 €</v>
      </c>
      <c r="J884" s="1317"/>
      <c r="K884" s="1317"/>
      <c r="L884" s="1067"/>
      <c r="M884" s="1067"/>
      <c r="N884" s="1068" t="s">
        <v>736</v>
      </c>
      <c r="O884" s="1069">
        <f>P884+1</f>
        <v>2025</v>
      </c>
      <c r="P884" s="1069" t="s">
        <v>721</v>
      </c>
      <c r="Q884" s="932" t="s">
        <v>145</v>
      </c>
      <c r="R884" s="140">
        <f>IF(M872=0,R888,IF(M871="",R888,(SUM(S893:S904)/M875)))</f>
        <v>7450</v>
      </c>
      <c r="S884" s="933">
        <f>IF(M872=0,S888,IF(M871="",S888,SUM(S893:S904)))</f>
        <v>0</v>
      </c>
      <c r="T884" s="109"/>
    </row>
    <row r="885" spans="1:22" s="1" customFormat="1" ht="14.25" customHeight="1" x14ac:dyDescent="0.2">
      <c r="A885" s="60"/>
      <c r="B885" s="1314" t="str">
        <f>IF($B$21="","",$B$21)</f>
        <v>Leistungsentgelt (LOB)</v>
      </c>
      <c r="C885" s="1315"/>
      <c r="D885" s="926"/>
      <c r="E885" s="929" t="str">
        <f>IF(A885="","",ROUND(((B905+F905)*D885)/Grundlagen!$C$26*M875,2))</f>
        <v/>
      </c>
      <c r="G885" s="941" t="str">
        <f>IF(OR(H884="",H884="nein")=TRUE,"","Faktor (F):")</f>
        <v/>
      </c>
      <c r="H885" s="949" t="str">
        <f>IF(OR(H884="",H884="nein")=TRUE,"",IF(H884="","",R911))</f>
        <v/>
      </c>
      <c r="I885" s="1318" t="str">
        <f>IF(OR(H884="",H884="nein")=TRUE,"",IF(H885="","",CONCATENATE(S911*100,"%"," / ","(",R910*100,"%"," Gesamt-SV-Beitragssatz 2024)")))</f>
        <v/>
      </c>
      <c r="J885" s="1319"/>
      <c r="K885" s="1319"/>
      <c r="L885" s="1070"/>
      <c r="M885" s="1070"/>
      <c r="N885" s="1071" t="s">
        <v>144</v>
      </c>
      <c r="O885" s="1072">
        <f>'päd.Personal - Leitung'!$O$21</f>
        <v>5175</v>
      </c>
      <c r="P885" s="1072">
        <f>'päd.Personal - Leitung'!$P$21</f>
        <v>5175</v>
      </c>
      <c r="Q885" s="11"/>
      <c r="R885" s="11"/>
      <c r="S885" s="11"/>
      <c r="T885" s="109"/>
    </row>
    <row r="886" spans="1:22" s="1" customFormat="1" ht="14.25" customHeight="1" x14ac:dyDescent="0.2">
      <c r="C886" s="925" t="s">
        <v>731</v>
      </c>
      <c r="L886" s="1070"/>
      <c r="M886" s="1070"/>
      <c r="N886" s="1071" t="s">
        <v>145</v>
      </c>
      <c r="O886" s="1073">
        <f>'päd.Personal - Leitung'!$O$22</f>
        <v>7450</v>
      </c>
      <c r="P886" s="1073">
        <f>'päd.Personal - Leitung'!$P$22</f>
        <v>7450</v>
      </c>
      <c r="Q886" s="944" t="str">
        <f>CONCATENATE("BBG"," ",O884)</f>
        <v>BBG 2025</v>
      </c>
      <c r="R886" s="11"/>
      <c r="S886" s="11"/>
      <c r="T886" s="109"/>
    </row>
    <row r="887" spans="1:22" s="1" customFormat="1" ht="14.25" customHeight="1" x14ac:dyDescent="0.2">
      <c r="A887" s="53" t="s">
        <v>141</v>
      </c>
      <c r="B887" s="46"/>
      <c r="C887" s="46"/>
      <c r="D887" s="46"/>
      <c r="E887" s="46"/>
      <c r="F887" s="46"/>
      <c r="G887" s="46"/>
      <c r="H887" s="46"/>
      <c r="I887" s="46"/>
      <c r="J887" s="46"/>
      <c r="K887" s="46"/>
      <c r="L887" s="46"/>
      <c r="M887" s="46"/>
      <c r="N887" s="46"/>
      <c r="O887" s="46"/>
      <c r="P887" s="46"/>
      <c r="Q887" s="932" t="s">
        <v>144</v>
      </c>
      <c r="R887" s="141">
        <f>IF($O$21="",0,$O$21)</f>
        <v>5175</v>
      </c>
      <c r="S887" s="933">
        <f>R887*IF(M875="",0,M875)</f>
        <v>0</v>
      </c>
      <c r="T887" s="295"/>
    </row>
    <row r="888" spans="1:22" s="1" customFormat="1" ht="14.25" customHeight="1" x14ac:dyDescent="0.2">
      <c r="A888" s="1346"/>
      <c r="B888" s="1348" t="s">
        <v>8</v>
      </c>
      <c r="C888" s="1349"/>
      <c r="D888" s="1349"/>
      <c r="E888" s="1349"/>
      <c r="F888" s="1349"/>
      <c r="G888" s="1350"/>
      <c r="H888" s="1351" t="s">
        <v>113</v>
      </c>
      <c r="I888" s="1352"/>
      <c r="J888" s="1352"/>
      <c r="K888" s="1352"/>
      <c r="L888" s="1352"/>
      <c r="M888" s="1352"/>
      <c r="N888" s="1352"/>
      <c r="O888" s="30"/>
      <c r="P888" s="1330" t="s">
        <v>0</v>
      </c>
      <c r="Q888" s="932" t="s">
        <v>145</v>
      </c>
      <c r="R888" s="141">
        <f>IF($O$22="",0,$O$22)</f>
        <v>7450</v>
      </c>
      <c r="S888" s="933">
        <f>R888*IF(M875="",0,M875)</f>
        <v>0</v>
      </c>
      <c r="T888" s="830"/>
    </row>
    <row r="889" spans="1:22" s="1" customFormat="1" ht="14.25" customHeight="1" x14ac:dyDescent="0.2">
      <c r="A889" s="1347"/>
      <c r="B889" s="1333" t="s">
        <v>111</v>
      </c>
      <c r="C889" s="1335" t="s">
        <v>743</v>
      </c>
      <c r="D889" s="1337" t="s">
        <v>226</v>
      </c>
      <c r="E889" s="1339" t="s">
        <v>133</v>
      </c>
      <c r="F889" s="1030" t="s">
        <v>6</v>
      </c>
      <c r="G889" s="1340" t="s">
        <v>5</v>
      </c>
      <c r="H889" s="1339" t="s">
        <v>119</v>
      </c>
      <c r="I889" s="1339" t="s">
        <v>4</v>
      </c>
      <c r="J889" s="1339" t="s">
        <v>3</v>
      </c>
      <c r="K889" s="1339" t="s">
        <v>2</v>
      </c>
      <c r="L889" s="1339" t="s">
        <v>114</v>
      </c>
      <c r="M889" s="1339" t="s">
        <v>115</v>
      </c>
      <c r="N889" s="1339" t="s">
        <v>116</v>
      </c>
      <c r="O889" s="1338" t="s">
        <v>109</v>
      </c>
      <c r="P889" s="1331"/>
      <c r="Q889" s="456"/>
      <c r="R889" s="11"/>
      <c r="S889" s="11"/>
      <c r="T889" s="621"/>
    </row>
    <row r="890" spans="1:22" s="1" customFormat="1" ht="14.25" customHeight="1" x14ac:dyDescent="0.2">
      <c r="A890" s="1347"/>
      <c r="B890" s="1333"/>
      <c r="C890" s="1335"/>
      <c r="D890" s="1338"/>
      <c r="E890" s="1339"/>
      <c r="F890" s="1343" t="str">
        <f>I882</f>
        <v>Zuschläge / Zulagen / o.ä.:</v>
      </c>
      <c r="G890" s="1340"/>
      <c r="H890" s="1342" t="s">
        <v>117</v>
      </c>
      <c r="I890" s="1342"/>
      <c r="J890" s="1342"/>
      <c r="K890" s="1342"/>
      <c r="L890" s="1342"/>
      <c r="M890" s="1342"/>
      <c r="N890" s="1342"/>
      <c r="O890" s="1338"/>
      <c r="P890" s="1331"/>
      <c r="Q890" s="456"/>
      <c r="R890" s="1306" t="str">
        <f>Q882</f>
        <v>BBG anteilig 2025</v>
      </c>
      <c r="S890" s="1306"/>
      <c r="T890" s="829"/>
    </row>
    <row r="891" spans="1:22" s="1" customFormat="1" ht="14.25" customHeight="1" x14ac:dyDescent="0.2">
      <c r="A891" s="1347"/>
      <c r="B891" s="1333"/>
      <c r="C891" s="1335"/>
      <c r="D891" s="1338"/>
      <c r="E891" s="1339"/>
      <c r="F891" s="1343"/>
      <c r="G891" s="1340"/>
      <c r="H891" s="39" t="str">
        <f>'päd.Personal - Leitung'!$H$27</f>
        <v>(7,30% + Zusatz)</v>
      </c>
      <c r="I891" s="39" t="str">
        <f>'päd.Personal - Leitung'!$I$27</f>
        <v xml:space="preserve"> (2024: 9,30%)</v>
      </c>
      <c r="J891" s="39" t="str">
        <f>'päd.Personal - Leitung'!$J$27</f>
        <v>(2024: 1,30%)</v>
      </c>
      <c r="K891" s="39" t="str">
        <f>'päd.Personal - Leitung'!$K$27</f>
        <v>(2024: 1,700%)</v>
      </c>
      <c r="L891" s="39"/>
      <c r="M891" s="39"/>
      <c r="N891" s="39" t="str">
        <f>'päd.Personal - Leitung'!$N$27</f>
        <v>(2024: 0,06%)</v>
      </c>
      <c r="O891" s="1338"/>
      <c r="P891" s="1331"/>
      <c r="Q891" s="456"/>
      <c r="R891" s="1307" t="s">
        <v>659</v>
      </c>
      <c r="S891" s="1307"/>
      <c r="T891" s="829"/>
      <c r="U891" s="1308" t="s">
        <v>1</v>
      </c>
      <c r="V891" s="1308" t="s">
        <v>741</v>
      </c>
    </row>
    <row r="892" spans="1:22" s="1" customFormat="1" x14ac:dyDescent="0.2">
      <c r="A892" s="1347"/>
      <c r="B892" s="1334"/>
      <c r="C892" s="1336"/>
      <c r="D892" s="45"/>
      <c r="E892" s="45"/>
      <c r="F892" s="1344"/>
      <c r="G892" s="1341"/>
      <c r="H892" s="74"/>
      <c r="I892" s="99">
        <f>'päd.Personal - Leitung'!$I$28</f>
        <v>0</v>
      </c>
      <c r="J892" s="99">
        <f>'päd.Personal - Leitung'!$J$28</f>
        <v>0</v>
      </c>
      <c r="K892" s="40">
        <f>'päd.Personal - Leitung'!$K$28</f>
        <v>0</v>
      </c>
      <c r="L892" s="19"/>
      <c r="M892" s="19"/>
      <c r="N892" s="99">
        <f>'päd.Personal - Leitung'!$N$28</f>
        <v>0</v>
      </c>
      <c r="O892" s="23"/>
      <c r="P892" s="1332"/>
      <c r="Q892" s="456"/>
      <c r="R892" s="935" t="s">
        <v>144</v>
      </c>
      <c r="S892" s="935" t="s">
        <v>145</v>
      </c>
      <c r="T892" s="829"/>
      <c r="U892" s="1308"/>
      <c r="V892" s="1308"/>
    </row>
    <row r="893" spans="1:22" s="1" customFormat="1" x14ac:dyDescent="0.2">
      <c r="A893" s="76" t="str">
        <f>CONCATENATE("Jan ",O869)</f>
        <v>Jan 2025</v>
      </c>
      <c r="B893" s="22">
        <f>ROUND(IF(P870=0,0,(LOOKUP(2,1/(A878:A881=A893),G878:G881))*P870*4.348),2)</f>
        <v>0</v>
      </c>
      <c r="C893" s="21">
        <f>ROUND(IFERROR((LOOKUP(2,1/(A884=A893),E884)),0)+IFERROR((LOOKUP(2,1/(A885=A893),E885)),0),2)</f>
        <v>0</v>
      </c>
      <c r="D893" s="21">
        <f>ROUND(IF(B893=0,0,D892/M871*P870),2)</f>
        <v>0</v>
      </c>
      <c r="E893" s="21">
        <f>ROUND(IF(B893=0,0,E892/N867*P870),2)</f>
        <v>0</v>
      </c>
      <c r="F893" s="22">
        <f>ROUND(IF(P870=0,0,(LOOKUP(2,1/(A878:A881=A893),I878:I881))/N867*P870),2)</f>
        <v>0</v>
      </c>
      <c r="G893" s="25">
        <f t="shared" ref="G893:G904" si="148">SUM(B893+C893+E893+F893)</f>
        <v>0</v>
      </c>
      <c r="H893" s="64">
        <f>IF(B893=0,0,IF(AND(H884="ja",((U893)&lt;R909)),ROUND(((R911*R908+((R909/(R909-R908))-(R908/(R909-R908))*R911)*((U893)-R908))*(H892*2))-(((R909/(R909-R908))*((U893)-R908))*H892),2),ROUND(IF((U893)&gt;R893,R893*H892,U893*H892),2)))</f>
        <v>0</v>
      </c>
      <c r="I893" s="64">
        <f>IF(B893=0,0,IF(AND(H884="ja",((U893)&lt;R909)),ROUND(((R911*R908+((R909/(R909-R908))-(R908/(R909-R908))*R911)*((U893)-R908))*(I892*2))-(((R909/(R909-R908))*((U893)-R908))*I892),2),ROUND(IF((U893)&gt;S893,S893*I892,U893*I892),2)))</f>
        <v>0</v>
      </c>
      <c r="J893" s="64">
        <f>IF(B893=0,0,IF(AND(H884="ja",((U893)&lt;R909)),ROUND(((R911*R908+((R909/(R909-R908))-(R908/(R909-R908))*R911)*((U893)-R908))*(J892*2))-(((R909/(R909-R908))*((U893)-R908))*J892),2),ROUND(IF((U893)&gt;S893,S893*J892,U893*J892),2)))</f>
        <v>0</v>
      </c>
      <c r="K893" s="64">
        <f>IF(B893=0,0,IF(AND(H884="ja",((U893)&lt;R909)),ROUND(((R911*R908+((R909/(R909-R908))-(R908/(R909-R908))*R911)*((U893)-R908))*(K892*2))-(((R909/(R909-R908))*((U893)-R908))*K892),2),ROUND(IF((U893)&gt;R893,R893*K892,U893*K892),2)))</f>
        <v>0</v>
      </c>
      <c r="L893" s="64">
        <f>IF(B893=0,0,IF(AND(H884="ja",((U893-C893)&lt;R909)),ROUND(((R911*R908+((R909/(R909-R908))-(R908/(R909-R908))*R911)*((U893-C893)-R908))*(L892)),2),ROUND(IF((SUM(B893:F893))&gt;S893,S893*L892,(SUM(B893:F893)-C893)*L892),2)))</f>
        <v>0</v>
      </c>
      <c r="M893" s="64">
        <f>IF(B893=0,0,IF(AND(H884="ja",((U893-C893)&lt;R909)),ROUND(((R911*R908+((R909/(R909-R908))-(R908/(R909-R908))*R911)*((U893-C893)-R908))*(M892)),2),ROUND(IF((SUM(B893:F893))&gt;S893,S893*M892,(SUM(B893:F893)-C893)*M892),2)))</f>
        <v>0</v>
      </c>
      <c r="N893" s="64">
        <f>IF(B893=0,0,IF(AND(H884="ja",((U893)&lt;R909)),ROUND(((R911*R908+((R909/(R909-R908))-(R908/(R909-R908))*R911)*((U893)-R908))*(N892)),2),ROUND(IF((SUM(B893:F893))&gt;S893,S893*N892,SUM(B893:F893)*N892),2)))</f>
        <v>0</v>
      </c>
      <c r="O893" s="21">
        <f>ROUND(SUM(B893+C893+F893)*O892,2)</f>
        <v>0</v>
      </c>
      <c r="P893" s="25">
        <f>SUM(G893:O893)</f>
        <v>0</v>
      </c>
      <c r="Q893" s="456"/>
      <c r="R893" s="140">
        <f>ROUND(IF(M871="",R887,R887/M871*P870),2)</f>
        <v>5175</v>
      </c>
      <c r="S893" s="140">
        <f>ROUND(IF(M871="",R888,R888/M871*P870),2)</f>
        <v>7450</v>
      </c>
      <c r="U893" s="950">
        <f>SUM(B893:F893)</f>
        <v>0</v>
      </c>
      <c r="V893" s="950">
        <f>SUM(B893:F893)</f>
        <v>0</v>
      </c>
    </row>
    <row r="894" spans="1:22" s="1" customFormat="1" x14ac:dyDescent="0.2">
      <c r="A894" s="76" t="str">
        <f>CONCATENATE("Feb ",O869)</f>
        <v>Feb 2025</v>
      </c>
      <c r="B894" s="22">
        <f>ROUND(IF(P871=0,0,IFERROR(((LOOKUP(2,1/(A878:A881=A894),G878:G881))*P871*4.348),B893/P870*P871)),2)</f>
        <v>0</v>
      </c>
      <c r="C894" s="21">
        <f>ROUND(IFERROR((LOOKUP(2,1/(A884=A894),E884)),0)+IFERROR((LOOKUP(2,1/(A885=A894),E885)),0),2)</f>
        <v>0</v>
      </c>
      <c r="D894" s="21">
        <f>ROUND(IF(B894=0,0,D892/M871*P871),2)</f>
        <v>0</v>
      </c>
      <c r="E894" s="21">
        <f>ROUND(IF(B894=0,0,E892/N867*P871),2)</f>
        <v>0</v>
      </c>
      <c r="F894" s="22">
        <f>ROUND(IF(P871=0,0,IFERROR(((LOOKUP(2,1/(A878:A881=A894),I878:I881))/N867*P871),F893/P870*P871)),2)</f>
        <v>0</v>
      </c>
      <c r="G894" s="25">
        <f t="shared" si="148"/>
        <v>0</v>
      </c>
      <c r="H894" s="64">
        <f>IF(B894=0,0,IF(AND(H884="ja",((U894)&lt;R909)),ROUND(((R911*R908+((R909/(R909-R908))-(R908/(R909-R908))*R911)*((U894)-R908))*(H892*2))-(((R909/(R909-R908))*((U894)-R908))*H892),2),ROUND(IF(U893&lt;(R893),IF((V894)&gt;(SUM(R893:R894)),(((SUM(R893:R894))-(V894-C893))*H892)+((U894-C893)*H892),U894*H892),IF(V894&gt;(SUM(R893:R894)),R894*H892,U894*H892)),2)))</f>
        <v>0</v>
      </c>
      <c r="I894" s="64">
        <f>IF(B894=0,0,IF(AND(H884="ja",((U894)&lt;R909)),ROUND(((R911*R908+((R909/(R909-R908))-(R908/(R909-R908))*R911)*((U894)-R908))*(I892*2))-(((R909/(R909-R908))*((U894)-R908))*I892),2),ROUND(IF(U893&lt;(S893),IF((V894)&gt;(SUM(S893:S894)),(((SUM(S893:S894))-(V894-C893))*I892)+((U894-C893)*I892),U894*I892),IF(V894&gt;(SUM(S893:S894)),S894*I892,U894*I892)),2)))</f>
        <v>0</v>
      </c>
      <c r="J894" s="64">
        <f>IF(B894=0,0,IF(AND(H884="ja",((U894)&lt;R909)),ROUND(((R911*R908+((R909/(R909-R908))-(R908/(R909-R908))*R911)*((U894)-R908))*(J892*2))-(((R909/(R909-R908))*((U894)-R908))*J892),2),ROUND(IF(U893&lt;(S893),IF((V894)&gt;(SUM(S893:S894)),(((SUM(S893:S894))-(V894-C893))*J892)+((U894-C893)*J892),U894*J892),IF(V894&gt;(SUM(S893:S894)),S894*J892,U894*J892)),2)))</f>
        <v>0</v>
      </c>
      <c r="K894" s="64">
        <f>IF(B894=0,0,IF(AND(H884="ja",((U894)&lt;R909)),ROUND(((R911*R908+((R909/(R909-R908))-(R908/(R909-R908))*R911)*((U894)-R908))*(K892*2))-(((R909/(R909-R908))*((U894)-R908))*K892),2),ROUND(IF(U893&lt;(R893),IF((V894)&gt;(SUM(R893:R894)),(((SUM(R893:R894))-(V894-C893))*K892)+((U894-C893)*K892),U894*K892),IF(V894&gt;(SUM(R893:R894)),R894*K892,U894*K892)),2)))</f>
        <v>0</v>
      </c>
      <c r="L894" s="64">
        <f>IF(B894=0,0,IF(AND(H884="ja",((U894-C894)&lt;R909)),ROUND(((R911*R908+((R909/(R909-R908))-(R908/(R909-R908))*R911)*((U894-C894)-R908))*(L892)),2),ROUND(IF(SUM(B893:F893)&lt;(S893),IF((SUM(B893:F894))&gt;(SUM(S893:S894)),(((SUM(S893:S894))-(SUM(B893:F894)-C894))*L892)+((SUM(B894:F894)-C894)*L892),(SUM(B894:F894)-C894)*L892),IF(SUM(B893:F894)&gt;(SUM(S893:S894)),S894*L892,SUM(B894:F894)*L892)),2)))</f>
        <v>0</v>
      </c>
      <c r="M894" s="64">
        <f>IF(B894=0,0,IF(AND(H884="ja",((U894-C894)&lt;R909)),ROUND(((R911*R908+((R909/(R909-R908))-(R908/(R909-R908))*R911)*((U894-C894)-R908))*(M892)),2),ROUND(IF(SUM(B893:F893)&lt;(S893),IF((SUM(B893:F894))&gt;(SUM(S893:S894)),(((SUM(S893:S894))-(SUM(B893:F894)-C894))*M892)+((SUM(B894:F894)-C894)*M892),(SUM(B894:F894)-C894)*M892),IF(SUM(B893:F894)&gt;(SUM(S893:S894)),S894*M892,SUM(B894:F894)*M892)),2)))</f>
        <v>0</v>
      </c>
      <c r="N894" s="64">
        <f>IF(B894=0,0,IF(AND(H884="ja",((U894)&lt;R909)),ROUND(((R911*R908+((R909/(R909-R908))-(R908/(R909-R908))*R911)*((U894)-R908))*(N892)),2),ROUND(IF(SUM(B893:F893)&lt;(S893),IF((SUM(B893:F894))&gt;(SUM(S893:S894)),(((SUM(S893:S894))-(SUM(B893:F894)-C893))*N892)+((SUM(B894:F894)-C893)*N892),SUM(B894:F894)*N892),IF(SUM(B893:F894)&gt;(SUM(S893:S894)),S894*N892,SUM(B894:F894)*N892)),2)))</f>
        <v>0</v>
      </c>
      <c r="O894" s="21">
        <f>ROUND(SUM(B894+C894+F894)*O892,2)</f>
        <v>0</v>
      </c>
      <c r="P894" s="25">
        <f t="shared" ref="P894:P904" si="149">SUM(G894:O894)</f>
        <v>0</v>
      </c>
      <c r="Q894" s="456"/>
      <c r="R894" s="140">
        <f>ROUND(IF(M871="",R887,R887/M871*P871),2)</f>
        <v>5175</v>
      </c>
      <c r="S894" s="140">
        <f>ROUND(IF(M871="",R888,R888/M871*P871),2)</f>
        <v>7450</v>
      </c>
      <c r="U894" s="950">
        <f t="shared" ref="U894:U904" si="150">SUM(B894:F894)</f>
        <v>0</v>
      </c>
      <c r="V894" s="950">
        <f>SUM(B893:F894)</f>
        <v>0</v>
      </c>
    </row>
    <row r="895" spans="1:22" s="1" customFormat="1" x14ac:dyDescent="0.2">
      <c r="A895" s="76" t="str">
        <f>CONCATENATE("Mrz ",O869)</f>
        <v>Mrz 2025</v>
      </c>
      <c r="B895" s="22">
        <f>ROUND(IF(P872=0,0,IFERROR(((LOOKUP(2,1/(A878:A881=A895),G878:G881))*P872*4.348),B894/P871*P872)),2)</f>
        <v>0</v>
      </c>
      <c r="C895" s="21">
        <f>ROUND(IFERROR((LOOKUP(2,1/(A884=A895),E884)),0)+IFERROR((LOOKUP(2,1/(A885=A895),E885)),0),2)</f>
        <v>0</v>
      </c>
      <c r="D895" s="21">
        <f>ROUND(IF(B895=0,0,D892/M871*P872),2)</f>
        <v>0</v>
      </c>
      <c r="E895" s="21">
        <f>ROUND(IF(B895=0,0,E892/N867*P872),2)</f>
        <v>0</v>
      </c>
      <c r="F895" s="22">
        <f>ROUND(IF(P872=0,0,IFERROR(((LOOKUP(2,1/(A878:A881=A895),I878:I881))/N867*P872),F894/P871*P872)),2)</f>
        <v>0</v>
      </c>
      <c r="G895" s="25">
        <f t="shared" si="148"/>
        <v>0</v>
      </c>
      <c r="H895" s="64">
        <f>IF(B895=0,0,IF(AND(H884="ja",((U895)&lt;R909)),ROUND(((R911*R908+((R909/(R909-R908))-(R908/(R909-R908))*R911)*((U895)-R908))*(H892*2))-(((R909/(R909-R908))*((U895)-R908))*H892),2),ROUND(IF(V894&lt;(SUM(R893:R894)),IF((V895)&gt;(SUM(R893:R895)),(((SUM(R893:R895))-(V895-C894))*H892)+((U895-C894)*H892),U895*H892),IF(V895&gt;(SUM(R893:R895)),R895*H892,U895*H892)),2)))</f>
        <v>0</v>
      </c>
      <c r="I895" s="64">
        <f>IF(B895=0,0,IF(AND(H884="ja",((U895)&lt;R909)),ROUND(((R911*R908+((R909/(R909-R908))-(R908/(R909-R908))*R911)*((U895)-R908))*(I892*2))-(((R909/(R909-R908))*((U895)-R908))*I892),2),ROUND(IF(V894&lt;(SUM(S893:S894)),IF((V895)&gt;(SUM(S893:S895)),(((SUM(S893:S895))-(V895-C894))*I892)+((U895-C894)*I892),U895*I892),IF(V895&gt;(SUM(S893:S895)),S895*I892,U895*I892)),2)))</f>
        <v>0</v>
      </c>
      <c r="J895" s="64">
        <f>IF(B895=0,0,IF(AND(H884="ja",((U895)&lt;R909)),ROUND(((R911*R908+((R909/(R909-R908))-(R908/(R909-R908))*R911)*((U895)-R908))*(J892*2))-(((R909/(R909-R908))*((U895)-R908))*J892),2),ROUND(IF(V894&lt;(SUM(S893:S894)),IF((V895)&gt;(SUM(S893:S895)),(((SUM(S893:S895))-(V895-C894))*J892)+((U895-C894)*J892),U895*J892),IF(V895&gt;(SUM(S893:S895)),S895*J892,U895*J892)),2)))</f>
        <v>0</v>
      </c>
      <c r="K895" s="64">
        <f>IF(B895=0,0,IF(AND(H884="ja",((U895)&lt;R909)),ROUND(((R911*R908+((R909/(R909-R908))-(R908/(R909-R908))*R911)*((U895)-R908))*(K892*2))-(((R909/(R909-R908))*((U895)-R908))*K892),2),ROUND(IF(V894&lt;(SUM(R893:R894)),IF((V895)&gt;(SUM(R893:R895)),(((SUM(R893:R895))-(V895-C894))*K892)+((U895-C894)*K892),U895*K892),IF(V895&gt;(SUM(R893:R895)),R895*K892,U895*K892)),2)))</f>
        <v>0</v>
      </c>
      <c r="L895" s="64">
        <f>IF(B895=0,0,IF(AND(H884="ja",((U895-C895)&lt;R909)),ROUND(((R911*R908+((R909/(R909-R908))-(R908/(R909-R908))*R911)*((U895-C895)-R908))*(L892)),2),ROUND(IF(SUM(B893:F894)&lt;(SUM(S893:S894)),IF((SUM(B893:F895))&gt;(SUM(S893:S895)),(((SUM(S893:S895))-(SUM(B893:F895)-C895))*L892)+((SUM(B895:F895)-C895)*L892),(SUM(B895:F895)-C895)*L892),IF(SUM(B893:F895)&gt;(SUM(S893:S895)),S895*L892,SUM(B895:F895)*L892)),2)))</f>
        <v>0</v>
      </c>
      <c r="M895" s="64">
        <f>IF(B895=0,0,IF(AND(H884="ja",((U895-C895)&lt;R909)),ROUND(((R911*R908+((R909/(R909-R908))-(R908/(R909-R908))*R911)*((U895-C895)-R908))*(M892)),2),ROUND(IF(SUM(B893:F894)&lt;(SUM(S893:S894)),IF((SUM(B893:F895))&gt;(SUM(S893:S895)),(((SUM(S893:S895))-(SUM(B893:F895)-C895))*M892)+((SUM(B895:F895)-C895)*M892),(SUM(B895:F895)-C895)*M892),IF(SUM(B893:F895)&gt;(SUM(S893:S895)),S895*M892,SUM(B895:F895)*M892)),2)))</f>
        <v>0</v>
      </c>
      <c r="N895" s="64">
        <f>IF(B895=0,0,IF(AND(H884="ja",((U895)&lt;R909)),ROUND(((R911*R908+((R909/(R909-R908))-(R908/(R909-R908))*R911)*((U895)-R908))*(N892)),2),ROUND(IF(SUM(B893:F894)&lt;(SUM(S893:S894)),IF((SUM(B893:F895))&gt;(SUM(S893:S895)),(((SUM(S893:S895))-(SUM(B893:F895)-C894))*N892)+((SUM(B895:F895)-C894)*N892),SUM(B895:F895)*N892),IF(SUM(B893:F895)&gt;(SUM(S893:S895)),S895*N892,SUM(B895:F895)*N892)),2)))</f>
        <v>0</v>
      </c>
      <c r="O895" s="21">
        <f>ROUND(SUM(B895+C895+F895)*O892,2)</f>
        <v>0</v>
      </c>
      <c r="P895" s="25">
        <f t="shared" si="149"/>
        <v>0</v>
      </c>
      <c r="Q895" s="456"/>
      <c r="R895" s="140">
        <f>ROUND(IF(M871="",R887,R887/M871*P872),2)</f>
        <v>5175</v>
      </c>
      <c r="S895" s="140">
        <f>ROUND(IF(M871="",R888,R888/M871*P872),2)</f>
        <v>7450</v>
      </c>
      <c r="U895" s="950">
        <f t="shared" si="150"/>
        <v>0</v>
      </c>
      <c r="V895" s="950">
        <f>SUM(B893:F895)</f>
        <v>0</v>
      </c>
    </row>
    <row r="896" spans="1:22" s="1" customFormat="1" x14ac:dyDescent="0.2">
      <c r="A896" s="76" t="str">
        <f>CONCATENATE("Apr ",O869)</f>
        <v>Apr 2025</v>
      </c>
      <c r="B896" s="22">
        <f>ROUND(IF(P873=0,0,IFERROR(((LOOKUP(2,1/(A878:A881=A896),G878:G881))*P873*4.348),B895/P872*P873)),2)</f>
        <v>0</v>
      </c>
      <c r="C896" s="21">
        <f>ROUND(IFERROR((LOOKUP(2,1/(A884=A896),E884)),0)+IFERROR((LOOKUP(2,1/(A885=A896),E885)),0),2)</f>
        <v>0</v>
      </c>
      <c r="D896" s="21">
        <f>ROUND(IF(B896=0,0,D892/M871*P873),2)</f>
        <v>0</v>
      </c>
      <c r="E896" s="21">
        <f>ROUND(IF(B896=0,0,E892/N867*P873),2)</f>
        <v>0</v>
      </c>
      <c r="F896" s="22">
        <f>ROUND(IF(P873=0,0,IFERROR(((LOOKUP(2,1/(A878:A881=A896),I878:I881))/N867*P873),F895/P872*P873)),2)</f>
        <v>0</v>
      </c>
      <c r="G896" s="25">
        <f t="shared" si="148"/>
        <v>0</v>
      </c>
      <c r="H896" s="64">
        <f>IF(B896=0,0,IF(AND(H884="ja",((U896)&lt;R909)),ROUND(((R911*R908+((R909/(R909-R908))-(R908/(R909-R908))*R911)*((U896)-R908))*(H892*2))-(((R909/(R909-R908))*((U896)-R908))*H892),2),ROUND(IF(V895&lt;(SUM(R893:R895)),IF((V896)&gt;(SUM(R893:R896)),(((SUM(R893:R896))-(V896-C895))*H892)+((U896-C895)*H892),U896*H892),IF(V896&gt;(SUM(R893:R896)),R896*H892,U896*H892)),2)))</f>
        <v>0</v>
      </c>
      <c r="I896" s="64">
        <f>IF(B896=0,0,IF(AND(H884="ja",((U896)&lt;R909)),ROUND(((R911*R908+((R909/(R909-R908))-(R908/(R909-R908))*R911)*((U896)-R908))*(I892*2))-(((R909/(R909-R908))*((U896)-R908))*I892),2),ROUND(IF(V895&lt;(SUM(S893:S895)),IF((V896)&gt;(SUM(S893:S896)),(((SUM(S893:S896))-(V896-C895))*I892)+((U896-C895)*I892),U896*I892),IF(V896&gt;(SUM(S893:S896)),S896*I892,U896*I892)),2)))</f>
        <v>0</v>
      </c>
      <c r="J896" s="64">
        <f>IF(B896=0,0,IF(AND(H884="ja",((U896)&lt;R909)),ROUND(((R911*R908+((R909/(R909-R908))-(R908/(R909-R908))*R911)*((U896)-R908))*(J892*2))-(((R909/(R909-R908))*((U896)-R908))*J892),2),ROUND(IF(U895&lt;(SUM(S893:S895)),IF((V896)&gt;(SUM(S893:S896)),(((SUM(S893:S896))-(V896-C895))*J892)+((U896-C895)*J892),U896*J892),IF(V896&gt;(SUM(S893:S896)),S896*J892,U896*J892)),2)))</f>
        <v>0</v>
      </c>
      <c r="K896" s="64">
        <f>IF(B896=0,0,IF(AND(H884="ja",((U896)&lt;R909)),ROUND(((R911*R908+((R909/(R909-R908))-(R908/(R909-R908))*R911)*((U896)-R908))*(K892*2))-(((R909/(R909-R908))*((U896)-R908))*K892),2),ROUND(IF(V895&lt;(SUM(R893:R895)),IF((V896)&gt;(SUM(R893:R896)),(((SUM(R893:R896))-(V896-C895))*K892)+((U896-C895)*K892),U896*K892),IF(V896&gt;(SUM(R893:R896)),R896*K892,U896*K892)),2)))</f>
        <v>0</v>
      </c>
      <c r="L896" s="64">
        <f>IF(B896=0,0,IF(AND(H884="ja",((U896-C896)&lt;R909)),ROUND(((R911*R908+((R909/(R909-R908))-(R908/(R909-R908))*R911)*((U896-C896)-R908))*(L892)),2),ROUND(IF(SUM(B893:F895)&lt;(SUM(S893:S895)),IF((SUM(B893:F896))&gt;(SUM(S893:S896)),(((SUM(S893:S896))-(SUM(B893:F896)-C896))*L892)+((SUM(B896:F896)-C896)*L892),(SUM(B896:F896)-C896)*L892),IF(SUM(B893:F896)&gt;(SUM(S893:S896)),S896*L892,SUM(B896:F896)*L892)),2)))</f>
        <v>0</v>
      </c>
      <c r="M896" s="64">
        <f>IF(B896=0,0,IF(AND(H884="ja",((U896-C896)&lt;R909)),ROUND(((R911*R908+((R909/(R909-R908))-(R908/(R909-R908))*R911)*((U896-C896)-R908))*(M892)),2),ROUND(IF(SUM(B893:F895)&lt;(SUM(S893:S895)),IF((SUM(B893:F896))&gt;(SUM(S893:S896)),(((SUM(S893:S896))-(SUM(B893:F896)-C896))*M892)+((SUM(B896:F896)-C896)*M892),(SUM(B896:F896)-C896)*M892),IF(SUM(B893:F896)&gt;(SUM(S893:S896)),S896*M892,SUM(B896:F896)*M892)),2)))</f>
        <v>0</v>
      </c>
      <c r="N896" s="64">
        <f>IF(B896=0,0,IF(AND(H884="ja",((U896)&lt;R909)),ROUND(((R911*R908+((R909/(R909-R908))-(R908/(R909-R908))*R911)*((U896)-R908))*(N892)),2),ROUND(IF(SUM(B893:F895)&lt;(SUM(S893:S895)),IF((SUM(B893:F896))&gt;(SUM(S893:S896)),(((SUM(S893:S896))-(SUM(B893:F896)-C895))*N892)+((SUM(B896:F896)-C895)*N892),SUM(B896:F896)*N892),IF(SUM(B893:F896)&gt;(SUM(S893:S896)),S896*N892,SUM(B896:F896)*N892)),2)))</f>
        <v>0</v>
      </c>
      <c r="O896" s="21">
        <f>ROUND(SUM(B896+C896+F896)*O892,2)</f>
        <v>0</v>
      </c>
      <c r="P896" s="25">
        <f t="shared" si="149"/>
        <v>0</v>
      </c>
      <c r="Q896" s="456"/>
      <c r="R896" s="140">
        <f>ROUND(IF(M871="",R887,R887/M871*P873),2)</f>
        <v>5175</v>
      </c>
      <c r="S896" s="140">
        <f>ROUND(IF(M871="",R888,R888/M871*P873),2)</f>
        <v>7450</v>
      </c>
      <c r="U896" s="950">
        <f t="shared" si="150"/>
        <v>0</v>
      </c>
      <c r="V896" s="950">
        <f>SUM(B893:F896)</f>
        <v>0</v>
      </c>
    </row>
    <row r="897" spans="1:24" s="1" customFormat="1" x14ac:dyDescent="0.2">
      <c r="A897" s="76" t="str">
        <f>CONCATENATE("Mai ",O869)</f>
        <v>Mai 2025</v>
      </c>
      <c r="B897" s="22">
        <f>ROUND(IF(P874=0,0,IFERROR(((LOOKUP(2,1/(A878:A881=A897),G878:G881))*P874*4.348),B896/P873*P874)),2)</f>
        <v>0</v>
      </c>
      <c r="C897" s="21">
        <f>ROUND(IFERROR((LOOKUP(2,1/(A884=A897),E884)),0)+IFERROR((LOOKUP(2,1/(A885=A897),E885)),0),2)</f>
        <v>0</v>
      </c>
      <c r="D897" s="21">
        <f>ROUND(IF(B897=0,0,D892/M871*P874),2)</f>
        <v>0</v>
      </c>
      <c r="E897" s="21">
        <f>ROUND(IF(B897=0,0,E892/N867*P874),2)</f>
        <v>0</v>
      </c>
      <c r="F897" s="22">
        <f>ROUND(IF(P874=0,0,IFERROR(((LOOKUP(2,1/(A878:A881=A897),I878:I881))/N867*P874),F896/P873*P874)),2)</f>
        <v>0</v>
      </c>
      <c r="G897" s="25">
        <f t="shared" si="148"/>
        <v>0</v>
      </c>
      <c r="H897" s="64">
        <f>IF(B897=0,0,IF(AND(H884="ja",((U897)&lt;R909)),ROUND(((R911*R908+((R909/(R909-R908))-(R908/(R909-R908))*R911)*((U897)-R908))*(H892*2))-(((R909/(R909-R908))*((U897)-R908))*H892),2),ROUND(IF(V896&lt;(SUM(R893:R896)),IF((V897)&gt;(SUM(R893:R897)),(((SUM(R893:R897))-(V897-C896))*H892)+((U897-C896)*H892),U897*H892),IF(V897&gt;(SUM(R893:R897)),R897*H892,U897*H892)),2)))</f>
        <v>0</v>
      </c>
      <c r="I897" s="64">
        <f>IF(B897=0,0,IF(AND(H884="ja",((U897)&lt;R909)),ROUND(((R911*R908+((R909/(R909-R908))-(R908/(R909-R908))*R911)*((U897)-R908))*(I892*2))-(((R909/(R909-R908))*((U897)-R908))*I892),2),ROUND(IF(V896&lt;(SUM(S893:S896)),IF((V897)&gt;(SUM(S893:S897)),(((SUM(S893:S897))-(V897-C896))*I892)+((U897-C896)*I892),U897*I892),IF(V897&gt;(SUM(S893:S897)),S897*I892,U897*I892)),2)))</f>
        <v>0</v>
      </c>
      <c r="J897" s="64">
        <f>IF(B897=0,0,IF(AND(H884="ja",((U897)&lt;R909)),ROUND(((R911*R908+((R909/(R909-R908))-(R908/(R909-R908))*R911)*((U897)-R908))*(J892*2))-(((R909/(R909-R908))*((U897)-R908))*J892),2),ROUND(IF(V896&lt;(SUM(S893:S896)),IF((V897)&gt;(SUM(S893:S897)),(((SUM(S893:S897))-(V897-C896))*J892)+((U897-C896)*J892),U897*J892),IF(V897&gt;(SUM(S893:S897)),S897*J892,U897*J892)),2)))</f>
        <v>0</v>
      </c>
      <c r="K897" s="64">
        <f>IF(B897=0,0,IF(AND(H884="ja",((U897)&lt;R909)),ROUND(((R911*R908+((R909/(R909-R908))-(R908/(R909-R908))*R911)*((U897)-R908))*(K892*2))-(((R909/(R909-R908))*((U897)-R908))*K892),2),ROUND(IF(V896&lt;(SUM(R893:R896)),IF((V897)&gt;(SUM(R893:R897)),(((SUM(R893:R897))-(V897-C896))*K892)+((U897-C896)*K892),U897*K892),IF(V897&gt;(SUM(R893:R897)),R897*K892,U897*K892)),2)))</f>
        <v>0</v>
      </c>
      <c r="L897" s="64">
        <f>IF(B897=0,0,IF(AND(H884="ja",((U897-C897)&lt;R909)),ROUND(((R911*R908+((R909/(R909-R908))-(R908/(R909-R908))*R911)*((U897-C897)-R908))*(L892)),2),ROUND(IF(SUM(B893:F896)&lt;(SUM(S893:S896)),IF((SUM(B893:F897))&gt;(SUM(S893:S897)),(((SUM(S893:S897))-(SUM(B893:F897)-C897))*L892)+((SUM(B897:F897)-C897)*L892),(SUM(B897:F897)-C897)*L892),IF(SUM(B893:F897)&gt;(SUM(S893:S897)),S897*L892,SUM(B897:F897)*L892)),2)))</f>
        <v>0</v>
      </c>
      <c r="M897" s="64">
        <f>IF(B897=0,0,IF(AND(H884="ja",((U897-C897)&lt;R909)),ROUND(((R911*R908+((R909/(R909-R908))-(R908/(R909-R908))*R911)*((U897-C897)-R908))*(M892)),2),ROUND(IF(SUM(B893:F896)&lt;(SUM(S893:S896)),IF((SUM(B893:F897))&gt;(SUM(S893:S897)),(((SUM(S893:S897))-(SUM(B893:F897)-C897))*M892)+((SUM(B897:F897)-C897)*M892),(SUM(B897:F897)-C897)*M892),IF(SUM(B893:F897)&gt;(SUM(S893:S897)),S897*M892,SUM(B897:F897)*M892)),2)))</f>
        <v>0</v>
      </c>
      <c r="N897" s="64">
        <f>IF(B897=0,0,IF(AND(H884="ja",((U897)&lt;R909)),ROUND(((R911*R908+((R909/(R909-R908))-(R908/(R909-R908))*R911)*((U897)-R908))*(N892)),2),ROUND(IF(SUM(B893:F896)&lt;(SUM(S893:S896)),IF((SUM(B893:F897))&gt;(SUM(S893:S897)),(((SUM(S893:S897))-(SUM(B893:F897)-C896))*N892)+((SUM(B897:F897)-C896)*N892),SUM(B897:F897)*N892),IF(SUM(B893:F897)&gt;(SUM(S893:S897)),S897*N892,SUM(B897:F897)*N892)),2)))</f>
        <v>0</v>
      </c>
      <c r="O897" s="21">
        <f>ROUND(SUM(B897+C897+F897)*O892,2)</f>
        <v>0</v>
      </c>
      <c r="P897" s="25">
        <f t="shared" si="149"/>
        <v>0</v>
      </c>
      <c r="Q897" s="456"/>
      <c r="R897" s="140">
        <f>ROUND(IF(M871="",R887,R887/M871*P874),2)</f>
        <v>5175</v>
      </c>
      <c r="S897" s="140">
        <f>ROUND(IF(M871="",R888,R888/M871*P874),2)</f>
        <v>7450</v>
      </c>
      <c r="U897" s="950">
        <f t="shared" si="150"/>
        <v>0</v>
      </c>
      <c r="V897" s="950">
        <f>SUM(B893:F897)</f>
        <v>0</v>
      </c>
    </row>
    <row r="898" spans="1:24" s="1" customFormat="1" x14ac:dyDescent="0.2">
      <c r="A898" s="76" t="str">
        <f>CONCATENATE("Jun ",O869)</f>
        <v>Jun 2025</v>
      </c>
      <c r="B898" s="22">
        <f>ROUND(IF(P875=0,0,IFERROR(((LOOKUP(2,1/(A878:A881=A898),G878:G881))*P875*4.348),B897/P874*P875)),2)</f>
        <v>0</v>
      </c>
      <c r="C898" s="21">
        <f>ROUND(IFERROR((LOOKUP(2,1/(A884=A898),E884)),0)+IFERROR((LOOKUP(2,1/(A885=A898),E885)),0),2)</f>
        <v>0</v>
      </c>
      <c r="D898" s="21">
        <f>ROUND(IF(B898=0,0,D892/M871*P875),2)</f>
        <v>0</v>
      </c>
      <c r="E898" s="21">
        <f>ROUND(IF(B898=0,0,E892/N867*P875),2)</f>
        <v>0</v>
      </c>
      <c r="F898" s="22">
        <f>ROUND(IF(P875=0,0,IFERROR(((LOOKUP(2,1/(A878:A881=A898),I878:I881))/N867*P875),F897/P874*P875)),2)</f>
        <v>0</v>
      </c>
      <c r="G898" s="25">
        <f t="shared" si="148"/>
        <v>0</v>
      </c>
      <c r="H898" s="64">
        <f>IF(B898=0,0,IF(AND(H884="ja",((U898)&lt;R909)),ROUND(((R911*R908+((R909/(R909-R908))-(R908/(R909-R908))*R911)*((U898)-R908))*(H892*2))-(((R909/(R909-R908))*((U898)-R908))*H892),2),ROUND(IF(V897&lt;(SUM(R893:R897)),IF((V898)&gt;(SUM(R893:R898)),(((SUM(R893:R898))-(V898-C897))*H892)+((U898-C897)*H892),U898*H892),IF(V898&gt;(SUM(R893:R898)),R898*H892,U898*H892)),2)))</f>
        <v>0</v>
      </c>
      <c r="I898" s="64">
        <f>IF(B898=0,0,IF(AND(H884="ja",((U898)&lt;R909)),ROUND(((R911*R908+((R909/(R909-R908))-(R908/(R909-R908))*R911)*((U898)-R908))*(I892*2))-(((R909/(R909-R908))*((U898)-R908))*I892),2),ROUND(IF(V897&lt;(SUM(S893:S897)),IF((V898)&gt;(SUM(S893:S898)),(((SUM(S893:S898))-(V898-C897))*I892)+((U898-C897)*I892),U898*I892),IF(V898&gt;(SUM(S893:S898)),S898*I892,U898*I892)),2)))</f>
        <v>0</v>
      </c>
      <c r="J898" s="64">
        <f>IF(B898=0,0,IF(AND(H884="ja",((U898)&lt;R909)),ROUND(((R911*R908+((R909/(R909-R908))-(R908/(R909-R908))*R911)*((U898)-R908))*(J892*2))-(((R909/(R909-R908))*((U898)-R908))*J892),2),ROUND(IF(V897&lt;(SUM(S893:S897)),IF((V898)&gt;(SUM(S893:S898)),(((SUM(S893:S898))-(V898-C897))*J892)+((U898-C897)*J892),U898*J892),IF(V898&gt;(SUM(S893:S898)),S898*J892,U898*J892)),2)))</f>
        <v>0</v>
      </c>
      <c r="K898" s="64">
        <f>IF(B898=0,0,IF(AND(H884="ja",((U898)&lt;R909)),ROUND(((R911*R908+((R909/(R909-R908))-(R908/(R909-R908))*R911)*((U898)-R908))*(K892*2))-(((R909/(R909-R908))*((U898)-R908))*K892),2),ROUND(IF(V897&lt;(SUM(R893:R897)),IF((V898)&gt;(SUM(R893:R898)),(((SUM(R893:R898))-(V898-C897))*K892)+((U898-C897)*K892),U898*K892),IF(V898&gt;(SUM(R893:R898)),R898*K892,U898*K892)),2)))</f>
        <v>0</v>
      </c>
      <c r="L898" s="64">
        <f>IF(B898=0,0,IF(AND(H884="ja",((U898-C898)&lt;R909)),ROUND(((R911*R908+((R909/(R909-R908))-(R908/(R909-R908))*R911)*((U898-C898)-R908))*(L892)),2),ROUND(IF(SUM(B893:F897)&lt;(SUM(S893:S897)),IF((SUM(B893:F898))&gt;(SUM(S893:S898)),(((SUM(S893:S898))-(SUM(B893:F898)-C898))*L892)+((SUM(B898:F898)-C898)*L892),(SUM(B898:F898)-C898)*L892),IF(SUM(B893:F898)&gt;(SUM(S893:S898)),S898*L892,SUM(B898:F898)*L892)),2)))</f>
        <v>0</v>
      </c>
      <c r="M898" s="64">
        <f>IF(B898=0,0,IF(AND(H884="ja",((U898-C898)&lt;R909)),ROUND(((R911*R908+((R909/(R909-R908))-(R908/(R909-R908))*R911)*((U898-C898)-R908))*(M892)),2),ROUND(IF(SUM(B893:F897)&lt;(SUM(S893:S897)),IF((SUM(B893:F898))&gt;(SUM(S893:S898)),(((SUM(S893:S898))-(SUM(B893:F898)-C898))*M892)+((SUM(B898:F898)-C898)*M892),(SUM(B898:F898)-C898)*M892),IF(SUM(B893:F898)&gt;(SUM(S893:S898)),S898*M892,SUM(B898:F898)*M892)),2)))</f>
        <v>0</v>
      </c>
      <c r="N898" s="64">
        <f>IF(B898=0,0,IF(AND(H884="ja",((U898)&lt;R909)),ROUND(((R911*R908+((R909/(R909-R908))-(R908/(R909-R908))*R911)*((U898)-R908))*(N892)),2),ROUND(IF(SUM(B893:F897)&lt;(SUM(S893:S897)),IF((SUM(B893:F898))&gt;(SUM(S893:S898)),(((SUM(S893:S898))-(SUM(B893:F898)-C897))*N892)+((SUM(B898:F898)-C897)*N892),SUM(B898:F898)*N892),IF(SUM(B893:F898)&gt;(SUM(S893:S898)),S898*N892,SUM(B898:F898)*N892)),2)))</f>
        <v>0</v>
      </c>
      <c r="O898" s="21">
        <f>ROUND(SUM(B898+C898+F898)*O892,2)</f>
        <v>0</v>
      </c>
      <c r="P898" s="25">
        <f t="shared" si="149"/>
        <v>0</v>
      </c>
      <c r="Q898" s="456"/>
      <c r="R898" s="140">
        <f>ROUND(IF(M871="",R887,R887/M871*P875),2)</f>
        <v>5175</v>
      </c>
      <c r="S898" s="140">
        <f>ROUND(IF(M871="",R888,R888/M871*P875),2)</f>
        <v>7450</v>
      </c>
      <c r="U898" s="950">
        <f t="shared" si="150"/>
        <v>0</v>
      </c>
      <c r="V898" s="950">
        <f>SUM(B893:F898)</f>
        <v>0</v>
      </c>
    </row>
    <row r="899" spans="1:24" s="1" customFormat="1" x14ac:dyDescent="0.2">
      <c r="A899" s="76" t="str">
        <f>CONCATENATE("Jul ",O869)</f>
        <v>Jul 2025</v>
      </c>
      <c r="B899" s="22">
        <f>ROUND(IF(P876=0,0,IFERROR(((LOOKUP(2,1/(A878:A881=A899),G878:G881))*P876*4.348),B898/P875*P876)),2)</f>
        <v>0</v>
      </c>
      <c r="C899" s="21">
        <f>ROUND(IFERROR((LOOKUP(2,1/(A884=A899),E884)),0)+IFERROR((LOOKUP(2,1/(A885=A899),E885)),0),2)</f>
        <v>0</v>
      </c>
      <c r="D899" s="21">
        <f>ROUND(IF(B899=0,0,D892/M871*P876),2)</f>
        <v>0</v>
      </c>
      <c r="E899" s="21">
        <f>ROUND(IF(B899=0,0,E892/N867*P876),2)</f>
        <v>0</v>
      </c>
      <c r="F899" s="22">
        <f>ROUND(IF(P876=0,0,IFERROR(((LOOKUP(2,1/(A878:A881=A899),I878:I881))/N867*P876),F898/P875*P876)),2)</f>
        <v>0</v>
      </c>
      <c r="G899" s="25">
        <f t="shared" si="148"/>
        <v>0</v>
      </c>
      <c r="H899" s="64">
        <f>IF(B899=0,0,IF(AND(H884="ja",((U899)&lt;R909)),ROUND(((R911*R908+((R909/(R909-R908))-(R908/(R909-R908))*R911)*((U899)-R908))*(H892*2))-(((R909/(R909-R908))*((U899)-R908))*H892),2),ROUND(IF(V898&lt;(SUM(R893:R898)),IF((V899)&gt;(SUM(R893:R899)),(((SUM(R893:R899))-(V899-C898))*H892)+((U899-C898)*H892),U899*H892),IF(V899&gt;(SUM(R893:R899)),R899*H892,U899*H892)),2)))</f>
        <v>0</v>
      </c>
      <c r="I899" s="64">
        <f>IF(B899=0,0,IF(AND(H884="ja",((U899)&lt;R909)),ROUND(((R911*R908+((R909/(R909-R908))-(R908/(R909-R908))*R911)*((U899)-R908))*(I892*2))-(((R909/(R909-R908))*((U899)-R908))*I892),2),ROUND(IF(V898&lt;(SUM(S893:S898)),IF((V899)&gt;(SUM(S893:S899)),(((SUM(S893:S899))-(V899-C898))*I892)+((U899-C898)*I892),U899*I892),IF(V899&gt;(SUM(S893:S899)),S899*I892,U899*I892)),2)))</f>
        <v>0</v>
      </c>
      <c r="J899" s="64">
        <f>IF(B899=0,0,IF(AND(H884="ja",((U899)&lt;R909)),ROUND(((R911*R908+((R909/(R909-R908))-(R908/(R909-R908))*R911)*((U899)-R908))*(J892*2))-(((R909/(R909-R908))*((U899)-R908))*J892),2),ROUND(IF(V898&lt;(SUM(S893:S898)),IF((V899)&gt;(SUM(S893:S899)),(((SUM(S893:S899))-(V899-C898))*J892)+((U899-C898)*J892),U899*J892),IF(V899&gt;(SUM(S893:S899)),S899*J892,U899*J892)),2)))</f>
        <v>0</v>
      </c>
      <c r="K899" s="64">
        <f>IF(B899=0,0,IF(AND(H884="ja",((U899)&lt;R909)),ROUND(((R911*R908+((R909/(R909-R908))-(R908/(R909-R908))*R911)*((U899)-R908))*(K892*2))-(((R909/(R909-R908))*((U899)-R908))*K892),2),ROUND(IF(V898&lt;(SUM(R893:R898)),IF((V899)&gt;(SUM(R893:R899)),(((SUM(R893:R899))-(V899-C898))*K892)+((U899-C898)*K892),U899*K892),IF(V899&gt;(SUM(R893:R899)),R899*K892,U899*K892)),2)))</f>
        <v>0</v>
      </c>
      <c r="L899" s="64">
        <f>IF(B899=0,0,IF(AND(H884="ja",((U899-C899)&lt;R909)),ROUND(((R911*R908+((R909/(R909-R908))-(R908/(R909-R908))*R911)*((U899-C899)-R908))*(L892)),2),ROUND(IF(SUM(B893:F898)&lt;(SUM(S893:S898)),IF((SUM(B893:F899))&gt;(SUM(S893:S899)),(((SUM(S893:S899))-(SUM(B893:F899)-C899))*L892)+((SUM(B899:F899)-C899)*L892),(SUM(B899:F899)-C899)*L892),IF(SUM(B893:F899)&gt;(SUM(S893:S899)),S899*L892,SUM(B899:F899)*L892)),2)))</f>
        <v>0</v>
      </c>
      <c r="M899" s="64">
        <f>IF(B899=0,0,IF(AND(H884="ja",((U899-C899)&lt;R909)),ROUND(((R911*R908+((R909/(R909-R908))-(R908/(R909-R908))*R911)*((U899-C899)-R908))*(M892)),2),ROUND(IF(SUM(B893:F898)&lt;(SUM(S893:S898)),IF((SUM(B893:F899))&gt;(SUM(S893:S899)),(((SUM(S893:S899))-(SUM(B893:F899)-C899))*M892)+((SUM(B899:F899)-C899)*M892),(SUM(B899:F899)-C899)*M892),IF(SUM(B893:F899)&gt;(SUM(S893:S899)),S899*M892,SUM(B899:F899)*M892)),2)))</f>
        <v>0</v>
      </c>
      <c r="N899" s="64">
        <f>IF(B899=0,0,IF(AND(H884="ja",((U899)&lt;R909)),ROUND(((R911*R908+((R909/(R909-R908))-(R908/(R909-R908))*R911)*((U899)-R908))*(N892)),2),ROUND(IF(SUM(B893:F898)&lt;(SUM(S893:S898)),IF((SUM(B893:F899))&gt;(SUM(S893:S899)),(((SUM(S893:S899))-(SUM(B893:F899)-C898))*N892)+((SUM(B899:F899)-C898)*N892),SUM(B899:F899)*N892),IF(SUM(B893:F899)&gt;(SUM(S893:S899)),S899*N892,SUM(B899:F899)*N892)),2)))</f>
        <v>0</v>
      </c>
      <c r="O899" s="21">
        <f>ROUND(SUM(B899+C899+F899)*O892,2)</f>
        <v>0</v>
      </c>
      <c r="P899" s="25">
        <f t="shared" si="149"/>
        <v>0</v>
      </c>
      <c r="Q899" s="456"/>
      <c r="R899" s="140">
        <f>ROUND(IF(M871="",R887,R887/M871*P876),2)</f>
        <v>5175</v>
      </c>
      <c r="S899" s="140">
        <f>ROUND(IF(M871="",R888,R888/M871*P876),2)</f>
        <v>7450</v>
      </c>
      <c r="U899" s="950">
        <f t="shared" si="150"/>
        <v>0</v>
      </c>
      <c r="V899" s="950">
        <f>SUM(B893:F899)</f>
        <v>0</v>
      </c>
    </row>
    <row r="900" spans="1:24" s="1" customFormat="1" x14ac:dyDescent="0.2">
      <c r="A900" s="76" t="str">
        <f>CONCATENATE("Aug ",O869)</f>
        <v>Aug 2025</v>
      </c>
      <c r="B900" s="22">
        <f>ROUND(IF(P877=0,0,IFERROR(((LOOKUP(2,1/(A878:A881=A900),G878:G881))*P877*4.348),B899/P876*P877)),2)</f>
        <v>0</v>
      </c>
      <c r="C900" s="21">
        <f>ROUND(IFERROR((LOOKUP(2,1/(A884=A900),E884)),0)+IFERROR((LOOKUP(2,1/(A885=A900),E885)),0),2)</f>
        <v>0</v>
      </c>
      <c r="D900" s="21">
        <f>ROUND(IF(B900=0,0,D892/M871*P877),2)</f>
        <v>0</v>
      </c>
      <c r="E900" s="21">
        <f>ROUND(IF(B900=0,0,E892/N867*P877),2)</f>
        <v>0</v>
      </c>
      <c r="F900" s="22">
        <f>ROUND(IF(P877=0,0,IFERROR(((LOOKUP(2,1/(A878:A881=A900),I878:I881))/N867*P877),F899/P876*P877)),2)</f>
        <v>0</v>
      </c>
      <c r="G900" s="25">
        <f t="shared" si="148"/>
        <v>0</v>
      </c>
      <c r="H900" s="64">
        <f>IF(B900=0,0,IF(AND(H884="ja",((U900)&lt;R909)),ROUND(((R911*R908+((R909/(R909-R908))-(R908/(R909-R908))*R911)*((U900)-R908))*(H892*2))-(((R909/(R909-R908))*((U900)-R908))*H892),2),ROUND(IF(V899&lt;(SUM(R893:R899)),IF((V900)&gt;(SUM(R893:R900)),(((SUM(R893:R900))-(V900-C899))*H892)+((U900-C899)*H892),U900*H892),IF(V900&gt;(SUM(R893:R900)),R900*H892,U900*H892)),2)))</f>
        <v>0</v>
      </c>
      <c r="I900" s="64">
        <f>IF(B900=0,0,IF(AND(H884="ja",((U900)&lt;R909)),ROUND(((R911*R908+((R909/(R909-R908))-(R908/(R909-R908))*R911)*((U900)-R908))*(I892*2))-(((R909/(R909-R908))*((U900)-R908))*I892),2),ROUND(IF(V899&lt;(SUM(S893:S899)),IF((V900)&gt;(SUM(S893:S900)),(((SUM(S893:S900))-(V900-C899))*I892)+((U900-C899)*I892),U900*I892),IF(V900&gt;(SUM(S893:S900)),S900*I892,U900*I892)),2)))</f>
        <v>0</v>
      </c>
      <c r="J900" s="64">
        <f>IF(B900=0,0,IF(AND(H884="ja",((U900)&lt;R909)),ROUND(((R911*R908+((R909/(R909-R908))-(R908/(R909-R908))*R911)*((U900)-R908))*(J892*2))-(((R909/(R909-R908))*((U900)-R908))*J892),2),ROUND(IF(V899&lt;(SUM(S893:S899)),IF((V900)&gt;(SUM(S893:S900)),(((SUM(S893:S900))-(V900-C899))*J892)+((U900-C899)*J892),U900*J892),IF(V900&gt;(SUM(S893:S900)),S900*J892,U900*J892)),2)))</f>
        <v>0</v>
      </c>
      <c r="K900" s="64">
        <f>IF(B900=0,0,IF(AND(H884="ja",((U900)&lt;R909)),ROUND(((R911*R908+((R909/(R909-R908))-(R908/(R909-R908))*R911)*((U900)-R908))*(K892*2))-(((R909/(R909-R908))*((U900)-R908))*K892),2),ROUND(IF(V899&lt;(SUM(R893:R899)),IF((V900)&gt;(SUM(R893:R900)),(((SUM(R893:R900))-(V900-C899))*K892)+((U900-C899)*K892),U900*K892),IF(V900&gt;(SUM(R893:R900)),R900*K892,U900*K892)),2)))</f>
        <v>0</v>
      </c>
      <c r="L900" s="64">
        <f>IF(B900=0,0,IF(AND(H884="ja",((U900-C900)&lt;R909)),ROUND(((R911*R908+((R909/(R909-R908))-(R908/(R909-R908))*R911)*((U900-C900)-R908))*(L892)),2),ROUND(IF(SUM(B893:F899)&lt;(SUM(S893:S899)),IF((SUM(B893:F900))&gt;(SUM(S893:S900)),(((SUM(S893:S900))-(SUM(B893:F900)-C900))*L892)+((SUM(B900:F900)-C900)*L892),(SUM(B900:F900)-C900)*L892),IF(SUM(B893:F900)&gt;(SUM(S893:S900)),S900*L892,SUM(B900:F900)*L892)),2)))</f>
        <v>0</v>
      </c>
      <c r="M900" s="64">
        <f>IF(B900=0,0,IF(AND(H884="ja",((U900-C900)&lt;R909)),ROUND(((R911*R908+((R909/(R909-R908))-(R908/(R909-R908))*R911)*((U900-C900)-R908))*(M892)),2),ROUND(IF(SUM(B893:F899)&lt;(SUM(S893:S899)),IF((SUM(B893:F900))&gt;(SUM(S893:S900)),(((SUM(S893:S900))-(SUM(B893:F900)-C900))*M892)+((SUM(B900:F900)-C900)*M892),(SUM(B900:F900)-C900)*M892),IF(SUM(B893:F900)&gt;(SUM(S893:S900)),S900*M892,SUM(B900:F900)*M892)),2)))</f>
        <v>0</v>
      </c>
      <c r="N900" s="64">
        <f>IF(B900=0,0,IF(AND(H884="ja",((U900)&lt;R909)),ROUND(((R911*R908+((R909/(R909-R908))-(R908/(R909-R908))*R911)*((U900)-R908))*(N892)),2),ROUND(IF(SUM(B893:F899)&lt;(SUM(S893:S899)),IF((SUM(B893:F900))&gt;(SUM(S893:S900)),(((SUM(S893:S900))-(SUM(B893:F900)-C899))*N892)+((SUM(B900:F900)-C899)*N892),SUM(B900:F900)*N892),IF(SUM(B893:F900)&gt;(SUM(S893:S900)),S900*N892,SUM(B900:F900)*N892)),2)))</f>
        <v>0</v>
      </c>
      <c r="O900" s="21">
        <f>ROUND(SUM(B900+C900+F900)*O892,2)</f>
        <v>0</v>
      </c>
      <c r="P900" s="25">
        <f t="shared" si="149"/>
        <v>0</v>
      </c>
      <c r="Q900" s="456"/>
      <c r="R900" s="140">
        <f>ROUND(IF(M871="",R887,R887/M871*P877),2)</f>
        <v>5175</v>
      </c>
      <c r="S900" s="140">
        <f>ROUND(IF(M871="",R888,R888/M871*P877),2)</f>
        <v>7450</v>
      </c>
      <c r="U900" s="950">
        <f t="shared" si="150"/>
        <v>0</v>
      </c>
      <c r="V900" s="950">
        <f>SUM(B893:F900)</f>
        <v>0</v>
      </c>
    </row>
    <row r="901" spans="1:24" s="1" customFormat="1" x14ac:dyDescent="0.2">
      <c r="A901" s="76" t="str">
        <f>CONCATENATE("Sep ",O869)</f>
        <v>Sep 2025</v>
      </c>
      <c r="B901" s="22">
        <f>ROUND(IF(P878=0,0,IFERROR(((LOOKUP(2,1/(A878:A881=A901),G878:G881))*P878*4.348),B900/P877*P878)),2)</f>
        <v>0</v>
      </c>
      <c r="C901" s="21">
        <f>ROUND(IFERROR((LOOKUP(2,1/(A884=A901),E884)),0)+IFERROR((LOOKUP(2,1/(A885=A901),E885)),0),2)</f>
        <v>0</v>
      </c>
      <c r="D901" s="21">
        <f>ROUND(IF(B901=0,0,D892/M871*P878),2)</f>
        <v>0</v>
      </c>
      <c r="E901" s="21">
        <f>ROUND(IF(B901=0,0,E892/N867*P878),2)</f>
        <v>0</v>
      </c>
      <c r="F901" s="22">
        <f>ROUND(IF(P878=0,0,IFERROR(((LOOKUP(2,1/(A878:A881=A901),I878:I881))/N867*P878),F900/P877*P878)),2)</f>
        <v>0</v>
      </c>
      <c r="G901" s="25">
        <f t="shared" si="148"/>
        <v>0</v>
      </c>
      <c r="H901" s="64">
        <f>IF(B901=0,0,IF(AND(H884="ja",((U901)&lt;R909)),ROUND(((R911*R908+((R909/(R909-R908))-(R908/(R909-R908))*R911)*((U901)-R908))*(H892*2))-(((R909/(R909-R908))*((U901)-R908))*H892),2),ROUND(IF(V900&lt;(SUM(R893:R900)),IF((V901)&gt;(SUM(R893:R901)),(((SUM(R893:R901))-(V901-C900))*H892)+((U901-C900)*H892),U901*H892),IF(V901&gt;(SUM(R893:R901)),R901*H892,U901*H892)),2)))</f>
        <v>0</v>
      </c>
      <c r="I901" s="64">
        <f>IF(B901=0,0,IF(AND(H884="ja",((U901)&lt;R909)),ROUND(((R911*R908+((R909/(R909-R908))-(R908/(R909-R908))*R911)*((U901)-R908))*(I892*2))-(((R909/(R909-R908))*((U901)-R908))*I892),2),ROUND(IF(V900&lt;(SUM(S893:S900)),IF((V901)&gt;(SUM(S893:S901)),(((SUM(S893:S901))-(V901-C900))*I892)+((U901-C900)*I892),U901*I892),IF(V901&gt;(SUM(S893:S901)),S901*I892,U901*I892)),2)))</f>
        <v>0</v>
      </c>
      <c r="J901" s="64">
        <f>IF(B901=0,0,IF(AND(H884="ja",((U901)&lt;R909)),ROUND(((R911*R908+((R909/(R909-R908))-(R908/(R909-R908))*R911)*((U901)-R908))*(J892*2))-(((R909/(R909-R908))*((U901)-R908))*J892),2),ROUND(IF(V900&lt;(SUM(S893:S900)),IF((V901)&gt;(SUM(S893:S901)),(((SUM(S893:S901))-(V901-C900))*J892)+((U901-C900)*J892),U901*J892),IF(V901&gt;(SUM(S893:S901)),S901*J892,U901*J892)),2)))</f>
        <v>0</v>
      </c>
      <c r="K901" s="64">
        <f>IF(B901=0,0,IF(AND(H884="ja",((U901)&lt;R909)),ROUND(((R911*R908+((R909/(R909-R908))-(R908/(R909-R908))*R911)*((U901)-R908))*(K892*2))-(((R909/(R909-R908))*((U901)-R908))*K892),2),ROUND(IF(V900&lt;(SUM(R893:R900)),IF((V901)&gt;(SUM(R893:R901)),(((SUM(R893:R901))-(V901-C900))*K892)+((U901-C900)*K892),U901*K892),IF(V901&gt;(SUM(R893:R901)),R901*K892,U901*K892)),2)))</f>
        <v>0</v>
      </c>
      <c r="L901" s="64">
        <f>IF(B901=0,0,IF(AND(H884="ja",((U901-C901)&lt;R909)),ROUND(((R911*R908+((R909/(R909-R908))-(R908/(R909-R908))*R911)*((U901-C901)-R908))*(L892)),2),ROUND(IF(SUM(B893:F900)&lt;(SUM(S893:S900)),IF((SUM(B893:F901))&gt;(SUM(S893:S901)),(((SUM(S893:S901))-(SUM(B893:F901)-C901))*L892)+((SUM(B901:F901)-C901)*L892),(SUM(B901:F901)-C901)*L892),IF(SUM(B893:F901)&gt;(SUM(S893:S901)),S901*L892,SUM(B901:F901)*L892)),2)))</f>
        <v>0</v>
      </c>
      <c r="M901" s="64">
        <f>IF(B901=0,0,IF(AND(H884="ja",((U901-C901)&lt;R909)),ROUND(((R911*R908+((R909/(R909-R908))-(R908/(R909-R908))*R911)*((U901-C901)-R908))*(M892)),2),ROUND(IF(SUM(B893:F900)&lt;(SUM(S893:S900)),IF((SUM(B893:F901))&gt;(SUM(S893:S901)),(((SUM(S893:S901))-(SUM(B893:F901)-C901))*M892)+((SUM(B901:F901)-C901)*M892),(SUM(B901:F901)-C901)*M892),IF(SUM(B893:F901)&gt;(SUM(S893:S901)),S901*M892,SUM(B901:F901)*M892)),2)))</f>
        <v>0</v>
      </c>
      <c r="N901" s="64">
        <f>IF(B901=0,0,IF(AND(H884="ja",((U901)&lt;R909)),ROUND(((R911*R908+((R909/(R909-R908))-(R908/(R909-R908))*R911)*((U901)-R908))*(N892)),2),ROUND(IF(SUM(B893:F900)&lt;(SUM(S893:S900)),IF((SUM(B893:F901))&gt;(SUM(S893:S901)),(((SUM(S893:S901))-(SUM(B893:F901)-C900))*N892)+((SUM(B901:F901)-C900)*N892),SUM(B901:F901)*N892),IF(SUM(B893:F901)&gt;(SUM(S893:S901)),S901*N892,SUM(B901:F901)*N892)),2)))</f>
        <v>0</v>
      </c>
      <c r="O901" s="21">
        <f>ROUND(SUM(B901+C901+F901)*O892,2)</f>
        <v>0</v>
      </c>
      <c r="P901" s="25">
        <f t="shared" si="149"/>
        <v>0</v>
      </c>
      <c r="Q901" s="456"/>
      <c r="R901" s="140">
        <f>ROUND(IF(M871="",R887,R887/M871*P878),2)</f>
        <v>5175</v>
      </c>
      <c r="S901" s="140">
        <f>ROUND(IF(M871="",R888,R888/M871*P878),2)</f>
        <v>7450</v>
      </c>
      <c r="U901" s="950">
        <f t="shared" si="150"/>
        <v>0</v>
      </c>
      <c r="V901" s="950">
        <f>SUM(B893:F901)</f>
        <v>0</v>
      </c>
    </row>
    <row r="902" spans="1:24" s="12" customFormat="1" ht="15" x14ac:dyDescent="0.25">
      <c r="A902" s="76" t="str">
        <f>CONCATENATE("Okt ",O869)</f>
        <v>Okt 2025</v>
      </c>
      <c r="B902" s="22">
        <f>ROUND(IF(P879=0,0,IFERROR(((LOOKUP(2,1/(A878:A881=A902),G878:G881))*P879*4.348),B901/P878*P879)),2)</f>
        <v>0</v>
      </c>
      <c r="C902" s="21">
        <f>ROUND(IFERROR((LOOKUP(2,1/(A884=A902),E884)),0)+IFERROR((LOOKUP(2,1/(A885=A902),E885)),0),2)</f>
        <v>0</v>
      </c>
      <c r="D902" s="21">
        <f>ROUND(IF(B902=0,0,D892/M871*P879),2)</f>
        <v>0</v>
      </c>
      <c r="E902" s="21">
        <f>ROUND(IF(B902=0,0,E892/N867*P879),2)</f>
        <v>0</v>
      </c>
      <c r="F902" s="22">
        <f>ROUND(IF(P879=0,0,IFERROR(((LOOKUP(2,1/(A878:A881=A902),I878:I881))/N867*P879),F901/P878*P879)),2)</f>
        <v>0</v>
      </c>
      <c r="G902" s="25">
        <f t="shared" si="148"/>
        <v>0</v>
      </c>
      <c r="H902" s="64">
        <f>IF(B902=0,0,IF(AND(H884="ja",((U902)&lt;R909)),ROUND(((R911*R908+((R909/(R909-R908))-(R908/(R909-R908))*R911)*((U902)-R908))*(H892*2))-(((R909/(R909-R908))*((U902)-R908))*H892),2),ROUND(IF(V901&lt;(SUM(R893:R901)),IF((V902)&gt;(SUM(R893:R902)),(((SUM(R893:R902))-(V902-C901))*H892)+((U902-C901)*H892),U902*H892),IF(V902&gt;(SUM(R893:R902)),R902*H892,U902*H892)),2)))</f>
        <v>0</v>
      </c>
      <c r="I902" s="64">
        <f>IF(B902=0,0,IF(AND(H884="ja",((U902)&lt;R909)),ROUND(((R911*R908+((R909/(R909-R908))-(R908/(R909-R908))*R911)*((U902)-R908))*(I892*2))-(((R909/(R909-R908))*((U902)-R908))*I892),2),ROUND(IF(V901&lt;(SUM(S893:S901)),IF((V902)&gt;(SUM(S893:S902)),(((SUM(S893:S902))-(V902-C901))*I892)+((U902-C901)*I892),U902*I892),IF(V902&gt;(SUM(S893:S902)),S902*I892,U902*I892)),2)))</f>
        <v>0</v>
      </c>
      <c r="J902" s="64">
        <f>IF(B902=0,0,IF(AND(H884="ja",((U902)&lt;R909)),ROUND(((R911*R908+((R909/(R909-R908))-(R908/(R909-R908))*R911)*((U902)-R908))*(J892*2))-(((R909/(R909-R908))*((U902)-R908))*J892),2),ROUND(IF(V901&lt;(SUM(S893:S901)),IF((V902)&gt;(SUM(S893:S902)),(((SUM(S893:S902))-(V902-C901))*J892)+((U902-C901)*J892),U902*J892),IF(V902&gt;(SUM(S893:S902)),S902*J892,U902*J892)),2)))</f>
        <v>0</v>
      </c>
      <c r="K902" s="64">
        <f>IF(B902=0,0,IF(AND(H884="ja",((U902)&lt;R909)),ROUND(((R911*R908+((R909/(R909-R908))-(R908/(R909-R908))*R911)*((U902)-R908))*(K892*2))-(((R909/(R909-R908))*((U902)-R908))*K892),2),ROUND(IF(V901&lt;(SUM(R893:R901)),IF((V902)&gt;(SUM(R893:R902)),(((SUM(R893:R902))-(V902-C901))*K892)+((U902-C901)*K892),U902*K892),IF(V902&gt;(SUM(R893:R902)),R902*K892,U902*K892)),2)))</f>
        <v>0</v>
      </c>
      <c r="L902" s="64">
        <f>IF(B902=0,0,IF(AND(H884="ja",((U902-C902)&lt;R909)),ROUND(((R911*R908+((R909/(R909-R908))-(R908/(R909-R908))*R911)*((U902-C902)-R908))*(L892)),2),ROUND(IF(SUM(B893:F901)&lt;(SUM(S893:S901)),IF((SUM(B893:F902))&gt;(SUM(S893:S902)),(((SUM(S893:S902))-(SUM(B893:F902)-C902))*L892)+((SUM(B902:F902)-C902)*L892),(SUM(B902:F902)-C902)*L892),IF(SUM(B893:F902)&gt;(SUM(S893:S902)),S902*L892,SUM(B902:F902)*L892)),2)))</f>
        <v>0</v>
      </c>
      <c r="M902" s="64">
        <f>IF(B902=0,0,IF(AND(H884="ja",((U902-C902)&lt;R909)),ROUND(((R911*R908+((R909/(R909-R908))-(R908/(R909-R908))*R911)*((U902-C902)-R908))*(M892)),2),ROUND(IF(SUM(B893:F901)&lt;(SUM(S893:S901)),IF((SUM(B893:F902))&gt;(SUM(S893:S902)),(((SUM(S893:S902))-(SUM(B893:F902)-C902))*M892)+((SUM(B902:F902)-C902)*M892),(SUM(B902:F902)-C902)*M892),IF(SUM(B893:F902)&gt;(SUM(S893:S902)),S902*M892,SUM(B902:F902)*M892)),2)))</f>
        <v>0</v>
      </c>
      <c r="N902" s="64">
        <f>IF(B902=0,0,IF(AND(H884="ja",((U902)&lt;R909)),ROUND(((R911*R908+((R909/(R909-R908))-(R908/(R909-R908))*R911)*((U902)-R908))*(N892)),2),ROUND(IF(SUM(B893:F901)&lt;(SUM(S893:S901)),IF((SUM(B893:F902))&gt;(SUM(S893:S902)),(((SUM(S893:S902))-(SUM(B893:F902)-C901))*N892)+((SUM(B902:F902)-C901)*N892),SUM(B902:F902)*N892),IF(SUM(B893:F902)&gt;(SUM(S893:S902)),S902*N892,SUM(B902:F902)*N892)),2)))</f>
        <v>0</v>
      </c>
      <c r="O902" s="21">
        <f>ROUND(SUM(B902+C902+F902)*O892,2)</f>
        <v>0</v>
      </c>
      <c r="P902" s="25">
        <f t="shared" si="149"/>
        <v>0</v>
      </c>
      <c r="Q902" s="936"/>
      <c r="R902" s="140">
        <f>ROUND(IF(M871="",R887,R887/M871*P879),2)</f>
        <v>5175</v>
      </c>
      <c r="S902" s="140">
        <f>ROUND(IF(M871="",R888,R888/M871*P879),2)</f>
        <v>7450</v>
      </c>
      <c r="U902" s="950">
        <f t="shared" si="150"/>
        <v>0</v>
      </c>
      <c r="V902" s="950">
        <f>SUM(B893:F902)</f>
        <v>0</v>
      </c>
      <c r="X902" s="1"/>
    </row>
    <row r="903" spans="1:24" s="11" customFormat="1" x14ac:dyDescent="0.2">
      <c r="A903" s="76" t="str">
        <f>CONCATENATE("Nov ",O869)</f>
        <v>Nov 2025</v>
      </c>
      <c r="B903" s="22">
        <f>ROUND(IF(P880=0,0,IFERROR(((LOOKUP(2,1/(A878:A881=A903),G878:G881))*P880*4.348),B902/P879*P880)),2)</f>
        <v>0</v>
      </c>
      <c r="C903" s="21">
        <f>ROUND(IFERROR((LOOKUP(2,1/(A884=A903),E884)),0)+(IFERROR((LOOKUP(2,1/(A885=A903),E885)),0)),2)</f>
        <v>0</v>
      </c>
      <c r="D903" s="21">
        <f>ROUND(IF(B903=0,0,D892/M871*P880),2)</f>
        <v>0</v>
      </c>
      <c r="E903" s="21">
        <f>ROUND(IF(B903=0,0,E892/N867*P880),2)</f>
        <v>0</v>
      </c>
      <c r="F903" s="22">
        <f>ROUND(IF(P880=0,0,IFERROR(((LOOKUP(2,1/(A878:A881=A903),I878:I881))/N867*P880),F902/P879*P880)),2)</f>
        <v>0</v>
      </c>
      <c r="G903" s="25">
        <f t="shared" si="148"/>
        <v>0</v>
      </c>
      <c r="H903" s="64">
        <f>IF(B903=0,0,IF(AND(H884="ja",((U903)&lt;R909)),ROUND(((R911*R908+((R909/(R909-R908))-(R908/(R909-R908))*R911)*((U903)-R908))*(H892*2))-(((R909/(R909-R908))*((U903)-R908))*H892),2),ROUND(IF(V902&lt;(SUM(R893:R902)),IF((V903)&gt;(SUM(R893:R903)),(((SUM(R893:R903))-(V903-C902))*H892)+((U903-C902)*H892),U903*H892),IF(V903&gt;(SUM(R893:R903)),R903*H892,U903*H892)),2)))</f>
        <v>0</v>
      </c>
      <c r="I903" s="64">
        <f>IF(B903=0,0,IF(AND(H884="ja",((U903)&lt;R909)),ROUND(((R911*R908+((R909/(R909-R908))-(R908/(R909-R908))*R911)*((U903)-R908))*(I892*2))-(((R909/(R909-R908))*((U903)-R908))*I892),2),ROUND(IF(V902&lt;(SUM(S893:S902)),IF((V903)&gt;(SUM(S893:S903)),(((SUM(S893:S903))-(V903-C902))*I892)+((U903-C902)*I892),U903*I892),IF(V903&gt;(SUM(S893:S903)),S903*I892,U903*I892)),2)))</f>
        <v>0</v>
      </c>
      <c r="J903" s="64">
        <f>IF(B903=0,0,IF(AND(H884="ja",((U903)&lt;R909)),ROUND(((R911*R908+((R909/(R909-R908))-(R908/(R909-R908))*R911)*((U903)-R908))*(J892*2))-(((R909/(R909-R908))*((U903)-R908))*J892),2),ROUND(IF(V902&lt;(SUM(S893:S902)),IF((V903)&gt;(SUM(S893:S903)),(((SUM(S893:S903))-(V903-C902))*J892)+((U903-C902)*J892),U903*J892),IF(V903&gt;(SUM(S893:S903)),S903*J892,U903*J892)),2)))</f>
        <v>0</v>
      </c>
      <c r="K903" s="64">
        <f>IF(B903=0,0,IF(AND(H884="ja",((U903)&lt;R909)),ROUND(((R911*R908+((R909/(R909-R908))-(R908/(R909-R908))*R911)*((U903)-R908))*(K892*2))-(((R909/(R909-R908))*((U903)-R908))*K892),2),ROUND(IF(V902&lt;(SUM(R893:R902)),IF((V903)&gt;(SUM(R893:R903)),(((SUM(R893:R903))-(V903-C902))*K892)+((U903-C902)*K892),U903*K892),IF(V903&gt;(SUM(R893:R903)),R903*K892,U903*K892)),2)))</f>
        <v>0</v>
      </c>
      <c r="L903" s="64">
        <f>IF(B903=0,0,IF(AND(H884="ja",((U903-C903)&lt;R909)),ROUND(((R911*R908+((R909/(R909-R908))-(R908/(R909-R908))*R911)*((U903-C903)-R908))*(L892)),2),ROUND(IF(SUM(B893:F902)&lt;(SUM(S893:S902)),IF((SUM(B893:F903))&gt;(SUM(S893:S903)),(((SUM(S893:S903))-(SUM(B893:F903)-C903))*L892)+((SUM(B903:F903)-C903)*L892),(SUM(B903:F903)-C903)*L892),IF(SUM(B893:F903)&gt;(SUM(S893:S903)),S903*L892,SUM(B903:F903)*L892)),2)))</f>
        <v>0</v>
      </c>
      <c r="M903" s="64">
        <f>IF(B903=0,0,IF(AND(H884="ja",((U903-C903)&lt;R909)),ROUND(((R911*R908+((R909/(R909-R908))-(R908/(R909-R908))*R911)*((U903-C903)-R908))*(M892)),2),ROUND(IF(SUM(B893:F902)&lt;(SUM(S893:S902)),IF((SUM(B893:F903))&gt;(SUM(S893:S903)),(((SUM(S893:S903))-(SUM(B893:F903)-C903))*M892)+((SUM(B903:F903)-C903)*M892),(SUM(B903:F903)-C903)*M892),IF(SUM(B893:F903)&gt;(SUM(S893:S903)),S903*M892,SUM(B903:F903)*M892)),2)))</f>
        <v>0</v>
      </c>
      <c r="N903" s="64">
        <f>IF(B903=0,0,IF(AND(H884="ja",((U903)&lt;R909)),ROUND(((R911*R908+((R909/(R909-R908))-(R908/(R909-R908))*R911)*((U903)-R908))*(N892)),2),ROUND(IF(SUM(B893:F902)&lt;(SUM(S893:S902)),IF((SUM(B893:F903))&gt;(SUM(S893:S903)),(((SUM(S893:S903))-(SUM(B893:F903)-C902))*N892)+((SUM(B903:F903)-C902)*N892),SUM(B903:F903)*N892),IF(SUM(B893:F903)&gt;(SUM(S893:S903)),S903*N892,SUM(B903:F903)*N892)),2)))</f>
        <v>0</v>
      </c>
      <c r="O903" s="21">
        <f>ROUND(SUM(B903+C903+F903)*O892,2)</f>
        <v>0</v>
      </c>
      <c r="P903" s="25">
        <f t="shared" si="149"/>
        <v>0</v>
      </c>
      <c r="R903" s="140">
        <f>ROUND(IF(M871="",R887,R887/M871*P880),2)</f>
        <v>5175</v>
      </c>
      <c r="S903" s="140">
        <f>ROUND(IF(M871="",R888,R888/M871*P880),2)</f>
        <v>7450</v>
      </c>
      <c r="U903" s="950">
        <f t="shared" si="150"/>
        <v>0</v>
      </c>
      <c r="V903" s="950">
        <f>SUM(B893:F903)</f>
        <v>0</v>
      </c>
      <c r="X903" s="1"/>
    </row>
    <row r="904" spans="1:24" s="1" customFormat="1" ht="14.25" customHeight="1" x14ac:dyDescent="0.2">
      <c r="A904" s="76" t="str">
        <f>CONCATENATE("Dez ",O869)</f>
        <v>Dez 2025</v>
      </c>
      <c r="B904" s="22">
        <f>ROUND(IF(P881=0,0,IFERROR(((LOOKUP(2,1/(A878:A881=A904),G878:G881))*P881*4.348),B903/P880*P881)),2)</f>
        <v>0</v>
      </c>
      <c r="C904" s="21">
        <f>ROUND(IFERROR((LOOKUP(2,1/(A884=A904),E884)),0)+IFERROR((LOOKUP(2,1/(A885=A904),E885)),0),2)</f>
        <v>0</v>
      </c>
      <c r="D904" s="21">
        <f>ROUND(IF(B904=0,0,D892/M871*P881),2)</f>
        <v>0</v>
      </c>
      <c r="E904" s="21">
        <f>ROUND(IF(B904=0,0,E892/N867*P881),2)</f>
        <v>0</v>
      </c>
      <c r="F904" s="22">
        <f>ROUND(IF(P881=0,0,IFERROR(((LOOKUP(2,1/(A878:A881=A904),I878:I881))/N867*P881),F903/P880*P881)),2)</f>
        <v>0</v>
      </c>
      <c r="G904" s="25">
        <f t="shared" si="148"/>
        <v>0</v>
      </c>
      <c r="H904" s="64">
        <f>IF(B904=0,0,IF(AND(H884="ja",((U904)&lt;R909)),ROUND(((R911*R908+((R909/(R909-R908))-(R908/(R909-R908))*R911)*((U904)-R908))*(H892*2))-(((R909/(R909-R908))*((U904)-R908))*H892),2),ROUND(IF(V903&lt;(SUM(R893:R903)),IF((V904)&gt;(SUM(R893:R904)),(((SUM(R893:R904))-(V904-C903))*H892)+((U904-C903)*H892),U904*H892),IF(V904&gt;(SUM(R893:R904)),R904*H892,U904*H892)),2)))</f>
        <v>0</v>
      </c>
      <c r="I904" s="64">
        <f>IF(B904=0,0,IF(AND(H884="ja",((U904)&lt;R909)),ROUND(((R911*R908+((R909/(R909-R908))-(R908/(R909-R908))*R911)*((U904)-R908))*(I892*2))-(((R909/(R909-R908))*((U904)-R908))*I892),2),ROUND(IF(V903&lt;(SUM(S893:S903)),IF((V904)&gt;(SUM(S893:S904)),(((SUM(S893:S904))-(V904-C903))*I892)+((U904-C903)*I892),U904*I892),IF(V904&gt;(SUM(S893:S904)),S904*I892,U904*I892)),2)))</f>
        <v>0</v>
      </c>
      <c r="J904" s="64">
        <f>IF(B904=0,0,IF(AND(H884="ja",((U904)&lt;R909)),ROUND(((R911*R908+((R909/(R909-R908))-(R908/(R909-R908))*R911)*((U904)-R908))*(J892*2))-(((R909/(R909-R908))*((U904)-R908))*J892),2),ROUND(IF(V903&lt;(SUM(S893:S903)),IF((V904)&gt;(SUM(S893:S904)),(((SUM(S893:S904))-(V904-C903))*J892)+((U904-C903)*J892),U904*J892),IF(V904&gt;(SUM(S893:S904)),S904*J892,U904*J892)),2)))</f>
        <v>0</v>
      </c>
      <c r="K904" s="64">
        <f>IF(B904=0,0,IF(AND(H884="ja",((U904)&lt;R909)),ROUND(((R911*R908+((R909/(R909-R908))-(R908/(R909-R908))*R911)*((U904)-R908))*(K892*2))-(((R909/(R909-R908))*((U904)-R908))*K892),2),ROUND(IF(V903&lt;(SUM(R893:R903)),IF((V904)&gt;(SUM(R893:R904)),(((SUM(R893:R904))-(V904-C903))*K892)+((U904-C903)*K892),U904*K892),IF(V904&gt;(SUM(R893:R904)),R904*K892,U904*K892)),2)))</f>
        <v>0</v>
      </c>
      <c r="L904" s="64">
        <f>IF(B904=0,0,IF(AND(H884="ja",((U904-C904)&lt;R909)),ROUND(((R911*R908+((R909/(R909-R908))-(R908/(R909-R908))*R911)*((U904-C904)-R908))*(L892)),2),ROUND(IF(SUM(B893:F903)&lt;(SUM(S893:S903)),IF((SUM(B893:F904))&gt;(SUM(S893:S904)),(((SUM(S893:S904))-(SUM(B893:F904)-C904))*L892)+((SUM(B904:F904)-C904)*L892),(SUM(B904:F904)-C904)*L892),IF(SUM(B893:F904)&gt;(SUM(S893:S904)),S904*L892,SUM(B904:F904)*L892)),2)))</f>
        <v>0</v>
      </c>
      <c r="M904" s="64">
        <f>IF(B904=0,0,IF(AND(H884="ja",((U904-C904)&lt;R909)),ROUND(((R911*R908+((R909/(R909-R908))-(R908/(R909-R908))*R911)*((U904-C904)-R908))*(M892)),2),ROUND(IF(SUM(B893:F903)&lt;(SUM(S893:S903)),IF((SUM(B893:F904))&gt;(SUM(S893:S904)),(((SUM(S893:S904))-(SUM(B893:F904)-C904))*M892)+((SUM(B904:F904)-C904)*M892),(SUM(B904:F904)-C904)*M892),IF(SUM(B893:F904)&gt;(SUM(S893:S904)),S904*M892,SUM(B904:F904)*M892)),2)))</f>
        <v>0</v>
      </c>
      <c r="N904" s="64">
        <f>IF(B904=0,0,IF(AND(H884="ja",((U904)&lt;R909)),ROUND(((R911*R908+((R909/(R909-R908))-(R908/(R909-R908))*R911)*((U904)-R908))*(N892)),2),ROUND(IF(SUM(B893:F903)&lt;(SUM(S893:S903)),IF((SUM(B893:F904))&gt;(SUM(S893:S904)),(((SUM(S893:S904))-(SUM(B893:F904)-C903))*N892)+((SUM(B904:F904)-C903)*N892),SUM(B904:F904)*N892),IF(SUM(B893:F904)&gt;(SUM(S893:S904)),S904*N892,SUM(B904:F904)*N892)),2)))</f>
        <v>0</v>
      </c>
      <c r="O904" s="21">
        <f>ROUND(SUM(B904+C904+F904)*O892,2)</f>
        <v>0</v>
      </c>
      <c r="P904" s="25">
        <f t="shared" si="149"/>
        <v>0</v>
      </c>
      <c r="Q904" s="11"/>
      <c r="R904" s="140">
        <f>ROUND(IF(M871="",R887,R887/M871*P881),2)</f>
        <v>5175</v>
      </c>
      <c r="S904" s="140">
        <f>ROUND(IF(M871="",R888,R888/M871*P881),2)</f>
        <v>7450</v>
      </c>
      <c r="U904" s="950">
        <f t="shared" si="150"/>
        <v>0</v>
      </c>
      <c r="V904" s="950">
        <f>SUM(B893:F904)</f>
        <v>0</v>
      </c>
    </row>
    <row r="905" spans="1:24" s="1" customFormat="1" ht="15" customHeight="1" x14ac:dyDescent="0.2">
      <c r="A905" s="2" t="s">
        <v>1</v>
      </c>
      <c r="B905" s="25">
        <f t="shared" ref="B905:G905" si="151">SUM(B893:B904)</f>
        <v>0</v>
      </c>
      <c r="C905" s="25">
        <f t="shared" si="151"/>
        <v>0</v>
      </c>
      <c r="D905" s="25">
        <f t="shared" si="151"/>
        <v>0</v>
      </c>
      <c r="E905" s="25">
        <f t="shared" si="151"/>
        <v>0</v>
      </c>
      <c r="F905" s="25">
        <f t="shared" si="151"/>
        <v>0</v>
      </c>
      <c r="G905" s="25">
        <f t="shared" si="151"/>
        <v>0</v>
      </c>
      <c r="H905" s="1309">
        <f>SUM(H893:N904)</f>
        <v>0</v>
      </c>
      <c r="I905" s="1310"/>
      <c r="J905" s="1310"/>
      <c r="K905" s="1310"/>
      <c r="L905" s="1310"/>
      <c r="M905" s="1310"/>
      <c r="N905" s="1311"/>
      <c r="O905" s="25">
        <f>SUM(O893:O904)</f>
        <v>0</v>
      </c>
      <c r="P905" s="25">
        <f>SUM(P893:P904)</f>
        <v>0</v>
      </c>
    </row>
    <row r="906" spans="1:24" s="1" customFormat="1" ht="12" customHeight="1" x14ac:dyDescent="0.2"/>
    <row r="907" spans="1:24" s="1" customFormat="1" ht="14.25" customHeight="1" x14ac:dyDescent="0.2">
      <c r="B907" s="906"/>
      <c r="H907" s="905"/>
      <c r="I907" s="62"/>
      <c r="J907" s="914" t="s">
        <v>123</v>
      </c>
      <c r="L907" s="900" t="s">
        <v>124</v>
      </c>
      <c r="M907" s="974" t="str">
        <f>IF(IF(G905=0,"",'päd.Personal - Leitung'!$M$43)=0,"",IF(G905=0,"",'päd.Personal - Leitung'!$M$43))</f>
        <v/>
      </c>
      <c r="N907" s="902" t="s">
        <v>125</v>
      </c>
      <c r="O907" s="963" t="str">
        <f>IF(IF(G905=0,"",'päd.Personal - Leitung'!$O$43)=0,"",IF(G905=0,"",'päd.Personal - Leitung'!$O$43))</f>
        <v/>
      </c>
      <c r="P907" s="25">
        <f>ROUND(IF(M907="",0,G905*M907*O907/1000),2)</f>
        <v>0</v>
      </c>
      <c r="Q907" s="937"/>
      <c r="R907" s="938">
        <v>2025</v>
      </c>
      <c r="S907" s="939"/>
    </row>
    <row r="908" spans="1:24" s="1" customFormat="1" ht="14.25" customHeight="1" x14ac:dyDescent="0.2">
      <c r="H908" s="907"/>
      <c r="I908" s="42"/>
      <c r="M908" s="915" t="s">
        <v>129</v>
      </c>
      <c r="N908" s="80" t="s">
        <v>125</v>
      </c>
      <c r="O908" s="75" t="str">
        <f>IF(IF(G905=0,"",'päd.Personal - Leitung'!$O$44)=0,"",IF(G905=0,"",'päd.Personal - Leitung'!$O$44))</f>
        <v/>
      </c>
      <c r="P908" s="25">
        <f>ROUND(IF(O908="",0,G905*O908/1000),2)</f>
        <v>0</v>
      </c>
      <c r="Q908" s="942" t="s">
        <v>737</v>
      </c>
      <c r="R908" s="141">
        <f>'päd.Personal - Leitung'!$R$44</f>
        <v>556</v>
      </c>
      <c r="S908" s="955">
        <f>'päd.Personal - Leitung'!$S$44</f>
        <v>12.82</v>
      </c>
    </row>
    <row r="909" spans="1:24" s="1" customFormat="1" ht="14.25" customHeight="1" x14ac:dyDescent="0.2">
      <c r="H909" s="912" t="s">
        <v>126</v>
      </c>
      <c r="I909" s="1013" t="s">
        <v>127</v>
      </c>
      <c r="J909" s="975" t="str">
        <f>IF(IF(G905=0,"",'päd.Personal - Leitung'!$J$45)=0,"",IF(G905=0,"",'päd.Personal - Leitung'!$J$45))</f>
        <v/>
      </c>
      <c r="K909" s="902" t="s">
        <v>128</v>
      </c>
      <c r="L909" s="964" t="str">
        <f>IF(IF(G905=0,"",'päd.Personal - Leitung'!$L$45)=0,"",IF(G905=0,"",'päd.Personal - Leitung'!$L$45))</f>
        <v/>
      </c>
      <c r="M909" s="16"/>
      <c r="N909" s="900" t="s">
        <v>132</v>
      </c>
      <c r="O909" s="965" t="str">
        <f>IF(IF(G905=0,"",'päd.Personal - Leitung'!$O$45)=0,"",IF(G905=0,"",'päd.Personal - Leitung'!$O$45))</f>
        <v/>
      </c>
      <c r="P909" s="25">
        <f>ROUND(IF(J909="",0,(J909*L909/O909)/M873*M874),2)</f>
        <v>0</v>
      </c>
      <c r="Q909" s="942" t="s">
        <v>738</v>
      </c>
      <c r="R909" s="140">
        <f>'päd.Personal - Leitung'!$R$45</f>
        <v>2000</v>
      </c>
      <c r="S909" s="939"/>
    </row>
    <row r="910" spans="1:24" s="1" customFormat="1" ht="14.25" customHeight="1" x14ac:dyDescent="0.2">
      <c r="D910" s="16"/>
      <c r="I910" s="16"/>
      <c r="J910" s="16"/>
      <c r="K910" s="63"/>
      <c r="L910" s="67"/>
      <c r="M910" s="915" t="s">
        <v>130</v>
      </c>
      <c r="N910" s="80" t="s">
        <v>131</v>
      </c>
      <c r="O910" s="904">
        <f>IF(IF(G905="",0,'päd.Personal - Leitung'!$O$94)=0,0,IF(G905="",0,'päd.Personal - Leitung'!$O$94))</f>
        <v>0</v>
      </c>
      <c r="P910" s="21">
        <f>ROUND(IF(G905=0,0,O910/M871*M872),2)</f>
        <v>0</v>
      </c>
      <c r="Q910" s="942" t="s">
        <v>740</v>
      </c>
      <c r="R910" s="956">
        <f>'päd.Personal - Leitung'!$R$46</f>
        <v>0.40900000000000003</v>
      </c>
    </row>
    <row r="911" spans="1:24" s="1" customFormat="1" ht="14.25" customHeight="1" x14ac:dyDescent="0.2">
      <c r="A911" s="16"/>
      <c r="B911" s="16"/>
      <c r="I911" s="905"/>
      <c r="J911" s="961" t="s">
        <v>176</v>
      </c>
      <c r="K911" s="1312" t="str">
        <f>IF($K$47="","",$K$47)</f>
        <v/>
      </c>
      <c r="L911" s="1312"/>
      <c r="M911" s="1312"/>
      <c r="N911" s="80" t="s">
        <v>131</v>
      </c>
      <c r="O911" s="904">
        <f>IF(IF(G905="",0,'päd.Personal - Leitung'!$O$95)=0,0,IF(G905="",0,'päd.Personal - Leitung'!$O$95))</f>
        <v>0</v>
      </c>
      <c r="P911" s="21">
        <f>ROUND(IF(G905=0,0,O911/M871*M872),2)</f>
        <v>0</v>
      </c>
      <c r="Q911" s="942" t="s">
        <v>739</v>
      </c>
      <c r="R911" s="940">
        <f>'päd.Personal - Leitung'!$R$47</f>
        <v>0.68459999999999999</v>
      </c>
      <c r="S911" s="957">
        <f>'päd.Personal - Leitung'!$S$47</f>
        <v>0.28000000000000003</v>
      </c>
    </row>
    <row r="912" spans="1:24" s="1" customFormat="1" ht="14.25" customHeight="1" x14ac:dyDescent="0.2">
      <c r="A912" s="908"/>
      <c r="B912" s="908"/>
      <c r="C912" s="1013"/>
      <c r="D912" s="1013"/>
      <c r="I912" s="913"/>
      <c r="J912" s="913"/>
      <c r="K912" s="916"/>
      <c r="L912" s="27"/>
      <c r="M912" s="27"/>
      <c r="N912" s="27"/>
      <c r="O912" s="26" t="s">
        <v>0</v>
      </c>
      <c r="P912" s="25">
        <f>P905+SUM(P907:P911)</f>
        <v>0</v>
      </c>
    </row>
    <row r="913" spans="1:19" s="10" customFormat="1" ht="13.5" customHeight="1" x14ac:dyDescent="0.2">
      <c r="A913" s="1321" t="s">
        <v>17</v>
      </c>
      <c r="B913" s="1321"/>
      <c r="C913" s="1321"/>
      <c r="D913" s="1320" t="str">
        <f>IF('päd.Personal - Leitung'!$D$1="","",'päd.Personal - Leitung'!$D$1)</f>
        <v/>
      </c>
      <c r="E913" s="1320"/>
      <c r="F913" s="1320"/>
      <c r="G913" s="1320"/>
      <c r="H913" s="1320"/>
      <c r="I913" s="1320"/>
      <c r="J913" s="1320"/>
      <c r="K913" s="1320"/>
      <c r="L913" s="1320"/>
      <c r="M913" s="1320"/>
      <c r="N913" s="1320"/>
    </row>
    <row r="914" spans="1:19" s="10" customFormat="1" ht="15" customHeight="1" x14ac:dyDescent="0.2">
      <c r="A914" s="1321" t="s">
        <v>16</v>
      </c>
      <c r="B914" s="1321"/>
      <c r="C914" s="1321" t="s">
        <v>14</v>
      </c>
      <c r="D914" s="1320" t="str">
        <f>IF('päd.Personal - Leitung'!$D$2="","",'päd.Personal - Leitung'!$D$2)</f>
        <v/>
      </c>
      <c r="E914" s="1320"/>
      <c r="F914" s="1320"/>
      <c r="G914" s="1320"/>
      <c r="H914" s="1320"/>
      <c r="I914" s="1320"/>
      <c r="J914" s="1320"/>
      <c r="K914" s="1320"/>
      <c r="L914" s="1320"/>
      <c r="M914" s="1320"/>
      <c r="N914" s="1320"/>
    </row>
    <row r="915" spans="1:19" s="10" customFormat="1" ht="15" customHeight="1" x14ac:dyDescent="0.2">
      <c r="A915" s="1321" t="s">
        <v>15</v>
      </c>
      <c r="B915" s="1321"/>
      <c r="C915" s="1321" t="s">
        <v>14</v>
      </c>
      <c r="D915" s="1320" t="str">
        <f>IF('päd.Personal - Leitung'!$D$3="","",'päd.Personal - Leitung'!$D$3)</f>
        <v/>
      </c>
      <c r="E915" s="1320"/>
      <c r="F915" s="1320"/>
      <c r="G915" s="1320"/>
      <c r="H915" s="1320"/>
      <c r="I915" s="1320"/>
      <c r="J915" s="1320"/>
      <c r="K915" s="1321" t="s">
        <v>100</v>
      </c>
      <c r="L915" s="1321"/>
      <c r="M915" s="1321"/>
      <c r="N915" s="38" t="str">
        <f>IF('päd.Personal - Leitung'!$N$3="","",'päd.Personal - Leitung'!$N$3)</f>
        <v/>
      </c>
    </row>
    <row r="916" spans="1:19" s="923" customFormat="1" ht="7.5" customHeight="1" x14ac:dyDescent="0.15">
      <c r="A916" s="1353"/>
      <c r="B916" s="1353"/>
      <c r="C916" s="1353"/>
      <c r="D916" s="1354"/>
      <c r="E916" s="1354"/>
      <c r="F916" s="1354"/>
      <c r="G916" s="1354"/>
      <c r="H916" s="1354"/>
      <c r="I916" s="1354"/>
      <c r="J916" s="1354"/>
      <c r="K916" s="922"/>
      <c r="L916" s="922"/>
      <c r="M916" s="922"/>
      <c r="N916" s="922"/>
      <c r="O916" s="922"/>
      <c r="P916" s="922"/>
    </row>
    <row r="917" spans="1:19" s="13" customFormat="1" ht="13.5" customHeight="1" x14ac:dyDescent="0.2">
      <c r="A917" s="1355" t="s">
        <v>151</v>
      </c>
      <c r="B917" s="1355"/>
      <c r="C917" s="1355"/>
      <c r="D917" s="1355"/>
      <c r="E917" s="1355"/>
      <c r="F917" s="1355"/>
      <c r="G917" s="1355"/>
      <c r="H917" s="1355"/>
      <c r="I917" s="1355"/>
      <c r="J917" s="1355"/>
      <c r="K917" s="7"/>
      <c r="L917" s="7"/>
      <c r="M917" s="7"/>
      <c r="N917" s="52"/>
      <c r="O917" s="138">
        <f>'päd.Personal - Leitung'!$O$5</f>
        <v>2025</v>
      </c>
      <c r="P917" s="52" t="s">
        <v>140</v>
      </c>
    </row>
    <row r="918" spans="1:19" s="8" customFormat="1" ht="13.5" customHeight="1" x14ac:dyDescent="0.25">
      <c r="B918" s="29"/>
      <c r="C918" s="29"/>
      <c r="D918" s="3" t="s">
        <v>52</v>
      </c>
      <c r="E918" s="28"/>
      <c r="F918" s="28"/>
      <c r="G918" s="28"/>
      <c r="H918" s="28"/>
      <c r="I918" s="24"/>
      <c r="K918" s="1327" t="s">
        <v>13</v>
      </c>
      <c r="L918" s="1327"/>
      <c r="M918" s="131"/>
      <c r="O918" s="928" t="str">
        <f>A941</f>
        <v>Jan 2025</v>
      </c>
      <c r="P918" s="1402">
        <f>IF(M920="","",M920)</f>
        <v>0</v>
      </c>
    </row>
    <row r="919" spans="1:19" s="5" customFormat="1" ht="13.5" customHeight="1" x14ac:dyDescent="0.25">
      <c r="A919" s="1328" t="s">
        <v>754</v>
      </c>
      <c r="B919" s="1328"/>
      <c r="C919" s="1328"/>
      <c r="D919" s="1345"/>
      <c r="E919" s="1345"/>
      <c r="F919" s="1345"/>
      <c r="G919" s="1345"/>
      <c r="H919" s="1345"/>
      <c r="I919" s="1345"/>
      <c r="K919" s="1327" t="s">
        <v>101</v>
      </c>
      <c r="L919" s="1327"/>
      <c r="M919" s="101"/>
      <c r="O919" s="928" t="str">
        <f t="shared" ref="O919:O929" si="152">A942</f>
        <v>Feb 2025</v>
      </c>
      <c r="P919" s="1403">
        <f t="shared" ref="P919:P926" si="153">IF(P918="","",P918)</f>
        <v>0</v>
      </c>
    </row>
    <row r="920" spans="1:19" s="1" customFormat="1" ht="13.5" customHeight="1" x14ac:dyDescent="0.2">
      <c r="A920" s="1328" t="s">
        <v>12</v>
      </c>
      <c r="B920" s="1328"/>
      <c r="C920" s="1328"/>
      <c r="D920" s="1345"/>
      <c r="E920" s="1345"/>
      <c r="F920" s="1345"/>
      <c r="G920" s="1345"/>
      <c r="H920" s="1345"/>
      <c r="I920" s="1345"/>
      <c r="K920" s="1327" t="s">
        <v>149</v>
      </c>
      <c r="L920" s="1327"/>
      <c r="M920" s="101">
        <f>IF((M921+M922)&gt;M919,0,M919-M921-M922)</f>
        <v>0</v>
      </c>
      <c r="O920" s="928" t="str">
        <f t="shared" si="152"/>
        <v>Mrz 2025</v>
      </c>
      <c r="P920" s="1403">
        <f t="shared" si="153"/>
        <v>0</v>
      </c>
    </row>
    <row r="921" spans="1:19" s="1" customFormat="1" ht="13.5" customHeight="1" x14ac:dyDescent="0.2">
      <c r="A921" s="1328" t="s">
        <v>11</v>
      </c>
      <c r="B921" s="1328"/>
      <c r="C921" s="1328"/>
      <c r="D921" s="1345"/>
      <c r="E921" s="1345"/>
      <c r="F921" s="1345"/>
      <c r="G921" s="1345"/>
      <c r="H921" s="1345"/>
      <c r="I921" s="1345"/>
      <c r="K921" s="1327" t="s">
        <v>150</v>
      </c>
      <c r="L921" s="1327"/>
      <c r="M921" s="101"/>
      <c r="O921" s="928" t="str">
        <f t="shared" si="152"/>
        <v>Apr 2025</v>
      </c>
      <c r="P921" s="1403">
        <f t="shared" si="153"/>
        <v>0</v>
      </c>
    </row>
    <row r="922" spans="1:19" s="1" customFormat="1" ht="13.5" customHeight="1" x14ac:dyDescent="0.2">
      <c r="A922" s="1328" t="s">
        <v>18</v>
      </c>
      <c r="B922" s="1328"/>
      <c r="C922" s="1328"/>
      <c r="D922" s="1345"/>
      <c r="E922" s="1345"/>
      <c r="F922" s="1345"/>
      <c r="G922" s="1345"/>
      <c r="H922" s="1345"/>
      <c r="I922" s="1345"/>
      <c r="K922" s="1327" t="s">
        <v>222</v>
      </c>
      <c r="L922" s="1327"/>
      <c r="M922" s="101"/>
      <c r="O922" s="928" t="str">
        <f t="shared" si="152"/>
        <v>Mai 2025</v>
      </c>
      <c r="P922" s="1403">
        <f t="shared" si="153"/>
        <v>0</v>
      </c>
    </row>
    <row r="923" spans="1:19" s="1" customFormat="1" ht="13.5" customHeight="1" x14ac:dyDescent="0.2">
      <c r="B923" s="6"/>
      <c r="C923" s="1029" t="s">
        <v>147</v>
      </c>
      <c r="D923" s="1324"/>
      <c r="E923" s="1324"/>
      <c r="F923" s="1359" t="s">
        <v>103</v>
      </c>
      <c r="G923" s="1359"/>
      <c r="H923" s="1361"/>
      <c r="I923" s="1361"/>
      <c r="K923" s="1327" t="s">
        <v>94</v>
      </c>
      <c r="L923" s="1327"/>
      <c r="M923" s="15" t="str">
        <f>IF(IF((COUNTIF(B941:B952,"&gt;0"))=0,0,(COUNTIF(B941:B952,"&gt;0")))&gt;Grundlagen!$C$26,Grundlagen!$C$26,IF((COUNTIF(B941:B952,"&gt;0"))=0,"",(COUNTIF(B941:B952,"&gt;0"))))</f>
        <v/>
      </c>
      <c r="O923" s="928" t="str">
        <f t="shared" si="152"/>
        <v>Jun 2025</v>
      </c>
      <c r="P923" s="1403">
        <f t="shared" si="153"/>
        <v>0</v>
      </c>
    </row>
    <row r="924" spans="1:19" s="1" customFormat="1" ht="13.5" customHeight="1" x14ac:dyDescent="0.2">
      <c r="I924" s="4"/>
      <c r="M924" s="102" t="str">
        <f>IF((SUM(F926:F929))=0,"",IF(P930&gt;M920,M920,IF(M920="","",IF(M923="","",P930))))</f>
        <v/>
      </c>
      <c r="O924" s="928" t="str">
        <f t="shared" si="152"/>
        <v>Jul 2025</v>
      </c>
      <c r="P924" s="1403">
        <f t="shared" si="153"/>
        <v>0</v>
      </c>
    </row>
    <row r="925" spans="1:19" s="46" customFormat="1" ht="13.5" customHeight="1" x14ac:dyDescent="0.2">
      <c r="A925" s="54" t="s">
        <v>134</v>
      </c>
      <c r="B925" s="1356" t="s">
        <v>135</v>
      </c>
      <c r="C925" s="1356"/>
      <c r="D925" s="55" t="s">
        <v>136</v>
      </c>
      <c r="E925" s="56" t="s">
        <v>137</v>
      </c>
      <c r="F925" s="57" t="str">
        <f>CONCATENATE("Entg. ",N915," h/Wo")</f>
        <v>Entg.  h/Wo</v>
      </c>
      <c r="G925" s="58" t="s">
        <v>138</v>
      </c>
      <c r="I925" s="58" t="s">
        <v>139</v>
      </c>
      <c r="K925" s="970"/>
      <c r="L925" s="970"/>
      <c r="M925" s="59"/>
      <c r="N925" s="968"/>
      <c r="O925" s="928" t="str">
        <f t="shared" si="152"/>
        <v>Aug 2025</v>
      </c>
      <c r="P925" s="1403">
        <f t="shared" si="153"/>
        <v>0</v>
      </c>
      <c r="Q925" s="85"/>
      <c r="R925" s="85"/>
      <c r="S925" s="85"/>
    </row>
    <row r="926" spans="1:19" s="46" customFormat="1" ht="13.5" customHeight="1" x14ac:dyDescent="0.25">
      <c r="A926" s="48" t="str">
        <f>'päd.Personal - Leitung'!$A$14</f>
        <v>Jan 2025</v>
      </c>
      <c r="B926" s="1357" t="str">
        <f>IF($D$3="","",$D$3)</f>
        <v/>
      </c>
      <c r="C926" s="1358"/>
      <c r="D926" s="132"/>
      <c r="E926" s="132"/>
      <c r="F926" s="71"/>
      <c r="G926" s="50">
        <f>IF(N915="",0,F926/N915/4.348)</f>
        <v>0</v>
      </c>
      <c r="I926" s="125">
        <f>SUM(J926:M926)</f>
        <v>0</v>
      </c>
      <c r="J926" s="124"/>
      <c r="K926" s="124"/>
      <c r="L926" s="124"/>
      <c r="M926" s="124"/>
      <c r="N926" s="969"/>
      <c r="O926" s="928" t="str">
        <f t="shared" si="152"/>
        <v>Sep 2025</v>
      </c>
      <c r="P926" s="1403">
        <f t="shared" si="153"/>
        <v>0</v>
      </c>
      <c r="Q926" s="85"/>
      <c r="R926" s="85"/>
      <c r="S926" s="85"/>
    </row>
    <row r="927" spans="1:19" s="46" customFormat="1" ht="13.5" customHeight="1" x14ac:dyDescent="0.25">
      <c r="A927" s="49"/>
      <c r="B927" s="1322" t="str">
        <f>IF(A927="","",B926)</f>
        <v/>
      </c>
      <c r="C927" s="1323"/>
      <c r="D927" s="132"/>
      <c r="E927" s="132"/>
      <c r="F927" s="71"/>
      <c r="G927" s="50">
        <f>IF(N915="",0,F927/N915/4.348)</f>
        <v>0</v>
      </c>
      <c r="I927" s="125">
        <f t="shared" ref="I927:I929" si="154">SUM(J927:M927)</f>
        <v>0</v>
      </c>
      <c r="J927" s="124"/>
      <c r="K927" s="124"/>
      <c r="L927" s="124"/>
      <c r="M927" s="124"/>
      <c r="N927" s="969"/>
      <c r="O927" s="928" t="str">
        <f t="shared" si="152"/>
        <v>Okt 2025</v>
      </c>
      <c r="P927" s="1403">
        <f t="shared" ref="P927:P929" si="155">IF(P926="","",P926)</f>
        <v>0</v>
      </c>
      <c r="Q927" s="85"/>
      <c r="R927" s="85"/>
      <c r="S927" s="85"/>
    </row>
    <row r="928" spans="1:19" s="46" customFormat="1" ht="13.5" customHeight="1" x14ac:dyDescent="0.25">
      <c r="A928" s="49"/>
      <c r="B928" s="1322" t="str">
        <f>IF(A928="","",B927)</f>
        <v/>
      </c>
      <c r="C928" s="1323"/>
      <c r="D928" s="132"/>
      <c r="E928" s="132"/>
      <c r="F928" s="71"/>
      <c r="G928" s="50">
        <f>IF(N915="",0,F928/N915/4.348)</f>
        <v>0</v>
      </c>
      <c r="I928" s="125">
        <f t="shared" si="154"/>
        <v>0</v>
      </c>
      <c r="J928" s="124"/>
      <c r="K928" s="124"/>
      <c r="L928" s="124"/>
      <c r="M928" s="124"/>
      <c r="N928" s="969"/>
      <c r="O928" s="928" t="str">
        <f t="shared" si="152"/>
        <v>Nov 2025</v>
      </c>
      <c r="P928" s="1403">
        <f t="shared" si="155"/>
        <v>0</v>
      </c>
      <c r="Q928" s="85"/>
      <c r="R928" s="85"/>
      <c r="S928" s="85"/>
    </row>
    <row r="929" spans="1:22" s="46" customFormat="1" ht="13.5" customHeight="1" x14ac:dyDescent="0.25">
      <c r="A929" s="49"/>
      <c r="B929" s="1322" t="str">
        <f>IF(A929="","",B928)</f>
        <v/>
      </c>
      <c r="C929" s="1323"/>
      <c r="D929" s="132"/>
      <c r="E929" s="132"/>
      <c r="F929" s="71"/>
      <c r="G929" s="50">
        <f>IF(N915="",0,F929/N915/4.348)</f>
        <v>0</v>
      </c>
      <c r="I929" s="125">
        <f t="shared" si="154"/>
        <v>0</v>
      </c>
      <c r="J929" s="124"/>
      <c r="K929" s="124"/>
      <c r="L929" s="124"/>
      <c r="M929" s="124"/>
      <c r="N929" s="969"/>
      <c r="O929" s="928" t="str">
        <f t="shared" si="152"/>
        <v>Dez 2025</v>
      </c>
      <c r="P929" s="1403">
        <f t="shared" si="155"/>
        <v>0</v>
      </c>
      <c r="Q929" s="85"/>
      <c r="R929" s="85"/>
      <c r="S929" s="85"/>
    </row>
    <row r="930" spans="1:22" s="46" customFormat="1" ht="13.5" customHeight="1" x14ac:dyDescent="0.25">
      <c r="B930" s="972"/>
      <c r="C930" s="972"/>
      <c r="E930" s="972"/>
      <c r="F930" s="972"/>
      <c r="I930" s="930" t="s">
        <v>730</v>
      </c>
      <c r="J930" s="1060"/>
      <c r="K930" s="1060"/>
      <c r="L930" s="1060"/>
      <c r="M930" s="1060"/>
      <c r="N930" s="971"/>
      <c r="O930" s="126" t="s">
        <v>221</v>
      </c>
      <c r="P930" s="127">
        <f>IF(M923="",0,((IF(SUMIF(B941,"&gt;0"),P918,0))+(IF(SUMIF(B942,"&gt;0"),P919,0))+(IF(SUMIF(B943,"&gt;0"),P920,0))+(IF(SUMIF(B944,"&gt;0"),P921,0))+(IF(SUMIF(B945,"&gt;0"),P922,0))+(IF(SUMIF(B946,"&gt;0"),P923,0))+(IF(SUMIF(B947,"&gt;0"),P924,0))+(IF(SUMIF(B948,"&gt;0"),P925,0))+(IF(SUMIF(B949,"&gt;0"),P926,0))+(IF(SUMIF(B950,"&gt;0"),P927,0))+(IF(SUMIF(B951,"&gt;0"),P928,0))+(IF(SUMIF(B952,"&gt;0"),P929,0)))/Grundlagen!$C$26)</f>
        <v>0</v>
      </c>
      <c r="Q930" s="944" t="str">
        <f>CONCATENATE("BBG"," anteilig ",O932)</f>
        <v>BBG anteilig 2025</v>
      </c>
      <c r="R930" s="931" t="s">
        <v>659</v>
      </c>
      <c r="S930" s="931" t="s">
        <v>398</v>
      </c>
      <c r="T930" s="107"/>
    </row>
    <row r="931" spans="1:22" s="46" customFormat="1" ht="13.5" customHeight="1" x14ac:dyDescent="0.2">
      <c r="A931" s="924" t="s">
        <v>732</v>
      </c>
      <c r="D931" s="55" t="s">
        <v>369</v>
      </c>
      <c r="E931" s="56" t="s">
        <v>368</v>
      </c>
      <c r="F931" s="58"/>
      <c r="J931" s="61"/>
      <c r="Q931" s="932" t="s">
        <v>144</v>
      </c>
      <c r="R931" s="140">
        <f>IF(M920=0,R935,IF(M919="",R935,(SUM(R941:R952)/M923)))</f>
        <v>5175</v>
      </c>
      <c r="S931" s="933">
        <f>IF(M920=0,S935,IF(M919="",S935,SUM(R941:R952)))</f>
        <v>0</v>
      </c>
      <c r="T931" s="107"/>
    </row>
    <row r="932" spans="1:22" s="46" customFormat="1" ht="13.5" customHeight="1" x14ac:dyDescent="0.25">
      <c r="A932" s="60"/>
      <c r="B932" s="1314" t="str">
        <f>IF($B$20="","",$B$20)</f>
        <v>Jahressonderzahlung (JSZ)</v>
      </c>
      <c r="C932" s="1315"/>
      <c r="D932" s="926"/>
      <c r="E932" s="929" t="str">
        <f>IF(A932="","",ROUND((((SUM(B947:B949)+SUM(F947:F949))/3)*D932)/Grundlagen!$C$26*M923,2))</f>
        <v/>
      </c>
      <c r="G932" s="941" t="s">
        <v>733</v>
      </c>
      <c r="H932" s="943"/>
      <c r="I932" s="1316" t="str">
        <f>CONCATENATE(R955,":"," Übergangsbereich von ",R956+0.01," €"," bis ",R957," €")</f>
        <v>2025: Übergangsbereich von 556,01 € bis 2000 €</v>
      </c>
      <c r="J932" s="1317"/>
      <c r="K932" s="1317"/>
      <c r="L932" s="1067"/>
      <c r="M932" s="1067"/>
      <c r="N932" s="1068" t="s">
        <v>736</v>
      </c>
      <c r="O932" s="1069">
        <f>P932+1</f>
        <v>2025</v>
      </c>
      <c r="P932" s="1069" t="s">
        <v>721</v>
      </c>
      <c r="Q932" s="932" t="s">
        <v>145</v>
      </c>
      <c r="R932" s="140">
        <f>IF(M920=0,R936,IF(M919="",R936,(SUM(S941:S952)/M923)))</f>
        <v>7450</v>
      </c>
      <c r="S932" s="933">
        <f>IF(M920=0,S936,IF(M919="",S936,SUM(S941:S952)))</f>
        <v>0</v>
      </c>
      <c r="T932" s="109"/>
    </row>
    <row r="933" spans="1:22" s="1" customFormat="1" ht="14.25" customHeight="1" x14ac:dyDescent="0.2">
      <c r="A933" s="60"/>
      <c r="B933" s="1314" t="str">
        <f>IF($B$21="","",$B$21)</f>
        <v>Leistungsentgelt (LOB)</v>
      </c>
      <c r="C933" s="1315"/>
      <c r="D933" s="926"/>
      <c r="E933" s="929" t="str">
        <f>IF(A933="","",ROUND(((B953+F953)*D933)/Grundlagen!$C$26*M923,2))</f>
        <v/>
      </c>
      <c r="G933" s="941" t="str">
        <f>IF(OR(H932="",H932="nein")=TRUE,"","Faktor (F):")</f>
        <v/>
      </c>
      <c r="H933" s="949" t="str">
        <f>IF(OR(H932="",H932="nein")=TRUE,"",IF(H932="","",R959))</f>
        <v/>
      </c>
      <c r="I933" s="1318" t="str">
        <f>IF(OR(H932="",H932="nein")=TRUE,"",IF(H933="","",CONCATENATE(S959*100,"%"," / ","(",R958*100,"%"," Gesamt-SV-Beitragssatz 2024)")))</f>
        <v/>
      </c>
      <c r="J933" s="1319"/>
      <c r="K933" s="1319"/>
      <c r="L933" s="1070"/>
      <c r="M933" s="1070"/>
      <c r="N933" s="1071" t="s">
        <v>144</v>
      </c>
      <c r="O933" s="1072">
        <f>'päd.Personal - Leitung'!$O$21</f>
        <v>5175</v>
      </c>
      <c r="P933" s="1072">
        <f>'päd.Personal - Leitung'!$P$21</f>
        <v>5175</v>
      </c>
      <c r="Q933" s="11"/>
      <c r="R933" s="11"/>
      <c r="S933" s="11"/>
      <c r="T933" s="109"/>
    </row>
    <row r="934" spans="1:22" s="1" customFormat="1" ht="14.25" customHeight="1" x14ac:dyDescent="0.2">
      <c r="C934" s="925" t="s">
        <v>731</v>
      </c>
      <c r="L934" s="1070"/>
      <c r="M934" s="1070"/>
      <c r="N934" s="1071" t="s">
        <v>145</v>
      </c>
      <c r="O934" s="1073">
        <f>'päd.Personal - Leitung'!$O$22</f>
        <v>7450</v>
      </c>
      <c r="P934" s="1073">
        <f>'päd.Personal - Leitung'!$P$22</f>
        <v>7450</v>
      </c>
      <c r="Q934" s="944" t="str">
        <f>CONCATENATE("BBG"," ",O932)</f>
        <v>BBG 2025</v>
      </c>
      <c r="R934" s="11"/>
      <c r="S934" s="11"/>
      <c r="T934" s="109"/>
    </row>
    <row r="935" spans="1:22" s="1" customFormat="1" ht="14.25" customHeight="1" x14ac:dyDescent="0.2">
      <c r="A935" s="53" t="s">
        <v>141</v>
      </c>
      <c r="B935" s="46"/>
      <c r="C935" s="46"/>
      <c r="D935" s="46"/>
      <c r="E935" s="46"/>
      <c r="F935" s="46"/>
      <c r="G935" s="46"/>
      <c r="H935" s="46"/>
      <c r="I935" s="46"/>
      <c r="J935" s="46"/>
      <c r="K935" s="46"/>
      <c r="L935" s="46"/>
      <c r="M935" s="46"/>
      <c r="N935" s="46"/>
      <c r="O935" s="46"/>
      <c r="P935" s="46"/>
      <c r="Q935" s="932" t="s">
        <v>144</v>
      </c>
      <c r="R935" s="141">
        <f>IF($O$21="",0,$O$21)</f>
        <v>5175</v>
      </c>
      <c r="S935" s="933">
        <f>R935*IF(M923="",0,M923)</f>
        <v>0</v>
      </c>
      <c r="T935" s="295"/>
    </row>
    <row r="936" spans="1:22" s="1" customFormat="1" ht="14.25" customHeight="1" x14ac:dyDescent="0.2">
      <c r="A936" s="1346"/>
      <c r="B936" s="1348" t="s">
        <v>8</v>
      </c>
      <c r="C936" s="1349"/>
      <c r="D936" s="1349"/>
      <c r="E936" s="1349"/>
      <c r="F936" s="1349"/>
      <c r="G936" s="1350"/>
      <c r="H936" s="1351" t="s">
        <v>113</v>
      </c>
      <c r="I936" s="1352"/>
      <c r="J936" s="1352"/>
      <c r="K936" s="1352"/>
      <c r="L936" s="1352"/>
      <c r="M936" s="1352"/>
      <c r="N936" s="1352"/>
      <c r="O936" s="30"/>
      <c r="P936" s="1330" t="s">
        <v>0</v>
      </c>
      <c r="Q936" s="932" t="s">
        <v>145</v>
      </c>
      <c r="R936" s="141">
        <f>IF($O$22="",0,$O$22)</f>
        <v>7450</v>
      </c>
      <c r="S936" s="933">
        <f>R936*IF(M923="",0,M923)</f>
        <v>0</v>
      </c>
      <c r="T936" s="830"/>
    </row>
    <row r="937" spans="1:22" s="1" customFormat="1" ht="14.25" customHeight="1" x14ac:dyDescent="0.2">
      <c r="A937" s="1347"/>
      <c r="B937" s="1333" t="s">
        <v>111</v>
      </c>
      <c r="C937" s="1335" t="s">
        <v>743</v>
      </c>
      <c r="D937" s="1337" t="s">
        <v>226</v>
      </c>
      <c r="E937" s="1339" t="s">
        <v>133</v>
      </c>
      <c r="F937" s="1030" t="s">
        <v>6</v>
      </c>
      <c r="G937" s="1340" t="s">
        <v>5</v>
      </c>
      <c r="H937" s="1339" t="s">
        <v>119</v>
      </c>
      <c r="I937" s="1339" t="s">
        <v>4</v>
      </c>
      <c r="J937" s="1339" t="s">
        <v>3</v>
      </c>
      <c r="K937" s="1339" t="s">
        <v>2</v>
      </c>
      <c r="L937" s="1339" t="s">
        <v>114</v>
      </c>
      <c r="M937" s="1339" t="s">
        <v>115</v>
      </c>
      <c r="N937" s="1339" t="s">
        <v>116</v>
      </c>
      <c r="O937" s="1338" t="s">
        <v>109</v>
      </c>
      <c r="P937" s="1331"/>
      <c r="Q937" s="456"/>
      <c r="R937" s="11"/>
      <c r="S937" s="11"/>
      <c r="T937" s="621"/>
    </row>
    <row r="938" spans="1:22" s="1" customFormat="1" ht="14.25" customHeight="1" x14ac:dyDescent="0.2">
      <c r="A938" s="1347"/>
      <c r="B938" s="1333"/>
      <c r="C938" s="1335"/>
      <c r="D938" s="1338"/>
      <c r="E938" s="1339"/>
      <c r="F938" s="1343" t="str">
        <f>I930</f>
        <v>Zuschläge / Zulagen / o.ä.:</v>
      </c>
      <c r="G938" s="1340"/>
      <c r="H938" s="1342" t="s">
        <v>117</v>
      </c>
      <c r="I938" s="1342"/>
      <c r="J938" s="1342"/>
      <c r="K938" s="1342"/>
      <c r="L938" s="1342"/>
      <c r="M938" s="1342"/>
      <c r="N938" s="1342"/>
      <c r="O938" s="1338"/>
      <c r="P938" s="1331"/>
      <c r="Q938" s="456"/>
      <c r="R938" s="1306" t="str">
        <f>Q930</f>
        <v>BBG anteilig 2025</v>
      </c>
      <c r="S938" s="1306"/>
      <c r="T938" s="829"/>
    </row>
    <row r="939" spans="1:22" s="1" customFormat="1" ht="14.25" customHeight="1" x14ac:dyDescent="0.2">
      <c r="A939" s="1347"/>
      <c r="B939" s="1333"/>
      <c r="C939" s="1335"/>
      <c r="D939" s="1338"/>
      <c r="E939" s="1339"/>
      <c r="F939" s="1343"/>
      <c r="G939" s="1340"/>
      <c r="H939" s="39" t="str">
        <f>'päd.Personal - Leitung'!$H$27</f>
        <v>(7,30% + Zusatz)</v>
      </c>
      <c r="I939" s="39" t="str">
        <f>'päd.Personal - Leitung'!$I$27</f>
        <v xml:space="preserve"> (2024: 9,30%)</v>
      </c>
      <c r="J939" s="39" t="str">
        <f>'päd.Personal - Leitung'!$J$27</f>
        <v>(2024: 1,30%)</v>
      </c>
      <c r="K939" s="39" t="str">
        <f>'päd.Personal - Leitung'!$K$27</f>
        <v>(2024: 1,700%)</v>
      </c>
      <c r="L939" s="39"/>
      <c r="M939" s="39"/>
      <c r="N939" s="39" t="str">
        <f>'päd.Personal - Leitung'!$N$27</f>
        <v>(2024: 0,06%)</v>
      </c>
      <c r="O939" s="1338"/>
      <c r="P939" s="1331"/>
      <c r="Q939" s="456"/>
      <c r="R939" s="1307" t="s">
        <v>659</v>
      </c>
      <c r="S939" s="1307"/>
      <c r="T939" s="829"/>
      <c r="U939" s="1308" t="s">
        <v>1</v>
      </c>
      <c r="V939" s="1308" t="s">
        <v>741</v>
      </c>
    </row>
    <row r="940" spans="1:22" s="1" customFormat="1" x14ac:dyDescent="0.2">
      <c r="A940" s="1347"/>
      <c r="B940" s="1334"/>
      <c r="C940" s="1336"/>
      <c r="D940" s="45"/>
      <c r="E940" s="45"/>
      <c r="F940" s="1344"/>
      <c r="G940" s="1341"/>
      <c r="H940" s="74"/>
      <c r="I940" s="99">
        <f>'päd.Personal - Leitung'!$I$28</f>
        <v>0</v>
      </c>
      <c r="J940" s="99">
        <f>'päd.Personal - Leitung'!$J$28</f>
        <v>0</v>
      </c>
      <c r="K940" s="40">
        <f>'päd.Personal - Leitung'!$K$28</f>
        <v>0</v>
      </c>
      <c r="L940" s="19"/>
      <c r="M940" s="19"/>
      <c r="N940" s="99">
        <f>'päd.Personal - Leitung'!$N$28</f>
        <v>0</v>
      </c>
      <c r="O940" s="23"/>
      <c r="P940" s="1332"/>
      <c r="Q940" s="456"/>
      <c r="R940" s="935" t="s">
        <v>144</v>
      </c>
      <c r="S940" s="935" t="s">
        <v>145</v>
      </c>
      <c r="T940" s="829"/>
      <c r="U940" s="1308"/>
      <c r="V940" s="1308"/>
    </row>
    <row r="941" spans="1:22" s="1" customFormat="1" x14ac:dyDescent="0.2">
      <c r="A941" s="76" t="str">
        <f>CONCATENATE("Jan ",O917)</f>
        <v>Jan 2025</v>
      </c>
      <c r="B941" s="22">
        <f>ROUND(IF(P918=0,0,(LOOKUP(2,1/(A926:A929=A941),G926:G929))*P918*4.348),2)</f>
        <v>0</v>
      </c>
      <c r="C941" s="21">
        <f>ROUND(IFERROR((LOOKUP(2,1/(A932=A941),E932)),0)+IFERROR((LOOKUP(2,1/(A933=A941),E933)),0),2)</f>
        <v>0</v>
      </c>
      <c r="D941" s="21">
        <f>ROUND(IF(B941=0,0,D940/M919*P918),2)</f>
        <v>0</v>
      </c>
      <c r="E941" s="21">
        <f>ROUND(IF(B941=0,0,E940/N915*P918),2)</f>
        <v>0</v>
      </c>
      <c r="F941" s="22">
        <f>ROUND(IF(P918=0,0,(LOOKUP(2,1/(A926:A929=A941),I926:I929))/N915*P918),2)</f>
        <v>0</v>
      </c>
      <c r="G941" s="25">
        <f t="shared" ref="G941:G952" si="156">SUM(B941+C941+E941+F941)</f>
        <v>0</v>
      </c>
      <c r="H941" s="64">
        <f>IF(B941=0,0,IF(AND(H932="ja",((U941)&lt;R957)),ROUND(((R959*R956+((R957/(R957-R956))-(R956/(R957-R956))*R959)*((U941)-R956))*(H940*2))-(((R957/(R957-R956))*((U941)-R956))*H940),2),ROUND(IF((U941)&gt;R941,R941*H940,U941*H940),2)))</f>
        <v>0</v>
      </c>
      <c r="I941" s="64">
        <f>IF(B941=0,0,IF(AND(H932="ja",((U941)&lt;R957)),ROUND(((R959*R956+((R957/(R957-R956))-(R956/(R957-R956))*R959)*((U941)-R956))*(I940*2))-(((R957/(R957-R956))*((U941)-R956))*I940),2),ROUND(IF((U941)&gt;S941,S941*I940,U941*I940),2)))</f>
        <v>0</v>
      </c>
      <c r="J941" s="64">
        <f>IF(B941=0,0,IF(AND(H932="ja",((U941)&lt;R957)),ROUND(((R959*R956+((R957/(R957-R956))-(R956/(R957-R956))*R959)*((U941)-R956))*(J940*2))-(((R957/(R957-R956))*((U941)-R956))*J940),2),ROUND(IF((U941)&gt;S941,S941*J940,U941*J940),2)))</f>
        <v>0</v>
      </c>
      <c r="K941" s="64">
        <f>IF(B941=0,0,IF(AND(H932="ja",((U941)&lt;R957)),ROUND(((R959*R956+((R957/(R957-R956))-(R956/(R957-R956))*R959)*((U941)-R956))*(K940*2))-(((R957/(R957-R956))*((U941)-R956))*K940),2),ROUND(IF((U941)&gt;R941,R941*K940,U941*K940),2)))</f>
        <v>0</v>
      </c>
      <c r="L941" s="64">
        <f>IF(B941=0,0,IF(AND(H932="ja",((U941-C941)&lt;R957)),ROUND(((R959*R956+((R957/(R957-R956))-(R956/(R957-R956))*R959)*((U941-C941)-R956))*(L940)),2),ROUND(IF((SUM(B941:F941))&gt;S941,S941*L940,(SUM(B941:F941)-C941)*L940),2)))</f>
        <v>0</v>
      </c>
      <c r="M941" s="64">
        <f>IF(B941=0,0,IF(AND(H932="ja",((U941-C941)&lt;R957)),ROUND(((R959*R956+((R957/(R957-R956))-(R956/(R957-R956))*R959)*((U941-C941)-R956))*(M940)),2),ROUND(IF((SUM(B941:F941))&gt;S941,S941*M940,(SUM(B941:F941)-C941)*M940),2)))</f>
        <v>0</v>
      </c>
      <c r="N941" s="64">
        <f>IF(B941=0,0,IF(AND(H932="ja",((U941)&lt;R957)),ROUND(((R959*R956+((R957/(R957-R956))-(R956/(R957-R956))*R959)*((U941)-R956))*(N940)),2),ROUND(IF((SUM(B941:F941))&gt;S941,S941*N940,SUM(B941:F941)*N940),2)))</f>
        <v>0</v>
      </c>
      <c r="O941" s="21">
        <f>ROUND(SUM(B941+C941+F941)*O940,2)</f>
        <v>0</v>
      </c>
      <c r="P941" s="25">
        <f>SUM(G941:O941)</f>
        <v>0</v>
      </c>
      <c r="Q941" s="456"/>
      <c r="R941" s="140">
        <f>ROUND(IF(M919="",R935,R935/M919*P918),2)</f>
        <v>5175</v>
      </c>
      <c r="S941" s="140">
        <f>ROUND(IF(M919="",R936,R936/M919*P918),2)</f>
        <v>7450</v>
      </c>
      <c r="U941" s="950">
        <f>SUM(B941:F941)</f>
        <v>0</v>
      </c>
      <c r="V941" s="950">
        <f>SUM(B941:F941)</f>
        <v>0</v>
      </c>
    </row>
    <row r="942" spans="1:22" s="1" customFormat="1" x14ac:dyDescent="0.2">
      <c r="A942" s="76" t="str">
        <f>CONCATENATE("Feb ",O917)</f>
        <v>Feb 2025</v>
      </c>
      <c r="B942" s="22">
        <f>ROUND(IF(P919=0,0,IFERROR(((LOOKUP(2,1/(A926:A929=A942),G926:G929))*P919*4.348),B941/P918*P919)),2)</f>
        <v>0</v>
      </c>
      <c r="C942" s="21">
        <f>ROUND(IFERROR((LOOKUP(2,1/(A932=A942),E932)),0)+IFERROR((LOOKUP(2,1/(A933=A942),E933)),0),2)</f>
        <v>0</v>
      </c>
      <c r="D942" s="21">
        <f>ROUND(IF(B942=0,0,D940/M919*P919),2)</f>
        <v>0</v>
      </c>
      <c r="E942" s="21">
        <f>ROUND(IF(B942=0,0,E940/N915*P919),2)</f>
        <v>0</v>
      </c>
      <c r="F942" s="22">
        <f>ROUND(IF(P919=0,0,IFERROR(((LOOKUP(2,1/(A926:A929=A942),I926:I929))/N915*P919),F941/P918*P919)),2)</f>
        <v>0</v>
      </c>
      <c r="G942" s="25">
        <f t="shared" si="156"/>
        <v>0</v>
      </c>
      <c r="H942" s="64">
        <f>IF(B942=0,0,IF(AND(H932="ja",((U942)&lt;R957)),ROUND(((R959*R956+((R957/(R957-R956))-(R956/(R957-R956))*R959)*((U942)-R956))*(H940*2))-(((R957/(R957-R956))*((U942)-R956))*H940),2),ROUND(IF(U941&lt;(R941),IF((V942)&gt;(SUM(R941:R942)),(((SUM(R941:R942))-(V942-C941))*H940)+((U942-C941)*H940),U942*H940),IF(V942&gt;(SUM(R941:R942)),R942*H940,U942*H940)),2)))</f>
        <v>0</v>
      </c>
      <c r="I942" s="64">
        <f>IF(B942=0,0,IF(AND(H932="ja",((U942)&lt;R957)),ROUND(((R959*R956+((R957/(R957-R956))-(R956/(R957-R956))*R959)*((U942)-R956))*(I940*2))-(((R957/(R957-R956))*((U942)-R956))*I940),2),ROUND(IF(U941&lt;(S941),IF((V942)&gt;(SUM(S941:S942)),(((SUM(S941:S942))-(V942-C941))*I940)+((U942-C941)*I940),U942*I940),IF(V942&gt;(SUM(S941:S942)),S942*I940,U942*I940)),2)))</f>
        <v>0</v>
      </c>
      <c r="J942" s="64">
        <f>IF(B942=0,0,IF(AND(H932="ja",((U942)&lt;R957)),ROUND(((R959*R956+((R957/(R957-R956))-(R956/(R957-R956))*R959)*((U942)-R956))*(J940*2))-(((R957/(R957-R956))*((U942)-R956))*J940),2),ROUND(IF(U941&lt;(S941),IF((V942)&gt;(SUM(S941:S942)),(((SUM(S941:S942))-(V942-C941))*J940)+((U942-C941)*J940),U942*J940),IF(V942&gt;(SUM(S941:S942)),S942*J940,U942*J940)),2)))</f>
        <v>0</v>
      </c>
      <c r="K942" s="64">
        <f>IF(B942=0,0,IF(AND(H932="ja",((U942)&lt;R957)),ROUND(((R959*R956+((R957/(R957-R956))-(R956/(R957-R956))*R959)*((U942)-R956))*(K940*2))-(((R957/(R957-R956))*((U942)-R956))*K940),2),ROUND(IF(U941&lt;(R941),IF((V942)&gt;(SUM(R941:R942)),(((SUM(R941:R942))-(V942-C941))*K940)+((U942-C941)*K940),U942*K940),IF(V942&gt;(SUM(R941:R942)),R942*K940,U942*K940)),2)))</f>
        <v>0</v>
      </c>
      <c r="L942" s="64">
        <f>IF(B942=0,0,IF(AND(H932="ja",((U942-C942)&lt;R957)),ROUND(((R959*R956+((R957/(R957-R956))-(R956/(R957-R956))*R959)*((U942-C942)-R956))*(L940)),2),ROUND(IF(SUM(B941:F941)&lt;(S941),IF((SUM(B941:F942))&gt;(SUM(S941:S942)),(((SUM(S941:S942))-(SUM(B941:F942)-C942))*L940)+((SUM(B942:F942)-C942)*L940),(SUM(B942:F942)-C942)*L940),IF(SUM(B941:F942)&gt;(SUM(S941:S942)),S942*L940,SUM(B942:F942)*L940)),2)))</f>
        <v>0</v>
      </c>
      <c r="M942" s="64">
        <f>IF(B942=0,0,IF(AND(H932="ja",((U942-C942)&lt;R957)),ROUND(((R959*R956+((R957/(R957-R956))-(R956/(R957-R956))*R959)*((U942-C942)-R956))*(M940)),2),ROUND(IF(SUM(B941:F941)&lt;(S941),IF((SUM(B941:F942))&gt;(SUM(S941:S942)),(((SUM(S941:S942))-(SUM(B941:F942)-C942))*M940)+((SUM(B942:F942)-C942)*M940),(SUM(B942:F942)-C942)*M940),IF(SUM(B941:F942)&gt;(SUM(S941:S942)),S942*M940,SUM(B942:F942)*M940)),2)))</f>
        <v>0</v>
      </c>
      <c r="N942" s="64">
        <f>IF(B942=0,0,IF(AND(H932="ja",((U942)&lt;R957)),ROUND(((R959*R956+((R957/(R957-R956))-(R956/(R957-R956))*R959)*((U942)-R956))*(N940)),2),ROUND(IF(SUM(B941:F941)&lt;(S941),IF((SUM(B941:F942))&gt;(SUM(S941:S942)),(((SUM(S941:S942))-(SUM(B941:F942)-C941))*N940)+((SUM(B942:F942)-C941)*N940),SUM(B942:F942)*N940),IF(SUM(B941:F942)&gt;(SUM(S941:S942)),S942*N940,SUM(B942:F942)*N940)),2)))</f>
        <v>0</v>
      </c>
      <c r="O942" s="21">
        <f>ROUND(SUM(B942+C942+F942)*O940,2)</f>
        <v>0</v>
      </c>
      <c r="P942" s="25">
        <f t="shared" ref="P942:P952" si="157">SUM(G942:O942)</f>
        <v>0</v>
      </c>
      <c r="Q942" s="456"/>
      <c r="R942" s="140">
        <f>ROUND(IF(M919="",R935,R935/M919*P919),2)</f>
        <v>5175</v>
      </c>
      <c r="S942" s="140">
        <f>ROUND(IF(M919="",R936,R936/M919*P919),2)</f>
        <v>7450</v>
      </c>
      <c r="U942" s="950">
        <f t="shared" ref="U942:U952" si="158">SUM(B942:F942)</f>
        <v>0</v>
      </c>
      <c r="V942" s="950">
        <f>SUM(B941:F942)</f>
        <v>0</v>
      </c>
    </row>
    <row r="943" spans="1:22" s="1" customFormat="1" x14ac:dyDescent="0.2">
      <c r="A943" s="76" t="str">
        <f>CONCATENATE("Mrz ",O917)</f>
        <v>Mrz 2025</v>
      </c>
      <c r="B943" s="22">
        <f>ROUND(IF(P920=0,0,IFERROR(((LOOKUP(2,1/(A926:A929=A943),G926:G929))*P920*4.348),B942/P919*P920)),2)</f>
        <v>0</v>
      </c>
      <c r="C943" s="21">
        <f>ROUND(IFERROR((LOOKUP(2,1/(A932=A943),E932)),0)+IFERROR((LOOKUP(2,1/(A933=A943),E933)),0),2)</f>
        <v>0</v>
      </c>
      <c r="D943" s="21">
        <f>ROUND(IF(B943=0,0,D940/M919*P920),2)</f>
        <v>0</v>
      </c>
      <c r="E943" s="21">
        <f>ROUND(IF(B943=0,0,E940/N915*P920),2)</f>
        <v>0</v>
      </c>
      <c r="F943" s="22">
        <f>ROUND(IF(P920=0,0,IFERROR(((LOOKUP(2,1/(A926:A929=A943),I926:I929))/N915*P920),F942/P919*P920)),2)</f>
        <v>0</v>
      </c>
      <c r="G943" s="25">
        <f t="shared" si="156"/>
        <v>0</v>
      </c>
      <c r="H943" s="64">
        <f>IF(B943=0,0,IF(AND(H932="ja",((U943)&lt;R957)),ROUND(((R959*R956+((R957/(R957-R956))-(R956/(R957-R956))*R959)*((U943)-R956))*(H940*2))-(((R957/(R957-R956))*((U943)-R956))*H940),2),ROUND(IF(V942&lt;(SUM(R941:R942)),IF((V943)&gt;(SUM(R941:R943)),(((SUM(R941:R943))-(V943-C942))*H940)+((U943-C942)*H940),U943*H940),IF(V943&gt;(SUM(R941:R943)),R943*H940,U943*H940)),2)))</f>
        <v>0</v>
      </c>
      <c r="I943" s="64">
        <f>IF(B943=0,0,IF(AND(H932="ja",((U943)&lt;R957)),ROUND(((R959*R956+((R957/(R957-R956))-(R956/(R957-R956))*R959)*((U943)-R956))*(I940*2))-(((R957/(R957-R956))*((U943)-R956))*I940),2),ROUND(IF(V942&lt;(SUM(S941:S942)),IF((V943)&gt;(SUM(S941:S943)),(((SUM(S941:S943))-(V943-C942))*I940)+((U943-C942)*I940),U943*I940),IF(V943&gt;(SUM(S941:S943)),S943*I940,U943*I940)),2)))</f>
        <v>0</v>
      </c>
      <c r="J943" s="64">
        <f>IF(B943=0,0,IF(AND(H932="ja",((U943)&lt;R957)),ROUND(((R959*R956+((R957/(R957-R956))-(R956/(R957-R956))*R959)*((U943)-R956))*(J940*2))-(((R957/(R957-R956))*((U943)-R956))*J940),2),ROUND(IF(V942&lt;(SUM(S941:S942)),IF((V943)&gt;(SUM(S941:S943)),(((SUM(S941:S943))-(V943-C942))*J940)+((U943-C942)*J940),U943*J940),IF(V943&gt;(SUM(S941:S943)),S943*J940,U943*J940)),2)))</f>
        <v>0</v>
      </c>
      <c r="K943" s="64">
        <f>IF(B943=0,0,IF(AND(H932="ja",((U943)&lt;R957)),ROUND(((R959*R956+((R957/(R957-R956))-(R956/(R957-R956))*R959)*((U943)-R956))*(K940*2))-(((R957/(R957-R956))*((U943)-R956))*K940),2),ROUND(IF(V942&lt;(SUM(R941:R942)),IF((V943)&gt;(SUM(R941:R943)),(((SUM(R941:R943))-(V943-C942))*K940)+((U943-C942)*K940),U943*K940),IF(V943&gt;(SUM(R941:R943)),R943*K940,U943*K940)),2)))</f>
        <v>0</v>
      </c>
      <c r="L943" s="64">
        <f>IF(B943=0,0,IF(AND(H932="ja",((U943-C943)&lt;R957)),ROUND(((R959*R956+((R957/(R957-R956))-(R956/(R957-R956))*R959)*((U943-C943)-R956))*(L940)),2),ROUND(IF(SUM(B941:F942)&lt;(SUM(S941:S942)),IF((SUM(B941:F943))&gt;(SUM(S941:S943)),(((SUM(S941:S943))-(SUM(B941:F943)-C943))*L940)+((SUM(B943:F943)-C943)*L940),(SUM(B943:F943)-C943)*L940),IF(SUM(B941:F943)&gt;(SUM(S941:S943)),S943*L940,SUM(B943:F943)*L940)),2)))</f>
        <v>0</v>
      </c>
      <c r="M943" s="64">
        <f>IF(B943=0,0,IF(AND(H932="ja",((U943-C943)&lt;R957)),ROUND(((R959*R956+((R957/(R957-R956))-(R956/(R957-R956))*R959)*((U943-C943)-R956))*(M940)),2),ROUND(IF(SUM(B941:F942)&lt;(SUM(S941:S942)),IF((SUM(B941:F943))&gt;(SUM(S941:S943)),(((SUM(S941:S943))-(SUM(B941:F943)-C943))*M940)+((SUM(B943:F943)-C943)*M940),(SUM(B943:F943)-C943)*M940),IF(SUM(B941:F943)&gt;(SUM(S941:S943)),S943*M940,SUM(B943:F943)*M940)),2)))</f>
        <v>0</v>
      </c>
      <c r="N943" s="64">
        <f>IF(B943=0,0,IF(AND(H932="ja",((U943)&lt;R957)),ROUND(((R959*R956+((R957/(R957-R956))-(R956/(R957-R956))*R959)*((U943)-R956))*(N940)),2),ROUND(IF(SUM(B941:F942)&lt;(SUM(S941:S942)),IF((SUM(B941:F943))&gt;(SUM(S941:S943)),(((SUM(S941:S943))-(SUM(B941:F943)-C942))*N940)+((SUM(B943:F943)-C942)*N940),SUM(B943:F943)*N940),IF(SUM(B941:F943)&gt;(SUM(S941:S943)),S943*N940,SUM(B943:F943)*N940)),2)))</f>
        <v>0</v>
      </c>
      <c r="O943" s="21">
        <f>ROUND(SUM(B943+C943+F943)*O940,2)</f>
        <v>0</v>
      </c>
      <c r="P943" s="25">
        <f t="shared" si="157"/>
        <v>0</v>
      </c>
      <c r="Q943" s="456"/>
      <c r="R943" s="140">
        <f>ROUND(IF(M919="",R935,R935/M919*P920),2)</f>
        <v>5175</v>
      </c>
      <c r="S943" s="140">
        <f>ROUND(IF(M919="",R936,R936/M919*P920),2)</f>
        <v>7450</v>
      </c>
      <c r="U943" s="950">
        <f t="shared" si="158"/>
        <v>0</v>
      </c>
      <c r="V943" s="950">
        <f>SUM(B941:F943)</f>
        <v>0</v>
      </c>
    </row>
    <row r="944" spans="1:22" s="1" customFormat="1" x14ac:dyDescent="0.2">
      <c r="A944" s="76" t="str">
        <f>CONCATENATE("Apr ",O917)</f>
        <v>Apr 2025</v>
      </c>
      <c r="B944" s="22">
        <f>ROUND(IF(P921=0,0,IFERROR(((LOOKUP(2,1/(A926:A929=A944),G926:G929))*P921*4.348),B943/P920*P921)),2)</f>
        <v>0</v>
      </c>
      <c r="C944" s="21">
        <f>ROUND(IFERROR((LOOKUP(2,1/(A932=A944),E932)),0)+IFERROR((LOOKUP(2,1/(A933=A944),E933)),0),2)</f>
        <v>0</v>
      </c>
      <c r="D944" s="21">
        <f>ROUND(IF(B944=0,0,D940/M919*P921),2)</f>
        <v>0</v>
      </c>
      <c r="E944" s="21">
        <f>ROUND(IF(B944=0,0,E940/N915*P921),2)</f>
        <v>0</v>
      </c>
      <c r="F944" s="22">
        <f>ROUND(IF(P921=0,0,IFERROR(((LOOKUP(2,1/(A926:A929=A944),I926:I929))/N915*P921),F943/P920*P921)),2)</f>
        <v>0</v>
      </c>
      <c r="G944" s="25">
        <f t="shared" si="156"/>
        <v>0</v>
      </c>
      <c r="H944" s="64">
        <f>IF(B944=0,0,IF(AND(H932="ja",((U944)&lt;R957)),ROUND(((R959*R956+((R957/(R957-R956))-(R956/(R957-R956))*R959)*((U944)-R956))*(H940*2))-(((R957/(R957-R956))*((U944)-R956))*H940),2),ROUND(IF(V943&lt;(SUM(R941:R943)),IF((V944)&gt;(SUM(R941:R944)),(((SUM(R941:R944))-(V944-C943))*H940)+((U944-C943)*H940),U944*H940),IF(V944&gt;(SUM(R941:R944)),R944*H940,U944*H940)),2)))</f>
        <v>0</v>
      </c>
      <c r="I944" s="64">
        <f>IF(B944=0,0,IF(AND(H932="ja",((U944)&lt;R957)),ROUND(((R959*R956+((R957/(R957-R956))-(R956/(R957-R956))*R959)*((U944)-R956))*(I940*2))-(((R957/(R957-R956))*((U944)-R956))*I940),2),ROUND(IF(V943&lt;(SUM(S941:S943)),IF((V944)&gt;(SUM(S941:S944)),(((SUM(S941:S944))-(V944-C943))*I940)+((U944-C943)*I940),U944*I940),IF(V944&gt;(SUM(S941:S944)),S944*I940,U944*I940)),2)))</f>
        <v>0</v>
      </c>
      <c r="J944" s="64">
        <f>IF(B944=0,0,IF(AND(H932="ja",((U944)&lt;R957)),ROUND(((R959*R956+((R957/(R957-R956))-(R956/(R957-R956))*R959)*((U944)-R956))*(J940*2))-(((R957/(R957-R956))*((U944)-R956))*J940),2),ROUND(IF(U943&lt;(SUM(S941:S943)),IF((V944)&gt;(SUM(S941:S944)),(((SUM(S941:S944))-(V944-C943))*J940)+((U944-C943)*J940),U944*J940),IF(V944&gt;(SUM(S941:S944)),S944*J940,U944*J940)),2)))</f>
        <v>0</v>
      </c>
      <c r="K944" s="64">
        <f>IF(B944=0,0,IF(AND(H932="ja",((U944)&lt;R957)),ROUND(((R959*R956+((R957/(R957-R956))-(R956/(R957-R956))*R959)*((U944)-R956))*(K940*2))-(((R957/(R957-R956))*((U944)-R956))*K940),2),ROUND(IF(V943&lt;(SUM(R941:R943)),IF((V944)&gt;(SUM(R941:R944)),(((SUM(R941:R944))-(V944-C943))*K940)+((U944-C943)*K940),U944*K940),IF(V944&gt;(SUM(R941:R944)),R944*K940,U944*K940)),2)))</f>
        <v>0</v>
      </c>
      <c r="L944" s="64">
        <f>IF(B944=0,0,IF(AND(H932="ja",((U944-C944)&lt;R957)),ROUND(((R959*R956+((R957/(R957-R956))-(R956/(R957-R956))*R959)*((U944-C944)-R956))*(L940)),2),ROUND(IF(SUM(B941:F943)&lt;(SUM(S941:S943)),IF((SUM(B941:F944))&gt;(SUM(S941:S944)),(((SUM(S941:S944))-(SUM(B941:F944)-C944))*L940)+((SUM(B944:F944)-C944)*L940),(SUM(B944:F944)-C944)*L940),IF(SUM(B941:F944)&gt;(SUM(S941:S944)),S944*L940,SUM(B944:F944)*L940)),2)))</f>
        <v>0</v>
      </c>
      <c r="M944" s="64">
        <f>IF(B944=0,0,IF(AND(H932="ja",((U944-C944)&lt;R957)),ROUND(((R959*R956+((R957/(R957-R956))-(R956/(R957-R956))*R959)*((U944-C944)-R956))*(M940)),2),ROUND(IF(SUM(B941:F943)&lt;(SUM(S941:S943)),IF((SUM(B941:F944))&gt;(SUM(S941:S944)),(((SUM(S941:S944))-(SUM(B941:F944)-C944))*M940)+((SUM(B944:F944)-C944)*M940),(SUM(B944:F944)-C944)*M940),IF(SUM(B941:F944)&gt;(SUM(S941:S944)),S944*M940,SUM(B944:F944)*M940)),2)))</f>
        <v>0</v>
      </c>
      <c r="N944" s="64">
        <f>IF(B944=0,0,IF(AND(H932="ja",((U944)&lt;R957)),ROUND(((R959*R956+((R957/(R957-R956))-(R956/(R957-R956))*R959)*((U944)-R956))*(N940)),2),ROUND(IF(SUM(B941:F943)&lt;(SUM(S941:S943)),IF((SUM(B941:F944))&gt;(SUM(S941:S944)),(((SUM(S941:S944))-(SUM(B941:F944)-C943))*N940)+((SUM(B944:F944)-C943)*N940),SUM(B944:F944)*N940),IF(SUM(B941:F944)&gt;(SUM(S941:S944)),S944*N940,SUM(B944:F944)*N940)),2)))</f>
        <v>0</v>
      </c>
      <c r="O944" s="21">
        <f>ROUND(SUM(B944+C944+F944)*O940,2)</f>
        <v>0</v>
      </c>
      <c r="P944" s="25">
        <f t="shared" si="157"/>
        <v>0</v>
      </c>
      <c r="Q944" s="456"/>
      <c r="R944" s="140">
        <f>ROUND(IF(M919="",R935,R935/M919*P921),2)</f>
        <v>5175</v>
      </c>
      <c r="S944" s="140">
        <f>ROUND(IF(M919="",R936,R936/M919*P921),2)</f>
        <v>7450</v>
      </c>
      <c r="U944" s="950">
        <f t="shared" si="158"/>
        <v>0</v>
      </c>
      <c r="V944" s="950">
        <f>SUM(B941:F944)</f>
        <v>0</v>
      </c>
    </row>
    <row r="945" spans="1:24" s="1" customFormat="1" x14ac:dyDescent="0.2">
      <c r="A945" s="76" t="str">
        <f>CONCATENATE("Mai ",O917)</f>
        <v>Mai 2025</v>
      </c>
      <c r="B945" s="22">
        <f>ROUND(IF(P922=0,0,IFERROR(((LOOKUP(2,1/(A926:A929=A945),G926:G929))*P922*4.348),B944/P921*P922)),2)</f>
        <v>0</v>
      </c>
      <c r="C945" s="21">
        <f>ROUND(IFERROR((LOOKUP(2,1/(A932=A945),E932)),0)+IFERROR((LOOKUP(2,1/(A933=A945),E933)),0),2)</f>
        <v>0</v>
      </c>
      <c r="D945" s="21">
        <f>ROUND(IF(B945=0,0,D940/M919*P922),2)</f>
        <v>0</v>
      </c>
      <c r="E945" s="21">
        <f>ROUND(IF(B945=0,0,E940/N915*P922),2)</f>
        <v>0</v>
      </c>
      <c r="F945" s="22">
        <f>ROUND(IF(P922=0,0,IFERROR(((LOOKUP(2,1/(A926:A929=A945),I926:I929))/N915*P922),F944/P921*P922)),2)</f>
        <v>0</v>
      </c>
      <c r="G945" s="25">
        <f t="shared" si="156"/>
        <v>0</v>
      </c>
      <c r="H945" s="64">
        <f>IF(B945=0,0,IF(AND(H932="ja",((U945)&lt;R957)),ROUND(((R959*R956+((R957/(R957-R956))-(R956/(R957-R956))*R959)*((U945)-R956))*(H940*2))-(((R957/(R957-R956))*((U945)-R956))*H940),2),ROUND(IF(V944&lt;(SUM(R941:R944)),IF((V945)&gt;(SUM(R941:R945)),(((SUM(R941:R945))-(V945-C944))*H940)+((U945-C944)*H940),U945*H940),IF(V945&gt;(SUM(R941:R945)),R945*H940,U945*H940)),2)))</f>
        <v>0</v>
      </c>
      <c r="I945" s="64">
        <f>IF(B945=0,0,IF(AND(H932="ja",((U945)&lt;R957)),ROUND(((R959*R956+((R957/(R957-R956))-(R956/(R957-R956))*R959)*((U945)-R956))*(I940*2))-(((R957/(R957-R956))*((U945)-R956))*I940),2),ROUND(IF(V944&lt;(SUM(S941:S944)),IF((V945)&gt;(SUM(S941:S945)),(((SUM(S941:S945))-(V945-C944))*I940)+((U945-C944)*I940),U945*I940),IF(V945&gt;(SUM(S941:S945)),S945*I940,U945*I940)),2)))</f>
        <v>0</v>
      </c>
      <c r="J945" s="64">
        <f>IF(B945=0,0,IF(AND(H932="ja",((U945)&lt;R957)),ROUND(((R959*R956+((R957/(R957-R956))-(R956/(R957-R956))*R959)*((U945)-R956))*(J940*2))-(((R957/(R957-R956))*((U945)-R956))*J940),2),ROUND(IF(V944&lt;(SUM(S941:S944)),IF((V945)&gt;(SUM(S941:S945)),(((SUM(S941:S945))-(V945-C944))*J940)+((U945-C944)*J940),U945*J940),IF(V945&gt;(SUM(S941:S945)),S945*J940,U945*J940)),2)))</f>
        <v>0</v>
      </c>
      <c r="K945" s="64">
        <f>IF(B945=0,0,IF(AND(H932="ja",((U945)&lt;R957)),ROUND(((R959*R956+((R957/(R957-R956))-(R956/(R957-R956))*R959)*((U945)-R956))*(K940*2))-(((R957/(R957-R956))*((U945)-R956))*K940),2),ROUND(IF(V944&lt;(SUM(R941:R944)),IF((V945)&gt;(SUM(R941:R945)),(((SUM(R941:R945))-(V945-C944))*K940)+((U945-C944)*K940),U945*K940),IF(V945&gt;(SUM(R941:R945)),R945*K940,U945*K940)),2)))</f>
        <v>0</v>
      </c>
      <c r="L945" s="64">
        <f>IF(B945=0,0,IF(AND(H932="ja",((U945-C945)&lt;R957)),ROUND(((R959*R956+((R957/(R957-R956))-(R956/(R957-R956))*R959)*((U945-C945)-R956))*(L940)),2),ROUND(IF(SUM(B941:F944)&lt;(SUM(S941:S944)),IF((SUM(B941:F945))&gt;(SUM(S941:S945)),(((SUM(S941:S945))-(SUM(B941:F945)-C945))*L940)+((SUM(B945:F945)-C945)*L940),(SUM(B945:F945)-C945)*L940),IF(SUM(B941:F945)&gt;(SUM(S941:S945)),S945*L940,SUM(B945:F945)*L940)),2)))</f>
        <v>0</v>
      </c>
      <c r="M945" s="64">
        <f>IF(B945=0,0,IF(AND(H932="ja",((U945-C945)&lt;R957)),ROUND(((R959*R956+((R957/(R957-R956))-(R956/(R957-R956))*R959)*((U945-C945)-R956))*(M940)),2),ROUND(IF(SUM(B941:F944)&lt;(SUM(S941:S944)),IF((SUM(B941:F945))&gt;(SUM(S941:S945)),(((SUM(S941:S945))-(SUM(B941:F945)-C945))*M940)+((SUM(B945:F945)-C945)*M940),(SUM(B945:F945)-C945)*M940),IF(SUM(B941:F945)&gt;(SUM(S941:S945)),S945*M940,SUM(B945:F945)*M940)),2)))</f>
        <v>0</v>
      </c>
      <c r="N945" s="64">
        <f>IF(B945=0,0,IF(AND(H932="ja",((U945)&lt;R957)),ROUND(((R959*R956+((R957/(R957-R956))-(R956/(R957-R956))*R959)*((U945)-R956))*(N940)),2),ROUND(IF(SUM(B941:F944)&lt;(SUM(S941:S944)),IF((SUM(B941:F945))&gt;(SUM(S941:S945)),(((SUM(S941:S945))-(SUM(B941:F945)-C944))*N940)+((SUM(B945:F945)-C944)*N940),SUM(B945:F945)*N940),IF(SUM(B941:F945)&gt;(SUM(S941:S945)),S945*N940,SUM(B945:F945)*N940)),2)))</f>
        <v>0</v>
      </c>
      <c r="O945" s="21">
        <f>ROUND(SUM(B945+C945+F945)*O940,2)</f>
        <v>0</v>
      </c>
      <c r="P945" s="25">
        <f t="shared" si="157"/>
        <v>0</v>
      </c>
      <c r="Q945" s="456"/>
      <c r="R945" s="140">
        <f>ROUND(IF(M919="",R935,R935/M919*P922),2)</f>
        <v>5175</v>
      </c>
      <c r="S945" s="140">
        <f>ROUND(IF(M919="",R936,R936/M919*P922),2)</f>
        <v>7450</v>
      </c>
      <c r="U945" s="950">
        <f t="shared" si="158"/>
        <v>0</v>
      </c>
      <c r="V945" s="950">
        <f>SUM(B941:F945)</f>
        <v>0</v>
      </c>
    </row>
    <row r="946" spans="1:24" s="1" customFormat="1" x14ac:dyDescent="0.2">
      <c r="A946" s="76" t="str">
        <f>CONCATENATE("Jun ",O917)</f>
        <v>Jun 2025</v>
      </c>
      <c r="B946" s="22">
        <f>ROUND(IF(P923=0,0,IFERROR(((LOOKUP(2,1/(A926:A929=A946),G926:G929))*P923*4.348),B945/P922*P923)),2)</f>
        <v>0</v>
      </c>
      <c r="C946" s="21">
        <f>ROUND(IFERROR((LOOKUP(2,1/(A932=A946),E932)),0)+IFERROR((LOOKUP(2,1/(A933=A946),E933)),0),2)</f>
        <v>0</v>
      </c>
      <c r="D946" s="21">
        <f>ROUND(IF(B946=0,0,D940/M919*P923),2)</f>
        <v>0</v>
      </c>
      <c r="E946" s="21">
        <f>ROUND(IF(B946=0,0,E940/N915*P923),2)</f>
        <v>0</v>
      </c>
      <c r="F946" s="22">
        <f>ROUND(IF(P923=0,0,IFERROR(((LOOKUP(2,1/(A926:A929=A946),I926:I929))/N915*P923),F945/P922*P923)),2)</f>
        <v>0</v>
      </c>
      <c r="G946" s="25">
        <f t="shared" si="156"/>
        <v>0</v>
      </c>
      <c r="H946" s="64">
        <f>IF(B946=0,0,IF(AND(H932="ja",((U946)&lt;R957)),ROUND(((R959*R956+((R957/(R957-R956))-(R956/(R957-R956))*R959)*((U946)-R956))*(H940*2))-(((R957/(R957-R956))*((U946)-R956))*H940),2),ROUND(IF(V945&lt;(SUM(R941:R945)),IF((V946)&gt;(SUM(R941:R946)),(((SUM(R941:R946))-(V946-C945))*H940)+((U946-C945)*H940),U946*H940),IF(V946&gt;(SUM(R941:R946)),R946*H940,U946*H940)),2)))</f>
        <v>0</v>
      </c>
      <c r="I946" s="64">
        <f>IF(B946=0,0,IF(AND(H932="ja",((U946)&lt;R957)),ROUND(((R959*R956+((R957/(R957-R956))-(R956/(R957-R956))*R959)*((U946)-R956))*(I940*2))-(((R957/(R957-R956))*((U946)-R956))*I940),2),ROUND(IF(V945&lt;(SUM(S941:S945)),IF((V946)&gt;(SUM(S941:S946)),(((SUM(S941:S946))-(V946-C945))*I940)+((U946-C945)*I940),U946*I940),IF(V946&gt;(SUM(S941:S946)),S946*I940,U946*I940)),2)))</f>
        <v>0</v>
      </c>
      <c r="J946" s="64">
        <f>IF(B946=0,0,IF(AND(H932="ja",((U946)&lt;R957)),ROUND(((R959*R956+((R957/(R957-R956))-(R956/(R957-R956))*R959)*((U946)-R956))*(J940*2))-(((R957/(R957-R956))*((U946)-R956))*J940),2),ROUND(IF(V945&lt;(SUM(S941:S945)),IF((V946)&gt;(SUM(S941:S946)),(((SUM(S941:S946))-(V946-C945))*J940)+((U946-C945)*J940),U946*J940),IF(V946&gt;(SUM(S941:S946)),S946*J940,U946*J940)),2)))</f>
        <v>0</v>
      </c>
      <c r="K946" s="64">
        <f>IF(B946=0,0,IF(AND(H932="ja",((U946)&lt;R957)),ROUND(((R959*R956+((R957/(R957-R956))-(R956/(R957-R956))*R959)*((U946)-R956))*(K940*2))-(((R957/(R957-R956))*((U946)-R956))*K940),2),ROUND(IF(V945&lt;(SUM(R941:R945)),IF((V946)&gt;(SUM(R941:R946)),(((SUM(R941:R946))-(V946-C945))*K940)+((U946-C945)*K940),U946*K940),IF(V946&gt;(SUM(R941:R946)),R946*K940,U946*K940)),2)))</f>
        <v>0</v>
      </c>
      <c r="L946" s="64">
        <f>IF(B946=0,0,IF(AND(H932="ja",((U946-C946)&lt;R957)),ROUND(((R959*R956+((R957/(R957-R956))-(R956/(R957-R956))*R959)*((U946-C946)-R956))*(L940)),2),ROUND(IF(SUM(B941:F945)&lt;(SUM(S941:S945)),IF((SUM(B941:F946))&gt;(SUM(S941:S946)),(((SUM(S941:S946))-(SUM(B941:F946)-C946))*L940)+((SUM(B946:F946)-C946)*L940),(SUM(B946:F946)-C946)*L940),IF(SUM(B941:F946)&gt;(SUM(S941:S946)),S946*L940,SUM(B946:F946)*L940)),2)))</f>
        <v>0</v>
      </c>
      <c r="M946" s="64">
        <f>IF(B946=0,0,IF(AND(H932="ja",((U946-C946)&lt;R957)),ROUND(((R959*R956+((R957/(R957-R956))-(R956/(R957-R956))*R959)*((U946-C946)-R956))*(M940)),2),ROUND(IF(SUM(B941:F945)&lt;(SUM(S941:S945)),IF((SUM(B941:F946))&gt;(SUM(S941:S946)),(((SUM(S941:S946))-(SUM(B941:F946)-C946))*M940)+((SUM(B946:F946)-C946)*M940),(SUM(B946:F946)-C946)*M940),IF(SUM(B941:F946)&gt;(SUM(S941:S946)),S946*M940,SUM(B946:F946)*M940)),2)))</f>
        <v>0</v>
      </c>
      <c r="N946" s="64">
        <f>IF(B946=0,0,IF(AND(H932="ja",((U946)&lt;R957)),ROUND(((R959*R956+((R957/(R957-R956))-(R956/(R957-R956))*R959)*((U946)-R956))*(N940)),2),ROUND(IF(SUM(B941:F945)&lt;(SUM(S941:S945)),IF((SUM(B941:F946))&gt;(SUM(S941:S946)),(((SUM(S941:S946))-(SUM(B941:F946)-C945))*N940)+((SUM(B946:F946)-C945)*N940),SUM(B946:F946)*N940),IF(SUM(B941:F946)&gt;(SUM(S941:S946)),S946*N940,SUM(B946:F946)*N940)),2)))</f>
        <v>0</v>
      </c>
      <c r="O946" s="21">
        <f>ROUND(SUM(B946+C946+F946)*O940,2)</f>
        <v>0</v>
      </c>
      <c r="P946" s="25">
        <f t="shared" si="157"/>
        <v>0</v>
      </c>
      <c r="Q946" s="456"/>
      <c r="R946" s="140">
        <f>ROUND(IF(M919="",R935,R935/M919*P923),2)</f>
        <v>5175</v>
      </c>
      <c r="S946" s="140">
        <f>ROUND(IF(M919="",R936,R936/M919*P923),2)</f>
        <v>7450</v>
      </c>
      <c r="U946" s="950">
        <f t="shared" si="158"/>
        <v>0</v>
      </c>
      <c r="V946" s="950">
        <f>SUM(B941:F946)</f>
        <v>0</v>
      </c>
    </row>
    <row r="947" spans="1:24" s="1" customFormat="1" x14ac:dyDescent="0.2">
      <c r="A947" s="76" t="str">
        <f>CONCATENATE("Jul ",O917)</f>
        <v>Jul 2025</v>
      </c>
      <c r="B947" s="22">
        <f>ROUND(IF(P924=0,0,IFERROR(((LOOKUP(2,1/(A926:A929=A947),G926:G929))*P924*4.348),B946/P923*P924)),2)</f>
        <v>0</v>
      </c>
      <c r="C947" s="21">
        <f>ROUND(IFERROR((LOOKUP(2,1/(A932=A947),E932)),0)+IFERROR((LOOKUP(2,1/(A933=A947),E933)),0),2)</f>
        <v>0</v>
      </c>
      <c r="D947" s="21">
        <f>ROUND(IF(B947=0,0,D940/M919*P924),2)</f>
        <v>0</v>
      </c>
      <c r="E947" s="21">
        <f>ROUND(IF(B947=0,0,E940/N915*P924),2)</f>
        <v>0</v>
      </c>
      <c r="F947" s="22">
        <f>ROUND(IF(P924=0,0,IFERROR(((LOOKUP(2,1/(A926:A929=A947),I926:I929))/N915*P924),F946/P923*P924)),2)</f>
        <v>0</v>
      </c>
      <c r="G947" s="25">
        <f t="shared" si="156"/>
        <v>0</v>
      </c>
      <c r="H947" s="64">
        <f>IF(B947=0,0,IF(AND(H932="ja",((U947)&lt;R957)),ROUND(((R959*R956+((R957/(R957-R956))-(R956/(R957-R956))*R959)*((U947)-R956))*(H940*2))-(((R957/(R957-R956))*((U947)-R956))*H940),2),ROUND(IF(V946&lt;(SUM(R941:R946)),IF((V947)&gt;(SUM(R941:R947)),(((SUM(R941:R947))-(V947-C946))*H940)+((U947-C946)*H940),U947*H940),IF(V947&gt;(SUM(R941:R947)),R947*H940,U947*H940)),2)))</f>
        <v>0</v>
      </c>
      <c r="I947" s="64">
        <f>IF(B947=0,0,IF(AND(H932="ja",((U947)&lt;R957)),ROUND(((R959*R956+((R957/(R957-R956))-(R956/(R957-R956))*R959)*((U947)-R956))*(I940*2))-(((R957/(R957-R956))*((U947)-R956))*I940),2),ROUND(IF(V946&lt;(SUM(S941:S946)),IF((V947)&gt;(SUM(S941:S947)),(((SUM(S941:S947))-(V947-C946))*I940)+((U947-C946)*I940),U947*I940),IF(V947&gt;(SUM(S941:S947)),S947*I940,U947*I940)),2)))</f>
        <v>0</v>
      </c>
      <c r="J947" s="64">
        <f>IF(B947=0,0,IF(AND(H932="ja",((U947)&lt;R957)),ROUND(((R959*R956+((R957/(R957-R956))-(R956/(R957-R956))*R959)*((U947)-R956))*(J940*2))-(((R957/(R957-R956))*((U947)-R956))*J940),2),ROUND(IF(V946&lt;(SUM(S941:S946)),IF((V947)&gt;(SUM(S941:S947)),(((SUM(S941:S947))-(V947-C946))*J940)+((U947-C946)*J940),U947*J940),IF(V947&gt;(SUM(S941:S947)),S947*J940,U947*J940)),2)))</f>
        <v>0</v>
      </c>
      <c r="K947" s="64">
        <f>IF(B947=0,0,IF(AND(H932="ja",((U947)&lt;R957)),ROUND(((R959*R956+((R957/(R957-R956))-(R956/(R957-R956))*R959)*((U947)-R956))*(K940*2))-(((R957/(R957-R956))*((U947)-R956))*K940),2),ROUND(IF(V946&lt;(SUM(R941:R946)),IF((V947)&gt;(SUM(R941:R947)),(((SUM(R941:R947))-(V947-C946))*K940)+((U947-C946)*K940),U947*K940),IF(V947&gt;(SUM(R941:R947)),R947*K940,U947*K940)),2)))</f>
        <v>0</v>
      </c>
      <c r="L947" s="64">
        <f>IF(B947=0,0,IF(AND(H932="ja",((U947-C947)&lt;R957)),ROUND(((R959*R956+((R957/(R957-R956))-(R956/(R957-R956))*R959)*((U947-C947)-R956))*(L940)),2),ROUND(IF(SUM(B941:F946)&lt;(SUM(S941:S946)),IF((SUM(B941:F947))&gt;(SUM(S941:S947)),(((SUM(S941:S947))-(SUM(B941:F947)-C947))*L940)+((SUM(B947:F947)-C947)*L940),(SUM(B947:F947)-C947)*L940),IF(SUM(B941:F947)&gt;(SUM(S941:S947)),S947*L940,SUM(B947:F947)*L940)),2)))</f>
        <v>0</v>
      </c>
      <c r="M947" s="64">
        <f>IF(B947=0,0,IF(AND(H932="ja",((U947-C947)&lt;R957)),ROUND(((R959*R956+((R957/(R957-R956))-(R956/(R957-R956))*R959)*((U947-C947)-R956))*(M940)),2),ROUND(IF(SUM(B941:F946)&lt;(SUM(S941:S946)),IF((SUM(B941:F947))&gt;(SUM(S941:S947)),(((SUM(S941:S947))-(SUM(B941:F947)-C947))*M940)+((SUM(B947:F947)-C947)*M940),(SUM(B947:F947)-C947)*M940),IF(SUM(B941:F947)&gt;(SUM(S941:S947)),S947*M940,SUM(B947:F947)*M940)),2)))</f>
        <v>0</v>
      </c>
      <c r="N947" s="64">
        <f>IF(B947=0,0,IF(AND(H932="ja",((U947)&lt;R957)),ROUND(((R959*R956+((R957/(R957-R956))-(R956/(R957-R956))*R959)*((U947)-R956))*(N940)),2),ROUND(IF(SUM(B941:F946)&lt;(SUM(S941:S946)),IF((SUM(B941:F947))&gt;(SUM(S941:S947)),(((SUM(S941:S947))-(SUM(B941:F947)-C946))*N940)+((SUM(B947:F947)-C946)*N940),SUM(B947:F947)*N940),IF(SUM(B941:F947)&gt;(SUM(S941:S947)),S947*N940,SUM(B947:F947)*N940)),2)))</f>
        <v>0</v>
      </c>
      <c r="O947" s="21">
        <f>ROUND(SUM(B947+C947+F947)*O940,2)</f>
        <v>0</v>
      </c>
      <c r="P947" s="25">
        <f t="shared" si="157"/>
        <v>0</v>
      </c>
      <c r="Q947" s="456"/>
      <c r="R947" s="140">
        <f>ROUND(IF(M919="",R935,R935/M919*P924),2)</f>
        <v>5175</v>
      </c>
      <c r="S947" s="140">
        <f>ROUND(IF(M919="",R936,R936/M919*P924),2)</f>
        <v>7450</v>
      </c>
      <c r="U947" s="950">
        <f t="shared" si="158"/>
        <v>0</v>
      </c>
      <c r="V947" s="950">
        <f>SUM(B941:F947)</f>
        <v>0</v>
      </c>
    </row>
    <row r="948" spans="1:24" s="1" customFormat="1" x14ac:dyDescent="0.2">
      <c r="A948" s="76" t="str">
        <f>CONCATENATE("Aug ",O917)</f>
        <v>Aug 2025</v>
      </c>
      <c r="B948" s="22">
        <f>ROUND(IF(P925=0,0,IFERROR(((LOOKUP(2,1/(A926:A929=A948),G926:G929))*P925*4.348),B947/P924*P925)),2)</f>
        <v>0</v>
      </c>
      <c r="C948" s="21">
        <f>ROUND(IFERROR((LOOKUP(2,1/(A932=A948),E932)),0)+IFERROR((LOOKUP(2,1/(A933=A948),E933)),0),2)</f>
        <v>0</v>
      </c>
      <c r="D948" s="21">
        <f>ROUND(IF(B948=0,0,D940/M919*P925),2)</f>
        <v>0</v>
      </c>
      <c r="E948" s="21">
        <f>ROUND(IF(B948=0,0,E940/N915*P925),2)</f>
        <v>0</v>
      </c>
      <c r="F948" s="22">
        <f>ROUND(IF(P925=0,0,IFERROR(((LOOKUP(2,1/(A926:A929=A948),I926:I929))/N915*P925),F947/P924*P925)),2)</f>
        <v>0</v>
      </c>
      <c r="G948" s="25">
        <f t="shared" si="156"/>
        <v>0</v>
      </c>
      <c r="H948" s="64">
        <f>IF(B948=0,0,IF(AND(H932="ja",((U948)&lt;R957)),ROUND(((R959*R956+((R957/(R957-R956))-(R956/(R957-R956))*R959)*((U948)-R956))*(H940*2))-(((R957/(R957-R956))*((U948)-R956))*H940),2),ROUND(IF(V947&lt;(SUM(R941:R947)),IF((V948)&gt;(SUM(R941:R948)),(((SUM(R941:R948))-(V948-C947))*H940)+((U948-C947)*H940),U948*H940),IF(V948&gt;(SUM(R941:R948)),R948*H940,U948*H940)),2)))</f>
        <v>0</v>
      </c>
      <c r="I948" s="64">
        <f>IF(B948=0,0,IF(AND(H932="ja",((U948)&lt;R957)),ROUND(((R959*R956+((R957/(R957-R956))-(R956/(R957-R956))*R959)*((U948)-R956))*(I940*2))-(((R957/(R957-R956))*((U948)-R956))*I940),2),ROUND(IF(V947&lt;(SUM(S941:S947)),IF((V948)&gt;(SUM(S941:S948)),(((SUM(S941:S948))-(V948-C947))*I940)+((U948-C947)*I940),U948*I940),IF(V948&gt;(SUM(S941:S948)),S948*I940,U948*I940)),2)))</f>
        <v>0</v>
      </c>
      <c r="J948" s="64">
        <f>IF(B948=0,0,IF(AND(H932="ja",((U948)&lt;R957)),ROUND(((R959*R956+((R957/(R957-R956))-(R956/(R957-R956))*R959)*((U948)-R956))*(J940*2))-(((R957/(R957-R956))*((U948)-R956))*J940),2),ROUND(IF(V947&lt;(SUM(S941:S947)),IF((V948)&gt;(SUM(S941:S948)),(((SUM(S941:S948))-(V948-C947))*J940)+((U948-C947)*J940),U948*J940),IF(V948&gt;(SUM(S941:S948)),S948*J940,U948*J940)),2)))</f>
        <v>0</v>
      </c>
      <c r="K948" s="64">
        <f>IF(B948=0,0,IF(AND(H932="ja",((U948)&lt;R957)),ROUND(((R959*R956+((R957/(R957-R956))-(R956/(R957-R956))*R959)*((U948)-R956))*(K940*2))-(((R957/(R957-R956))*((U948)-R956))*K940),2),ROUND(IF(V947&lt;(SUM(R941:R947)),IF((V948)&gt;(SUM(R941:R948)),(((SUM(R941:R948))-(V948-C947))*K940)+((U948-C947)*K940),U948*K940),IF(V948&gt;(SUM(R941:R948)),R948*K940,U948*K940)),2)))</f>
        <v>0</v>
      </c>
      <c r="L948" s="64">
        <f>IF(B948=0,0,IF(AND(H932="ja",((U948-C948)&lt;R957)),ROUND(((R959*R956+((R957/(R957-R956))-(R956/(R957-R956))*R959)*((U948-C948)-R956))*(L940)),2),ROUND(IF(SUM(B941:F947)&lt;(SUM(S941:S947)),IF((SUM(B941:F948))&gt;(SUM(S941:S948)),(((SUM(S941:S948))-(SUM(B941:F948)-C948))*L940)+((SUM(B948:F948)-C948)*L940),(SUM(B948:F948)-C948)*L940),IF(SUM(B941:F948)&gt;(SUM(S941:S948)),S948*L940,SUM(B948:F948)*L940)),2)))</f>
        <v>0</v>
      </c>
      <c r="M948" s="64">
        <f>IF(B948=0,0,IF(AND(H932="ja",((U948-C948)&lt;R957)),ROUND(((R959*R956+((R957/(R957-R956))-(R956/(R957-R956))*R959)*((U948-C948)-R956))*(M940)),2),ROUND(IF(SUM(B941:F947)&lt;(SUM(S941:S947)),IF((SUM(B941:F948))&gt;(SUM(S941:S948)),(((SUM(S941:S948))-(SUM(B941:F948)-C948))*M940)+((SUM(B948:F948)-C948)*M940),(SUM(B948:F948)-C948)*M940),IF(SUM(B941:F948)&gt;(SUM(S941:S948)),S948*M940,SUM(B948:F948)*M940)),2)))</f>
        <v>0</v>
      </c>
      <c r="N948" s="64">
        <f>IF(B948=0,0,IF(AND(H932="ja",((U948)&lt;R957)),ROUND(((R959*R956+((R957/(R957-R956))-(R956/(R957-R956))*R959)*((U948)-R956))*(N940)),2),ROUND(IF(SUM(B941:F947)&lt;(SUM(S941:S947)),IF((SUM(B941:F948))&gt;(SUM(S941:S948)),(((SUM(S941:S948))-(SUM(B941:F948)-C947))*N940)+((SUM(B948:F948)-C947)*N940),SUM(B948:F948)*N940),IF(SUM(B941:F948)&gt;(SUM(S941:S948)),S948*N940,SUM(B948:F948)*N940)),2)))</f>
        <v>0</v>
      </c>
      <c r="O948" s="21">
        <f>ROUND(SUM(B948+C948+F948)*O940,2)</f>
        <v>0</v>
      </c>
      <c r="P948" s="25">
        <f t="shared" si="157"/>
        <v>0</v>
      </c>
      <c r="Q948" s="456"/>
      <c r="R948" s="140">
        <f>ROUND(IF(M919="",R935,R935/M919*P925),2)</f>
        <v>5175</v>
      </c>
      <c r="S948" s="140">
        <f>ROUND(IF(M919="",R936,R936/M919*P925),2)</f>
        <v>7450</v>
      </c>
      <c r="U948" s="950">
        <f t="shared" si="158"/>
        <v>0</v>
      </c>
      <c r="V948" s="950">
        <f>SUM(B941:F948)</f>
        <v>0</v>
      </c>
    </row>
    <row r="949" spans="1:24" s="1" customFormat="1" x14ac:dyDescent="0.2">
      <c r="A949" s="76" t="str">
        <f>CONCATENATE("Sep ",O917)</f>
        <v>Sep 2025</v>
      </c>
      <c r="B949" s="22">
        <f>ROUND(IF(P926=0,0,IFERROR(((LOOKUP(2,1/(A926:A929=A949),G926:G929))*P926*4.348),B948/P925*P926)),2)</f>
        <v>0</v>
      </c>
      <c r="C949" s="21">
        <f>ROUND(IFERROR((LOOKUP(2,1/(A932=A949),E932)),0)+IFERROR((LOOKUP(2,1/(A933=A949),E933)),0),2)</f>
        <v>0</v>
      </c>
      <c r="D949" s="21">
        <f>ROUND(IF(B949=0,0,D940/M919*P926),2)</f>
        <v>0</v>
      </c>
      <c r="E949" s="21">
        <f>ROUND(IF(B949=0,0,E940/N915*P926),2)</f>
        <v>0</v>
      </c>
      <c r="F949" s="22">
        <f>ROUND(IF(P926=0,0,IFERROR(((LOOKUP(2,1/(A926:A929=A949),I926:I929))/N915*P926),F948/P925*P926)),2)</f>
        <v>0</v>
      </c>
      <c r="G949" s="25">
        <f t="shared" si="156"/>
        <v>0</v>
      </c>
      <c r="H949" s="64">
        <f>IF(B949=0,0,IF(AND(H932="ja",((U949)&lt;R957)),ROUND(((R959*R956+((R957/(R957-R956))-(R956/(R957-R956))*R959)*((U949)-R956))*(H940*2))-(((R957/(R957-R956))*((U949)-R956))*H940),2),ROUND(IF(V948&lt;(SUM(R941:R948)),IF((V949)&gt;(SUM(R941:R949)),(((SUM(R941:R949))-(V949-C948))*H940)+((U949-C948)*H940),U949*H940),IF(V949&gt;(SUM(R941:R949)),R949*H940,U949*H940)),2)))</f>
        <v>0</v>
      </c>
      <c r="I949" s="64">
        <f>IF(B949=0,0,IF(AND(H932="ja",((U949)&lt;R957)),ROUND(((R959*R956+((R957/(R957-R956))-(R956/(R957-R956))*R959)*((U949)-R956))*(I940*2))-(((R957/(R957-R956))*((U949)-R956))*I940),2),ROUND(IF(V948&lt;(SUM(S941:S948)),IF((V949)&gt;(SUM(S941:S949)),(((SUM(S941:S949))-(V949-C948))*I940)+((U949-C948)*I940),U949*I940),IF(V949&gt;(SUM(S941:S949)),S949*I940,U949*I940)),2)))</f>
        <v>0</v>
      </c>
      <c r="J949" s="64">
        <f>IF(B949=0,0,IF(AND(H932="ja",((U949)&lt;R957)),ROUND(((R959*R956+((R957/(R957-R956))-(R956/(R957-R956))*R959)*((U949)-R956))*(J940*2))-(((R957/(R957-R956))*((U949)-R956))*J940),2),ROUND(IF(V948&lt;(SUM(S941:S948)),IF((V949)&gt;(SUM(S941:S949)),(((SUM(S941:S949))-(V949-C948))*J940)+((U949-C948)*J940),U949*J940),IF(V949&gt;(SUM(S941:S949)),S949*J940,U949*J940)),2)))</f>
        <v>0</v>
      </c>
      <c r="K949" s="64">
        <f>IF(B949=0,0,IF(AND(H932="ja",((U949)&lt;R957)),ROUND(((R959*R956+((R957/(R957-R956))-(R956/(R957-R956))*R959)*((U949)-R956))*(K940*2))-(((R957/(R957-R956))*((U949)-R956))*K940),2),ROUND(IF(V948&lt;(SUM(R941:R948)),IF((V949)&gt;(SUM(R941:R949)),(((SUM(R941:R949))-(V949-C948))*K940)+((U949-C948)*K940),U949*K940),IF(V949&gt;(SUM(R941:R949)),R949*K940,U949*K940)),2)))</f>
        <v>0</v>
      </c>
      <c r="L949" s="64">
        <f>IF(B949=0,0,IF(AND(H932="ja",((U949-C949)&lt;R957)),ROUND(((R959*R956+((R957/(R957-R956))-(R956/(R957-R956))*R959)*((U949-C949)-R956))*(L940)),2),ROUND(IF(SUM(B941:F948)&lt;(SUM(S941:S948)),IF((SUM(B941:F949))&gt;(SUM(S941:S949)),(((SUM(S941:S949))-(SUM(B941:F949)-C949))*L940)+((SUM(B949:F949)-C949)*L940),(SUM(B949:F949)-C949)*L940),IF(SUM(B941:F949)&gt;(SUM(S941:S949)),S949*L940,SUM(B949:F949)*L940)),2)))</f>
        <v>0</v>
      </c>
      <c r="M949" s="64">
        <f>IF(B949=0,0,IF(AND(H932="ja",((U949-C949)&lt;R957)),ROUND(((R959*R956+((R957/(R957-R956))-(R956/(R957-R956))*R959)*((U949-C949)-R956))*(M940)),2),ROUND(IF(SUM(B941:F948)&lt;(SUM(S941:S948)),IF((SUM(B941:F949))&gt;(SUM(S941:S949)),(((SUM(S941:S949))-(SUM(B941:F949)-C949))*M940)+((SUM(B949:F949)-C949)*M940),(SUM(B949:F949)-C949)*M940),IF(SUM(B941:F949)&gt;(SUM(S941:S949)),S949*M940,SUM(B949:F949)*M940)),2)))</f>
        <v>0</v>
      </c>
      <c r="N949" s="64">
        <f>IF(B949=0,0,IF(AND(H932="ja",((U949)&lt;R957)),ROUND(((R959*R956+((R957/(R957-R956))-(R956/(R957-R956))*R959)*((U949)-R956))*(N940)),2),ROUND(IF(SUM(B941:F948)&lt;(SUM(S941:S948)),IF((SUM(B941:F949))&gt;(SUM(S941:S949)),(((SUM(S941:S949))-(SUM(B941:F949)-C948))*N940)+((SUM(B949:F949)-C948)*N940),SUM(B949:F949)*N940),IF(SUM(B941:F949)&gt;(SUM(S941:S949)),S949*N940,SUM(B949:F949)*N940)),2)))</f>
        <v>0</v>
      </c>
      <c r="O949" s="21">
        <f>ROUND(SUM(B949+C949+F949)*O940,2)</f>
        <v>0</v>
      </c>
      <c r="P949" s="25">
        <f t="shared" si="157"/>
        <v>0</v>
      </c>
      <c r="Q949" s="456"/>
      <c r="R949" s="140">
        <f>ROUND(IF(M919="",R935,R935/M919*P926),2)</f>
        <v>5175</v>
      </c>
      <c r="S949" s="140">
        <f>ROUND(IF(M919="",R936,R936/M919*P926),2)</f>
        <v>7450</v>
      </c>
      <c r="U949" s="950">
        <f t="shared" si="158"/>
        <v>0</v>
      </c>
      <c r="V949" s="950">
        <f>SUM(B941:F949)</f>
        <v>0</v>
      </c>
    </row>
    <row r="950" spans="1:24" s="12" customFormat="1" ht="15" x14ac:dyDescent="0.25">
      <c r="A950" s="76" t="str">
        <f>CONCATENATE("Okt ",O917)</f>
        <v>Okt 2025</v>
      </c>
      <c r="B950" s="22">
        <f>ROUND(IF(P927=0,0,IFERROR(((LOOKUP(2,1/(A926:A929=A950),G926:G929))*P927*4.348),B949/P926*P927)),2)</f>
        <v>0</v>
      </c>
      <c r="C950" s="21">
        <f>ROUND(IFERROR((LOOKUP(2,1/(A932=A950),E932)),0)+IFERROR((LOOKUP(2,1/(A933=A950),E933)),0),2)</f>
        <v>0</v>
      </c>
      <c r="D950" s="21">
        <f>ROUND(IF(B950=0,0,D940/M919*P927),2)</f>
        <v>0</v>
      </c>
      <c r="E950" s="21">
        <f>ROUND(IF(B950=0,0,E940/N915*P927),2)</f>
        <v>0</v>
      </c>
      <c r="F950" s="22">
        <f>ROUND(IF(P927=0,0,IFERROR(((LOOKUP(2,1/(A926:A929=A950),I926:I929))/N915*P927),F949/P926*P927)),2)</f>
        <v>0</v>
      </c>
      <c r="G950" s="25">
        <f t="shared" si="156"/>
        <v>0</v>
      </c>
      <c r="H950" s="64">
        <f>IF(B950=0,0,IF(AND(H932="ja",((U950)&lt;R957)),ROUND(((R959*R956+((R957/(R957-R956))-(R956/(R957-R956))*R959)*((U950)-R956))*(H940*2))-(((R957/(R957-R956))*((U950)-R956))*H940),2),ROUND(IF(V949&lt;(SUM(R941:R949)),IF((V950)&gt;(SUM(R941:R950)),(((SUM(R941:R950))-(V950-C949))*H940)+((U950-C949)*H940),U950*H940),IF(V950&gt;(SUM(R941:R950)),R950*H940,U950*H940)),2)))</f>
        <v>0</v>
      </c>
      <c r="I950" s="64">
        <f>IF(B950=0,0,IF(AND(H932="ja",((U950)&lt;R957)),ROUND(((R959*R956+((R957/(R957-R956))-(R956/(R957-R956))*R959)*((U950)-R956))*(I940*2))-(((R957/(R957-R956))*((U950)-R956))*I940),2),ROUND(IF(V949&lt;(SUM(S941:S949)),IF((V950)&gt;(SUM(S941:S950)),(((SUM(S941:S950))-(V950-C949))*I940)+((U950-C949)*I940),U950*I940),IF(V950&gt;(SUM(S941:S950)),S950*I940,U950*I940)),2)))</f>
        <v>0</v>
      </c>
      <c r="J950" s="64">
        <f>IF(B950=0,0,IF(AND(H932="ja",((U950)&lt;R957)),ROUND(((R959*R956+((R957/(R957-R956))-(R956/(R957-R956))*R959)*((U950)-R956))*(J940*2))-(((R957/(R957-R956))*((U950)-R956))*J940),2),ROUND(IF(V949&lt;(SUM(S941:S949)),IF((V950)&gt;(SUM(S941:S950)),(((SUM(S941:S950))-(V950-C949))*J940)+((U950-C949)*J940),U950*J940),IF(V950&gt;(SUM(S941:S950)),S950*J940,U950*J940)),2)))</f>
        <v>0</v>
      </c>
      <c r="K950" s="64">
        <f>IF(B950=0,0,IF(AND(H932="ja",((U950)&lt;R957)),ROUND(((R959*R956+((R957/(R957-R956))-(R956/(R957-R956))*R959)*((U950)-R956))*(K940*2))-(((R957/(R957-R956))*((U950)-R956))*K940),2),ROUND(IF(V949&lt;(SUM(R941:R949)),IF((V950)&gt;(SUM(R941:R950)),(((SUM(R941:R950))-(V950-C949))*K940)+((U950-C949)*K940),U950*K940),IF(V950&gt;(SUM(R941:R950)),R950*K940,U950*K940)),2)))</f>
        <v>0</v>
      </c>
      <c r="L950" s="64">
        <f>IF(B950=0,0,IF(AND(H932="ja",((U950-C950)&lt;R957)),ROUND(((R959*R956+((R957/(R957-R956))-(R956/(R957-R956))*R959)*((U950-C950)-R956))*(L940)),2),ROUND(IF(SUM(B941:F949)&lt;(SUM(S941:S949)),IF((SUM(B941:F950))&gt;(SUM(S941:S950)),(((SUM(S941:S950))-(SUM(B941:F950)-C950))*L940)+((SUM(B950:F950)-C950)*L940),(SUM(B950:F950)-C950)*L940),IF(SUM(B941:F950)&gt;(SUM(S941:S950)),S950*L940,SUM(B950:F950)*L940)),2)))</f>
        <v>0</v>
      </c>
      <c r="M950" s="64">
        <f>IF(B950=0,0,IF(AND(H932="ja",((U950-C950)&lt;R957)),ROUND(((R959*R956+((R957/(R957-R956))-(R956/(R957-R956))*R959)*((U950-C950)-R956))*(M940)),2),ROUND(IF(SUM(B941:F949)&lt;(SUM(S941:S949)),IF((SUM(B941:F950))&gt;(SUM(S941:S950)),(((SUM(S941:S950))-(SUM(B941:F950)-C950))*M940)+((SUM(B950:F950)-C950)*M940),(SUM(B950:F950)-C950)*M940),IF(SUM(B941:F950)&gt;(SUM(S941:S950)),S950*M940,SUM(B950:F950)*M940)),2)))</f>
        <v>0</v>
      </c>
      <c r="N950" s="64">
        <f>IF(B950=0,0,IF(AND(H932="ja",((U950)&lt;R957)),ROUND(((R959*R956+((R957/(R957-R956))-(R956/(R957-R956))*R959)*((U950)-R956))*(N940)),2),ROUND(IF(SUM(B941:F949)&lt;(SUM(S941:S949)),IF((SUM(B941:F950))&gt;(SUM(S941:S950)),(((SUM(S941:S950))-(SUM(B941:F950)-C949))*N940)+((SUM(B950:F950)-C949)*N940),SUM(B950:F950)*N940),IF(SUM(B941:F950)&gt;(SUM(S941:S950)),S950*N940,SUM(B950:F950)*N940)),2)))</f>
        <v>0</v>
      </c>
      <c r="O950" s="21">
        <f>ROUND(SUM(B950+C950+F950)*O940,2)</f>
        <v>0</v>
      </c>
      <c r="P950" s="25">
        <f t="shared" si="157"/>
        <v>0</v>
      </c>
      <c r="Q950" s="936"/>
      <c r="R950" s="140">
        <f>ROUND(IF(M919="",R935,R935/M919*P927),2)</f>
        <v>5175</v>
      </c>
      <c r="S950" s="140">
        <f>ROUND(IF(M919="",R936,R936/M919*P927),2)</f>
        <v>7450</v>
      </c>
      <c r="U950" s="950">
        <f t="shared" si="158"/>
        <v>0</v>
      </c>
      <c r="V950" s="950">
        <f>SUM(B941:F950)</f>
        <v>0</v>
      </c>
      <c r="X950" s="1"/>
    </row>
    <row r="951" spans="1:24" s="11" customFormat="1" x14ac:dyDescent="0.2">
      <c r="A951" s="76" t="str">
        <f>CONCATENATE("Nov ",O917)</f>
        <v>Nov 2025</v>
      </c>
      <c r="B951" s="22">
        <f>ROUND(IF(P928=0,0,IFERROR(((LOOKUP(2,1/(A926:A929=A951),G926:G929))*P928*4.348),B950/P927*P928)),2)</f>
        <v>0</v>
      </c>
      <c r="C951" s="21">
        <f>ROUND(IFERROR((LOOKUP(2,1/(A932=A951),E932)),0)+(IFERROR((LOOKUP(2,1/(A933=A951),E933)),0)),2)</f>
        <v>0</v>
      </c>
      <c r="D951" s="21">
        <f>ROUND(IF(B951=0,0,D940/M919*P928),2)</f>
        <v>0</v>
      </c>
      <c r="E951" s="21">
        <f>ROUND(IF(B951=0,0,E940/N915*P928),2)</f>
        <v>0</v>
      </c>
      <c r="F951" s="22">
        <f>ROUND(IF(P928=0,0,IFERROR(((LOOKUP(2,1/(A926:A929=A951),I926:I929))/N915*P928),F950/P927*P928)),2)</f>
        <v>0</v>
      </c>
      <c r="G951" s="25">
        <f t="shared" si="156"/>
        <v>0</v>
      </c>
      <c r="H951" s="64">
        <f>IF(B951=0,0,IF(AND(H932="ja",((U951)&lt;R957)),ROUND(((R959*R956+((R957/(R957-R956))-(R956/(R957-R956))*R959)*((U951)-R956))*(H940*2))-(((R957/(R957-R956))*((U951)-R956))*H940),2),ROUND(IF(V950&lt;(SUM(R941:R950)),IF((V951)&gt;(SUM(R941:R951)),(((SUM(R941:R951))-(V951-C950))*H940)+((U951-C950)*H940),U951*H940),IF(V951&gt;(SUM(R941:R951)),R951*H940,U951*H940)),2)))</f>
        <v>0</v>
      </c>
      <c r="I951" s="64">
        <f>IF(B951=0,0,IF(AND(H932="ja",((U951)&lt;R957)),ROUND(((R959*R956+((R957/(R957-R956))-(R956/(R957-R956))*R959)*((U951)-R956))*(I940*2))-(((R957/(R957-R956))*((U951)-R956))*I940),2),ROUND(IF(V950&lt;(SUM(S941:S950)),IF((V951)&gt;(SUM(S941:S951)),(((SUM(S941:S951))-(V951-C950))*I940)+((U951-C950)*I940),U951*I940),IF(V951&gt;(SUM(S941:S951)),S951*I940,U951*I940)),2)))</f>
        <v>0</v>
      </c>
      <c r="J951" s="64">
        <f>IF(B951=0,0,IF(AND(H932="ja",((U951)&lt;R957)),ROUND(((R959*R956+((R957/(R957-R956))-(R956/(R957-R956))*R959)*((U951)-R956))*(J940*2))-(((R957/(R957-R956))*((U951)-R956))*J940),2),ROUND(IF(V950&lt;(SUM(S941:S950)),IF((V951)&gt;(SUM(S941:S951)),(((SUM(S941:S951))-(V951-C950))*J940)+((U951-C950)*J940),U951*J940),IF(V951&gt;(SUM(S941:S951)),S951*J940,U951*J940)),2)))</f>
        <v>0</v>
      </c>
      <c r="K951" s="64">
        <f>IF(B951=0,0,IF(AND(H932="ja",((U951)&lt;R957)),ROUND(((R959*R956+((R957/(R957-R956))-(R956/(R957-R956))*R959)*((U951)-R956))*(K940*2))-(((R957/(R957-R956))*((U951)-R956))*K940),2),ROUND(IF(V950&lt;(SUM(R941:R950)),IF((V951)&gt;(SUM(R941:R951)),(((SUM(R941:R951))-(V951-C950))*K940)+((U951-C950)*K940),U951*K940),IF(V951&gt;(SUM(R941:R951)),R951*K940,U951*K940)),2)))</f>
        <v>0</v>
      </c>
      <c r="L951" s="64">
        <f>IF(B951=0,0,IF(AND(H932="ja",((U951-C951)&lt;R957)),ROUND(((R959*R956+((R957/(R957-R956))-(R956/(R957-R956))*R959)*((U951-C951)-R956))*(L940)),2),ROUND(IF(SUM(B941:F950)&lt;(SUM(S941:S950)),IF((SUM(B941:F951))&gt;(SUM(S941:S951)),(((SUM(S941:S951))-(SUM(B941:F951)-C951))*L940)+((SUM(B951:F951)-C951)*L940),(SUM(B951:F951)-C951)*L940),IF(SUM(B941:F951)&gt;(SUM(S941:S951)),S951*L940,SUM(B951:F951)*L940)),2)))</f>
        <v>0</v>
      </c>
      <c r="M951" s="64">
        <f>IF(B951=0,0,IF(AND(H932="ja",((U951-C951)&lt;R957)),ROUND(((R959*R956+((R957/(R957-R956))-(R956/(R957-R956))*R959)*((U951-C951)-R956))*(M940)),2),ROUND(IF(SUM(B941:F950)&lt;(SUM(S941:S950)),IF((SUM(B941:F951))&gt;(SUM(S941:S951)),(((SUM(S941:S951))-(SUM(B941:F951)-C951))*M940)+((SUM(B951:F951)-C951)*M940),(SUM(B951:F951)-C951)*M940),IF(SUM(B941:F951)&gt;(SUM(S941:S951)),S951*M940,SUM(B951:F951)*M940)),2)))</f>
        <v>0</v>
      </c>
      <c r="N951" s="64">
        <f>IF(B951=0,0,IF(AND(H932="ja",((U951)&lt;R957)),ROUND(((R959*R956+((R957/(R957-R956))-(R956/(R957-R956))*R959)*((U951)-R956))*(N940)),2),ROUND(IF(SUM(B941:F950)&lt;(SUM(S941:S950)),IF((SUM(B941:F951))&gt;(SUM(S941:S951)),(((SUM(S941:S951))-(SUM(B941:F951)-C950))*N940)+((SUM(B951:F951)-C950)*N940),SUM(B951:F951)*N940),IF(SUM(B941:F951)&gt;(SUM(S941:S951)),S951*N940,SUM(B951:F951)*N940)),2)))</f>
        <v>0</v>
      </c>
      <c r="O951" s="21">
        <f>ROUND(SUM(B951+C951+F951)*O940,2)</f>
        <v>0</v>
      </c>
      <c r="P951" s="25">
        <f t="shared" si="157"/>
        <v>0</v>
      </c>
      <c r="R951" s="140">
        <f>ROUND(IF(M919="",R935,R935/M919*P928),2)</f>
        <v>5175</v>
      </c>
      <c r="S951" s="140">
        <f>ROUND(IF(M919="",R936,R936/M919*P928),2)</f>
        <v>7450</v>
      </c>
      <c r="U951" s="950">
        <f t="shared" si="158"/>
        <v>0</v>
      </c>
      <c r="V951" s="950">
        <f>SUM(B941:F951)</f>
        <v>0</v>
      </c>
      <c r="X951" s="1"/>
    </row>
    <row r="952" spans="1:24" s="1" customFormat="1" ht="14.25" customHeight="1" x14ac:dyDescent="0.2">
      <c r="A952" s="76" t="str">
        <f>CONCATENATE("Dez ",O917)</f>
        <v>Dez 2025</v>
      </c>
      <c r="B952" s="22">
        <f>ROUND(IF(P929=0,0,IFERROR(((LOOKUP(2,1/(A926:A929=A952),G926:G929))*P929*4.348),B951/P928*P929)),2)</f>
        <v>0</v>
      </c>
      <c r="C952" s="21">
        <f>ROUND(IFERROR((LOOKUP(2,1/(A932=A952),E932)),0)+IFERROR((LOOKUP(2,1/(A933=A952),E933)),0),2)</f>
        <v>0</v>
      </c>
      <c r="D952" s="21">
        <f>ROUND(IF(B952=0,0,D940/M919*P929),2)</f>
        <v>0</v>
      </c>
      <c r="E952" s="21">
        <f>ROUND(IF(B952=0,0,E940/N915*P929),2)</f>
        <v>0</v>
      </c>
      <c r="F952" s="22">
        <f>ROUND(IF(P929=0,0,IFERROR(((LOOKUP(2,1/(A926:A929=A952),I926:I929))/N915*P929),F951/P928*P929)),2)</f>
        <v>0</v>
      </c>
      <c r="G952" s="25">
        <f t="shared" si="156"/>
        <v>0</v>
      </c>
      <c r="H952" s="64">
        <f>IF(B952=0,0,IF(AND(H932="ja",((U952)&lt;R957)),ROUND(((R959*R956+((R957/(R957-R956))-(R956/(R957-R956))*R959)*((U952)-R956))*(H940*2))-(((R957/(R957-R956))*((U952)-R956))*H940),2),ROUND(IF(V951&lt;(SUM(R941:R951)),IF((V952)&gt;(SUM(R941:R952)),(((SUM(R941:R952))-(V952-C951))*H940)+((U952-C951)*H940),U952*H940),IF(V952&gt;(SUM(R941:R952)),R952*H940,U952*H940)),2)))</f>
        <v>0</v>
      </c>
      <c r="I952" s="64">
        <f>IF(B952=0,0,IF(AND(H932="ja",((U952)&lt;R957)),ROUND(((R959*R956+((R957/(R957-R956))-(R956/(R957-R956))*R959)*((U952)-R956))*(I940*2))-(((R957/(R957-R956))*((U952)-R956))*I940),2),ROUND(IF(V951&lt;(SUM(S941:S951)),IF((V952)&gt;(SUM(S941:S952)),(((SUM(S941:S952))-(V952-C951))*I940)+((U952-C951)*I940),U952*I940),IF(V952&gt;(SUM(S941:S952)),S952*I940,U952*I940)),2)))</f>
        <v>0</v>
      </c>
      <c r="J952" s="64">
        <f>IF(B952=0,0,IF(AND(H932="ja",((U952)&lt;R957)),ROUND(((R959*R956+((R957/(R957-R956))-(R956/(R957-R956))*R959)*((U952)-R956))*(J940*2))-(((R957/(R957-R956))*((U952)-R956))*J940),2),ROUND(IF(V951&lt;(SUM(S941:S951)),IF((V952)&gt;(SUM(S941:S952)),(((SUM(S941:S952))-(V952-C951))*J940)+((U952-C951)*J940),U952*J940),IF(V952&gt;(SUM(S941:S952)),S952*J940,U952*J940)),2)))</f>
        <v>0</v>
      </c>
      <c r="K952" s="64">
        <f>IF(B952=0,0,IF(AND(H932="ja",((U952)&lt;R957)),ROUND(((R959*R956+((R957/(R957-R956))-(R956/(R957-R956))*R959)*((U952)-R956))*(K940*2))-(((R957/(R957-R956))*((U952)-R956))*K940),2),ROUND(IF(V951&lt;(SUM(R941:R951)),IF((V952)&gt;(SUM(R941:R952)),(((SUM(R941:R952))-(V952-C951))*K940)+((U952-C951)*K940),U952*K940),IF(V952&gt;(SUM(R941:R952)),R952*K940,U952*K940)),2)))</f>
        <v>0</v>
      </c>
      <c r="L952" s="64">
        <f>IF(B952=0,0,IF(AND(H932="ja",((U952-C952)&lt;R957)),ROUND(((R959*R956+((R957/(R957-R956))-(R956/(R957-R956))*R959)*((U952-C952)-R956))*(L940)),2),ROUND(IF(SUM(B941:F951)&lt;(SUM(S941:S951)),IF((SUM(B941:F952))&gt;(SUM(S941:S952)),(((SUM(S941:S952))-(SUM(B941:F952)-C952))*L940)+((SUM(B952:F952)-C952)*L940),(SUM(B952:F952)-C952)*L940),IF(SUM(B941:F952)&gt;(SUM(S941:S952)),S952*L940,SUM(B952:F952)*L940)),2)))</f>
        <v>0</v>
      </c>
      <c r="M952" s="64">
        <f>IF(B952=0,0,IF(AND(H932="ja",((U952-C952)&lt;R957)),ROUND(((R959*R956+((R957/(R957-R956))-(R956/(R957-R956))*R959)*((U952-C952)-R956))*(M940)),2),ROUND(IF(SUM(B941:F951)&lt;(SUM(S941:S951)),IF((SUM(B941:F952))&gt;(SUM(S941:S952)),(((SUM(S941:S952))-(SUM(B941:F952)-C952))*M940)+((SUM(B952:F952)-C952)*M940),(SUM(B952:F952)-C952)*M940),IF(SUM(B941:F952)&gt;(SUM(S941:S952)),S952*M940,SUM(B952:F952)*M940)),2)))</f>
        <v>0</v>
      </c>
      <c r="N952" s="64">
        <f>IF(B952=0,0,IF(AND(H932="ja",((U952)&lt;R957)),ROUND(((R959*R956+((R957/(R957-R956))-(R956/(R957-R956))*R959)*((U952)-R956))*(N940)),2),ROUND(IF(SUM(B941:F951)&lt;(SUM(S941:S951)),IF((SUM(B941:F952))&gt;(SUM(S941:S952)),(((SUM(S941:S952))-(SUM(B941:F952)-C951))*N940)+((SUM(B952:F952)-C951)*N940),SUM(B952:F952)*N940),IF(SUM(B941:F952)&gt;(SUM(S941:S952)),S952*N940,SUM(B952:F952)*N940)),2)))</f>
        <v>0</v>
      </c>
      <c r="O952" s="21">
        <f>ROUND(SUM(B952+C952+F952)*O940,2)</f>
        <v>0</v>
      </c>
      <c r="P952" s="25">
        <f t="shared" si="157"/>
        <v>0</v>
      </c>
      <c r="Q952" s="11"/>
      <c r="R952" s="140">
        <f>ROUND(IF(M919="",R935,R935/M919*P929),2)</f>
        <v>5175</v>
      </c>
      <c r="S952" s="140">
        <f>ROUND(IF(M919="",R936,R936/M919*P929),2)</f>
        <v>7450</v>
      </c>
      <c r="U952" s="950">
        <f t="shared" si="158"/>
        <v>0</v>
      </c>
      <c r="V952" s="950">
        <f>SUM(B941:F952)</f>
        <v>0</v>
      </c>
    </row>
    <row r="953" spans="1:24" s="1" customFormat="1" ht="15" customHeight="1" x14ac:dyDescent="0.2">
      <c r="A953" s="2" t="s">
        <v>1</v>
      </c>
      <c r="B953" s="25">
        <f t="shared" ref="B953:G953" si="159">SUM(B941:B952)</f>
        <v>0</v>
      </c>
      <c r="C953" s="25">
        <f t="shared" si="159"/>
        <v>0</v>
      </c>
      <c r="D953" s="25">
        <f t="shared" si="159"/>
        <v>0</v>
      </c>
      <c r="E953" s="25">
        <f t="shared" si="159"/>
        <v>0</v>
      </c>
      <c r="F953" s="25">
        <f t="shared" si="159"/>
        <v>0</v>
      </c>
      <c r="G953" s="25">
        <f t="shared" si="159"/>
        <v>0</v>
      </c>
      <c r="H953" s="1309">
        <f>SUM(H941:N952)</f>
        <v>0</v>
      </c>
      <c r="I953" s="1310"/>
      <c r="J953" s="1310"/>
      <c r="K953" s="1310"/>
      <c r="L953" s="1310"/>
      <c r="M953" s="1310"/>
      <c r="N953" s="1311"/>
      <c r="O953" s="25">
        <f>SUM(O941:O952)</f>
        <v>0</v>
      </c>
      <c r="P953" s="25">
        <f>SUM(P941:P952)</f>
        <v>0</v>
      </c>
    </row>
    <row r="954" spans="1:24" s="1" customFormat="1" ht="12" customHeight="1" x14ac:dyDescent="0.2"/>
    <row r="955" spans="1:24" s="1" customFormat="1" ht="14.25" customHeight="1" x14ac:dyDescent="0.2">
      <c r="B955" s="906"/>
      <c r="H955" s="905"/>
      <c r="I955" s="62"/>
      <c r="J955" s="914" t="s">
        <v>123</v>
      </c>
      <c r="L955" s="900" t="s">
        <v>124</v>
      </c>
      <c r="M955" s="974" t="str">
        <f>IF(IF(G953=0,"",'päd.Personal - Leitung'!$M$43)=0,"",IF(G953=0,"",'päd.Personal - Leitung'!$M$43))</f>
        <v/>
      </c>
      <c r="N955" s="902" t="s">
        <v>125</v>
      </c>
      <c r="O955" s="963" t="str">
        <f>IF(IF(G953=0,"",'päd.Personal - Leitung'!$O$43)=0,"",IF(G953=0,"",'päd.Personal - Leitung'!$O$43))</f>
        <v/>
      </c>
      <c r="P955" s="25">
        <f>ROUND(IF(M955="",0,G953*M955*O955/1000),2)</f>
        <v>0</v>
      </c>
      <c r="Q955" s="937"/>
      <c r="R955" s="938">
        <v>2025</v>
      </c>
      <c r="S955" s="939"/>
    </row>
    <row r="956" spans="1:24" s="1" customFormat="1" ht="14.25" customHeight="1" x14ac:dyDescent="0.2">
      <c r="H956" s="907"/>
      <c r="I956" s="42"/>
      <c r="M956" s="915" t="s">
        <v>129</v>
      </c>
      <c r="N956" s="80" t="s">
        <v>125</v>
      </c>
      <c r="O956" s="75" t="str">
        <f>IF(IF(G953=0,"",'päd.Personal - Leitung'!$O$44)=0,"",IF(G953=0,"",'päd.Personal - Leitung'!$O$44))</f>
        <v/>
      </c>
      <c r="P956" s="25">
        <f>ROUND(IF(O956="",0,G953*O956/1000),2)</f>
        <v>0</v>
      </c>
      <c r="Q956" s="942" t="s">
        <v>737</v>
      </c>
      <c r="R956" s="141">
        <f>'päd.Personal - Leitung'!$R$44</f>
        <v>556</v>
      </c>
      <c r="S956" s="955">
        <f>'päd.Personal - Leitung'!$S$44</f>
        <v>12.82</v>
      </c>
    </row>
    <row r="957" spans="1:24" s="1" customFormat="1" ht="14.25" customHeight="1" x14ac:dyDescent="0.2">
      <c r="H957" s="912" t="s">
        <v>126</v>
      </c>
      <c r="I957" s="1013" t="s">
        <v>127</v>
      </c>
      <c r="J957" s="975" t="str">
        <f>IF(IF(G953=0,"",'päd.Personal - Leitung'!$J$45)=0,"",IF(G953=0,"",'päd.Personal - Leitung'!$J$45))</f>
        <v/>
      </c>
      <c r="K957" s="902" t="s">
        <v>128</v>
      </c>
      <c r="L957" s="964" t="str">
        <f>IF(IF(G953=0,"",'päd.Personal - Leitung'!$L$45)=0,"",IF(G953=0,"",'päd.Personal - Leitung'!$L$45))</f>
        <v/>
      </c>
      <c r="M957" s="16"/>
      <c r="N957" s="900" t="s">
        <v>132</v>
      </c>
      <c r="O957" s="965" t="str">
        <f>IF(IF(G953=0,"",'päd.Personal - Leitung'!$O$45)=0,"",IF(G953=0,"",'päd.Personal - Leitung'!$O$45))</f>
        <v/>
      </c>
      <c r="P957" s="25">
        <f>ROUND(IF(J957="",0,(J957*L957/O957)/M921*M922),2)</f>
        <v>0</v>
      </c>
      <c r="Q957" s="942" t="s">
        <v>738</v>
      </c>
      <c r="R957" s="140">
        <f>'päd.Personal - Leitung'!$R$45</f>
        <v>2000</v>
      </c>
      <c r="S957" s="939"/>
    </row>
    <row r="958" spans="1:24" s="1" customFormat="1" ht="14.25" customHeight="1" x14ac:dyDescent="0.2">
      <c r="D958" s="16"/>
      <c r="I958" s="16"/>
      <c r="J958" s="16"/>
      <c r="K958" s="63"/>
      <c r="L958" s="67"/>
      <c r="M958" s="915" t="s">
        <v>130</v>
      </c>
      <c r="N958" s="80" t="s">
        <v>131</v>
      </c>
      <c r="O958" s="904">
        <f>IF(IF(G953="",0,'päd.Personal - Leitung'!$O$94)=0,0,IF(G953="",0,'päd.Personal - Leitung'!$O$94))</f>
        <v>0</v>
      </c>
      <c r="P958" s="21">
        <f>ROUND(IF(G953=0,0,O958/M919*M920),2)</f>
        <v>0</v>
      </c>
      <c r="Q958" s="942" t="s">
        <v>740</v>
      </c>
      <c r="R958" s="956">
        <f>'päd.Personal - Leitung'!$R$46</f>
        <v>0.40900000000000003</v>
      </c>
    </row>
    <row r="959" spans="1:24" s="1" customFormat="1" ht="14.25" customHeight="1" x14ac:dyDescent="0.2">
      <c r="A959" s="16"/>
      <c r="B959" s="16"/>
      <c r="I959" s="905"/>
      <c r="J959" s="961" t="s">
        <v>176</v>
      </c>
      <c r="K959" s="1312" t="str">
        <f>IF($K$47="","",$K$47)</f>
        <v/>
      </c>
      <c r="L959" s="1312"/>
      <c r="M959" s="1312"/>
      <c r="N959" s="80" t="s">
        <v>131</v>
      </c>
      <c r="O959" s="904">
        <f>IF(IF(G953="",0,'päd.Personal - Leitung'!$O$95)=0,0,IF(G953="",0,'päd.Personal - Leitung'!$O$95))</f>
        <v>0</v>
      </c>
      <c r="P959" s="21">
        <f>ROUND(IF(G953=0,0,O959/M919*M920),2)</f>
        <v>0</v>
      </c>
      <c r="Q959" s="942" t="s">
        <v>739</v>
      </c>
      <c r="R959" s="940">
        <f>'päd.Personal - Leitung'!$R$47</f>
        <v>0.68459999999999999</v>
      </c>
      <c r="S959" s="957">
        <f>'päd.Personal - Leitung'!$S$47</f>
        <v>0.28000000000000003</v>
      </c>
    </row>
    <row r="960" spans="1:24" s="1" customFormat="1" ht="14.25" customHeight="1" x14ac:dyDescent="0.2">
      <c r="A960" s="908"/>
      <c r="B960" s="908"/>
      <c r="C960" s="1013"/>
      <c r="D960" s="1013"/>
      <c r="I960" s="913"/>
      <c r="J960" s="913"/>
      <c r="K960" s="916"/>
      <c r="L960" s="27"/>
      <c r="M960" s="27"/>
      <c r="N960" s="27"/>
      <c r="O960" s="26" t="s">
        <v>0</v>
      </c>
      <c r="P960" s="25">
        <f>P953+SUM(P955:P959)</f>
        <v>0</v>
      </c>
    </row>
    <row r="961" spans="1:19" s="10" customFormat="1" ht="13.5" customHeight="1" x14ac:dyDescent="0.2">
      <c r="A961" s="1321" t="s">
        <v>17</v>
      </c>
      <c r="B961" s="1321"/>
      <c r="C961" s="1321"/>
      <c r="D961" s="1320" t="str">
        <f>IF('päd.Personal - Leitung'!$D$1="","",'päd.Personal - Leitung'!$D$1)</f>
        <v/>
      </c>
      <c r="E961" s="1320"/>
      <c r="F961" s="1320"/>
      <c r="G961" s="1320"/>
      <c r="H961" s="1320"/>
      <c r="I961" s="1320"/>
      <c r="J961" s="1320"/>
      <c r="K961" s="1320"/>
      <c r="L961" s="1320"/>
      <c r="M961" s="1320"/>
      <c r="N961" s="1320"/>
    </row>
    <row r="962" spans="1:19" s="10" customFormat="1" ht="15" customHeight="1" x14ac:dyDescent="0.2">
      <c r="A962" s="1321" t="s">
        <v>16</v>
      </c>
      <c r="B962" s="1321"/>
      <c r="C962" s="1321" t="s">
        <v>14</v>
      </c>
      <c r="D962" s="1320" t="str">
        <f>IF('päd.Personal - Leitung'!$D$2="","",'päd.Personal - Leitung'!$D$2)</f>
        <v/>
      </c>
      <c r="E962" s="1320"/>
      <c r="F962" s="1320"/>
      <c r="G962" s="1320"/>
      <c r="H962" s="1320"/>
      <c r="I962" s="1320"/>
      <c r="J962" s="1320"/>
      <c r="K962" s="1320"/>
      <c r="L962" s="1320"/>
      <c r="M962" s="1320"/>
      <c r="N962" s="1320"/>
    </row>
    <row r="963" spans="1:19" s="10" customFormat="1" ht="15" customHeight="1" x14ac:dyDescent="0.2">
      <c r="A963" s="1321" t="s">
        <v>15</v>
      </c>
      <c r="B963" s="1321"/>
      <c r="C963" s="1321" t="s">
        <v>14</v>
      </c>
      <c r="D963" s="1320" t="str">
        <f>IF('päd.Personal - Leitung'!$D$3="","",'päd.Personal - Leitung'!$D$3)</f>
        <v/>
      </c>
      <c r="E963" s="1320"/>
      <c r="F963" s="1320"/>
      <c r="G963" s="1320"/>
      <c r="H963" s="1320"/>
      <c r="I963" s="1320"/>
      <c r="J963" s="1320"/>
      <c r="K963" s="1321" t="s">
        <v>100</v>
      </c>
      <c r="L963" s="1321"/>
      <c r="M963" s="1321"/>
      <c r="N963" s="38" t="str">
        <f>IF('päd.Personal - Leitung'!$N$3="","",'päd.Personal - Leitung'!$N$3)</f>
        <v/>
      </c>
    </row>
    <row r="964" spans="1:19" s="923" customFormat="1" ht="7.5" customHeight="1" x14ac:dyDescent="0.15">
      <c r="A964" s="1353"/>
      <c r="B964" s="1353"/>
      <c r="C964" s="1353"/>
      <c r="D964" s="1354"/>
      <c r="E964" s="1354"/>
      <c r="F964" s="1354"/>
      <c r="G964" s="1354"/>
      <c r="H964" s="1354"/>
      <c r="I964" s="1354"/>
      <c r="J964" s="1354"/>
      <c r="K964" s="922"/>
      <c r="L964" s="922"/>
      <c r="M964" s="922"/>
      <c r="N964" s="922"/>
      <c r="O964" s="922"/>
      <c r="P964" s="922"/>
    </row>
    <row r="965" spans="1:19" s="13" customFormat="1" ht="13.5" customHeight="1" x14ac:dyDescent="0.2">
      <c r="A965" s="1355" t="s">
        <v>151</v>
      </c>
      <c r="B965" s="1355"/>
      <c r="C965" s="1355"/>
      <c r="D965" s="1355"/>
      <c r="E965" s="1355"/>
      <c r="F965" s="1355"/>
      <c r="G965" s="1355"/>
      <c r="H965" s="1355"/>
      <c r="I965" s="1355"/>
      <c r="J965" s="1355"/>
      <c r="K965" s="7"/>
      <c r="L965" s="7"/>
      <c r="M965" s="7"/>
      <c r="N965" s="52"/>
      <c r="O965" s="138">
        <f>'päd.Personal - Leitung'!$O$5</f>
        <v>2025</v>
      </c>
      <c r="P965" s="52" t="s">
        <v>140</v>
      </c>
    </row>
    <row r="966" spans="1:19" s="8" customFormat="1" ht="13.5" customHeight="1" x14ac:dyDescent="0.25">
      <c r="B966" s="29"/>
      <c r="C966" s="29"/>
      <c r="D966" s="3" t="s">
        <v>53</v>
      </c>
      <c r="E966" s="28"/>
      <c r="F966" s="28"/>
      <c r="G966" s="28"/>
      <c r="H966" s="28"/>
      <c r="I966" s="24"/>
      <c r="K966" s="1327" t="s">
        <v>13</v>
      </c>
      <c r="L966" s="1327"/>
      <c r="M966" s="131"/>
      <c r="O966" s="928" t="str">
        <f>A989</f>
        <v>Jan 2025</v>
      </c>
      <c r="P966" s="1402">
        <f>IF(M968="","",M968)</f>
        <v>0</v>
      </c>
    </row>
    <row r="967" spans="1:19" s="5" customFormat="1" ht="13.5" customHeight="1" x14ac:dyDescent="0.25">
      <c r="A967" s="1328" t="s">
        <v>754</v>
      </c>
      <c r="B967" s="1328"/>
      <c r="C967" s="1328"/>
      <c r="D967" s="1345"/>
      <c r="E967" s="1345"/>
      <c r="F967" s="1345"/>
      <c r="G967" s="1345"/>
      <c r="H967" s="1345"/>
      <c r="I967" s="1345"/>
      <c r="K967" s="1327" t="s">
        <v>101</v>
      </c>
      <c r="L967" s="1327"/>
      <c r="M967" s="101"/>
      <c r="O967" s="928" t="str">
        <f t="shared" ref="O967:O977" si="160">A990</f>
        <v>Feb 2025</v>
      </c>
      <c r="P967" s="1403">
        <f t="shared" ref="P967:P974" si="161">IF(P966="","",P966)</f>
        <v>0</v>
      </c>
    </row>
    <row r="968" spans="1:19" s="1" customFormat="1" ht="13.5" customHeight="1" x14ac:dyDescent="0.2">
      <c r="A968" s="1328" t="s">
        <v>12</v>
      </c>
      <c r="B968" s="1328"/>
      <c r="C968" s="1328"/>
      <c r="D968" s="1345"/>
      <c r="E968" s="1345"/>
      <c r="F968" s="1345"/>
      <c r="G968" s="1345"/>
      <c r="H968" s="1345"/>
      <c r="I968" s="1345"/>
      <c r="K968" s="1327" t="s">
        <v>149</v>
      </c>
      <c r="L968" s="1327"/>
      <c r="M968" s="101">
        <f>IF((M969+M970)&gt;M967,0,M967-M969-M970)</f>
        <v>0</v>
      </c>
      <c r="O968" s="928" t="str">
        <f t="shared" si="160"/>
        <v>Mrz 2025</v>
      </c>
      <c r="P968" s="1403">
        <f t="shared" si="161"/>
        <v>0</v>
      </c>
    </row>
    <row r="969" spans="1:19" s="1" customFormat="1" ht="13.5" customHeight="1" x14ac:dyDescent="0.2">
      <c r="A969" s="1328" t="s">
        <v>11</v>
      </c>
      <c r="B969" s="1328"/>
      <c r="C969" s="1328"/>
      <c r="D969" s="1345"/>
      <c r="E969" s="1345"/>
      <c r="F969" s="1345"/>
      <c r="G969" s="1345"/>
      <c r="H969" s="1345"/>
      <c r="I969" s="1345"/>
      <c r="K969" s="1327" t="s">
        <v>150</v>
      </c>
      <c r="L969" s="1327"/>
      <c r="M969" s="101"/>
      <c r="O969" s="928" t="str">
        <f t="shared" si="160"/>
        <v>Apr 2025</v>
      </c>
      <c r="P969" s="1403">
        <f t="shared" si="161"/>
        <v>0</v>
      </c>
    </row>
    <row r="970" spans="1:19" s="1" customFormat="1" ht="13.5" customHeight="1" x14ac:dyDescent="0.2">
      <c r="A970" s="1328" t="s">
        <v>18</v>
      </c>
      <c r="B970" s="1328"/>
      <c r="C970" s="1328"/>
      <c r="D970" s="1345"/>
      <c r="E970" s="1345"/>
      <c r="F970" s="1345"/>
      <c r="G970" s="1345"/>
      <c r="H970" s="1345"/>
      <c r="I970" s="1345"/>
      <c r="K970" s="1327" t="s">
        <v>222</v>
      </c>
      <c r="L970" s="1327"/>
      <c r="M970" s="101"/>
      <c r="O970" s="928" t="str">
        <f t="shared" si="160"/>
        <v>Mai 2025</v>
      </c>
      <c r="P970" s="1403">
        <f t="shared" si="161"/>
        <v>0</v>
      </c>
    </row>
    <row r="971" spans="1:19" s="1" customFormat="1" ht="13.5" customHeight="1" x14ac:dyDescent="0.2">
      <c r="B971" s="6"/>
      <c r="C971" s="1029" t="s">
        <v>147</v>
      </c>
      <c r="D971" s="1324"/>
      <c r="E971" s="1324"/>
      <c r="F971" s="1359" t="s">
        <v>103</v>
      </c>
      <c r="G971" s="1359"/>
      <c r="H971" s="1361"/>
      <c r="I971" s="1361"/>
      <c r="K971" s="1327" t="s">
        <v>94</v>
      </c>
      <c r="L971" s="1327"/>
      <c r="M971" s="15" t="str">
        <f>IF(IF((COUNTIF(B989:B1000,"&gt;0"))=0,0,(COUNTIF(B989:B1000,"&gt;0")))&gt;Grundlagen!$C$26,Grundlagen!$C$26,IF((COUNTIF(B989:B1000,"&gt;0"))=0,"",(COUNTIF(B989:B1000,"&gt;0"))))</f>
        <v/>
      </c>
      <c r="O971" s="928" t="str">
        <f t="shared" si="160"/>
        <v>Jun 2025</v>
      </c>
      <c r="P971" s="1403">
        <f t="shared" si="161"/>
        <v>0</v>
      </c>
    </row>
    <row r="972" spans="1:19" s="1" customFormat="1" ht="13.5" customHeight="1" x14ac:dyDescent="0.2">
      <c r="I972" s="4"/>
      <c r="M972" s="102" t="str">
        <f>IF((SUM(F974:F977))=0,"",IF(P978&gt;M968,M968,IF(M968="","",IF(M971="","",P978))))</f>
        <v/>
      </c>
      <c r="O972" s="928" t="str">
        <f t="shared" si="160"/>
        <v>Jul 2025</v>
      </c>
      <c r="P972" s="1403">
        <f t="shared" si="161"/>
        <v>0</v>
      </c>
    </row>
    <row r="973" spans="1:19" s="46" customFormat="1" ht="13.5" customHeight="1" x14ac:dyDescent="0.2">
      <c r="A973" s="54" t="s">
        <v>134</v>
      </c>
      <c r="B973" s="1356" t="s">
        <v>135</v>
      </c>
      <c r="C973" s="1356"/>
      <c r="D973" s="55" t="s">
        <v>136</v>
      </c>
      <c r="E973" s="56" t="s">
        <v>137</v>
      </c>
      <c r="F973" s="57" t="str">
        <f>CONCATENATE("Entg. ",N963," h/Wo")</f>
        <v>Entg.  h/Wo</v>
      </c>
      <c r="G973" s="58" t="s">
        <v>138</v>
      </c>
      <c r="I973" s="58" t="s">
        <v>139</v>
      </c>
      <c r="K973" s="970"/>
      <c r="L973" s="970"/>
      <c r="M973" s="59"/>
      <c r="N973" s="968"/>
      <c r="O973" s="928" t="str">
        <f t="shared" si="160"/>
        <v>Aug 2025</v>
      </c>
      <c r="P973" s="1403">
        <f t="shared" si="161"/>
        <v>0</v>
      </c>
      <c r="Q973" s="85"/>
      <c r="R973" s="85"/>
      <c r="S973" s="85"/>
    </row>
    <row r="974" spans="1:19" s="46" customFormat="1" ht="13.5" customHeight="1" x14ac:dyDescent="0.25">
      <c r="A974" s="48" t="str">
        <f>'päd.Personal - Leitung'!$A$14</f>
        <v>Jan 2025</v>
      </c>
      <c r="B974" s="1357" t="str">
        <f>IF($D$3="","",$D$3)</f>
        <v/>
      </c>
      <c r="C974" s="1358"/>
      <c r="D974" s="132"/>
      <c r="E974" s="132"/>
      <c r="F974" s="71"/>
      <c r="G974" s="50">
        <f>IF(N963="",0,F974/N963/4.348)</f>
        <v>0</v>
      </c>
      <c r="I974" s="125">
        <f>SUM(J974:M974)</f>
        <v>0</v>
      </c>
      <c r="J974" s="124"/>
      <c r="K974" s="124"/>
      <c r="L974" s="124"/>
      <c r="M974" s="124"/>
      <c r="N974" s="969"/>
      <c r="O974" s="928" t="str">
        <f t="shared" si="160"/>
        <v>Sep 2025</v>
      </c>
      <c r="P974" s="1403">
        <f t="shared" si="161"/>
        <v>0</v>
      </c>
      <c r="Q974" s="85"/>
      <c r="R974" s="85"/>
      <c r="S974" s="85"/>
    </row>
    <row r="975" spans="1:19" s="46" customFormat="1" ht="13.5" customHeight="1" x14ac:dyDescent="0.25">
      <c r="A975" s="49"/>
      <c r="B975" s="1322" t="str">
        <f>IF(A975="","",B974)</f>
        <v/>
      </c>
      <c r="C975" s="1323"/>
      <c r="D975" s="132"/>
      <c r="E975" s="132"/>
      <c r="F975" s="71"/>
      <c r="G975" s="50">
        <f>IF(N963="",0,F975/N963/4.348)</f>
        <v>0</v>
      </c>
      <c r="I975" s="125">
        <f t="shared" ref="I975:I977" si="162">SUM(J975:M975)</f>
        <v>0</v>
      </c>
      <c r="J975" s="124"/>
      <c r="K975" s="124"/>
      <c r="L975" s="124"/>
      <c r="M975" s="124"/>
      <c r="N975" s="969"/>
      <c r="O975" s="928" t="str">
        <f t="shared" si="160"/>
        <v>Okt 2025</v>
      </c>
      <c r="P975" s="1403">
        <f t="shared" ref="P975:P977" si="163">IF(P974="","",P974)</f>
        <v>0</v>
      </c>
      <c r="Q975" s="85"/>
      <c r="R975" s="85"/>
      <c r="S975" s="85"/>
    </row>
    <row r="976" spans="1:19" s="46" customFormat="1" ht="13.5" customHeight="1" x14ac:dyDescent="0.25">
      <c r="A976" s="49"/>
      <c r="B976" s="1322" t="str">
        <f>IF(A976="","",B975)</f>
        <v/>
      </c>
      <c r="C976" s="1323"/>
      <c r="D976" s="132"/>
      <c r="E976" s="132"/>
      <c r="F976" s="71"/>
      <c r="G976" s="50">
        <f>IF(N963="",0,F976/N963/4.348)</f>
        <v>0</v>
      </c>
      <c r="I976" s="125">
        <f t="shared" si="162"/>
        <v>0</v>
      </c>
      <c r="J976" s="124"/>
      <c r="K976" s="124"/>
      <c r="L976" s="124"/>
      <c r="M976" s="124"/>
      <c r="N976" s="969"/>
      <c r="O976" s="928" t="str">
        <f t="shared" si="160"/>
        <v>Nov 2025</v>
      </c>
      <c r="P976" s="1403">
        <f t="shared" si="163"/>
        <v>0</v>
      </c>
      <c r="Q976" s="85"/>
      <c r="R976" s="85"/>
      <c r="S976" s="85"/>
    </row>
    <row r="977" spans="1:22" s="46" customFormat="1" ht="13.5" customHeight="1" x14ac:dyDescent="0.25">
      <c r="A977" s="49"/>
      <c r="B977" s="1322" t="str">
        <f>IF(A977="","",B976)</f>
        <v/>
      </c>
      <c r="C977" s="1323"/>
      <c r="D977" s="132"/>
      <c r="E977" s="132"/>
      <c r="F977" s="71"/>
      <c r="G977" s="50">
        <f>IF(N963="",0,F977/N963/4.348)</f>
        <v>0</v>
      </c>
      <c r="I977" s="125">
        <f t="shared" si="162"/>
        <v>0</v>
      </c>
      <c r="J977" s="124"/>
      <c r="K977" s="124"/>
      <c r="L977" s="124"/>
      <c r="M977" s="124"/>
      <c r="N977" s="969"/>
      <c r="O977" s="928" t="str">
        <f t="shared" si="160"/>
        <v>Dez 2025</v>
      </c>
      <c r="P977" s="1403">
        <f t="shared" si="163"/>
        <v>0</v>
      </c>
      <c r="Q977" s="85"/>
      <c r="R977" s="85"/>
      <c r="S977" s="85"/>
    </row>
    <row r="978" spans="1:22" s="46" customFormat="1" ht="13.5" customHeight="1" x14ac:dyDescent="0.25">
      <c r="B978" s="972"/>
      <c r="C978" s="972"/>
      <c r="E978" s="972"/>
      <c r="F978" s="972"/>
      <c r="I978" s="930" t="s">
        <v>730</v>
      </c>
      <c r="J978" s="1060"/>
      <c r="K978" s="1060"/>
      <c r="L978" s="1060"/>
      <c r="M978" s="1060"/>
      <c r="N978" s="971"/>
      <c r="O978" s="126" t="s">
        <v>221</v>
      </c>
      <c r="P978" s="127">
        <f>IF(M971="",0,((IF(SUMIF(B989,"&gt;0"),P966,0))+(IF(SUMIF(B990,"&gt;0"),P967,0))+(IF(SUMIF(B991,"&gt;0"),P968,0))+(IF(SUMIF(B992,"&gt;0"),P969,0))+(IF(SUMIF(B993,"&gt;0"),P970,0))+(IF(SUMIF(B994,"&gt;0"),P971,0))+(IF(SUMIF(B995,"&gt;0"),P972,0))+(IF(SUMIF(B996,"&gt;0"),P973,0))+(IF(SUMIF(B997,"&gt;0"),P974,0))+(IF(SUMIF(B998,"&gt;0"),P975,0))+(IF(SUMIF(B999,"&gt;0"),P976,0))+(IF(SUMIF(B1000,"&gt;0"),P977,0)))/Grundlagen!$C$26)</f>
        <v>0</v>
      </c>
      <c r="Q978" s="944" t="str">
        <f>CONCATENATE("BBG"," anteilig ",O980)</f>
        <v>BBG anteilig 2025</v>
      </c>
      <c r="R978" s="931" t="s">
        <v>659</v>
      </c>
      <c r="S978" s="931" t="s">
        <v>398</v>
      </c>
      <c r="T978" s="107"/>
    </row>
    <row r="979" spans="1:22" s="46" customFormat="1" ht="13.5" customHeight="1" x14ac:dyDescent="0.2">
      <c r="A979" s="924" t="s">
        <v>732</v>
      </c>
      <c r="D979" s="55" t="s">
        <v>369</v>
      </c>
      <c r="E979" s="56" t="s">
        <v>368</v>
      </c>
      <c r="F979" s="58"/>
      <c r="J979" s="61"/>
      <c r="Q979" s="932" t="s">
        <v>144</v>
      </c>
      <c r="R979" s="140">
        <f>IF(M968=0,R983,IF(M967="",R983,(SUM(R989:R1000)/M971)))</f>
        <v>5175</v>
      </c>
      <c r="S979" s="933">
        <f>IF(M968=0,S983,IF(M967="",S983,SUM(R989:R1000)))</f>
        <v>0</v>
      </c>
      <c r="T979" s="107"/>
    </row>
    <row r="980" spans="1:22" s="46" customFormat="1" ht="13.5" customHeight="1" x14ac:dyDescent="0.25">
      <c r="A980" s="60"/>
      <c r="B980" s="1314" t="str">
        <f>IF($B$20="","",$B$20)</f>
        <v>Jahressonderzahlung (JSZ)</v>
      </c>
      <c r="C980" s="1315"/>
      <c r="D980" s="926"/>
      <c r="E980" s="929" t="str">
        <f>IF(A980="","",ROUND((((SUM(B995:B997)+SUM(F995:F997))/3)*D980)/Grundlagen!$C$26*M971,2))</f>
        <v/>
      </c>
      <c r="G980" s="941" t="s">
        <v>733</v>
      </c>
      <c r="H980" s="943"/>
      <c r="I980" s="1316" t="str">
        <f>CONCATENATE(R1003,":"," Übergangsbereich von ",R1004+0.01," €"," bis ",R1005," €")</f>
        <v>2025: Übergangsbereich von 556,01 € bis 2000 €</v>
      </c>
      <c r="J980" s="1317"/>
      <c r="K980" s="1317"/>
      <c r="L980" s="1067"/>
      <c r="M980" s="1067"/>
      <c r="N980" s="1068" t="s">
        <v>736</v>
      </c>
      <c r="O980" s="1069">
        <f>P980+1</f>
        <v>2025</v>
      </c>
      <c r="P980" s="1069" t="s">
        <v>721</v>
      </c>
      <c r="Q980" s="932" t="s">
        <v>145</v>
      </c>
      <c r="R980" s="140">
        <f>IF(M968=0,R984,IF(M967="",R984,(SUM(S989:S1000)/M971)))</f>
        <v>7450</v>
      </c>
      <c r="S980" s="933">
        <f>IF(M968=0,S984,IF(M967="",S984,SUM(S989:S1000)))</f>
        <v>0</v>
      </c>
      <c r="T980" s="109"/>
    </row>
    <row r="981" spans="1:22" s="1" customFormat="1" ht="14.25" customHeight="1" x14ac:dyDescent="0.2">
      <c r="A981" s="60"/>
      <c r="B981" s="1314" t="str">
        <f>IF($B$21="","",$B$21)</f>
        <v>Leistungsentgelt (LOB)</v>
      </c>
      <c r="C981" s="1315"/>
      <c r="D981" s="926"/>
      <c r="E981" s="929" t="str">
        <f>IF(A981="","",ROUND(((B1001+F1001)*D981)/Grundlagen!$C$26*M971,2))</f>
        <v/>
      </c>
      <c r="G981" s="941" t="str">
        <f>IF(OR(H980="",H980="nein")=TRUE,"","Faktor (F):")</f>
        <v/>
      </c>
      <c r="H981" s="949" t="str">
        <f>IF(OR(H980="",H980="nein")=TRUE,"",IF(H980="","",R1007))</f>
        <v/>
      </c>
      <c r="I981" s="1318" t="str">
        <f>IF(OR(H980="",H980="nein")=TRUE,"",IF(H981="","",CONCATENATE(S1007*100,"%"," / ","(",R1006*100,"%"," Gesamt-SV-Beitragssatz 2024)")))</f>
        <v/>
      </c>
      <c r="J981" s="1319"/>
      <c r="K981" s="1319"/>
      <c r="L981" s="1070"/>
      <c r="M981" s="1070"/>
      <c r="N981" s="1071" t="s">
        <v>144</v>
      </c>
      <c r="O981" s="1072">
        <f>'päd.Personal - Leitung'!$O$21</f>
        <v>5175</v>
      </c>
      <c r="P981" s="1072">
        <f>'päd.Personal - Leitung'!$P$21</f>
        <v>5175</v>
      </c>
      <c r="Q981" s="11"/>
      <c r="R981" s="11"/>
      <c r="S981" s="11"/>
      <c r="T981" s="109"/>
    </row>
    <row r="982" spans="1:22" s="1" customFormat="1" ht="14.25" customHeight="1" x14ac:dyDescent="0.2">
      <c r="C982" s="925" t="s">
        <v>731</v>
      </c>
      <c r="L982" s="1070"/>
      <c r="M982" s="1070"/>
      <c r="N982" s="1071" t="s">
        <v>145</v>
      </c>
      <c r="O982" s="1073">
        <f>'päd.Personal - Leitung'!$O$22</f>
        <v>7450</v>
      </c>
      <c r="P982" s="1073">
        <f>'päd.Personal - Leitung'!$P$22</f>
        <v>7450</v>
      </c>
      <c r="Q982" s="944" t="str">
        <f>CONCATENATE("BBG"," ",O980)</f>
        <v>BBG 2025</v>
      </c>
      <c r="R982" s="11"/>
      <c r="S982" s="11"/>
      <c r="T982" s="109"/>
    </row>
    <row r="983" spans="1:22" s="1" customFormat="1" ht="14.25" customHeight="1" x14ac:dyDescent="0.2">
      <c r="A983" s="53" t="s">
        <v>141</v>
      </c>
      <c r="B983" s="46"/>
      <c r="C983" s="46"/>
      <c r="D983" s="46"/>
      <c r="E983" s="46"/>
      <c r="F983" s="46"/>
      <c r="G983" s="46"/>
      <c r="H983" s="46"/>
      <c r="I983" s="46"/>
      <c r="J983" s="46"/>
      <c r="K983" s="46"/>
      <c r="L983" s="46"/>
      <c r="M983" s="46"/>
      <c r="N983" s="46"/>
      <c r="O983" s="46"/>
      <c r="P983" s="46"/>
      <c r="Q983" s="932" t="s">
        <v>144</v>
      </c>
      <c r="R983" s="141">
        <f>IF($O$21="",0,$O$21)</f>
        <v>5175</v>
      </c>
      <c r="S983" s="933">
        <f>R983*IF(M971="",0,M971)</f>
        <v>0</v>
      </c>
      <c r="T983" s="295"/>
    </row>
    <row r="984" spans="1:22" s="1" customFormat="1" ht="14.25" customHeight="1" x14ac:dyDescent="0.2">
      <c r="A984" s="1346"/>
      <c r="B984" s="1348" t="s">
        <v>8</v>
      </c>
      <c r="C984" s="1349"/>
      <c r="D984" s="1349"/>
      <c r="E984" s="1349"/>
      <c r="F984" s="1349"/>
      <c r="G984" s="1350"/>
      <c r="H984" s="1351" t="s">
        <v>113</v>
      </c>
      <c r="I984" s="1352"/>
      <c r="J984" s="1352"/>
      <c r="K984" s="1352"/>
      <c r="L984" s="1352"/>
      <c r="M984" s="1352"/>
      <c r="N984" s="1352"/>
      <c r="O984" s="30"/>
      <c r="P984" s="1330" t="s">
        <v>0</v>
      </c>
      <c r="Q984" s="932" t="s">
        <v>145</v>
      </c>
      <c r="R984" s="141">
        <f>IF($O$22="",0,$O$22)</f>
        <v>7450</v>
      </c>
      <c r="S984" s="933">
        <f>R984*IF(M971="",0,M971)</f>
        <v>0</v>
      </c>
      <c r="T984" s="830"/>
    </row>
    <row r="985" spans="1:22" s="1" customFormat="1" ht="14.25" customHeight="1" x14ac:dyDescent="0.2">
      <c r="A985" s="1347"/>
      <c r="B985" s="1333" t="s">
        <v>111</v>
      </c>
      <c r="C985" s="1335" t="s">
        <v>743</v>
      </c>
      <c r="D985" s="1337" t="s">
        <v>226</v>
      </c>
      <c r="E985" s="1339" t="s">
        <v>133</v>
      </c>
      <c r="F985" s="1030" t="s">
        <v>6</v>
      </c>
      <c r="G985" s="1340" t="s">
        <v>5</v>
      </c>
      <c r="H985" s="1339" t="s">
        <v>119</v>
      </c>
      <c r="I985" s="1339" t="s">
        <v>4</v>
      </c>
      <c r="J985" s="1339" t="s">
        <v>3</v>
      </c>
      <c r="K985" s="1339" t="s">
        <v>2</v>
      </c>
      <c r="L985" s="1339" t="s">
        <v>114</v>
      </c>
      <c r="M985" s="1339" t="s">
        <v>115</v>
      </c>
      <c r="N985" s="1339" t="s">
        <v>116</v>
      </c>
      <c r="O985" s="1338" t="s">
        <v>109</v>
      </c>
      <c r="P985" s="1331"/>
      <c r="Q985" s="456"/>
      <c r="R985" s="11"/>
      <c r="S985" s="11"/>
      <c r="T985" s="621"/>
    </row>
    <row r="986" spans="1:22" s="1" customFormat="1" ht="14.25" customHeight="1" x14ac:dyDescent="0.2">
      <c r="A986" s="1347"/>
      <c r="B986" s="1333"/>
      <c r="C986" s="1335"/>
      <c r="D986" s="1338"/>
      <c r="E986" s="1339"/>
      <c r="F986" s="1343" t="str">
        <f>I978</f>
        <v>Zuschläge / Zulagen / o.ä.:</v>
      </c>
      <c r="G986" s="1340"/>
      <c r="H986" s="1342" t="s">
        <v>117</v>
      </c>
      <c r="I986" s="1342"/>
      <c r="J986" s="1342"/>
      <c r="K986" s="1342"/>
      <c r="L986" s="1342"/>
      <c r="M986" s="1342"/>
      <c r="N986" s="1342"/>
      <c r="O986" s="1338"/>
      <c r="P986" s="1331"/>
      <c r="Q986" s="456"/>
      <c r="R986" s="1306" t="str">
        <f>Q978</f>
        <v>BBG anteilig 2025</v>
      </c>
      <c r="S986" s="1306"/>
      <c r="T986" s="829"/>
    </row>
    <row r="987" spans="1:22" s="1" customFormat="1" ht="14.25" customHeight="1" x14ac:dyDescent="0.2">
      <c r="A987" s="1347"/>
      <c r="B987" s="1333"/>
      <c r="C987" s="1335"/>
      <c r="D987" s="1338"/>
      <c r="E987" s="1339"/>
      <c r="F987" s="1343"/>
      <c r="G987" s="1340"/>
      <c r="H987" s="39" t="str">
        <f>'päd.Personal - Leitung'!$H$27</f>
        <v>(7,30% + Zusatz)</v>
      </c>
      <c r="I987" s="39" t="str">
        <f>'päd.Personal - Leitung'!$I$27</f>
        <v xml:space="preserve"> (2024: 9,30%)</v>
      </c>
      <c r="J987" s="39" t="str">
        <f>'päd.Personal - Leitung'!$J$27</f>
        <v>(2024: 1,30%)</v>
      </c>
      <c r="K987" s="39" t="str">
        <f>'päd.Personal - Leitung'!$K$27</f>
        <v>(2024: 1,700%)</v>
      </c>
      <c r="L987" s="39"/>
      <c r="M987" s="39"/>
      <c r="N987" s="39" t="str">
        <f>'päd.Personal - Leitung'!$N$27</f>
        <v>(2024: 0,06%)</v>
      </c>
      <c r="O987" s="1338"/>
      <c r="P987" s="1331"/>
      <c r="Q987" s="456"/>
      <c r="R987" s="1307" t="s">
        <v>659</v>
      </c>
      <c r="S987" s="1307"/>
      <c r="T987" s="829"/>
      <c r="U987" s="1308" t="s">
        <v>1</v>
      </c>
      <c r="V987" s="1308" t="s">
        <v>741</v>
      </c>
    </row>
    <row r="988" spans="1:22" s="1" customFormat="1" x14ac:dyDescent="0.2">
      <c r="A988" s="1347"/>
      <c r="B988" s="1334"/>
      <c r="C988" s="1336"/>
      <c r="D988" s="45"/>
      <c r="E988" s="45"/>
      <c r="F988" s="1344"/>
      <c r="G988" s="1341"/>
      <c r="H988" s="74"/>
      <c r="I988" s="99">
        <f>'päd.Personal - Leitung'!$I$28</f>
        <v>0</v>
      </c>
      <c r="J988" s="99">
        <f>'päd.Personal - Leitung'!$J$28</f>
        <v>0</v>
      </c>
      <c r="K988" s="40">
        <f>'päd.Personal - Leitung'!$K$28</f>
        <v>0</v>
      </c>
      <c r="L988" s="19"/>
      <c r="M988" s="19"/>
      <c r="N988" s="99">
        <f>'päd.Personal - Leitung'!$N$28</f>
        <v>0</v>
      </c>
      <c r="O988" s="23"/>
      <c r="P988" s="1332"/>
      <c r="Q988" s="456"/>
      <c r="R988" s="935" t="s">
        <v>144</v>
      </c>
      <c r="S988" s="935" t="s">
        <v>145</v>
      </c>
      <c r="T988" s="829"/>
      <c r="U988" s="1308"/>
      <c r="V988" s="1308"/>
    </row>
    <row r="989" spans="1:22" s="1" customFormat="1" x14ac:dyDescent="0.2">
      <c r="A989" s="76" t="str">
        <f>CONCATENATE("Jan ",O965)</f>
        <v>Jan 2025</v>
      </c>
      <c r="B989" s="22">
        <f>ROUND(IF(P966=0,0,(LOOKUP(2,1/(A974:A977=A989),G974:G977))*P966*4.348),2)</f>
        <v>0</v>
      </c>
      <c r="C989" s="21">
        <f>ROUND(IFERROR((LOOKUP(2,1/(A980=A989),E980)),0)+IFERROR((LOOKUP(2,1/(A981=A989),E981)),0),2)</f>
        <v>0</v>
      </c>
      <c r="D989" s="21">
        <f>ROUND(IF(B989=0,0,D988/M967*P966),2)</f>
        <v>0</v>
      </c>
      <c r="E989" s="21">
        <f>ROUND(IF(B989=0,0,E988/N963*P966),2)</f>
        <v>0</v>
      </c>
      <c r="F989" s="22">
        <f>ROUND(IF(P966=0,0,(LOOKUP(2,1/(A974:A977=A989),I974:I977))/N963*P966),2)</f>
        <v>0</v>
      </c>
      <c r="G989" s="25">
        <f t="shared" ref="G989:G1000" si="164">SUM(B989+C989+E989+F989)</f>
        <v>0</v>
      </c>
      <c r="H989" s="64">
        <f>IF(B989=0,0,IF(AND(H980="ja",((U989)&lt;R1005)),ROUND(((R1007*R1004+((R1005/(R1005-R1004))-(R1004/(R1005-R1004))*R1007)*((U989)-R1004))*(H988*2))-(((R1005/(R1005-R1004))*((U989)-R1004))*H988),2),ROUND(IF((U989)&gt;R989,R989*H988,U989*H988),2)))</f>
        <v>0</v>
      </c>
      <c r="I989" s="64">
        <f>IF(B989=0,0,IF(AND(H980="ja",((U989)&lt;R1005)),ROUND(((R1007*R1004+((R1005/(R1005-R1004))-(R1004/(R1005-R1004))*R1007)*((U989)-R1004))*(I988*2))-(((R1005/(R1005-R1004))*((U989)-R1004))*I988),2),ROUND(IF((U989)&gt;S989,S989*I988,U989*I988),2)))</f>
        <v>0</v>
      </c>
      <c r="J989" s="64">
        <f>IF(B989=0,0,IF(AND(H980="ja",((U989)&lt;R1005)),ROUND(((R1007*R1004+((R1005/(R1005-R1004))-(R1004/(R1005-R1004))*R1007)*((U989)-R1004))*(J988*2))-(((R1005/(R1005-R1004))*((U989)-R1004))*J988),2),ROUND(IF((U989)&gt;S989,S989*J988,U989*J988),2)))</f>
        <v>0</v>
      </c>
      <c r="K989" s="64">
        <f>IF(B989=0,0,IF(AND(H980="ja",((U989)&lt;R1005)),ROUND(((R1007*R1004+((R1005/(R1005-R1004))-(R1004/(R1005-R1004))*R1007)*((U989)-R1004))*(K988*2))-(((R1005/(R1005-R1004))*((U989)-R1004))*K988),2),ROUND(IF((U989)&gt;R989,R989*K988,U989*K988),2)))</f>
        <v>0</v>
      </c>
      <c r="L989" s="64">
        <f>IF(B989=0,0,IF(AND(H980="ja",((U989-C989)&lt;R1005)),ROUND(((R1007*R1004+((R1005/(R1005-R1004))-(R1004/(R1005-R1004))*R1007)*((U989-C989)-R1004))*(L988)),2),ROUND(IF((SUM(B989:F989))&gt;S989,S989*L988,(SUM(B989:F989)-C989)*L988),2)))</f>
        <v>0</v>
      </c>
      <c r="M989" s="64">
        <f>IF(B989=0,0,IF(AND(H980="ja",((U989-C989)&lt;R1005)),ROUND(((R1007*R1004+((R1005/(R1005-R1004))-(R1004/(R1005-R1004))*R1007)*((U989-C989)-R1004))*(M988)),2),ROUND(IF((SUM(B989:F989))&gt;S989,S989*M988,(SUM(B989:F989)-C989)*M988),2)))</f>
        <v>0</v>
      </c>
      <c r="N989" s="64">
        <f>IF(B989=0,0,IF(AND(H980="ja",((U989)&lt;R1005)),ROUND(((R1007*R1004+((R1005/(R1005-R1004))-(R1004/(R1005-R1004))*R1007)*((U989)-R1004))*(N988)),2),ROUND(IF((SUM(B989:F989))&gt;S989,S989*N988,SUM(B989:F989)*N988),2)))</f>
        <v>0</v>
      </c>
      <c r="O989" s="21">
        <f>ROUND(SUM(B989+C989+F989)*O988,2)</f>
        <v>0</v>
      </c>
      <c r="P989" s="25">
        <f>SUM(G989:O989)</f>
        <v>0</v>
      </c>
      <c r="Q989" s="456"/>
      <c r="R989" s="140">
        <f>ROUND(IF(M967="",R983,R983/M967*P966),2)</f>
        <v>5175</v>
      </c>
      <c r="S989" s="140">
        <f>ROUND(IF(M967="",R984,R984/M967*P966),2)</f>
        <v>7450</v>
      </c>
      <c r="U989" s="950">
        <f>SUM(B989:F989)</f>
        <v>0</v>
      </c>
      <c r="V989" s="950">
        <f>SUM(B989:F989)</f>
        <v>0</v>
      </c>
    </row>
    <row r="990" spans="1:22" s="1" customFormat="1" x14ac:dyDescent="0.2">
      <c r="A990" s="76" t="str">
        <f>CONCATENATE("Feb ",O965)</f>
        <v>Feb 2025</v>
      </c>
      <c r="B990" s="22">
        <f>ROUND(IF(P967=0,0,IFERROR(((LOOKUP(2,1/(A974:A977=A990),G974:G977))*P967*4.348),B989/P966*P967)),2)</f>
        <v>0</v>
      </c>
      <c r="C990" s="21">
        <f>ROUND(IFERROR((LOOKUP(2,1/(A980=A990),E980)),0)+IFERROR((LOOKUP(2,1/(A981=A990),E981)),0),2)</f>
        <v>0</v>
      </c>
      <c r="D990" s="21">
        <f>ROUND(IF(B990=0,0,D988/M967*P967),2)</f>
        <v>0</v>
      </c>
      <c r="E990" s="21">
        <f>ROUND(IF(B990=0,0,E988/N963*P967),2)</f>
        <v>0</v>
      </c>
      <c r="F990" s="22">
        <f>ROUND(IF(P967=0,0,IFERROR(((LOOKUP(2,1/(A974:A977=A990),I974:I977))/N963*P967),F989/P966*P967)),2)</f>
        <v>0</v>
      </c>
      <c r="G990" s="25">
        <f t="shared" si="164"/>
        <v>0</v>
      </c>
      <c r="H990" s="64">
        <f>IF(B990=0,0,IF(AND(H980="ja",((U990)&lt;R1005)),ROUND(((R1007*R1004+((R1005/(R1005-R1004))-(R1004/(R1005-R1004))*R1007)*((U990)-R1004))*(H988*2))-(((R1005/(R1005-R1004))*((U990)-R1004))*H988),2),ROUND(IF(U989&lt;(R989),IF((V990)&gt;(SUM(R989:R990)),(((SUM(R989:R990))-(V990-C989))*H988)+((U990-C989)*H988),U990*H988),IF(V990&gt;(SUM(R989:R990)),R990*H988,U990*H988)),2)))</f>
        <v>0</v>
      </c>
      <c r="I990" s="64">
        <f>IF(B990=0,0,IF(AND(H980="ja",((U990)&lt;R1005)),ROUND(((R1007*R1004+((R1005/(R1005-R1004))-(R1004/(R1005-R1004))*R1007)*((U990)-R1004))*(I988*2))-(((R1005/(R1005-R1004))*((U990)-R1004))*I988),2),ROUND(IF(U989&lt;(S989),IF((V990)&gt;(SUM(S989:S990)),(((SUM(S989:S990))-(V990-C989))*I988)+((U990-C989)*I988),U990*I988),IF(V990&gt;(SUM(S989:S990)),S990*I988,U990*I988)),2)))</f>
        <v>0</v>
      </c>
      <c r="J990" s="64">
        <f>IF(B990=0,0,IF(AND(H980="ja",((U990)&lt;R1005)),ROUND(((R1007*R1004+((R1005/(R1005-R1004))-(R1004/(R1005-R1004))*R1007)*((U990)-R1004))*(J988*2))-(((R1005/(R1005-R1004))*((U990)-R1004))*J988),2),ROUND(IF(U989&lt;(S989),IF((V990)&gt;(SUM(S989:S990)),(((SUM(S989:S990))-(V990-C989))*J988)+((U990-C989)*J988),U990*J988),IF(V990&gt;(SUM(S989:S990)),S990*J988,U990*J988)),2)))</f>
        <v>0</v>
      </c>
      <c r="K990" s="64">
        <f>IF(B990=0,0,IF(AND(H980="ja",((U990)&lt;R1005)),ROUND(((R1007*R1004+((R1005/(R1005-R1004))-(R1004/(R1005-R1004))*R1007)*((U990)-R1004))*(K988*2))-(((R1005/(R1005-R1004))*((U990)-R1004))*K988),2),ROUND(IF(U989&lt;(R989),IF((V990)&gt;(SUM(R989:R990)),(((SUM(R989:R990))-(V990-C989))*K988)+((U990-C989)*K988),U990*K988),IF(V990&gt;(SUM(R989:R990)),R990*K988,U990*K988)),2)))</f>
        <v>0</v>
      </c>
      <c r="L990" s="64">
        <f>IF(B990=0,0,IF(AND(H980="ja",((U990-C990)&lt;R1005)),ROUND(((R1007*R1004+((R1005/(R1005-R1004))-(R1004/(R1005-R1004))*R1007)*((U990-C990)-R1004))*(L988)),2),ROUND(IF(SUM(B989:F989)&lt;(S989),IF((SUM(B989:F990))&gt;(SUM(S989:S990)),(((SUM(S989:S990))-(SUM(B989:F990)-C990))*L988)+((SUM(B990:F990)-C990)*L988),(SUM(B990:F990)-C990)*L988),IF(SUM(B989:F990)&gt;(SUM(S989:S990)),S990*L988,SUM(B990:F990)*L988)),2)))</f>
        <v>0</v>
      </c>
      <c r="M990" s="64">
        <f>IF(B990=0,0,IF(AND(H980="ja",((U990-C990)&lt;R1005)),ROUND(((R1007*R1004+((R1005/(R1005-R1004))-(R1004/(R1005-R1004))*R1007)*((U990-C990)-R1004))*(M988)),2),ROUND(IF(SUM(B989:F989)&lt;(S989),IF((SUM(B989:F990))&gt;(SUM(S989:S990)),(((SUM(S989:S990))-(SUM(B989:F990)-C990))*M988)+((SUM(B990:F990)-C990)*M988),(SUM(B990:F990)-C990)*M988),IF(SUM(B989:F990)&gt;(SUM(S989:S990)),S990*M988,SUM(B990:F990)*M988)),2)))</f>
        <v>0</v>
      </c>
      <c r="N990" s="64">
        <f>IF(B990=0,0,IF(AND(H980="ja",((U990)&lt;R1005)),ROUND(((R1007*R1004+((R1005/(R1005-R1004))-(R1004/(R1005-R1004))*R1007)*((U990)-R1004))*(N988)),2),ROUND(IF(SUM(B989:F989)&lt;(S989),IF((SUM(B989:F990))&gt;(SUM(S989:S990)),(((SUM(S989:S990))-(SUM(B989:F990)-C989))*N988)+((SUM(B990:F990)-C989)*N988),SUM(B990:F990)*N988),IF(SUM(B989:F990)&gt;(SUM(S989:S990)),S990*N988,SUM(B990:F990)*N988)),2)))</f>
        <v>0</v>
      </c>
      <c r="O990" s="21">
        <f>ROUND(SUM(B990+C990+F990)*O988,2)</f>
        <v>0</v>
      </c>
      <c r="P990" s="25">
        <f t="shared" ref="P990:P1000" si="165">SUM(G990:O990)</f>
        <v>0</v>
      </c>
      <c r="Q990" s="456"/>
      <c r="R990" s="140">
        <f>ROUND(IF(M967="",R983,R983/M967*P967),2)</f>
        <v>5175</v>
      </c>
      <c r="S990" s="140">
        <f>ROUND(IF(M967="",R984,R984/M967*P967),2)</f>
        <v>7450</v>
      </c>
      <c r="U990" s="950">
        <f t="shared" ref="U990:U1000" si="166">SUM(B990:F990)</f>
        <v>0</v>
      </c>
      <c r="V990" s="950">
        <f>SUM(B989:F990)</f>
        <v>0</v>
      </c>
    </row>
    <row r="991" spans="1:22" s="1" customFormat="1" x14ac:dyDescent="0.2">
      <c r="A991" s="76" t="str">
        <f>CONCATENATE("Mrz ",O965)</f>
        <v>Mrz 2025</v>
      </c>
      <c r="B991" s="22">
        <f>ROUND(IF(P968=0,0,IFERROR(((LOOKUP(2,1/(A974:A977=A991),G974:G977))*P968*4.348),B990/P967*P968)),2)</f>
        <v>0</v>
      </c>
      <c r="C991" s="21">
        <f>ROUND(IFERROR((LOOKUP(2,1/(A980=A991),E980)),0)+IFERROR((LOOKUP(2,1/(A981=A991),E981)),0),2)</f>
        <v>0</v>
      </c>
      <c r="D991" s="21">
        <f>ROUND(IF(B991=0,0,D988/M967*P968),2)</f>
        <v>0</v>
      </c>
      <c r="E991" s="21">
        <f>ROUND(IF(B991=0,0,E988/N963*P968),2)</f>
        <v>0</v>
      </c>
      <c r="F991" s="22">
        <f>ROUND(IF(P968=0,0,IFERROR(((LOOKUP(2,1/(A974:A977=A991),I974:I977))/N963*P968),F990/P967*P968)),2)</f>
        <v>0</v>
      </c>
      <c r="G991" s="25">
        <f t="shared" si="164"/>
        <v>0</v>
      </c>
      <c r="H991" s="64">
        <f>IF(B991=0,0,IF(AND(H980="ja",((U991)&lt;R1005)),ROUND(((R1007*R1004+((R1005/(R1005-R1004))-(R1004/(R1005-R1004))*R1007)*((U991)-R1004))*(H988*2))-(((R1005/(R1005-R1004))*((U991)-R1004))*H988),2),ROUND(IF(V990&lt;(SUM(R989:R990)),IF((V991)&gt;(SUM(R989:R991)),(((SUM(R989:R991))-(V991-C990))*H988)+((U991-C990)*H988),U991*H988),IF(V991&gt;(SUM(R989:R991)),R991*H988,U991*H988)),2)))</f>
        <v>0</v>
      </c>
      <c r="I991" s="64">
        <f>IF(B991=0,0,IF(AND(H980="ja",((U991)&lt;R1005)),ROUND(((R1007*R1004+((R1005/(R1005-R1004))-(R1004/(R1005-R1004))*R1007)*((U991)-R1004))*(I988*2))-(((R1005/(R1005-R1004))*((U991)-R1004))*I988),2),ROUND(IF(V990&lt;(SUM(S989:S990)),IF((V991)&gt;(SUM(S989:S991)),(((SUM(S989:S991))-(V991-C990))*I988)+((U991-C990)*I988),U991*I988),IF(V991&gt;(SUM(S989:S991)),S991*I988,U991*I988)),2)))</f>
        <v>0</v>
      </c>
      <c r="J991" s="64">
        <f>IF(B991=0,0,IF(AND(H980="ja",((U991)&lt;R1005)),ROUND(((R1007*R1004+((R1005/(R1005-R1004))-(R1004/(R1005-R1004))*R1007)*((U991)-R1004))*(J988*2))-(((R1005/(R1005-R1004))*((U991)-R1004))*J988),2),ROUND(IF(V990&lt;(SUM(S989:S990)),IF((V991)&gt;(SUM(S989:S991)),(((SUM(S989:S991))-(V991-C990))*J988)+((U991-C990)*J988),U991*J988),IF(V991&gt;(SUM(S989:S991)),S991*J988,U991*J988)),2)))</f>
        <v>0</v>
      </c>
      <c r="K991" s="64">
        <f>IF(B991=0,0,IF(AND(H980="ja",((U991)&lt;R1005)),ROUND(((R1007*R1004+((R1005/(R1005-R1004))-(R1004/(R1005-R1004))*R1007)*((U991)-R1004))*(K988*2))-(((R1005/(R1005-R1004))*((U991)-R1004))*K988),2),ROUND(IF(V990&lt;(SUM(R989:R990)),IF((V991)&gt;(SUM(R989:R991)),(((SUM(R989:R991))-(V991-C990))*K988)+((U991-C990)*K988),U991*K988),IF(V991&gt;(SUM(R989:R991)),R991*K988,U991*K988)),2)))</f>
        <v>0</v>
      </c>
      <c r="L991" s="64">
        <f>IF(B991=0,0,IF(AND(H980="ja",((U991-C991)&lt;R1005)),ROUND(((R1007*R1004+((R1005/(R1005-R1004))-(R1004/(R1005-R1004))*R1007)*((U991-C991)-R1004))*(L988)),2),ROUND(IF(SUM(B989:F990)&lt;(SUM(S989:S990)),IF((SUM(B989:F991))&gt;(SUM(S989:S991)),(((SUM(S989:S991))-(SUM(B989:F991)-C991))*L988)+((SUM(B991:F991)-C991)*L988),(SUM(B991:F991)-C991)*L988),IF(SUM(B989:F991)&gt;(SUM(S989:S991)),S991*L988,SUM(B991:F991)*L988)),2)))</f>
        <v>0</v>
      </c>
      <c r="M991" s="64">
        <f>IF(B991=0,0,IF(AND(H980="ja",((U991-C991)&lt;R1005)),ROUND(((R1007*R1004+((R1005/(R1005-R1004))-(R1004/(R1005-R1004))*R1007)*((U991-C991)-R1004))*(M988)),2),ROUND(IF(SUM(B989:F990)&lt;(SUM(S989:S990)),IF((SUM(B989:F991))&gt;(SUM(S989:S991)),(((SUM(S989:S991))-(SUM(B989:F991)-C991))*M988)+((SUM(B991:F991)-C991)*M988),(SUM(B991:F991)-C991)*M988),IF(SUM(B989:F991)&gt;(SUM(S989:S991)),S991*M988,SUM(B991:F991)*M988)),2)))</f>
        <v>0</v>
      </c>
      <c r="N991" s="64">
        <f>IF(B991=0,0,IF(AND(H980="ja",((U991)&lt;R1005)),ROUND(((R1007*R1004+((R1005/(R1005-R1004))-(R1004/(R1005-R1004))*R1007)*((U991)-R1004))*(N988)),2),ROUND(IF(SUM(B989:F990)&lt;(SUM(S989:S990)),IF((SUM(B989:F991))&gt;(SUM(S989:S991)),(((SUM(S989:S991))-(SUM(B989:F991)-C990))*N988)+((SUM(B991:F991)-C990)*N988),SUM(B991:F991)*N988),IF(SUM(B989:F991)&gt;(SUM(S989:S991)),S991*N988,SUM(B991:F991)*N988)),2)))</f>
        <v>0</v>
      </c>
      <c r="O991" s="21">
        <f>ROUND(SUM(B991+C991+F991)*O988,2)</f>
        <v>0</v>
      </c>
      <c r="P991" s="25">
        <f t="shared" si="165"/>
        <v>0</v>
      </c>
      <c r="Q991" s="456"/>
      <c r="R991" s="140">
        <f>ROUND(IF(M967="",R983,R983/M967*P968),2)</f>
        <v>5175</v>
      </c>
      <c r="S991" s="140">
        <f>ROUND(IF(M967="",R984,R984/M967*P968),2)</f>
        <v>7450</v>
      </c>
      <c r="U991" s="950">
        <f t="shared" si="166"/>
        <v>0</v>
      </c>
      <c r="V991" s="950">
        <f>SUM(B989:F991)</f>
        <v>0</v>
      </c>
    </row>
    <row r="992" spans="1:22" s="1" customFormat="1" x14ac:dyDescent="0.2">
      <c r="A992" s="76" t="str">
        <f>CONCATENATE("Apr ",O965)</f>
        <v>Apr 2025</v>
      </c>
      <c r="B992" s="22">
        <f>ROUND(IF(P969=0,0,IFERROR(((LOOKUP(2,1/(A974:A977=A992),G974:G977))*P969*4.348),B991/P968*P969)),2)</f>
        <v>0</v>
      </c>
      <c r="C992" s="21">
        <f>ROUND(IFERROR((LOOKUP(2,1/(A980=A992),E980)),0)+IFERROR((LOOKUP(2,1/(A981=A992),E981)),0),2)</f>
        <v>0</v>
      </c>
      <c r="D992" s="21">
        <f>ROUND(IF(B992=0,0,D988/M967*P969),2)</f>
        <v>0</v>
      </c>
      <c r="E992" s="21">
        <f>ROUND(IF(B992=0,0,E988/N963*P969),2)</f>
        <v>0</v>
      </c>
      <c r="F992" s="22">
        <f>ROUND(IF(P969=0,0,IFERROR(((LOOKUP(2,1/(A974:A977=A992),I974:I977))/N963*P969),F991/P968*P969)),2)</f>
        <v>0</v>
      </c>
      <c r="G992" s="25">
        <f t="shared" si="164"/>
        <v>0</v>
      </c>
      <c r="H992" s="64">
        <f>IF(B992=0,0,IF(AND(H980="ja",((U992)&lt;R1005)),ROUND(((R1007*R1004+((R1005/(R1005-R1004))-(R1004/(R1005-R1004))*R1007)*((U992)-R1004))*(H988*2))-(((R1005/(R1005-R1004))*((U992)-R1004))*H988),2),ROUND(IF(V991&lt;(SUM(R989:R991)),IF((V992)&gt;(SUM(R989:R992)),(((SUM(R989:R992))-(V992-C991))*H988)+((U992-C991)*H988),U992*H988),IF(V992&gt;(SUM(R989:R992)),R992*H988,U992*H988)),2)))</f>
        <v>0</v>
      </c>
      <c r="I992" s="64">
        <f>IF(B992=0,0,IF(AND(H980="ja",((U992)&lt;R1005)),ROUND(((R1007*R1004+((R1005/(R1005-R1004))-(R1004/(R1005-R1004))*R1007)*((U992)-R1004))*(I988*2))-(((R1005/(R1005-R1004))*((U992)-R1004))*I988),2),ROUND(IF(V991&lt;(SUM(S989:S991)),IF((V992)&gt;(SUM(S989:S992)),(((SUM(S989:S992))-(V992-C991))*I988)+((U992-C991)*I988),U992*I988),IF(V992&gt;(SUM(S989:S992)),S992*I988,U992*I988)),2)))</f>
        <v>0</v>
      </c>
      <c r="J992" s="64">
        <f>IF(B992=0,0,IF(AND(H980="ja",((U992)&lt;R1005)),ROUND(((R1007*R1004+((R1005/(R1005-R1004))-(R1004/(R1005-R1004))*R1007)*((U992)-R1004))*(J988*2))-(((R1005/(R1005-R1004))*((U992)-R1004))*J988),2),ROUND(IF(U991&lt;(SUM(S989:S991)),IF((V992)&gt;(SUM(S989:S992)),(((SUM(S989:S992))-(V992-C991))*J988)+((U992-C991)*J988),U992*J988),IF(V992&gt;(SUM(S989:S992)),S992*J988,U992*J988)),2)))</f>
        <v>0</v>
      </c>
      <c r="K992" s="64">
        <f>IF(B992=0,0,IF(AND(H980="ja",((U992)&lt;R1005)),ROUND(((R1007*R1004+((R1005/(R1005-R1004))-(R1004/(R1005-R1004))*R1007)*((U992)-R1004))*(K988*2))-(((R1005/(R1005-R1004))*((U992)-R1004))*K988),2),ROUND(IF(V991&lt;(SUM(R989:R991)),IF((V992)&gt;(SUM(R989:R992)),(((SUM(R989:R992))-(V992-C991))*K988)+((U992-C991)*K988),U992*K988),IF(V992&gt;(SUM(R989:R992)),R992*K988,U992*K988)),2)))</f>
        <v>0</v>
      </c>
      <c r="L992" s="64">
        <f>IF(B992=0,0,IF(AND(H980="ja",((U992-C992)&lt;R1005)),ROUND(((R1007*R1004+((R1005/(R1005-R1004))-(R1004/(R1005-R1004))*R1007)*((U992-C992)-R1004))*(L988)),2),ROUND(IF(SUM(B989:F991)&lt;(SUM(S989:S991)),IF((SUM(B989:F992))&gt;(SUM(S989:S992)),(((SUM(S989:S992))-(SUM(B989:F992)-C992))*L988)+((SUM(B992:F992)-C992)*L988),(SUM(B992:F992)-C992)*L988),IF(SUM(B989:F992)&gt;(SUM(S989:S992)),S992*L988,SUM(B992:F992)*L988)),2)))</f>
        <v>0</v>
      </c>
      <c r="M992" s="64">
        <f>IF(B992=0,0,IF(AND(H980="ja",((U992-C992)&lt;R1005)),ROUND(((R1007*R1004+((R1005/(R1005-R1004))-(R1004/(R1005-R1004))*R1007)*((U992-C992)-R1004))*(M988)),2),ROUND(IF(SUM(B989:F991)&lt;(SUM(S989:S991)),IF((SUM(B989:F992))&gt;(SUM(S989:S992)),(((SUM(S989:S992))-(SUM(B989:F992)-C992))*M988)+((SUM(B992:F992)-C992)*M988),(SUM(B992:F992)-C992)*M988),IF(SUM(B989:F992)&gt;(SUM(S989:S992)),S992*M988,SUM(B992:F992)*M988)),2)))</f>
        <v>0</v>
      </c>
      <c r="N992" s="64">
        <f>IF(B992=0,0,IF(AND(H980="ja",((U992)&lt;R1005)),ROUND(((R1007*R1004+((R1005/(R1005-R1004))-(R1004/(R1005-R1004))*R1007)*((U992)-R1004))*(N988)),2),ROUND(IF(SUM(B989:F991)&lt;(SUM(S989:S991)),IF((SUM(B989:F992))&gt;(SUM(S989:S992)),(((SUM(S989:S992))-(SUM(B989:F992)-C991))*N988)+((SUM(B992:F992)-C991)*N988),SUM(B992:F992)*N988),IF(SUM(B989:F992)&gt;(SUM(S989:S992)),S992*N988,SUM(B992:F992)*N988)),2)))</f>
        <v>0</v>
      </c>
      <c r="O992" s="21">
        <f>ROUND(SUM(B992+C992+F992)*O988,2)</f>
        <v>0</v>
      </c>
      <c r="P992" s="25">
        <f t="shared" si="165"/>
        <v>0</v>
      </c>
      <c r="Q992" s="456"/>
      <c r="R992" s="140">
        <f>ROUND(IF(M967="",R983,R983/M967*P969),2)</f>
        <v>5175</v>
      </c>
      <c r="S992" s="140">
        <f>ROUND(IF(M967="",R984,R984/M967*P969),2)</f>
        <v>7450</v>
      </c>
      <c r="U992" s="950">
        <f t="shared" si="166"/>
        <v>0</v>
      </c>
      <c r="V992" s="950">
        <f>SUM(B989:F992)</f>
        <v>0</v>
      </c>
    </row>
    <row r="993" spans="1:24" s="1" customFormat="1" x14ac:dyDescent="0.2">
      <c r="A993" s="76" t="str">
        <f>CONCATENATE("Mai ",O965)</f>
        <v>Mai 2025</v>
      </c>
      <c r="B993" s="22">
        <f>ROUND(IF(P970=0,0,IFERROR(((LOOKUP(2,1/(A974:A977=A993),G974:G977))*P970*4.348),B992/P969*P970)),2)</f>
        <v>0</v>
      </c>
      <c r="C993" s="21">
        <f>ROUND(IFERROR((LOOKUP(2,1/(A980=A993),E980)),0)+IFERROR((LOOKUP(2,1/(A981=A993),E981)),0),2)</f>
        <v>0</v>
      </c>
      <c r="D993" s="21">
        <f>ROUND(IF(B993=0,0,D988/M967*P970),2)</f>
        <v>0</v>
      </c>
      <c r="E993" s="21">
        <f>ROUND(IF(B993=0,0,E988/N963*P970),2)</f>
        <v>0</v>
      </c>
      <c r="F993" s="22">
        <f>ROUND(IF(P970=0,0,IFERROR(((LOOKUP(2,1/(A974:A977=A993),I974:I977))/N963*P970),F992/P969*P970)),2)</f>
        <v>0</v>
      </c>
      <c r="G993" s="25">
        <f t="shared" si="164"/>
        <v>0</v>
      </c>
      <c r="H993" s="64">
        <f>IF(B993=0,0,IF(AND(H980="ja",((U993)&lt;R1005)),ROUND(((R1007*R1004+((R1005/(R1005-R1004))-(R1004/(R1005-R1004))*R1007)*((U993)-R1004))*(H988*2))-(((R1005/(R1005-R1004))*((U993)-R1004))*H988),2),ROUND(IF(V992&lt;(SUM(R989:R992)),IF((V993)&gt;(SUM(R989:R993)),(((SUM(R989:R993))-(V993-C992))*H988)+((U993-C992)*H988),U993*H988),IF(V993&gt;(SUM(R989:R993)),R993*H988,U993*H988)),2)))</f>
        <v>0</v>
      </c>
      <c r="I993" s="64">
        <f>IF(B993=0,0,IF(AND(H980="ja",((U993)&lt;R1005)),ROUND(((R1007*R1004+((R1005/(R1005-R1004))-(R1004/(R1005-R1004))*R1007)*((U993)-R1004))*(I988*2))-(((R1005/(R1005-R1004))*((U993)-R1004))*I988),2),ROUND(IF(V992&lt;(SUM(S989:S992)),IF((V993)&gt;(SUM(S989:S993)),(((SUM(S989:S993))-(V993-C992))*I988)+((U993-C992)*I988),U993*I988),IF(V993&gt;(SUM(S989:S993)),S993*I988,U993*I988)),2)))</f>
        <v>0</v>
      </c>
      <c r="J993" s="64">
        <f>IF(B993=0,0,IF(AND(H980="ja",((U993)&lt;R1005)),ROUND(((R1007*R1004+((R1005/(R1005-R1004))-(R1004/(R1005-R1004))*R1007)*((U993)-R1004))*(J988*2))-(((R1005/(R1005-R1004))*((U993)-R1004))*J988),2),ROUND(IF(V992&lt;(SUM(S989:S992)),IF((V993)&gt;(SUM(S989:S993)),(((SUM(S989:S993))-(V993-C992))*J988)+((U993-C992)*J988),U993*J988),IF(V993&gt;(SUM(S989:S993)),S993*J988,U993*J988)),2)))</f>
        <v>0</v>
      </c>
      <c r="K993" s="64">
        <f>IF(B993=0,0,IF(AND(H980="ja",((U993)&lt;R1005)),ROUND(((R1007*R1004+((R1005/(R1005-R1004))-(R1004/(R1005-R1004))*R1007)*((U993)-R1004))*(K988*2))-(((R1005/(R1005-R1004))*((U993)-R1004))*K988),2),ROUND(IF(V992&lt;(SUM(R989:R992)),IF((V993)&gt;(SUM(R989:R993)),(((SUM(R989:R993))-(V993-C992))*K988)+((U993-C992)*K988),U993*K988),IF(V993&gt;(SUM(R989:R993)),R993*K988,U993*K988)),2)))</f>
        <v>0</v>
      </c>
      <c r="L993" s="64">
        <f>IF(B993=0,0,IF(AND(H980="ja",((U993-C993)&lt;R1005)),ROUND(((R1007*R1004+((R1005/(R1005-R1004))-(R1004/(R1005-R1004))*R1007)*((U993-C993)-R1004))*(L988)),2),ROUND(IF(SUM(B989:F992)&lt;(SUM(S989:S992)),IF((SUM(B989:F993))&gt;(SUM(S989:S993)),(((SUM(S989:S993))-(SUM(B989:F993)-C993))*L988)+((SUM(B993:F993)-C993)*L988),(SUM(B993:F993)-C993)*L988),IF(SUM(B989:F993)&gt;(SUM(S989:S993)),S993*L988,SUM(B993:F993)*L988)),2)))</f>
        <v>0</v>
      </c>
      <c r="M993" s="64">
        <f>IF(B993=0,0,IF(AND(H980="ja",((U993-C993)&lt;R1005)),ROUND(((R1007*R1004+((R1005/(R1005-R1004))-(R1004/(R1005-R1004))*R1007)*((U993-C993)-R1004))*(M988)),2),ROUND(IF(SUM(B989:F992)&lt;(SUM(S989:S992)),IF((SUM(B989:F993))&gt;(SUM(S989:S993)),(((SUM(S989:S993))-(SUM(B989:F993)-C993))*M988)+((SUM(B993:F993)-C993)*M988),(SUM(B993:F993)-C993)*M988),IF(SUM(B989:F993)&gt;(SUM(S989:S993)),S993*M988,SUM(B993:F993)*M988)),2)))</f>
        <v>0</v>
      </c>
      <c r="N993" s="64">
        <f>IF(B993=0,0,IF(AND(H980="ja",((U993)&lt;R1005)),ROUND(((R1007*R1004+((R1005/(R1005-R1004))-(R1004/(R1005-R1004))*R1007)*((U993)-R1004))*(N988)),2),ROUND(IF(SUM(B989:F992)&lt;(SUM(S989:S992)),IF((SUM(B989:F993))&gt;(SUM(S989:S993)),(((SUM(S989:S993))-(SUM(B989:F993)-C992))*N988)+((SUM(B993:F993)-C992)*N988),SUM(B993:F993)*N988),IF(SUM(B989:F993)&gt;(SUM(S989:S993)),S993*N988,SUM(B993:F993)*N988)),2)))</f>
        <v>0</v>
      </c>
      <c r="O993" s="21">
        <f>ROUND(SUM(B993+C993+F993)*O988,2)</f>
        <v>0</v>
      </c>
      <c r="P993" s="25">
        <f t="shared" si="165"/>
        <v>0</v>
      </c>
      <c r="Q993" s="456"/>
      <c r="R993" s="140">
        <f>ROUND(IF(M967="",R983,R983/M967*P970),2)</f>
        <v>5175</v>
      </c>
      <c r="S993" s="140">
        <f>ROUND(IF(M967="",R984,R984/M967*P970),2)</f>
        <v>7450</v>
      </c>
      <c r="U993" s="950">
        <f t="shared" si="166"/>
        <v>0</v>
      </c>
      <c r="V993" s="950">
        <f>SUM(B989:F993)</f>
        <v>0</v>
      </c>
    </row>
    <row r="994" spans="1:24" s="1" customFormat="1" x14ac:dyDescent="0.2">
      <c r="A994" s="76" t="str">
        <f>CONCATENATE("Jun ",O965)</f>
        <v>Jun 2025</v>
      </c>
      <c r="B994" s="22">
        <f>ROUND(IF(P971=0,0,IFERROR(((LOOKUP(2,1/(A974:A977=A994),G974:G977))*P971*4.348),B993/P970*P971)),2)</f>
        <v>0</v>
      </c>
      <c r="C994" s="21">
        <f>ROUND(IFERROR((LOOKUP(2,1/(A980=A994),E980)),0)+IFERROR((LOOKUP(2,1/(A981=A994),E981)),0),2)</f>
        <v>0</v>
      </c>
      <c r="D994" s="21">
        <f>ROUND(IF(B994=0,0,D988/M967*P971),2)</f>
        <v>0</v>
      </c>
      <c r="E994" s="21">
        <f>ROUND(IF(B994=0,0,E988/N963*P971),2)</f>
        <v>0</v>
      </c>
      <c r="F994" s="22">
        <f>ROUND(IF(P971=0,0,IFERROR(((LOOKUP(2,1/(A974:A977=A994),I974:I977))/N963*P971),F993/P970*P971)),2)</f>
        <v>0</v>
      </c>
      <c r="G994" s="25">
        <f t="shared" si="164"/>
        <v>0</v>
      </c>
      <c r="H994" s="64">
        <f>IF(B994=0,0,IF(AND(H980="ja",((U994)&lt;R1005)),ROUND(((R1007*R1004+((R1005/(R1005-R1004))-(R1004/(R1005-R1004))*R1007)*((U994)-R1004))*(H988*2))-(((R1005/(R1005-R1004))*((U994)-R1004))*H988),2),ROUND(IF(V993&lt;(SUM(R989:R993)),IF((V994)&gt;(SUM(R989:R994)),(((SUM(R989:R994))-(V994-C993))*H988)+((U994-C993)*H988),U994*H988),IF(V994&gt;(SUM(R989:R994)),R994*H988,U994*H988)),2)))</f>
        <v>0</v>
      </c>
      <c r="I994" s="64">
        <f>IF(B994=0,0,IF(AND(H980="ja",((U994)&lt;R1005)),ROUND(((R1007*R1004+((R1005/(R1005-R1004))-(R1004/(R1005-R1004))*R1007)*((U994)-R1004))*(I988*2))-(((R1005/(R1005-R1004))*((U994)-R1004))*I988),2),ROUND(IF(V993&lt;(SUM(S989:S993)),IF((V994)&gt;(SUM(S989:S994)),(((SUM(S989:S994))-(V994-C993))*I988)+((U994-C993)*I988),U994*I988),IF(V994&gt;(SUM(S989:S994)),S994*I988,U994*I988)),2)))</f>
        <v>0</v>
      </c>
      <c r="J994" s="64">
        <f>IF(B994=0,0,IF(AND(H980="ja",((U994)&lt;R1005)),ROUND(((R1007*R1004+((R1005/(R1005-R1004))-(R1004/(R1005-R1004))*R1007)*((U994)-R1004))*(J988*2))-(((R1005/(R1005-R1004))*((U994)-R1004))*J988),2),ROUND(IF(V993&lt;(SUM(S989:S993)),IF((V994)&gt;(SUM(S989:S994)),(((SUM(S989:S994))-(V994-C993))*J988)+((U994-C993)*J988),U994*J988),IF(V994&gt;(SUM(S989:S994)),S994*J988,U994*J988)),2)))</f>
        <v>0</v>
      </c>
      <c r="K994" s="64">
        <f>IF(B994=0,0,IF(AND(H980="ja",((U994)&lt;R1005)),ROUND(((R1007*R1004+((R1005/(R1005-R1004))-(R1004/(R1005-R1004))*R1007)*((U994)-R1004))*(K988*2))-(((R1005/(R1005-R1004))*((U994)-R1004))*K988),2),ROUND(IF(V993&lt;(SUM(R989:R993)),IF((V994)&gt;(SUM(R989:R994)),(((SUM(R989:R994))-(V994-C993))*K988)+((U994-C993)*K988),U994*K988),IF(V994&gt;(SUM(R989:R994)),R994*K988,U994*K988)),2)))</f>
        <v>0</v>
      </c>
      <c r="L994" s="64">
        <f>IF(B994=0,0,IF(AND(H980="ja",((U994-C994)&lt;R1005)),ROUND(((R1007*R1004+((R1005/(R1005-R1004))-(R1004/(R1005-R1004))*R1007)*((U994-C994)-R1004))*(L988)),2),ROUND(IF(SUM(B989:F993)&lt;(SUM(S989:S993)),IF((SUM(B989:F994))&gt;(SUM(S989:S994)),(((SUM(S989:S994))-(SUM(B989:F994)-C994))*L988)+((SUM(B994:F994)-C994)*L988),(SUM(B994:F994)-C994)*L988),IF(SUM(B989:F994)&gt;(SUM(S989:S994)),S994*L988,SUM(B994:F994)*L988)),2)))</f>
        <v>0</v>
      </c>
      <c r="M994" s="64">
        <f>IF(B994=0,0,IF(AND(H980="ja",((U994-C994)&lt;R1005)),ROUND(((R1007*R1004+((R1005/(R1005-R1004))-(R1004/(R1005-R1004))*R1007)*((U994-C994)-R1004))*(M988)),2),ROUND(IF(SUM(B989:F993)&lt;(SUM(S989:S993)),IF((SUM(B989:F994))&gt;(SUM(S989:S994)),(((SUM(S989:S994))-(SUM(B989:F994)-C994))*M988)+((SUM(B994:F994)-C994)*M988),(SUM(B994:F994)-C994)*M988),IF(SUM(B989:F994)&gt;(SUM(S989:S994)),S994*M988,SUM(B994:F994)*M988)),2)))</f>
        <v>0</v>
      </c>
      <c r="N994" s="64">
        <f>IF(B994=0,0,IF(AND(H980="ja",((U994)&lt;R1005)),ROUND(((R1007*R1004+((R1005/(R1005-R1004))-(R1004/(R1005-R1004))*R1007)*((U994)-R1004))*(N988)),2),ROUND(IF(SUM(B989:F993)&lt;(SUM(S989:S993)),IF((SUM(B989:F994))&gt;(SUM(S989:S994)),(((SUM(S989:S994))-(SUM(B989:F994)-C993))*N988)+((SUM(B994:F994)-C993)*N988),SUM(B994:F994)*N988),IF(SUM(B989:F994)&gt;(SUM(S989:S994)),S994*N988,SUM(B994:F994)*N988)),2)))</f>
        <v>0</v>
      </c>
      <c r="O994" s="21">
        <f>ROUND(SUM(B994+C994+F994)*O988,2)</f>
        <v>0</v>
      </c>
      <c r="P994" s="25">
        <f t="shared" si="165"/>
        <v>0</v>
      </c>
      <c r="Q994" s="456"/>
      <c r="R994" s="140">
        <f>ROUND(IF(M967="",R983,R983/M967*P971),2)</f>
        <v>5175</v>
      </c>
      <c r="S994" s="140">
        <f>ROUND(IF(M967="",R984,R984/M967*P971),2)</f>
        <v>7450</v>
      </c>
      <c r="U994" s="950">
        <f t="shared" si="166"/>
        <v>0</v>
      </c>
      <c r="V994" s="950">
        <f>SUM(B989:F994)</f>
        <v>0</v>
      </c>
    </row>
    <row r="995" spans="1:24" s="1" customFormat="1" x14ac:dyDescent="0.2">
      <c r="A995" s="76" t="str">
        <f>CONCATENATE("Jul ",O965)</f>
        <v>Jul 2025</v>
      </c>
      <c r="B995" s="22">
        <f>ROUND(IF(P972=0,0,IFERROR(((LOOKUP(2,1/(A974:A977=A995),G974:G977))*P972*4.348),B994/P971*P972)),2)</f>
        <v>0</v>
      </c>
      <c r="C995" s="21">
        <f>ROUND(IFERROR((LOOKUP(2,1/(A980=A995),E980)),0)+IFERROR((LOOKUP(2,1/(A981=A995),E981)),0),2)</f>
        <v>0</v>
      </c>
      <c r="D995" s="21">
        <f>ROUND(IF(B995=0,0,D988/M967*P972),2)</f>
        <v>0</v>
      </c>
      <c r="E995" s="21">
        <f>ROUND(IF(B995=0,0,E988/N963*P972),2)</f>
        <v>0</v>
      </c>
      <c r="F995" s="22">
        <f>ROUND(IF(P972=0,0,IFERROR(((LOOKUP(2,1/(A974:A977=A995),I974:I977))/N963*P972),F994/P971*P972)),2)</f>
        <v>0</v>
      </c>
      <c r="G995" s="25">
        <f t="shared" si="164"/>
        <v>0</v>
      </c>
      <c r="H995" s="64">
        <f>IF(B995=0,0,IF(AND(H980="ja",((U995)&lt;R1005)),ROUND(((R1007*R1004+((R1005/(R1005-R1004))-(R1004/(R1005-R1004))*R1007)*((U995)-R1004))*(H988*2))-(((R1005/(R1005-R1004))*((U995)-R1004))*H988),2),ROUND(IF(V994&lt;(SUM(R989:R994)),IF((V995)&gt;(SUM(R989:R995)),(((SUM(R989:R995))-(V995-C994))*H988)+((U995-C994)*H988),U995*H988),IF(V995&gt;(SUM(R989:R995)),R995*H988,U995*H988)),2)))</f>
        <v>0</v>
      </c>
      <c r="I995" s="64">
        <f>IF(B995=0,0,IF(AND(H980="ja",((U995)&lt;R1005)),ROUND(((R1007*R1004+((R1005/(R1005-R1004))-(R1004/(R1005-R1004))*R1007)*((U995)-R1004))*(I988*2))-(((R1005/(R1005-R1004))*((U995)-R1004))*I988),2),ROUND(IF(V994&lt;(SUM(S989:S994)),IF((V995)&gt;(SUM(S989:S995)),(((SUM(S989:S995))-(V995-C994))*I988)+((U995-C994)*I988),U995*I988),IF(V995&gt;(SUM(S989:S995)),S995*I988,U995*I988)),2)))</f>
        <v>0</v>
      </c>
      <c r="J995" s="64">
        <f>IF(B995=0,0,IF(AND(H980="ja",((U995)&lt;R1005)),ROUND(((R1007*R1004+((R1005/(R1005-R1004))-(R1004/(R1005-R1004))*R1007)*((U995)-R1004))*(J988*2))-(((R1005/(R1005-R1004))*((U995)-R1004))*J988),2),ROUND(IF(V994&lt;(SUM(S989:S994)),IF((V995)&gt;(SUM(S989:S995)),(((SUM(S989:S995))-(V995-C994))*J988)+((U995-C994)*J988),U995*J988),IF(V995&gt;(SUM(S989:S995)),S995*J988,U995*J988)),2)))</f>
        <v>0</v>
      </c>
      <c r="K995" s="64">
        <f>IF(B995=0,0,IF(AND(H980="ja",((U995)&lt;R1005)),ROUND(((R1007*R1004+((R1005/(R1005-R1004))-(R1004/(R1005-R1004))*R1007)*((U995)-R1004))*(K988*2))-(((R1005/(R1005-R1004))*((U995)-R1004))*K988),2),ROUND(IF(V994&lt;(SUM(R989:R994)),IF((V995)&gt;(SUM(R989:R995)),(((SUM(R989:R995))-(V995-C994))*K988)+((U995-C994)*K988),U995*K988),IF(V995&gt;(SUM(R989:R995)),R995*K988,U995*K988)),2)))</f>
        <v>0</v>
      </c>
      <c r="L995" s="64">
        <f>IF(B995=0,0,IF(AND(H980="ja",((U995-C995)&lt;R1005)),ROUND(((R1007*R1004+((R1005/(R1005-R1004))-(R1004/(R1005-R1004))*R1007)*((U995-C995)-R1004))*(L988)),2),ROUND(IF(SUM(B989:F994)&lt;(SUM(S989:S994)),IF((SUM(B989:F995))&gt;(SUM(S989:S995)),(((SUM(S989:S995))-(SUM(B989:F995)-C995))*L988)+((SUM(B995:F995)-C995)*L988),(SUM(B995:F995)-C995)*L988),IF(SUM(B989:F995)&gt;(SUM(S989:S995)),S995*L988,SUM(B995:F995)*L988)),2)))</f>
        <v>0</v>
      </c>
      <c r="M995" s="64">
        <f>IF(B995=0,0,IF(AND(H980="ja",((U995-C995)&lt;R1005)),ROUND(((R1007*R1004+((R1005/(R1005-R1004))-(R1004/(R1005-R1004))*R1007)*((U995-C995)-R1004))*(M988)),2),ROUND(IF(SUM(B989:F994)&lt;(SUM(S989:S994)),IF((SUM(B989:F995))&gt;(SUM(S989:S995)),(((SUM(S989:S995))-(SUM(B989:F995)-C995))*M988)+((SUM(B995:F995)-C995)*M988),(SUM(B995:F995)-C995)*M988),IF(SUM(B989:F995)&gt;(SUM(S989:S995)),S995*M988,SUM(B995:F995)*M988)),2)))</f>
        <v>0</v>
      </c>
      <c r="N995" s="64">
        <f>IF(B995=0,0,IF(AND(H980="ja",((U995)&lt;R1005)),ROUND(((R1007*R1004+((R1005/(R1005-R1004))-(R1004/(R1005-R1004))*R1007)*((U995)-R1004))*(N988)),2),ROUND(IF(SUM(B989:F994)&lt;(SUM(S989:S994)),IF((SUM(B989:F995))&gt;(SUM(S989:S995)),(((SUM(S989:S995))-(SUM(B989:F995)-C994))*N988)+((SUM(B995:F995)-C994)*N988),SUM(B995:F995)*N988),IF(SUM(B989:F995)&gt;(SUM(S989:S995)),S995*N988,SUM(B995:F995)*N988)),2)))</f>
        <v>0</v>
      </c>
      <c r="O995" s="21">
        <f>ROUND(SUM(B995+C995+F995)*O988,2)</f>
        <v>0</v>
      </c>
      <c r="P995" s="25">
        <f t="shared" si="165"/>
        <v>0</v>
      </c>
      <c r="Q995" s="456"/>
      <c r="R995" s="140">
        <f>ROUND(IF(M967="",R983,R983/M967*P972),2)</f>
        <v>5175</v>
      </c>
      <c r="S995" s="140">
        <f>ROUND(IF(M967="",R984,R984/M967*P972),2)</f>
        <v>7450</v>
      </c>
      <c r="U995" s="950">
        <f t="shared" si="166"/>
        <v>0</v>
      </c>
      <c r="V995" s="950">
        <f>SUM(B989:F995)</f>
        <v>0</v>
      </c>
    </row>
    <row r="996" spans="1:24" s="1" customFormat="1" x14ac:dyDescent="0.2">
      <c r="A996" s="76" t="str">
        <f>CONCATENATE("Aug ",O965)</f>
        <v>Aug 2025</v>
      </c>
      <c r="B996" s="22">
        <f>ROUND(IF(P973=0,0,IFERROR(((LOOKUP(2,1/(A974:A977=A996),G974:G977))*P973*4.348),B995/P972*P973)),2)</f>
        <v>0</v>
      </c>
      <c r="C996" s="21">
        <f>ROUND(IFERROR((LOOKUP(2,1/(A980=A996),E980)),0)+IFERROR((LOOKUP(2,1/(A981=A996),E981)),0),2)</f>
        <v>0</v>
      </c>
      <c r="D996" s="21">
        <f>ROUND(IF(B996=0,0,D988/M967*P973),2)</f>
        <v>0</v>
      </c>
      <c r="E996" s="21">
        <f>ROUND(IF(B996=0,0,E988/N963*P973),2)</f>
        <v>0</v>
      </c>
      <c r="F996" s="22">
        <f>ROUND(IF(P973=0,0,IFERROR(((LOOKUP(2,1/(A974:A977=A996),I974:I977))/N963*P973),F995/P972*P973)),2)</f>
        <v>0</v>
      </c>
      <c r="G996" s="25">
        <f t="shared" si="164"/>
        <v>0</v>
      </c>
      <c r="H996" s="64">
        <f>IF(B996=0,0,IF(AND(H980="ja",((U996)&lt;R1005)),ROUND(((R1007*R1004+((R1005/(R1005-R1004))-(R1004/(R1005-R1004))*R1007)*((U996)-R1004))*(H988*2))-(((R1005/(R1005-R1004))*((U996)-R1004))*H988),2),ROUND(IF(V995&lt;(SUM(R989:R995)),IF((V996)&gt;(SUM(R989:R996)),(((SUM(R989:R996))-(V996-C995))*H988)+((U996-C995)*H988),U996*H988),IF(V996&gt;(SUM(R989:R996)),R996*H988,U996*H988)),2)))</f>
        <v>0</v>
      </c>
      <c r="I996" s="64">
        <f>IF(B996=0,0,IF(AND(H980="ja",((U996)&lt;R1005)),ROUND(((R1007*R1004+((R1005/(R1005-R1004))-(R1004/(R1005-R1004))*R1007)*((U996)-R1004))*(I988*2))-(((R1005/(R1005-R1004))*((U996)-R1004))*I988),2),ROUND(IF(V995&lt;(SUM(S989:S995)),IF((V996)&gt;(SUM(S989:S996)),(((SUM(S989:S996))-(V996-C995))*I988)+((U996-C995)*I988),U996*I988),IF(V996&gt;(SUM(S989:S996)),S996*I988,U996*I988)),2)))</f>
        <v>0</v>
      </c>
      <c r="J996" s="64">
        <f>IF(B996=0,0,IF(AND(H980="ja",((U996)&lt;R1005)),ROUND(((R1007*R1004+((R1005/(R1005-R1004))-(R1004/(R1005-R1004))*R1007)*((U996)-R1004))*(J988*2))-(((R1005/(R1005-R1004))*((U996)-R1004))*J988),2),ROUND(IF(V995&lt;(SUM(S989:S995)),IF((V996)&gt;(SUM(S989:S996)),(((SUM(S989:S996))-(V996-C995))*J988)+((U996-C995)*J988),U996*J988),IF(V996&gt;(SUM(S989:S996)),S996*J988,U996*J988)),2)))</f>
        <v>0</v>
      </c>
      <c r="K996" s="64">
        <f>IF(B996=0,0,IF(AND(H980="ja",((U996)&lt;R1005)),ROUND(((R1007*R1004+((R1005/(R1005-R1004))-(R1004/(R1005-R1004))*R1007)*((U996)-R1004))*(K988*2))-(((R1005/(R1005-R1004))*((U996)-R1004))*K988),2),ROUND(IF(V995&lt;(SUM(R989:R995)),IF((V996)&gt;(SUM(R989:R996)),(((SUM(R989:R996))-(V996-C995))*K988)+((U996-C995)*K988),U996*K988),IF(V996&gt;(SUM(R989:R996)),R996*K988,U996*K988)),2)))</f>
        <v>0</v>
      </c>
      <c r="L996" s="64">
        <f>IF(B996=0,0,IF(AND(H980="ja",((U996-C996)&lt;R1005)),ROUND(((R1007*R1004+((R1005/(R1005-R1004))-(R1004/(R1005-R1004))*R1007)*((U996-C996)-R1004))*(L988)),2),ROUND(IF(SUM(B989:F995)&lt;(SUM(S989:S995)),IF((SUM(B989:F996))&gt;(SUM(S989:S996)),(((SUM(S989:S996))-(SUM(B989:F996)-C996))*L988)+((SUM(B996:F996)-C996)*L988),(SUM(B996:F996)-C996)*L988),IF(SUM(B989:F996)&gt;(SUM(S989:S996)),S996*L988,SUM(B996:F996)*L988)),2)))</f>
        <v>0</v>
      </c>
      <c r="M996" s="64">
        <f>IF(B996=0,0,IF(AND(H980="ja",((U996-C996)&lt;R1005)),ROUND(((R1007*R1004+((R1005/(R1005-R1004))-(R1004/(R1005-R1004))*R1007)*((U996-C996)-R1004))*(M988)),2),ROUND(IF(SUM(B989:F995)&lt;(SUM(S989:S995)),IF((SUM(B989:F996))&gt;(SUM(S989:S996)),(((SUM(S989:S996))-(SUM(B989:F996)-C996))*M988)+((SUM(B996:F996)-C996)*M988),(SUM(B996:F996)-C996)*M988),IF(SUM(B989:F996)&gt;(SUM(S989:S996)),S996*M988,SUM(B996:F996)*M988)),2)))</f>
        <v>0</v>
      </c>
      <c r="N996" s="64">
        <f>IF(B996=0,0,IF(AND(H980="ja",((U996)&lt;R1005)),ROUND(((R1007*R1004+((R1005/(R1005-R1004))-(R1004/(R1005-R1004))*R1007)*((U996)-R1004))*(N988)),2),ROUND(IF(SUM(B989:F995)&lt;(SUM(S989:S995)),IF((SUM(B989:F996))&gt;(SUM(S989:S996)),(((SUM(S989:S996))-(SUM(B989:F996)-C995))*N988)+((SUM(B996:F996)-C995)*N988),SUM(B996:F996)*N988),IF(SUM(B989:F996)&gt;(SUM(S989:S996)),S996*N988,SUM(B996:F996)*N988)),2)))</f>
        <v>0</v>
      </c>
      <c r="O996" s="21">
        <f>ROUND(SUM(B996+C996+F996)*O988,2)</f>
        <v>0</v>
      </c>
      <c r="P996" s="25">
        <f t="shared" si="165"/>
        <v>0</v>
      </c>
      <c r="Q996" s="456"/>
      <c r="R996" s="140">
        <f>ROUND(IF(M967="",R983,R983/M967*P973),2)</f>
        <v>5175</v>
      </c>
      <c r="S996" s="140">
        <f>ROUND(IF(M967="",R984,R984/M967*P973),2)</f>
        <v>7450</v>
      </c>
      <c r="U996" s="950">
        <f t="shared" si="166"/>
        <v>0</v>
      </c>
      <c r="V996" s="950">
        <f>SUM(B989:F996)</f>
        <v>0</v>
      </c>
    </row>
    <row r="997" spans="1:24" s="1" customFormat="1" x14ac:dyDescent="0.2">
      <c r="A997" s="76" t="str">
        <f>CONCATENATE("Sep ",O965)</f>
        <v>Sep 2025</v>
      </c>
      <c r="B997" s="22">
        <f>ROUND(IF(P974=0,0,IFERROR(((LOOKUP(2,1/(A974:A977=A997),G974:G977))*P974*4.348),B996/P973*P974)),2)</f>
        <v>0</v>
      </c>
      <c r="C997" s="21">
        <f>ROUND(IFERROR((LOOKUP(2,1/(A980=A997),E980)),0)+IFERROR((LOOKUP(2,1/(A981=A997),E981)),0),2)</f>
        <v>0</v>
      </c>
      <c r="D997" s="21">
        <f>ROUND(IF(B997=0,0,D988/M967*P974),2)</f>
        <v>0</v>
      </c>
      <c r="E997" s="21">
        <f>ROUND(IF(B997=0,0,E988/N963*P974),2)</f>
        <v>0</v>
      </c>
      <c r="F997" s="22">
        <f>ROUND(IF(P974=0,0,IFERROR(((LOOKUP(2,1/(A974:A977=A997),I974:I977))/N963*P974),F996/P973*P974)),2)</f>
        <v>0</v>
      </c>
      <c r="G997" s="25">
        <f t="shared" si="164"/>
        <v>0</v>
      </c>
      <c r="H997" s="64">
        <f>IF(B997=0,0,IF(AND(H980="ja",((U997)&lt;R1005)),ROUND(((R1007*R1004+((R1005/(R1005-R1004))-(R1004/(R1005-R1004))*R1007)*((U997)-R1004))*(H988*2))-(((R1005/(R1005-R1004))*((U997)-R1004))*H988),2),ROUND(IF(V996&lt;(SUM(R989:R996)),IF((V997)&gt;(SUM(R989:R997)),(((SUM(R989:R997))-(V997-C996))*H988)+((U997-C996)*H988),U997*H988),IF(V997&gt;(SUM(R989:R997)),R997*H988,U997*H988)),2)))</f>
        <v>0</v>
      </c>
      <c r="I997" s="64">
        <f>IF(B997=0,0,IF(AND(H980="ja",((U997)&lt;R1005)),ROUND(((R1007*R1004+((R1005/(R1005-R1004))-(R1004/(R1005-R1004))*R1007)*((U997)-R1004))*(I988*2))-(((R1005/(R1005-R1004))*((U997)-R1004))*I988),2),ROUND(IF(V996&lt;(SUM(S989:S996)),IF((V997)&gt;(SUM(S989:S997)),(((SUM(S989:S997))-(V997-C996))*I988)+((U997-C996)*I988),U997*I988),IF(V997&gt;(SUM(S989:S997)),S997*I988,U997*I988)),2)))</f>
        <v>0</v>
      </c>
      <c r="J997" s="64">
        <f>IF(B997=0,0,IF(AND(H980="ja",((U997)&lt;R1005)),ROUND(((R1007*R1004+((R1005/(R1005-R1004))-(R1004/(R1005-R1004))*R1007)*((U997)-R1004))*(J988*2))-(((R1005/(R1005-R1004))*((U997)-R1004))*J988),2),ROUND(IF(V996&lt;(SUM(S989:S996)),IF((V997)&gt;(SUM(S989:S997)),(((SUM(S989:S997))-(V997-C996))*J988)+((U997-C996)*J988),U997*J988),IF(V997&gt;(SUM(S989:S997)),S997*J988,U997*J988)),2)))</f>
        <v>0</v>
      </c>
      <c r="K997" s="64">
        <f>IF(B997=0,0,IF(AND(H980="ja",((U997)&lt;R1005)),ROUND(((R1007*R1004+((R1005/(R1005-R1004))-(R1004/(R1005-R1004))*R1007)*((U997)-R1004))*(K988*2))-(((R1005/(R1005-R1004))*((U997)-R1004))*K988),2),ROUND(IF(V996&lt;(SUM(R989:R996)),IF((V997)&gt;(SUM(R989:R997)),(((SUM(R989:R997))-(V997-C996))*K988)+((U997-C996)*K988),U997*K988),IF(V997&gt;(SUM(R989:R997)),R997*K988,U997*K988)),2)))</f>
        <v>0</v>
      </c>
      <c r="L997" s="64">
        <f>IF(B997=0,0,IF(AND(H980="ja",((U997-C997)&lt;R1005)),ROUND(((R1007*R1004+((R1005/(R1005-R1004))-(R1004/(R1005-R1004))*R1007)*((U997-C997)-R1004))*(L988)),2),ROUND(IF(SUM(B989:F996)&lt;(SUM(S989:S996)),IF((SUM(B989:F997))&gt;(SUM(S989:S997)),(((SUM(S989:S997))-(SUM(B989:F997)-C997))*L988)+((SUM(B997:F997)-C997)*L988),(SUM(B997:F997)-C997)*L988),IF(SUM(B989:F997)&gt;(SUM(S989:S997)),S997*L988,SUM(B997:F997)*L988)),2)))</f>
        <v>0</v>
      </c>
      <c r="M997" s="64">
        <f>IF(B997=0,0,IF(AND(H980="ja",((U997-C997)&lt;R1005)),ROUND(((R1007*R1004+((R1005/(R1005-R1004))-(R1004/(R1005-R1004))*R1007)*((U997-C997)-R1004))*(M988)),2),ROUND(IF(SUM(B989:F996)&lt;(SUM(S989:S996)),IF((SUM(B989:F997))&gt;(SUM(S989:S997)),(((SUM(S989:S997))-(SUM(B989:F997)-C997))*M988)+((SUM(B997:F997)-C997)*M988),(SUM(B997:F997)-C997)*M988),IF(SUM(B989:F997)&gt;(SUM(S989:S997)),S997*M988,SUM(B997:F997)*M988)),2)))</f>
        <v>0</v>
      </c>
      <c r="N997" s="64">
        <f>IF(B997=0,0,IF(AND(H980="ja",((U997)&lt;R1005)),ROUND(((R1007*R1004+((R1005/(R1005-R1004))-(R1004/(R1005-R1004))*R1007)*((U997)-R1004))*(N988)),2),ROUND(IF(SUM(B989:F996)&lt;(SUM(S989:S996)),IF((SUM(B989:F997))&gt;(SUM(S989:S997)),(((SUM(S989:S997))-(SUM(B989:F997)-C996))*N988)+((SUM(B997:F997)-C996)*N988),SUM(B997:F997)*N988),IF(SUM(B989:F997)&gt;(SUM(S989:S997)),S997*N988,SUM(B997:F997)*N988)),2)))</f>
        <v>0</v>
      </c>
      <c r="O997" s="21">
        <f>ROUND(SUM(B997+C997+F997)*O988,2)</f>
        <v>0</v>
      </c>
      <c r="P997" s="25">
        <f t="shared" si="165"/>
        <v>0</v>
      </c>
      <c r="Q997" s="456"/>
      <c r="R997" s="140">
        <f>ROUND(IF(M967="",R983,R983/M967*P974),2)</f>
        <v>5175</v>
      </c>
      <c r="S997" s="140">
        <f>ROUND(IF(M967="",R984,R984/M967*P974),2)</f>
        <v>7450</v>
      </c>
      <c r="U997" s="950">
        <f t="shared" si="166"/>
        <v>0</v>
      </c>
      <c r="V997" s="950">
        <f>SUM(B989:F997)</f>
        <v>0</v>
      </c>
    </row>
    <row r="998" spans="1:24" s="12" customFormat="1" ht="15" x14ac:dyDescent="0.25">
      <c r="A998" s="76" t="str">
        <f>CONCATENATE("Okt ",O965)</f>
        <v>Okt 2025</v>
      </c>
      <c r="B998" s="22">
        <f>ROUND(IF(P975=0,0,IFERROR(((LOOKUP(2,1/(A974:A977=A998),G974:G977))*P975*4.348),B997/P974*P975)),2)</f>
        <v>0</v>
      </c>
      <c r="C998" s="21">
        <f>ROUND(IFERROR((LOOKUP(2,1/(A980=A998),E980)),0)+IFERROR((LOOKUP(2,1/(A981=A998),E981)),0),2)</f>
        <v>0</v>
      </c>
      <c r="D998" s="21">
        <f>ROUND(IF(B998=0,0,D988/M967*P975),2)</f>
        <v>0</v>
      </c>
      <c r="E998" s="21">
        <f>ROUND(IF(B998=0,0,E988/N963*P975),2)</f>
        <v>0</v>
      </c>
      <c r="F998" s="22">
        <f>ROUND(IF(P975=0,0,IFERROR(((LOOKUP(2,1/(A974:A977=A998),I974:I977))/N963*P975),F997/P974*P975)),2)</f>
        <v>0</v>
      </c>
      <c r="G998" s="25">
        <f t="shared" si="164"/>
        <v>0</v>
      </c>
      <c r="H998" s="64">
        <f>IF(B998=0,0,IF(AND(H980="ja",((U998)&lt;R1005)),ROUND(((R1007*R1004+((R1005/(R1005-R1004))-(R1004/(R1005-R1004))*R1007)*((U998)-R1004))*(H988*2))-(((R1005/(R1005-R1004))*((U998)-R1004))*H988),2),ROUND(IF(V997&lt;(SUM(R989:R997)),IF((V998)&gt;(SUM(R989:R998)),(((SUM(R989:R998))-(V998-C997))*H988)+((U998-C997)*H988),U998*H988),IF(V998&gt;(SUM(R989:R998)),R998*H988,U998*H988)),2)))</f>
        <v>0</v>
      </c>
      <c r="I998" s="64">
        <f>IF(B998=0,0,IF(AND(H980="ja",((U998)&lt;R1005)),ROUND(((R1007*R1004+((R1005/(R1005-R1004))-(R1004/(R1005-R1004))*R1007)*((U998)-R1004))*(I988*2))-(((R1005/(R1005-R1004))*((U998)-R1004))*I988),2),ROUND(IF(V997&lt;(SUM(S989:S997)),IF((V998)&gt;(SUM(S989:S998)),(((SUM(S989:S998))-(V998-C997))*I988)+((U998-C997)*I988),U998*I988),IF(V998&gt;(SUM(S989:S998)),S998*I988,U998*I988)),2)))</f>
        <v>0</v>
      </c>
      <c r="J998" s="64">
        <f>IF(B998=0,0,IF(AND(H980="ja",((U998)&lt;R1005)),ROUND(((R1007*R1004+((R1005/(R1005-R1004))-(R1004/(R1005-R1004))*R1007)*((U998)-R1004))*(J988*2))-(((R1005/(R1005-R1004))*((U998)-R1004))*J988),2),ROUND(IF(V997&lt;(SUM(S989:S997)),IF((V998)&gt;(SUM(S989:S998)),(((SUM(S989:S998))-(V998-C997))*J988)+((U998-C997)*J988),U998*J988),IF(V998&gt;(SUM(S989:S998)),S998*J988,U998*J988)),2)))</f>
        <v>0</v>
      </c>
      <c r="K998" s="64">
        <f>IF(B998=0,0,IF(AND(H980="ja",((U998)&lt;R1005)),ROUND(((R1007*R1004+((R1005/(R1005-R1004))-(R1004/(R1005-R1004))*R1007)*((U998)-R1004))*(K988*2))-(((R1005/(R1005-R1004))*((U998)-R1004))*K988),2),ROUND(IF(V997&lt;(SUM(R989:R997)),IF((V998)&gt;(SUM(R989:R998)),(((SUM(R989:R998))-(V998-C997))*K988)+((U998-C997)*K988),U998*K988),IF(V998&gt;(SUM(R989:R998)),R998*K988,U998*K988)),2)))</f>
        <v>0</v>
      </c>
      <c r="L998" s="64">
        <f>IF(B998=0,0,IF(AND(H980="ja",((U998-C998)&lt;R1005)),ROUND(((R1007*R1004+((R1005/(R1005-R1004))-(R1004/(R1005-R1004))*R1007)*((U998-C998)-R1004))*(L988)),2),ROUND(IF(SUM(B989:F997)&lt;(SUM(S989:S997)),IF((SUM(B989:F998))&gt;(SUM(S989:S998)),(((SUM(S989:S998))-(SUM(B989:F998)-C998))*L988)+((SUM(B998:F998)-C998)*L988),(SUM(B998:F998)-C998)*L988),IF(SUM(B989:F998)&gt;(SUM(S989:S998)),S998*L988,SUM(B998:F998)*L988)),2)))</f>
        <v>0</v>
      </c>
      <c r="M998" s="64">
        <f>IF(B998=0,0,IF(AND(H980="ja",((U998-C998)&lt;R1005)),ROUND(((R1007*R1004+((R1005/(R1005-R1004))-(R1004/(R1005-R1004))*R1007)*((U998-C998)-R1004))*(M988)),2),ROUND(IF(SUM(B989:F997)&lt;(SUM(S989:S997)),IF((SUM(B989:F998))&gt;(SUM(S989:S998)),(((SUM(S989:S998))-(SUM(B989:F998)-C998))*M988)+((SUM(B998:F998)-C998)*M988),(SUM(B998:F998)-C998)*M988),IF(SUM(B989:F998)&gt;(SUM(S989:S998)),S998*M988,SUM(B998:F998)*M988)),2)))</f>
        <v>0</v>
      </c>
      <c r="N998" s="64">
        <f>IF(B998=0,0,IF(AND(H980="ja",((U998)&lt;R1005)),ROUND(((R1007*R1004+((R1005/(R1005-R1004))-(R1004/(R1005-R1004))*R1007)*((U998)-R1004))*(N988)),2),ROUND(IF(SUM(B989:F997)&lt;(SUM(S989:S997)),IF((SUM(B989:F998))&gt;(SUM(S989:S998)),(((SUM(S989:S998))-(SUM(B989:F998)-C997))*N988)+((SUM(B998:F998)-C997)*N988),SUM(B998:F998)*N988),IF(SUM(B989:F998)&gt;(SUM(S989:S998)),S998*N988,SUM(B998:F998)*N988)),2)))</f>
        <v>0</v>
      </c>
      <c r="O998" s="21">
        <f>ROUND(SUM(B998+C998+F998)*O988,2)</f>
        <v>0</v>
      </c>
      <c r="P998" s="25">
        <f t="shared" si="165"/>
        <v>0</v>
      </c>
      <c r="Q998" s="936"/>
      <c r="R998" s="140">
        <f>ROUND(IF(M967="",R983,R983/M967*P975),2)</f>
        <v>5175</v>
      </c>
      <c r="S998" s="140">
        <f>ROUND(IF(M967="",R984,R984/M967*P975),2)</f>
        <v>7450</v>
      </c>
      <c r="U998" s="950">
        <f t="shared" si="166"/>
        <v>0</v>
      </c>
      <c r="V998" s="950">
        <f>SUM(B989:F998)</f>
        <v>0</v>
      </c>
      <c r="X998" s="1"/>
    </row>
    <row r="999" spans="1:24" s="11" customFormat="1" x14ac:dyDescent="0.2">
      <c r="A999" s="76" t="str">
        <f>CONCATENATE("Nov ",O965)</f>
        <v>Nov 2025</v>
      </c>
      <c r="B999" s="22">
        <f>ROUND(IF(P976=0,0,IFERROR(((LOOKUP(2,1/(A974:A977=A999),G974:G977))*P976*4.348),B998/P975*P976)),2)</f>
        <v>0</v>
      </c>
      <c r="C999" s="21">
        <f>ROUND(IFERROR((LOOKUP(2,1/(A980=A999),E980)),0)+(IFERROR((LOOKUP(2,1/(A981=A999),E981)),0)),2)</f>
        <v>0</v>
      </c>
      <c r="D999" s="21">
        <f>ROUND(IF(B999=0,0,D988/M967*P976),2)</f>
        <v>0</v>
      </c>
      <c r="E999" s="21">
        <f>ROUND(IF(B999=0,0,E988/N963*P976),2)</f>
        <v>0</v>
      </c>
      <c r="F999" s="22">
        <f>ROUND(IF(P976=0,0,IFERROR(((LOOKUP(2,1/(A974:A977=A999),I974:I977))/N963*P976),F998/P975*P976)),2)</f>
        <v>0</v>
      </c>
      <c r="G999" s="25">
        <f t="shared" si="164"/>
        <v>0</v>
      </c>
      <c r="H999" s="64">
        <f>IF(B999=0,0,IF(AND(H980="ja",((U999)&lt;R1005)),ROUND(((R1007*R1004+((R1005/(R1005-R1004))-(R1004/(R1005-R1004))*R1007)*((U999)-R1004))*(H988*2))-(((R1005/(R1005-R1004))*((U999)-R1004))*H988),2),ROUND(IF(V998&lt;(SUM(R989:R998)),IF((V999)&gt;(SUM(R989:R999)),(((SUM(R989:R999))-(V999-C998))*H988)+((U999-C998)*H988),U999*H988),IF(V999&gt;(SUM(R989:R999)),R999*H988,U999*H988)),2)))</f>
        <v>0</v>
      </c>
      <c r="I999" s="64">
        <f>IF(B999=0,0,IF(AND(H980="ja",((U999)&lt;R1005)),ROUND(((R1007*R1004+((R1005/(R1005-R1004))-(R1004/(R1005-R1004))*R1007)*((U999)-R1004))*(I988*2))-(((R1005/(R1005-R1004))*((U999)-R1004))*I988),2),ROUND(IF(V998&lt;(SUM(S989:S998)),IF((V999)&gt;(SUM(S989:S999)),(((SUM(S989:S999))-(V999-C998))*I988)+((U999-C998)*I988),U999*I988),IF(V999&gt;(SUM(S989:S999)),S999*I988,U999*I988)),2)))</f>
        <v>0</v>
      </c>
      <c r="J999" s="64">
        <f>IF(B999=0,0,IF(AND(H980="ja",((U999)&lt;R1005)),ROUND(((R1007*R1004+((R1005/(R1005-R1004))-(R1004/(R1005-R1004))*R1007)*((U999)-R1004))*(J988*2))-(((R1005/(R1005-R1004))*((U999)-R1004))*J988),2),ROUND(IF(V998&lt;(SUM(S989:S998)),IF((V999)&gt;(SUM(S989:S999)),(((SUM(S989:S999))-(V999-C998))*J988)+((U999-C998)*J988),U999*J988),IF(V999&gt;(SUM(S989:S999)),S999*J988,U999*J988)),2)))</f>
        <v>0</v>
      </c>
      <c r="K999" s="64">
        <f>IF(B999=0,0,IF(AND(H980="ja",((U999)&lt;R1005)),ROUND(((R1007*R1004+((R1005/(R1005-R1004))-(R1004/(R1005-R1004))*R1007)*((U999)-R1004))*(K988*2))-(((R1005/(R1005-R1004))*((U999)-R1004))*K988),2),ROUND(IF(V998&lt;(SUM(R989:R998)),IF((V999)&gt;(SUM(R989:R999)),(((SUM(R989:R999))-(V999-C998))*K988)+((U999-C998)*K988),U999*K988),IF(V999&gt;(SUM(R989:R999)),R999*K988,U999*K988)),2)))</f>
        <v>0</v>
      </c>
      <c r="L999" s="64">
        <f>IF(B999=0,0,IF(AND(H980="ja",((U999-C999)&lt;R1005)),ROUND(((R1007*R1004+((R1005/(R1005-R1004))-(R1004/(R1005-R1004))*R1007)*((U999-C999)-R1004))*(L988)),2),ROUND(IF(SUM(B989:F998)&lt;(SUM(S989:S998)),IF((SUM(B989:F999))&gt;(SUM(S989:S999)),(((SUM(S989:S999))-(SUM(B989:F999)-C999))*L988)+((SUM(B999:F999)-C999)*L988),(SUM(B999:F999)-C999)*L988),IF(SUM(B989:F999)&gt;(SUM(S989:S999)),S999*L988,SUM(B999:F999)*L988)),2)))</f>
        <v>0</v>
      </c>
      <c r="M999" s="64">
        <f>IF(B999=0,0,IF(AND(H980="ja",((U999-C999)&lt;R1005)),ROUND(((R1007*R1004+((R1005/(R1005-R1004))-(R1004/(R1005-R1004))*R1007)*((U999-C999)-R1004))*(M988)),2),ROUND(IF(SUM(B989:F998)&lt;(SUM(S989:S998)),IF((SUM(B989:F999))&gt;(SUM(S989:S999)),(((SUM(S989:S999))-(SUM(B989:F999)-C999))*M988)+((SUM(B999:F999)-C999)*M988),(SUM(B999:F999)-C999)*M988),IF(SUM(B989:F999)&gt;(SUM(S989:S999)),S999*M988,SUM(B999:F999)*M988)),2)))</f>
        <v>0</v>
      </c>
      <c r="N999" s="64">
        <f>IF(B999=0,0,IF(AND(H980="ja",((U999)&lt;R1005)),ROUND(((R1007*R1004+((R1005/(R1005-R1004))-(R1004/(R1005-R1004))*R1007)*((U999)-R1004))*(N988)),2),ROUND(IF(SUM(B989:F998)&lt;(SUM(S989:S998)),IF((SUM(B989:F999))&gt;(SUM(S989:S999)),(((SUM(S989:S999))-(SUM(B989:F999)-C998))*N988)+((SUM(B999:F999)-C998)*N988),SUM(B999:F999)*N988),IF(SUM(B989:F999)&gt;(SUM(S989:S999)),S999*N988,SUM(B999:F999)*N988)),2)))</f>
        <v>0</v>
      </c>
      <c r="O999" s="21">
        <f>ROUND(SUM(B999+C999+F999)*O988,2)</f>
        <v>0</v>
      </c>
      <c r="P999" s="25">
        <f t="shared" si="165"/>
        <v>0</v>
      </c>
      <c r="R999" s="140">
        <f>ROUND(IF(M967="",R983,R983/M967*P976),2)</f>
        <v>5175</v>
      </c>
      <c r="S999" s="140">
        <f>ROUND(IF(M967="",R984,R984/M967*P976),2)</f>
        <v>7450</v>
      </c>
      <c r="U999" s="950">
        <f t="shared" si="166"/>
        <v>0</v>
      </c>
      <c r="V999" s="950">
        <f>SUM(B989:F999)</f>
        <v>0</v>
      </c>
      <c r="X999" s="1"/>
    </row>
    <row r="1000" spans="1:24" s="1" customFormat="1" ht="14.25" customHeight="1" x14ac:dyDescent="0.2">
      <c r="A1000" s="76" t="str">
        <f>CONCATENATE("Dez ",O965)</f>
        <v>Dez 2025</v>
      </c>
      <c r="B1000" s="22">
        <f>ROUND(IF(P977=0,0,IFERROR(((LOOKUP(2,1/(A974:A977=A1000),G974:G977))*P977*4.348),B999/P976*P977)),2)</f>
        <v>0</v>
      </c>
      <c r="C1000" s="21">
        <f>ROUND(IFERROR((LOOKUP(2,1/(A980=A1000),E980)),0)+IFERROR((LOOKUP(2,1/(A981=A1000),E981)),0),2)</f>
        <v>0</v>
      </c>
      <c r="D1000" s="21">
        <f>ROUND(IF(B1000=0,0,D988/M967*P977),2)</f>
        <v>0</v>
      </c>
      <c r="E1000" s="21">
        <f>ROUND(IF(B1000=0,0,E988/N963*P977),2)</f>
        <v>0</v>
      </c>
      <c r="F1000" s="22">
        <f>ROUND(IF(P977=0,0,IFERROR(((LOOKUP(2,1/(A974:A977=A1000),I974:I977))/N963*P977),F999/P976*P977)),2)</f>
        <v>0</v>
      </c>
      <c r="G1000" s="25">
        <f t="shared" si="164"/>
        <v>0</v>
      </c>
      <c r="H1000" s="64">
        <f>IF(B1000=0,0,IF(AND(H980="ja",((U1000)&lt;R1005)),ROUND(((R1007*R1004+((R1005/(R1005-R1004))-(R1004/(R1005-R1004))*R1007)*((U1000)-R1004))*(H988*2))-(((R1005/(R1005-R1004))*((U1000)-R1004))*H988),2),ROUND(IF(V999&lt;(SUM(R989:R999)),IF((V1000)&gt;(SUM(R989:R1000)),(((SUM(R989:R1000))-(V1000-C999))*H988)+((U1000-C999)*H988),U1000*H988),IF(V1000&gt;(SUM(R989:R1000)),R1000*H988,U1000*H988)),2)))</f>
        <v>0</v>
      </c>
      <c r="I1000" s="64">
        <f>IF(B1000=0,0,IF(AND(H980="ja",((U1000)&lt;R1005)),ROUND(((R1007*R1004+((R1005/(R1005-R1004))-(R1004/(R1005-R1004))*R1007)*((U1000)-R1004))*(I988*2))-(((R1005/(R1005-R1004))*((U1000)-R1004))*I988),2),ROUND(IF(V999&lt;(SUM(S989:S999)),IF((V1000)&gt;(SUM(S989:S1000)),(((SUM(S989:S1000))-(V1000-C999))*I988)+((U1000-C999)*I988),U1000*I988),IF(V1000&gt;(SUM(S989:S1000)),S1000*I988,U1000*I988)),2)))</f>
        <v>0</v>
      </c>
      <c r="J1000" s="64">
        <f>IF(B1000=0,0,IF(AND(H980="ja",((U1000)&lt;R1005)),ROUND(((R1007*R1004+((R1005/(R1005-R1004))-(R1004/(R1005-R1004))*R1007)*((U1000)-R1004))*(J988*2))-(((R1005/(R1005-R1004))*((U1000)-R1004))*J988),2),ROUND(IF(V999&lt;(SUM(S989:S999)),IF((V1000)&gt;(SUM(S989:S1000)),(((SUM(S989:S1000))-(V1000-C999))*J988)+((U1000-C999)*J988),U1000*J988),IF(V1000&gt;(SUM(S989:S1000)),S1000*J988,U1000*J988)),2)))</f>
        <v>0</v>
      </c>
      <c r="K1000" s="64">
        <f>IF(B1000=0,0,IF(AND(H980="ja",((U1000)&lt;R1005)),ROUND(((R1007*R1004+((R1005/(R1005-R1004))-(R1004/(R1005-R1004))*R1007)*((U1000)-R1004))*(K988*2))-(((R1005/(R1005-R1004))*((U1000)-R1004))*K988),2),ROUND(IF(V999&lt;(SUM(R989:R999)),IF((V1000)&gt;(SUM(R989:R1000)),(((SUM(R989:R1000))-(V1000-C999))*K988)+((U1000-C999)*K988),U1000*K988),IF(V1000&gt;(SUM(R989:R1000)),R1000*K988,U1000*K988)),2)))</f>
        <v>0</v>
      </c>
      <c r="L1000" s="64">
        <f>IF(B1000=0,0,IF(AND(H980="ja",((U1000-C1000)&lt;R1005)),ROUND(((R1007*R1004+((R1005/(R1005-R1004))-(R1004/(R1005-R1004))*R1007)*((U1000-C1000)-R1004))*(L988)),2),ROUND(IF(SUM(B989:F999)&lt;(SUM(S989:S999)),IF((SUM(B989:F1000))&gt;(SUM(S989:S1000)),(((SUM(S989:S1000))-(SUM(B989:F1000)-C1000))*L988)+((SUM(B1000:F1000)-C1000)*L988),(SUM(B1000:F1000)-C1000)*L988),IF(SUM(B989:F1000)&gt;(SUM(S989:S1000)),S1000*L988,SUM(B1000:F1000)*L988)),2)))</f>
        <v>0</v>
      </c>
      <c r="M1000" s="64">
        <f>IF(B1000=0,0,IF(AND(H980="ja",((U1000-C1000)&lt;R1005)),ROUND(((R1007*R1004+((R1005/(R1005-R1004))-(R1004/(R1005-R1004))*R1007)*((U1000-C1000)-R1004))*(M988)),2),ROUND(IF(SUM(B989:F999)&lt;(SUM(S989:S999)),IF((SUM(B989:F1000))&gt;(SUM(S989:S1000)),(((SUM(S989:S1000))-(SUM(B989:F1000)-C1000))*M988)+((SUM(B1000:F1000)-C1000)*M988),(SUM(B1000:F1000)-C1000)*M988),IF(SUM(B989:F1000)&gt;(SUM(S989:S1000)),S1000*M988,SUM(B1000:F1000)*M988)),2)))</f>
        <v>0</v>
      </c>
      <c r="N1000" s="64">
        <f>IF(B1000=0,0,IF(AND(H980="ja",((U1000)&lt;R1005)),ROUND(((R1007*R1004+((R1005/(R1005-R1004))-(R1004/(R1005-R1004))*R1007)*((U1000)-R1004))*(N988)),2),ROUND(IF(SUM(B989:F999)&lt;(SUM(S989:S999)),IF((SUM(B989:F1000))&gt;(SUM(S989:S1000)),(((SUM(S989:S1000))-(SUM(B989:F1000)-C999))*N988)+((SUM(B1000:F1000)-C999)*N988),SUM(B1000:F1000)*N988),IF(SUM(B989:F1000)&gt;(SUM(S989:S1000)),S1000*N988,SUM(B1000:F1000)*N988)),2)))</f>
        <v>0</v>
      </c>
      <c r="O1000" s="21">
        <f>ROUND(SUM(B1000+C1000+F1000)*O988,2)</f>
        <v>0</v>
      </c>
      <c r="P1000" s="25">
        <f t="shared" si="165"/>
        <v>0</v>
      </c>
      <c r="Q1000" s="11"/>
      <c r="R1000" s="140">
        <f>ROUND(IF(M967="",R983,R983/M967*P977),2)</f>
        <v>5175</v>
      </c>
      <c r="S1000" s="140">
        <f>ROUND(IF(M967="",R984,R984/M967*P977),2)</f>
        <v>7450</v>
      </c>
      <c r="U1000" s="950">
        <f t="shared" si="166"/>
        <v>0</v>
      </c>
      <c r="V1000" s="950">
        <f>SUM(B989:F1000)</f>
        <v>0</v>
      </c>
    </row>
    <row r="1001" spans="1:24" s="1" customFormat="1" ht="15" customHeight="1" x14ac:dyDescent="0.2">
      <c r="A1001" s="2" t="s">
        <v>1</v>
      </c>
      <c r="B1001" s="25">
        <f t="shared" ref="B1001:G1001" si="167">SUM(B989:B1000)</f>
        <v>0</v>
      </c>
      <c r="C1001" s="25">
        <f t="shared" si="167"/>
        <v>0</v>
      </c>
      <c r="D1001" s="25">
        <f t="shared" si="167"/>
        <v>0</v>
      </c>
      <c r="E1001" s="25">
        <f t="shared" si="167"/>
        <v>0</v>
      </c>
      <c r="F1001" s="25">
        <f t="shared" si="167"/>
        <v>0</v>
      </c>
      <c r="G1001" s="25">
        <f t="shared" si="167"/>
        <v>0</v>
      </c>
      <c r="H1001" s="1309">
        <f>SUM(H989:N1000)</f>
        <v>0</v>
      </c>
      <c r="I1001" s="1310"/>
      <c r="J1001" s="1310"/>
      <c r="K1001" s="1310"/>
      <c r="L1001" s="1310"/>
      <c r="M1001" s="1310"/>
      <c r="N1001" s="1311"/>
      <c r="O1001" s="25">
        <f>SUM(O989:O1000)</f>
        <v>0</v>
      </c>
      <c r="P1001" s="25">
        <f>SUM(P989:P1000)</f>
        <v>0</v>
      </c>
    </row>
    <row r="1002" spans="1:24" s="1" customFormat="1" ht="12" customHeight="1" x14ac:dyDescent="0.2"/>
    <row r="1003" spans="1:24" s="1" customFormat="1" ht="14.25" customHeight="1" x14ac:dyDescent="0.2">
      <c r="B1003" s="906"/>
      <c r="H1003" s="905"/>
      <c r="I1003" s="62"/>
      <c r="J1003" s="914" t="s">
        <v>123</v>
      </c>
      <c r="L1003" s="900" t="s">
        <v>124</v>
      </c>
      <c r="M1003" s="974" t="str">
        <f>IF(IF(G1001=0,"",'päd.Personal - Leitung'!$M$43)=0,"",IF(G1001=0,"",'päd.Personal - Leitung'!$M$43))</f>
        <v/>
      </c>
      <c r="N1003" s="902" t="s">
        <v>125</v>
      </c>
      <c r="O1003" s="963" t="str">
        <f>IF(IF(G1001=0,"",'päd.Personal - Leitung'!$O$43)=0,"",IF(G1001=0,"",'päd.Personal - Leitung'!$O$43))</f>
        <v/>
      </c>
      <c r="P1003" s="25">
        <f>ROUND(IF(M1003="",0,G1001*M1003*O1003/1000),2)</f>
        <v>0</v>
      </c>
      <c r="Q1003" s="937"/>
      <c r="R1003" s="938">
        <v>2025</v>
      </c>
      <c r="S1003" s="939"/>
    </row>
    <row r="1004" spans="1:24" s="1" customFormat="1" ht="14.25" customHeight="1" x14ac:dyDescent="0.2">
      <c r="H1004" s="907"/>
      <c r="I1004" s="42"/>
      <c r="M1004" s="915" t="s">
        <v>129</v>
      </c>
      <c r="N1004" s="80" t="s">
        <v>125</v>
      </c>
      <c r="O1004" s="75" t="str">
        <f>IF(IF(G1001=0,"",'päd.Personal - Leitung'!$O$44)=0,"",IF(G1001=0,"",'päd.Personal - Leitung'!$O$44))</f>
        <v/>
      </c>
      <c r="P1004" s="25">
        <f>ROUND(IF(O1004="",0,G1001*O1004/1000),2)</f>
        <v>0</v>
      </c>
      <c r="Q1004" s="942" t="s">
        <v>737</v>
      </c>
      <c r="R1004" s="141">
        <f>'päd.Personal - Leitung'!$R$44</f>
        <v>556</v>
      </c>
      <c r="S1004" s="955">
        <f>'päd.Personal - Leitung'!$S$44</f>
        <v>12.82</v>
      </c>
    </row>
    <row r="1005" spans="1:24" s="1" customFormat="1" ht="14.25" customHeight="1" x14ac:dyDescent="0.2">
      <c r="H1005" s="912" t="s">
        <v>126</v>
      </c>
      <c r="I1005" s="1013" t="s">
        <v>127</v>
      </c>
      <c r="J1005" s="975" t="str">
        <f>IF(IF(G1001=0,"",'päd.Personal - Leitung'!$J$45)=0,"",IF(G1001=0,"",'päd.Personal - Leitung'!$J$45))</f>
        <v/>
      </c>
      <c r="K1005" s="902" t="s">
        <v>128</v>
      </c>
      <c r="L1005" s="964" t="str">
        <f>IF(IF(G1001=0,"",'päd.Personal - Leitung'!$L$45)=0,"",IF(G1001=0,"",'päd.Personal - Leitung'!$L$45))</f>
        <v/>
      </c>
      <c r="M1005" s="16"/>
      <c r="N1005" s="900" t="s">
        <v>132</v>
      </c>
      <c r="O1005" s="965" t="str">
        <f>IF(IF(G1001=0,"",'päd.Personal - Leitung'!$O$45)=0,"",IF(G1001=0,"",'päd.Personal - Leitung'!$O$45))</f>
        <v/>
      </c>
      <c r="P1005" s="25">
        <f>ROUND(IF(J1005="",0,(J1005*L1005/O1005)/M969*M970),2)</f>
        <v>0</v>
      </c>
      <c r="Q1005" s="942" t="s">
        <v>738</v>
      </c>
      <c r="R1005" s="140">
        <f>'päd.Personal - Leitung'!$R$45</f>
        <v>2000</v>
      </c>
      <c r="S1005" s="939"/>
    </row>
    <row r="1006" spans="1:24" s="1" customFormat="1" ht="14.25" customHeight="1" x14ac:dyDescent="0.2">
      <c r="D1006" s="16"/>
      <c r="I1006" s="16"/>
      <c r="J1006" s="16"/>
      <c r="K1006" s="63"/>
      <c r="L1006" s="67"/>
      <c r="M1006" s="915" t="s">
        <v>130</v>
      </c>
      <c r="N1006" s="80" t="s">
        <v>131</v>
      </c>
      <c r="O1006" s="904">
        <f>IF(IF(G1001="",0,'päd.Personal - Leitung'!$O$94)=0,0,IF(G1001="",0,'päd.Personal - Leitung'!$O$94))</f>
        <v>0</v>
      </c>
      <c r="P1006" s="21">
        <f>ROUND(IF(G1001=0,0,O1006/M967*M968),2)</f>
        <v>0</v>
      </c>
      <c r="Q1006" s="942" t="s">
        <v>740</v>
      </c>
      <c r="R1006" s="956">
        <f>'päd.Personal - Leitung'!$R$46</f>
        <v>0.40900000000000003</v>
      </c>
    </row>
    <row r="1007" spans="1:24" s="1" customFormat="1" ht="14.25" customHeight="1" x14ac:dyDescent="0.2">
      <c r="A1007" s="16"/>
      <c r="B1007" s="16"/>
      <c r="I1007" s="905"/>
      <c r="J1007" s="961" t="s">
        <v>176</v>
      </c>
      <c r="K1007" s="1312" t="str">
        <f>IF($K$47="","",$K$47)</f>
        <v/>
      </c>
      <c r="L1007" s="1312"/>
      <c r="M1007" s="1312"/>
      <c r="N1007" s="80" t="s">
        <v>131</v>
      </c>
      <c r="O1007" s="904">
        <f>IF(IF(G1001="",0,'päd.Personal - Leitung'!$O$95)=0,0,IF(G1001="",0,'päd.Personal - Leitung'!$O$95))</f>
        <v>0</v>
      </c>
      <c r="P1007" s="21">
        <f>ROUND(IF(G1001=0,0,O1007/M967*M968),2)</f>
        <v>0</v>
      </c>
      <c r="Q1007" s="942" t="s">
        <v>739</v>
      </c>
      <c r="R1007" s="940">
        <f>'päd.Personal - Leitung'!$R$47</f>
        <v>0.68459999999999999</v>
      </c>
      <c r="S1007" s="957">
        <f>'päd.Personal - Leitung'!$S$47</f>
        <v>0.28000000000000003</v>
      </c>
    </row>
    <row r="1008" spans="1:24" s="1" customFormat="1" ht="14.25" customHeight="1" x14ac:dyDescent="0.2">
      <c r="A1008" s="908"/>
      <c r="B1008" s="908"/>
      <c r="C1008" s="1013"/>
      <c r="D1008" s="1013"/>
      <c r="I1008" s="913"/>
      <c r="J1008" s="913"/>
      <c r="K1008" s="916"/>
      <c r="L1008" s="27"/>
      <c r="M1008" s="27"/>
      <c r="N1008" s="27"/>
      <c r="O1008" s="26" t="s">
        <v>0</v>
      </c>
      <c r="P1008" s="25">
        <f>P1001+SUM(P1003:P1007)</f>
        <v>0</v>
      </c>
    </row>
    <row r="1009" spans="1:19" s="10" customFormat="1" ht="13.5" customHeight="1" x14ac:dyDescent="0.2">
      <c r="A1009" s="1321" t="s">
        <v>17</v>
      </c>
      <c r="B1009" s="1321"/>
      <c r="C1009" s="1321"/>
      <c r="D1009" s="1320" t="str">
        <f>IF('päd.Personal - Leitung'!$D$1="","",'päd.Personal - Leitung'!$D$1)</f>
        <v/>
      </c>
      <c r="E1009" s="1320"/>
      <c r="F1009" s="1320"/>
      <c r="G1009" s="1320"/>
      <c r="H1009" s="1320"/>
      <c r="I1009" s="1320"/>
      <c r="J1009" s="1320"/>
      <c r="K1009" s="1320"/>
      <c r="L1009" s="1320"/>
      <c r="M1009" s="1320"/>
      <c r="N1009" s="1320"/>
    </row>
    <row r="1010" spans="1:19" s="10" customFormat="1" ht="15" customHeight="1" x14ac:dyDescent="0.2">
      <c r="A1010" s="1321" t="s">
        <v>16</v>
      </c>
      <c r="B1010" s="1321"/>
      <c r="C1010" s="1321" t="s">
        <v>14</v>
      </c>
      <c r="D1010" s="1320" t="str">
        <f>IF('päd.Personal - Leitung'!$D$2="","",'päd.Personal - Leitung'!$D$2)</f>
        <v/>
      </c>
      <c r="E1010" s="1320"/>
      <c r="F1010" s="1320"/>
      <c r="G1010" s="1320"/>
      <c r="H1010" s="1320"/>
      <c r="I1010" s="1320"/>
      <c r="J1010" s="1320"/>
      <c r="K1010" s="1320"/>
      <c r="L1010" s="1320"/>
      <c r="M1010" s="1320"/>
      <c r="N1010" s="1320"/>
    </row>
    <row r="1011" spans="1:19" s="10" customFormat="1" ht="15" customHeight="1" x14ac:dyDescent="0.2">
      <c r="A1011" s="1321" t="s">
        <v>15</v>
      </c>
      <c r="B1011" s="1321"/>
      <c r="C1011" s="1321" t="s">
        <v>14</v>
      </c>
      <c r="D1011" s="1320" t="str">
        <f>IF('päd.Personal - Leitung'!$D$3="","",'päd.Personal - Leitung'!$D$3)</f>
        <v/>
      </c>
      <c r="E1011" s="1320"/>
      <c r="F1011" s="1320"/>
      <c r="G1011" s="1320"/>
      <c r="H1011" s="1320"/>
      <c r="I1011" s="1320"/>
      <c r="J1011" s="1320"/>
      <c r="K1011" s="1321" t="s">
        <v>100</v>
      </c>
      <c r="L1011" s="1321"/>
      <c r="M1011" s="1321"/>
      <c r="N1011" s="38" t="str">
        <f>IF('päd.Personal - Leitung'!$N$3="","",'päd.Personal - Leitung'!$N$3)</f>
        <v/>
      </c>
    </row>
    <row r="1012" spans="1:19" s="923" customFormat="1" ht="7.5" customHeight="1" x14ac:dyDescent="0.15">
      <c r="A1012" s="1353"/>
      <c r="B1012" s="1353"/>
      <c r="C1012" s="1353"/>
      <c r="D1012" s="1354"/>
      <c r="E1012" s="1354"/>
      <c r="F1012" s="1354"/>
      <c r="G1012" s="1354"/>
      <c r="H1012" s="1354"/>
      <c r="I1012" s="1354"/>
      <c r="J1012" s="1354"/>
      <c r="K1012" s="922"/>
      <c r="L1012" s="922"/>
      <c r="M1012" s="922"/>
      <c r="N1012" s="922"/>
      <c r="O1012" s="922"/>
      <c r="P1012" s="922"/>
    </row>
    <row r="1013" spans="1:19" s="13" customFormat="1" ht="13.5" customHeight="1" x14ac:dyDescent="0.2">
      <c r="A1013" s="1355" t="s">
        <v>151</v>
      </c>
      <c r="B1013" s="1355"/>
      <c r="C1013" s="1355"/>
      <c r="D1013" s="1355"/>
      <c r="E1013" s="1355"/>
      <c r="F1013" s="1355"/>
      <c r="G1013" s="1355"/>
      <c r="H1013" s="1355"/>
      <c r="I1013" s="1355"/>
      <c r="J1013" s="1355"/>
      <c r="K1013" s="7"/>
      <c r="L1013" s="7"/>
      <c r="M1013" s="7"/>
      <c r="N1013" s="52"/>
      <c r="O1013" s="138">
        <f>'päd.Personal - Leitung'!$O$5</f>
        <v>2025</v>
      </c>
      <c r="P1013" s="52" t="s">
        <v>140</v>
      </c>
    </row>
    <row r="1014" spans="1:19" s="8" customFormat="1" ht="13.5" customHeight="1" x14ac:dyDescent="0.25">
      <c r="B1014" s="29"/>
      <c r="C1014" s="29"/>
      <c r="D1014" s="3" t="s">
        <v>54</v>
      </c>
      <c r="E1014" s="28"/>
      <c r="F1014" s="28"/>
      <c r="G1014" s="28"/>
      <c r="H1014" s="28"/>
      <c r="I1014" s="24"/>
      <c r="K1014" s="1327" t="s">
        <v>13</v>
      </c>
      <c r="L1014" s="1327"/>
      <c r="M1014" s="131"/>
      <c r="O1014" s="928" t="str">
        <f>A1037</f>
        <v>Jan 2025</v>
      </c>
      <c r="P1014" s="1402">
        <f>IF(M1016="","",M1016)</f>
        <v>0</v>
      </c>
    </row>
    <row r="1015" spans="1:19" s="5" customFormat="1" ht="13.5" customHeight="1" x14ac:dyDescent="0.25">
      <c r="A1015" s="1328" t="s">
        <v>754</v>
      </c>
      <c r="B1015" s="1328"/>
      <c r="C1015" s="1328"/>
      <c r="D1015" s="1345"/>
      <c r="E1015" s="1345"/>
      <c r="F1015" s="1345"/>
      <c r="G1015" s="1345"/>
      <c r="H1015" s="1345"/>
      <c r="I1015" s="1345"/>
      <c r="K1015" s="1327" t="s">
        <v>101</v>
      </c>
      <c r="L1015" s="1327"/>
      <c r="M1015" s="101"/>
      <c r="O1015" s="928" t="str">
        <f t="shared" ref="O1015:O1025" si="168">A1038</f>
        <v>Feb 2025</v>
      </c>
      <c r="P1015" s="1403">
        <f t="shared" ref="P1015:P1022" si="169">IF(P1014="","",P1014)</f>
        <v>0</v>
      </c>
    </row>
    <row r="1016" spans="1:19" s="1" customFormat="1" ht="13.5" customHeight="1" x14ac:dyDescent="0.2">
      <c r="A1016" s="1328" t="s">
        <v>12</v>
      </c>
      <c r="B1016" s="1328"/>
      <c r="C1016" s="1328"/>
      <c r="D1016" s="1345"/>
      <c r="E1016" s="1345"/>
      <c r="F1016" s="1345"/>
      <c r="G1016" s="1345"/>
      <c r="H1016" s="1345"/>
      <c r="I1016" s="1345"/>
      <c r="K1016" s="1327" t="s">
        <v>149</v>
      </c>
      <c r="L1016" s="1327"/>
      <c r="M1016" s="101">
        <f>IF((M1017+M1018)&gt;M1015,0,M1015-M1017-M1018)</f>
        <v>0</v>
      </c>
      <c r="O1016" s="928" t="str">
        <f t="shared" si="168"/>
        <v>Mrz 2025</v>
      </c>
      <c r="P1016" s="1403">
        <f t="shared" si="169"/>
        <v>0</v>
      </c>
    </row>
    <row r="1017" spans="1:19" s="1" customFormat="1" ht="13.5" customHeight="1" x14ac:dyDescent="0.2">
      <c r="A1017" s="1328" t="s">
        <v>11</v>
      </c>
      <c r="B1017" s="1328"/>
      <c r="C1017" s="1328"/>
      <c r="D1017" s="1345"/>
      <c r="E1017" s="1345"/>
      <c r="F1017" s="1345"/>
      <c r="G1017" s="1345"/>
      <c r="H1017" s="1345"/>
      <c r="I1017" s="1345"/>
      <c r="K1017" s="1327" t="s">
        <v>150</v>
      </c>
      <c r="L1017" s="1327"/>
      <c r="M1017" s="101"/>
      <c r="O1017" s="928" t="str">
        <f t="shared" si="168"/>
        <v>Apr 2025</v>
      </c>
      <c r="P1017" s="1403">
        <f t="shared" si="169"/>
        <v>0</v>
      </c>
    </row>
    <row r="1018" spans="1:19" s="1" customFormat="1" ht="13.5" customHeight="1" x14ac:dyDescent="0.2">
      <c r="A1018" s="1328" t="s">
        <v>18</v>
      </c>
      <c r="B1018" s="1328"/>
      <c r="C1018" s="1328"/>
      <c r="D1018" s="1345"/>
      <c r="E1018" s="1345"/>
      <c r="F1018" s="1345"/>
      <c r="G1018" s="1345"/>
      <c r="H1018" s="1345"/>
      <c r="I1018" s="1345"/>
      <c r="K1018" s="1327" t="s">
        <v>222</v>
      </c>
      <c r="L1018" s="1327"/>
      <c r="M1018" s="101"/>
      <c r="O1018" s="928" t="str">
        <f t="shared" si="168"/>
        <v>Mai 2025</v>
      </c>
      <c r="P1018" s="1403">
        <f t="shared" si="169"/>
        <v>0</v>
      </c>
    </row>
    <row r="1019" spans="1:19" s="1" customFormat="1" ht="13.5" customHeight="1" x14ac:dyDescent="0.2">
      <c r="B1019" s="6"/>
      <c r="C1019" s="1029" t="s">
        <v>147</v>
      </c>
      <c r="D1019" s="1324"/>
      <c r="E1019" s="1324"/>
      <c r="F1019" s="1359" t="s">
        <v>103</v>
      </c>
      <c r="G1019" s="1359"/>
      <c r="H1019" s="1361"/>
      <c r="I1019" s="1361"/>
      <c r="K1019" s="1327" t="s">
        <v>94</v>
      </c>
      <c r="L1019" s="1327"/>
      <c r="M1019" s="15" t="str">
        <f>IF(IF((COUNTIF(B1037:B1048,"&gt;0"))=0,0,(COUNTIF(B1037:B1048,"&gt;0")))&gt;Grundlagen!$C$26,Grundlagen!$C$26,IF((COUNTIF(B1037:B1048,"&gt;0"))=0,"",(COUNTIF(B1037:B1048,"&gt;0"))))</f>
        <v/>
      </c>
      <c r="O1019" s="928" t="str">
        <f t="shared" si="168"/>
        <v>Jun 2025</v>
      </c>
      <c r="P1019" s="1403">
        <f t="shared" si="169"/>
        <v>0</v>
      </c>
    </row>
    <row r="1020" spans="1:19" s="1" customFormat="1" ht="13.5" customHeight="1" x14ac:dyDescent="0.2">
      <c r="I1020" s="4"/>
      <c r="M1020" s="102" t="str">
        <f>IF((SUM(F1022:F1025))=0,"",IF(P1026&gt;M1016,M1016,IF(M1016="","",IF(M1019="","",P1026))))</f>
        <v/>
      </c>
      <c r="O1020" s="928" t="str">
        <f t="shared" si="168"/>
        <v>Jul 2025</v>
      </c>
      <c r="P1020" s="1403">
        <f t="shared" si="169"/>
        <v>0</v>
      </c>
    </row>
    <row r="1021" spans="1:19" s="46" customFormat="1" ht="13.5" customHeight="1" x14ac:dyDescent="0.2">
      <c r="A1021" s="54" t="s">
        <v>134</v>
      </c>
      <c r="B1021" s="1356" t="s">
        <v>135</v>
      </c>
      <c r="C1021" s="1356"/>
      <c r="D1021" s="55" t="s">
        <v>136</v>
      </c>
      <c r="E1021" s="56" t="s">
        <v>137</v>
      </c>
      <c r="F1021" s="57" t="str">
        <f>CONCATENATE("Entg. ",N1011," h/Wo")</f>
        <v>Entg.  h/Wo</v>
      </c>
      <c r="G1021" s="58" t="s">
        <v>138</v>
      </c>
      <c r="I1021" s="58" t="s">
        <v>139</v>
      </c>
      <c r="K1021" s="970"/>
      <c r="L1021" s="970"/>
      <c r="M1021" s="59"/>
      <c r="N1021" s="968"/>
      <c r="O1021" s="928" t="str">
        <f t="shared" si="168"/>
        <v>Aug 2025</v>
      </c>
      <c r="P1021" s="1403">
        <f t="shared" si="169"/>
        <v>0</v>
      </c>
      <c r="Q1021" s="85"/>
      <c r="R1021" s="85"/>
      <c r="S1021" s="85"/>
    </row>
    <row r="1022" spans="1:19" s="46" customFormat="1" ht="13.5" customHeight="1" x14ac:dyDescent="0.25">
      <c r="A1022" s="48" t="str">
        <f>'päd.Personal - Leitung'!$A$14</f>
        <v>Jan 2025</v>
      </c>
      <c r="B1022" s="1357" t="str">
        <f>IF($D$3="","",$D$3)</f>
        <v/>
      </c>
      <c r="C1022" s="1358"/>
      <c r="D1022" s="132"/>
      <c r="E1022" s="132"/>
      <c r="F1022" s="71"/>
      <c r="G1022" s="50">
        <f>IF(N1011="",0,F1022/N1011/4.348)</f>
        <v>0</v>
      </c>
      <c r="I1022" s="125">
        <f>SUM(J1022:M1022)</f>
        <v>0</v>
      </c>
      <c r="J1022" s="124"/>
      <c r="K1022" s="124"/>
      <c r="L1022" s="124"/>
      <c r="M1022" s="124"/>
      <c r="N1022" s="969"/>
      <c r="O1022" s="928" t="str">
        <f t="shared" si="168"/>
        <v>Sep 2025</v>
      </c>
      <c r="P1022" s="1403">
        <f t="shared" si="169"/>
        <v>0</v>
      </c>
      <c r="Q1022" s="85"/>
      <c r="R1022" s="85"/>
      <c r="S1022" s="85"/>
    </row>
    <row r="1023" spans="1:19" s="46" customFormat="1" ht="13.5" customHeight="1" x14ac:dyDescent="0.25">
      <c r="A1023" s="49"/>
      <c r="B1023" s="1322" t="str">
        <f>IF(A1023="","",B1022)</f>
        <v/>
      </c>
      <c r="C1023" s="1323"/>
      <c r="D1023" s="132"/>
      <c r="E1023" s="132"/>
      <c r="F1023" s="71"/>
      <c r="G1023" s="50">
        <f>IF(N1011="",0,F1023/N1011/4.348)</f>
        <v>0</v>
      </c>
      <c r="I1023" s="125">
        <f t="shared" ref="I1023:I1025" si="170">SUM(J1023:M1023)</f>
        <v>0</v>
      </c>
      <c r="J1023" s="124"/>
      <c r="K1023" s="124"/>
      <c r="L1023" s="124"/>
      <c r="M1023" s="124"/>
      <c r="N1023" s="969"/>
      <c r="O1023" s="928" t="str">
        <f t="shared" si="168"/>
        <v>Okt 2025</v>
      </c>
      <c r="P1023" s="1403">
        <f t="shared" ref="P1023:P1025" si="171">IF(P1022="","",P1022)</f>
        <v>0</v>
      </c>
      <c r="Q1023" s="85"/>
      <c r="R1023" s="85"/>
      <c r="S1023" s="85"/>
    </row>
    <row r="1024" spans="1:19" s="46" customFormat="1" ht="13.5" customHeight="1" x14ac:dyDescent="0.25">
      <c r="A1024" s="49"/>
      <c r="B1024" s="1322" t="str">
        <f>IF(A1024="","",B1023)</f>
        <v/>
      </c>
      <c r="C1024" s="1323"/>
      <c r="D1024" s="132"/>
      <c r="E1024" s="132"/>
      <c r="F1024" s="71"/>
      <c r="G1024" s="50">
        <f>IF(N1011="",0,F1024/N1011/4.348)</f>
        <v>0</v>
      </c>
      <c r="I1024" s="125">
        <f t="shared" si="170"/>
        <v>0</v>
      </c>
      <c r="J1024" s="124"/>
      <c r="K1024" s="124"/>
      <c r="L1024" s="124"/>
      <c r="M1024" s="124"/>
      <c r="N1024" s="969"/>
      <c r="O1024" s="928" t="str">
        <f t="shared" si="168"/>
        <v>Nov 2025</v>
      </c>
      <c r="P1024" s="1403">
        <f t="shared" si="171"/>
        <v>0</v>
      </c>
      <c r="Q1024" s="85"/>
      <c r="R1024" s="85"/>
      <c r="S1024" s="85"/>
    </row>
    <row r="1025" spans="1:22" s="46" customFormat="1" ht="13.5" customHeight="1" x14ac:dyDescent="0.25">
      <c r="A1025" s="49"/>
      <c r="B1025" s="1322" t="str">
        <f>IF(A1025="","",B1024)</f>
        <v/>
      </c>
      <c r="C1025" s="1323"/>
      <c r="D1025" s="132"/>
      <c r="E1025" s="132"/>
      <c r="F1025" s="71"/>
      <c r="G1025" s="50">
        <f>IF(N1011="",0,F1025/N1011/4.348)</f>
        <v>0</v>
      </c>
      <c r="I1025" s="125">
        <f t="shared" si="170"/>
        <v>0</v>
      </c>
      <c r="J1025" s="124"/>
      <c r="K1025" s="124"/>
      <c r="L1025" s="124"/>
      <c r="M1025" s="124"/>
      <c r="N1025" s="969"/>
      <c r="O1025" s="928" t="str">
        <f t="shared" si="168"/>
        <v>Dez 2025</v>
      </c>
      <c r="P1025" s="1403">
        <f t="shared" si="171"/>
        <v>0</v>
      </c>
      <c r="Q1025" s="85"/>
      <c r="R1025" s="85"/>
      <c r="S1025" s="85"/>
    </row>
    <row r="1026" spans="1:22" s="46" customFormat="1" ht="13.5" customHeight="1" x14ac:dyDescent="0.25">
      <c r="B1026" s="972"/>
      <c r="C1026" s="972"/>
      <c r="E1026" s="972"/>
      <c r="F1026" s="972"/>
      <c r="I1026" s="930" t="s">
        <v>730</v>
      </c>
      <c r="J1026" s="1060"/>
      <c r="K1026" s="1060"/>
      <c r="L1026" s="1060"/>
      <c r="M1026" s="1060"/>
      <c r="N1026" s="971"/>
      <c r="O1026" s="126" t="s">
        <v>221</v>
      </c>
      <c r="P1026" s="127">
        <f>IF(M1019="",0,((IF(SUMIF(B1037,"&gt;0"),P1014,0))+(IF(SUMIF(B1038,"&gt;0"),P1015,0))+(IF(SUMIF(B1039,"&gt;0"),P1016,0))+(IF(SUMIF(B1040,"&gt;0"),P1017,0))+(IF(SUMIF(B1041,"&gt;0"),P1018,0))+(IF(SUMIF(B1042,"&gt;0"),P1019,0))+(IF(SUMIF(B1043,"&gt;0"),P1020,0))+(IF(SUMIF(B1044,"&gt;0"),P1021,0))+(IF(SUMIF(B1045,"&gt;0"),P1022,0))+(IF(SUMIF(B1046,"&gt;0"),P1023,0))+(IF(SUMIF(B1047,"&gt;0"),P1024,0))+(IF(SUMIF(B1048,"&gt;0"),P1025,0)))/Grundlagen!$C$26)</f>
        <v>0</v>
      </c>
      <c r="Q1026" s="944" t="str">
        <f>CONCATENATE("BBG"," anteilig ",O1028)</f>
        <v>BBG anteilig 2025</v>
      </c>
      <c r="R1026" s="931" t="s">
        <v>659</v>
      </c>
      <c r="S1026" s="931" t="s">
        <v>398</v>
      </c>
      <c r="T1026" s="107"/>
    </row>
    <row r="1027" spans="1:22" s="46" customFormat="1" ht="13.5" customHeight="1" x14ac:dyDescent="0.2">
      <c r="A1027" s="924" t="s">
        <v>732</v>
      </c>
      <c r="D1027" s="55" t="s">
        <v>369</v>
      </c>
      <c r="E1027" s="56" t="s">
        <v>368</v>
      </c>
      <c r="F1027" s="58"/>
      <c r="J1027" s="61"/>
      <c r="Q1027" s="932" t="s">
        <v>144</v>
      </c>
      <c r="R1027" s="140">
        <f>IF(M1016=0,R1031,IF(M1015="",R1031,(SUM(R1037:R1048)/M1019)))</f>
        <v>5175</v>
      </c>
      <c r="S1027" s="933">
        <f>IF(M1016=0,S1031,IF(M1015="",S1031,SUM(R1037:R1048)))</f>
        <v>0</v>
      </c>
      <c r="T1027" s="107"/>
    </row>
    <row r="1028" spans="1:22" s="46" customFormat="1" ht="13.5" customHeight="1" x14ac:dyDescent="0.25">
      <c r="A1028" s="60"/>
      <c r="B1028" s="1314" t="str">
        <f>IF($B$20="","",$B$20)</f>
        <v>Jahressonderzahlung (JSZ)</v>
      </c>
      <c r="C1028" s="1315"/>
      <c r="D1028" s="926"/>
      <c r="E1028" s="929" t="str">
        <f>IF(A1028="","",ROUND((((SUM(B1043:B1045)+SUM(F1043:F1045))/3)*D1028)/Grundlagen!$C$26*M1019,2))</f>
        <v/>
      </c>
      <c r="G1028" s="941" t="s">
        <v>733</v>
      </c>
      <c r="H1028" s="943"/>
      <c r="I1028" s="1316" t="str">
        <f>CONCATENATE(R1051,":"," Übergangsbereich von ",R1052+0.01," €"," bis ",R1053," €")</f>
        <v>2025: Übergangsbereich von 556,01 € bis 2000 €</v>
      </c>
      <c r="J1028" s="1317"/>
      <c r="K1028" s="1317"/>
      <c r="L1028" s="1067"/>
      <c r="M1028" s="1067"/>
      <c r="N1028" s="1068" t="s">
        <v>736</v>
      </c>
      <c r="O1028" s="1069">
        <f>P1028+1</f>
        <v>2025</v>
      </c>
      <c r="P1028" s="1069" t="s">
        <v>721</v>
      </c>
      <c r="Q1028" s="932" t="s">
        <v>145</v>
      </c>
      <c r="R1028" s="140">
        <f>IF(M1016=0,R1032,IF(M1015="",R1032,(SUM(S1037:S1048)/M1019)))</f>
        <v>7450</v>
      </c>
      <c r="S1028" s="933">
        <f>IF(M1016=0,S1032,IF(M1015="",S1032,SUM(S1037:S1048)))</f>
        <v>0</v>
      </c>
      <c r="T1028" s="109"/>
    </row>
    <row r="1029" spans="1:22" s="1" customFormat="1" ht="14.25" customHeight="1" x14ac:dyDescent="0.2">
      <c r="A1029" s="60"/>
      <c r="B1029" s="1314" t="str">
        <f>IF($B$21="","",$B$21)</f>
        <v>Leistungsentgelt (LOB)</v>
      </c>
      <c r="C1029" s="1315"/>
      <c r="D1029" s="926"/>
      <c r="E1029" s="929" t="str">
        <f>IF(A1029="","",ROUND(((B1049+F1049)*D1029)/Grundlagen!$C$26*M1019,2))</f>
        <v/>
      </c>
      <c r="G1029" s="941" t="str">
        <f>IF(OR(H1028="",H1028="nein")=TRUE,"","Faktor (F):")</f>
        <v/>
      </c>
      <c r="H1029" s="949" t="str">
        <f>IF(OR(H1028="",H1028="nein")=TRUE,"",IF(H1028="","",R1055))</f>
        <v/>
      </c>
      <c r="I1029" s="1318" t="str">
        <f>IF(OR(H1028="",H1028="nein")=TRUE,"",IF(H1029="","",CONCATENATE(S1055*100,"%"," / ","(",R1054*100,"%"," Gesamt-SV-Beitragssatz 2024)")))</f>
        <v/>
      </c>
      <c r="J1029" s="1319"/>
      <c r="K1029" s="1319"/>
      <c r="L1029" s="1070"/>
      <c r="M1029" s="1070"/>
      <c r="N1029" s="1071" t="s">
        <v>144</v>
      </c>
      <c r="O1029" s="1072">
        <f>'päd.Personal - Leitung'!$O$21</f>
        <v>5175</v>
      </c>
      <c r="P1029" s="1072">
        <f>'päd.Personal - Leitung'!$P$21</f>
        <v>5175</v>
      </c>
      <c r="Q1029" s="11"/>
      <c r="R1029" s="11"/>
      <c r="S1029" s="11"/>
      <c r="T1029" s="109"/>
    </row>
    <row r="1030" spans="1:22" s="1" customFormat="1" ht="14.25" customHeight="1" x14ac:dyDescent="0.2">
      <c r="C1030" s="925" t="s">
        <v>731</v>
      </c>
      <c r="L1030" s="1070"/>
      <c r="M1030" s="1070"/>
      <c r="N1030" s="1071" t="s">
        <v>145</v>
      </c>
      <c r="O1030" s="1073">
        <f>'päd.Personal - Leitung'!$O$22</f>
        <v>7450</v>
      </c>
      <c r="P1030" s="1073">
        <f>'päd.Personal - Leitung'!$P$22</f>
        <v>7450</v>
      </c>
      <c r="Q1030" s="944" t="str">
        <f>CONCATENATE("BBG"," ",O1028)</f>
        <v>BBG 2025</v>
      </c>
      <c r="R1030" s="11"/>
      <c r="S1030" s="11"/>
      <c r="T1030" s="109"/>
    </row>
    <row r="1031" spans="1:22" s="1" customFormat="1" ht="14.25" customHeight="1" x14ac:dyDescent="0.2">
      <c r="A1031" s="53" t="s">
        <v>141</v>
      </c>
      <c r="B1031" s="46"/>
      <c r="C1031" s="46"/>
      <c r="D1031" s="46"/>
      <c r="E1031" s="46"/>
      <c r="F1031" s="46"/>
      <c r="G1031" s="46"/>
      <c r="H1031" s="46"/>
      <c r="I1031" s="46"/>
      <c r="J1031" s="46"/>
      <c r="K1031" s="46"/>
      <c r="L1031" s="46"/>
      <c r="M1031" s="46"/>
      <c r="N1031" s="46"/>
      <c r="O1031" s="46"/>
      <c r="P1031" s="46"/>
      <c r="Q1031" s="932" t="s">
        <v>144</v>
      </c>
      <c r="R1031" s="141">
        <f>IF($O$21="",0,$O$21)</f>
        <v>5175</v>
      </c>
      <c r="S1031" s="933">
        <f>R1031*IF(M1019="",0,M1019)</f>
        <v>0</v>
      </c>
      <c r="T1031" s="295"/>
    </row>
    <row r="1032" spans="1:22" s="1" customFormat="1" ht="14.25" customHeight="1" x14ac:dyDescent="0.2">
      <c r="A1032" s="1346"/>
      <c r="B1032" s="1348" t="s">
        <v>8</v>
      </c>
      <c r="C1032" s="1349"/>
      <c r="D1032" s="1349"/>
      <c r="E1032" s="1349"/>
      <c r="F1032" s="1349"/>
      <c r="G1032" s="1350"/>
      <c r="H1032" s="1351" t="s">
        <v>113</v>
      </c>
      <c r="I1032" s="1352"/>
      <c r="J1032" s="1352"/>
      <c r="K1032" s="1352"/>
      <c r="L1032" s="1352"/>
      <c r="M1032" s="1352"/>
      <c r="N1032" s="1352"/>
      <c r="O1032" s="30"/>
      <c r="P1032" s="1330" t="s">
        <v>0</v>
      </c>
      <c r="Q1032" s="932" t="s">
        <v>145</v>
      </c>
      <c r="R1032" s="141">
        <f>IF($O$22="",0,$O$22)</f>
        <v>7450</v>
      </c>
      <c r="S1032" s="933">
        <f>R1032*IF(M1019="",0,M1019)</f>
        <v>0</v>
      </c>
      <c r="T1032" s="830"/>
    </row>
    <row r="1033" spans="1:22" s="1" customFormat="1" ht="14.25" customHeight="1" x14ac:dyDescent="0.2">
      <c r="A1033" s="1347"/>
      <c r="B1033" s="1333" t="s">
        <v>111</v>
      </c>
      <c r="C1033" s="1335" t="s">
        <v>743</v>
      </c>
      <c r="D1033" s="1337" t="s">
        <v>226</v>
      </c>
      <c r="E1033" s="1339" t="s">
        <v>133</v>
      </c>
      <c r="F1033" s="1030" t="s">
        <v>6</v>
      </c>
      <c r="G1033" s="1340" t="s">
        <v>5</v>
      </c>
      <c r="H1033" s="1339" t="s">
        <v>119</v>
      </c>
      <c r="I1033" s="1339" t="s">
        <v>4</v>
      </c>
      <c r="J1033" s="1339" t="s">
        <v>3</v>
      </c>
      <c r="K1033" s="1339" t="s">
        <v>2</v>
      </c>
      <c r="L1033" s="1339" t="s">
        <v>114</v>
      </c>
      <c r="M1033" s="1339" t="s">
        <v>115</v>
      </c>
      <c r="N1033" s="1339" t="s">
        <v>116</v>
      </c>
      <c r="O1033" s="1338" t="s">
        <v>109</v>
      </c>
      <c r="P1033" s="1331"/>
      <c r="Q1033" s="456"/>
      <c r="R1033" s="11"/>
      <c r="S1033" s="11"/>
      <c r="T1033" s="621"/>
    </row>
    <row r="1034" spans="1:22" s="1" customFormat="1" ht="14.25" customHeight="1" x14ac:dyDescent="0.2">
      <c r="A1034" s="1347"/>
      <c r="B1034" s="1333"/>
      <c r="C1034" s="1335"/>
      <c r="D1034" s="1338"/>
      <c r="E1034" s="1339"/>
      <c r="F1034" s="1343" t="str">
        <f>I1026</f>
        <v>Zuschläge / Zulagen / o.ä.:</v>
      </c>
      <c r="G1034" s="1340"/>
      <c r="H1034" s="1342" t="s">
        <v>117</v>
      </c>
      <c r="I1034" s="1342"/>
      <c r="J1034" s="1342"/>
      <c r="K1034" s="1342"/>
      <c r="L1034" s="1342"/>
      <c r="M1034" s="1342"/>
      <c r="N1034" s="1342"/>
      <c r="O1034" s="1338"/>
      <c r="P1034" s="1331"/>
      <c r="Q1034" s="456"/>
      <c r="R1034" s="1306" t="str">
        <f>Q1026</f>
        <v>BBG anteilig 2025</v>
      </c>
      <c r="S1034" s="1306"/>
      <c r="T1034" s="829"/>
    </row>
    <row r="1035" spans="1:22" s="1" customFormat="1" ht="14.25" customHeight="1" x14ac:dyDescent="0.2">
      <c r="A1035" s="1347"/>
      <c r="B1035" s="1333"/>
      <c r="C1035" s="1335"/>
      <c r="D1035" s="1338"/>
      <c r="E1035" s="1339"/>
      <c r="F1035" s="1343"/>
      <c r="G1035" s="1340"/>
      <c r="H1035" s="39" t="str">
        <f>'päd.Personal - Leitung'!$H$27</f>
        <v>(7,30% + Zusatz)</v>
      </c>
      <c r="I1035" s="39" t="str">
        <f>'päd.Personal - Leitung'!$I$27</f>
        <v xml:space="preserve"> (2024: 9,30%)</v>
      </c>
      <c r="J1035" s="39" t="str">
        <f>'päd.Personal - Leitung'!$J$27</f>
        <v>(2024: 1,30%)</v>
      </c>
      <c r="K1035" s="39" t="str">
        <f>'päd.Personal - Leitung'!$K$27</f>
        <v>(2024: 1,700%)</v>
      </c>
      <c r="L1035" s="39"/>
      <c r="M1035" s="39"/>
      <c r="N1035" s="39" t="str">
        <f>'päd.Personal - Leitung'!$N$27</f>
        <v>(2024: 0,06%)</v>
      </c>
      <c r="O1035" s="1338"/>
      <c r="P1035" s="1331"/>
      <c r="Q1035" s="456"/>
      <c r="R1035" s="1307" t="s">
        <v>659</v>
      </c>
      <c r="S1035" s="1307"/>
      <c r="T1035" s="829"/>
      <c r="U1035" s="1308" t="s">
        <v>1</v>
      </c>
      <c r="V1035" s="1308" t="s">
        <v>741</v>
      </c>
    </row>
    <row r="1036" spans="1:22" s="1" customFormat="1" x14ac:dyDescent="0.2">
      <c r="A1036" s="1347"/>
      <c r="B1036" s="1334"/>
      <c r="C1036" s="1336"/>
      <c r="D1036" s="45"/>
      <c r="E1036" s="45"/>
      <c r="F1036" s="1344"/>
      <c r="G1036" s="1341"/>
      <c r="H1036" s="74"/>
      <c r="I1036" s="99">
        <f>'päd.Personal - Leitung'!$I$28</f>
        <v>0</v>
      </c>
      <c r="J1036" s="99">
        <f>'päd.Personal - Leitung'!$J$28</f>
        <v>0</v>
      </c>
      <c r="K1036" s="40">
        <f>'päd.Personal - Leitung'!$K$28</f>
        <v>0</v>
      </c>
      <c r="L1036" s="19"/>
      <c r="M1036" s="19"/>
      <c r="N1036" s="99">
        <f>'päd.Personal - Leitung'!$N$28</f>
        <v>0</v>
      </c>
      <c r="O1036" s="23"/>
      <c r="P1036" s="1332"/>
      <c r="Q1036" s="456"/>
      <c r="R1036" s="935" t="s">
        <v>144</v>
      </c>
      <c r="S1036" s="935" t="s">
        <v>145</v>
      </c>
      <c r="T1036" s="829"/>
      <c r="U1036" s="1308"/>
      <c r="V1036" s="1308"/>
    </row>
    <row r="1037" spans="1:22" s="1" customFormat="1" x14ac:dyDescent="0.2">
      <c r="A1037" s="76" t="str">
        <f>CONCATENATE("Jan ",O1013)</f>
        <v>Jan 2025</v>
      </c>
      <c r="B1037" s="22">
        <f>ROUND(IF(P1014=0,0,(LOOKUP(2,1/(A1022:A1025=A1037),G1022:G1025))*P1014*4.348),2)</f>
        <v>0</v>
      </c>
      <c r="C1037" s="21">
        <f>ROUND(IFERROR((LOOKUP(2,1/(A1028=A1037),E1028)),0)+IFERROR((LOOKUP(2,1/(A1029=A1037),E1029)),0),2)</f>
        <v>0</v>
      </c>
      <c r="D1037" s="21">
        <f>ROUND(IF(B1037=0,0,D1036/M1015*P1014),2)</f>
        <v>0</v>
      </c>
      <c r="E1037" s="21">
        <f>ROUND(IF(B1037=0,0,E1036/N1011*P1014),2)</f>
        <v>0</v>
      </c>
      <c r="F1037" s="22">
        <f>ROUND(IF(P1014=0,0,(LOOKUP(2,1/(A1022:A1025=A1037),I1022:I1025))/N1011*P1014),2)</f>
        <v>0</v>
      </c>
      <c r="G1037" s="25">
        <f t="shared" ref="G1037:G1048" si="172">SUM(B1037+C1037+E1037+F1037)</f>
        <v>0</v>
      </c>
      <c r="H1037" s="64">
        <f>IF(B1037=0,0,IF(AND(H1028="ja",((U1037)&lt;R1053)),ROUND(((R1055*R1052+((R1053/(R1053-R1052))-(R1052/(R1053-R1052))*R1055)*((U1037)-R1052))*(H1036*2))-(((R1053/(R1053-R1052))*((U1037)-R1052))*H1036),2),ROUND(IF((U1037)&gt;R1037,R1037*H1036,U1037*H1036),2)))</f>
        <v>0</v>
      </c>
      <c r="I1037" s="64">
        <f>IF(B1037=0,0,IF(AND(H1028="ja",((U1037)&lt;R1053)),ROUND(((R1055*R1052+((R1053/(R1053-R1052))-(R1052/(R1053-R1052))*R1055)*((U1037)-R1052))*(I1036*2))-(((R1053/(R1053-R1052))*((U1037)-R1052))*I1036),2),ROUND(IF((U1037)&gt;S1037,S1037*I1036,U1037*I1036),2)))</f>
        <v>0</v>
      </c>
      <c r="J1037" s="64">
        <f>IF(B1037=0,0,IF(AND(H1028="ja",((U1037)&lt;R1053)),ROUND(((R1055*R1052+((R1053/(R1053-R1052))-(R1052/(R1053-R1052))*R1055)*((U1037)-R1052))*(J1036*2))-(((R1053/(R1053-R1052))*((U1037)-R1052))*J1036),2),ROUND(IF((U1037)&gt;S1037,S1037*J1036,U1037*J1036),2)))</f>
        <v>0</v>
      </c>
      <c r="K1037" s="64">
        <f>IF(B1037=0,0,IF(AND(H1028="ja",((U1037)&lt;R1053)),ROUND(((R1055*R1052+((R1053/(R1053-R1052))-(R1052/(R1053-R1052))*R1055)*((U1037)-R1052))*(K1036*2))-(((R1053/(R1053-R1052))*((U1037)-R1052))*K1036),2),ROUND(IF((U1037)&gt;R1037,R1037*K1036,U1037*K1036),2)))</f>
        <v>0</v>
      </c>
      <c r="L1037" s="64">
        <f>IF(B1037=0,0,IF(AND(H1028="ja",((U1037-C1037)&lt;R1053)),ROUND(((R1055*R1052+((R1053/(R1053-R1052))-(R1052/(R1053-R1052))*R1055)*((U1037-C1037)-R1052))*(L1036)),2),ROUND(IF((SUM(B1037:F1037))&gt;S1037,S1037*L1036,(SUM(B1037:F1037)-C1037)*L1036),2)))</f>
        <v>0</v>
      </c>
      <c r="M1037" s="64">
        <f>IF(B1037=0,0,IF(AND(H1028="ja",((U1037-C1037)&lt;R1053)),ROUND(((R1055*R1052+((R1053/(R1053-R1052))-(R1052/(R1053-R1052))*R1055)*((U1037-C1037)-R1052))*(M1036)),2),ROUND(IF((SUM(B1037:F1037))&gt;S1037,S1037*M1036,(SUM(B1037:F1037)-C1037)*M1036),2)))</f>
        <v>0</v>
      </c>
      <c r="N1037" s="64">
        <f>IF(B1037=0,0,IF(AND(H1028="ja",((U1037)&lt;R1053)),ROUND(((R1055*R1052+((R1053/(R1053-R1052))-(R1052/(R1053-R1052))*R1055)*((U1037)-R1052))*(N1036)),2),ROUND(IF((SUM(B1037:F1037))&gt;S1037,S1037*N1036,SUM(B1037:F1037)*N1036),2)))</f>
        <v>0</v>
      </c>
      <c r="O1037" s="21">
        <f>ROUND(SUM(B1037+C1037+F1037)*O1036,2)</f>
        <v>0</v>
      </c>
      <c r="P1037" s="25">
        <f>SUM(G1037:O1037)</f>
        <v>0</v>
      </c>
      <c r="Q1037" s="456"/>
      <c r="R1037" s="140">
        <f>ROUND(IF(M1015="",R1031,R1031/M1015*P1014),2)</f>
        <v>5175</v>
      </c>
      <c r="S1037" s="140">
        <f>ROUND(IF(M1015="",R1032,R1032/M1015*P1014),2)</f>
        <v>7450</v>
      </c>
      <c r="U1037" s="950">
        <f>SUM(B1037:F1037)</f>
        <v>0</v>
      </c>
      <c r="V1037" s="950">
        <f>SUM(B1037:F1037)</f>
        <v>0</v>
      </c>
    </row>
    <row r="1038" spans="1:22" s="1" customFormat="1" x14ac:dyDescent="0.2">
      <c r="A1038" s="76" t="str">
        <f>CONCATENATE("Feb ",O1013)</f>
        <v>Feb 2025</v>
      </c>
      <c r="B1038" s="22">
        <f>ROUND(IF(P1015=0,0,IFERROR(((LOOKUP(2,1/(A1022:A1025=A1038),G1022:G1025))*P1015*4.348),B1037/P1014*P1015)),2)</f>
        <v>0</v>
      </c>
      <c r="C1038" s="21">
        <f>ROUND(IFERROR((LOOKUP(2,1/(A1028=A1038),E1028)),0)+IFERROR((LOOKUP(2,1/(A1029=A1038),E1029)),0),2)</f>
        <v>0</v>
      </c>
      <c r="D1038" s="21">
        <f>ROUND(IF(B1038=0,0,D1036/M1015*P1015),2)</f>
        <v>0</v>
      </c>
      <c r="E1038" s="21">
        <f>ROUND(IF(B1038=0,0,E1036/N1011*P1015),2)</f>
        <v>0</v>
      </c>
      <c r="F1038" s="22">
        <f>ROUND(IF(P1015=0,0,IFERROR(((LOOKUP(2,1/(A1022:A1025=A1038),I1022:I1025))/N1011*P1015),F1037/P1014*P1015)),2)</f>
        <v>0</v>
      </c>
      <c r="G1038" s="25">
        <f t="shared" si="172"/>
        <v>0</v>
      </c>
      <c r="H1038" s="64">
        <f>IF(B1038=0,0,IF(AND(H1028="ja",((U1038)&lt;R1053)),ROUND(((R1055*R1052+((R1053/(R1053-R1052))-(R1052/(R1053-R1052))*R1055)*((U1038)-R1052))*(H1036*2))-(((R1053/(R1053-R1052))*((U1038)-R1052))*H1036),2),ROUND(IF(U1037&lt;(R1037),IF((V1038)&gt;(SUM(R1037:R1038)),(((SUM(R1037:R1038))-(V1038-C1037))*H1036)+((U1038-C1037)*H1036),U1038*H1036),IF(V1038&gt;(SUM(R1037:R1038)),R1038*H1036,U1038*H1036)),2)))</f>
        <v>0</v>
      </c>
      <c r="I1038" s="64">
        <f>IF(B1038=0,0,IF(AND(H1028="ja",((U1038)&lt;R1053)),ROUND(((R1055*R1052+((R1053/(R1053-R1052))-(R1052/(R1053-R1052))*R1055)*((U1038)-R1052))*(I1036*2))-(((R1053/(R1053-R1052))*((U1038)-R1052))*I1036),2),ROUND(IF(U1037&lt;(S1037),IF((V1038)&gt;(SUM(S1037:S1038)),(((SUM(S1037:S1038))-(V1038-C1037))*I1036)+((U1038-C1037)*I1036),U1038*I1036),IF(V1038&gt;(SUM(S1037:S1038)),S1038*I1036,U1038*I1036)),2)))</f>
        <v>0</v>
      </c>
      <c r="J1038" s="64">
        <f>IF(B1038=0,0,IF(AND(H1028="ja",((U1038)&lt;R1053)),ROUND(((R1055*R1052+((R1053/(R1053-R1052))-(R1052/(R1053-R1052))*R1055)*((U1038)-R1052))*(J1036*2))-(((R1053/(R1053-R1052))*((U1038)-R1052))*J1036),2),ROUND(IF(U1037&lt;(S1037),IF((V1038)&gt;(SUM(S1037:S1038)),(((SUM(S1037:S1038))-(V1038-C1037))*J1036)+((U1038-C1037)*J1036),U1038*J1036),IF(V1038&gt;(SUM(S1037:S1038)),S1038*J1036,U1038*J1036)),2)))</f>
        <v>0</v>
      </c>
      <c r="K1038" s="64">
        <f>IF(B1038=0,0,IF(AND(H1028="ja",((U1038)&lt;R1053)),ROUND(((R1055*R1052+((R1053/(R1053-R1052))-(R1052/(R1053-R1052))*R1055)*((U1038)-R1052))*(K1036*2))-(((R1053/(R1053-R1052))*((U1038)-R1052))*K1036),2),ROUND(IF(U1037&lt;(R1037),IF((V1038)&gt;(SUM(R1037:R1038)),(((SUM(R1037:R1038))-(V1038-C1037))*K1036)+((U1038-C1037)*K1036),U1038*K1036),IF(V1038&gt;(SUM(R1037:R1038)),R1038*K1036,U1038*K1036)),2)))</f>
        <v>0</v>
      </c>
      <c r="L1038" s="64">
        <f>IF(B1038=0,0,IF(AND(H1028="ja",((U1038-C1038)&lt;R1053)),ROUND(((R1055*R1052+((R1053/(R1053-R1052))-(R1052/(R1053-R1052))*R1055)*((U1038-C1038)-R1052))*(L1036)),2),ROUND(IF(SUM(B1037:F1037)&lt;(S1037),IF((SUM(B1037:F1038))&gt;(SUM(S1037:S1038)),(((SUM(S1037:S1038))-(SUM(B1037:F1038)-C1038))*L1036)+((SUM(B1038:F1038)-C1038)*L1036),(SUM(B1038:F1038)-C1038)*L1036),IF(SUM(B1037:F1038)&gt;(SUM(S1037:S1038)),S1038*L1036,SUM(B1038:F1038)*L1036)),2)))</f>
        <v>0</v>
      </c>
      <c r="M1038" s="64">
        <f>IF(B1038=0,0,IF(AND(H1028="ja",((U1038-C1038)&lt;R1053)),ROUND(((R1055*R1052+((R1053/(R1053-R1052))-(R1052/(R1053-R1052))*R1055)*((U1038-C1038)-R1052))*(M1036)),2),ROUND(IF(SUM(B1037:F1037)&lt;(S1037),IF((SUM(B1037:F1038))&gt;(SUM(S1037:S1038)),(((SUM(S1037:S1038))-(SUM(B1037:F1038)-C1038))*M1036)+((SUM(B1038:F1038)-C1038)*M1036),(SUM(B1038:F1038)-C1038)*M1036),IF(SUM(B1037:F1038)&gt;(SUM(S1037:S1038)),S1038*M1036,SUM(B1038:F1038)*M1036)),2)))</f>
        <v>0</v>
      </c>
      <c r="N1038" s="64">
        <f>IF(B1038=0,0,IF(AND(H1028="ja",((U1038)&lt;R1053)),ROUND(((R1055*R1052+((R1053/(R1053-R1052))-(R1052/(R1053-R1052))*R1055)*((U1038)-R1052))*(N1036)),2),ROUND(IF(SUM(B1037:F1037)&lt;(S1037),IF((SUM(B1037:F1038))&gt;(SUM(S1037:S1038)),(((SUM(S1037:S1038))-(SUM(B1037:F1038)-C1037))*N1036)+((SUM(B1038:F1038)-C1037)*N1036),SUM(B1038:F1038)*N1036),IF(SUM(B1037:F1038)&gt;(SUM(S1037:S1038)),S1038*N1036,SUM(B1038:F1038)*N1036)),2)))</f>
        <v>0</v>
      </c>
      <c r="O1038" s="21">
        <f>ROUND(SUM(B1038+C1038+F1038)*O1036,2)</f>
        <v>0</v>
      </c>
      <c r="P1038" s="25">
        <f t="shared" ref="P1038:P1048" si="173">SUM(G1038:O1038)</f>
        <v>0</v>
      </c>
      <c r="Q1038" s="456"/>
      <c r="R1038" s="140">
        <f>ROUND(IF(M1015="",R1031,R1031/M1015*P1015),2)</f>
        <v>5175</v>
      </c>
      <c r="S1038" s="140">
        <f>ROUND(IF(M1015="",R1032,R1032/M1015*P1015),2)</f>
        <v>7450</v>
      </c>
      <c r="U1038" s="950">
        <f t="shared" ref="U1038:U1048" si="174">SUM(B1038:F1038)</f>
        <v>0</v>
      </c>
      <c r="V1038" s="950">
        <f>SUM(B1037:F1038)</f>
        <v>0</v>
      </c>
    </row>
    <row r="1039" spans="1:22" s="1" customFormat="1" x14ac:dyDescent="0.2">
      <c r="A1039" s="76" t="str">
        <f>CONCATENATE("Mrz ",O1013)</f>
        <v>Mrz 2025</v>
      </c>
      <c r="B1039" s="22">
        <f>ROUND(IF(P1016=0,0,IFERROR(((LOOKUP(2,1/(A1022:A1025=A1039),G1022:G1025))*P1016*4.348),B1038/P1015*P1016)),2)</f>
        <v>0</v>
      </c>
      <c r="C1039" s="21">
        <f>ROUND(IFERROR((LOOKUP(2,1/(A1028=A1039),E1028)),0)+IFERROR((LOOKUP(2,1/(A1029=A1039),E1029)),0),2)</f>
        <v>0</v>
      </c>
      <c r="D1039" s="21">
        <f>ROUND(IF(B1039=0,0,D1036/M1015*P1016),2)</f>
        <v>0</v>
      </c>
      <c r="E1039" s="21">
        <f>ROUND(IF(B1039=0,0,E1036/N1011*P1016),2)</f>
        <v>0</v>
      </c>
      <c r="F1039" s="22">
        <f>ROUND(IF(P1016=0,0,IFERROR(((LOOKUP(2,1/(A1022:A1025=A1039),I1022:I1025))/N1011*P1016),F1038/P1015*P1016)),2)</f>
        <v>0</v>
      </c>
      <c r="G1039" s="25">
        <f t="shared" si="172"/>
        <v>0</v>
      </c>
      <c r="H1039" s="64">
        <f>IF(B1039=0,0,IF(AND(H1028="ja",((U1039)&lt;R1053)),ROUND(((R1055*R1052+((R1053/(R1053-R1052))-(R1052/(R1053-R1052))*R1055)*((U1039)-R1052))*(H1036*2))-(((R1053/(R1053-R1052))*((U1039)-R1052))*H1036),2),ROUND(IF(V1038&lt;(SUM(R1037:R1038)),IF((V1039)&gt;(SUM(R1037:R1039)),(((SUM(R1037:R1039))-(V1039-C1038))*H1036)+((U1039-C1038)*H1036),U1039*H1036),IF(V1039&gt;(SUM(R1037:R1039)),R1039*H1036,U1039*H1036)),2)))</f>
        <v>0</v>
      </c>
      <c r="I1039" s="64">
        <f>IF(B1039=0,0,IF(AND(H1028="ja",((U1039)&lt;R1053)),ROUND(((R1055*R1052+((R1053/(R1053-R1052))-(R1052/(R1053-R1052))*R1055)*((U1039)-R1052))*(I1036*2))-(((R1053/(R1053-R1052))*((U1039)-R1052))*I1036),2),ROUND(IF(V1038&lt;(SUM(S1037:S1038)),IF((V1039)&gt;(SUM(S1037:S1039)),(((SUM(S1037:S1039))-(V1039-C1038))*I1036)+((U1039-C1038)*I1036),U1039*I1036),IF(V1039&gt;(SUM(S1037:S1039)),S1039*I1036,U1039*I1036)),2)))</f>
        <v>0</v>
      </c>
      <c r="J1039" s="64">
        <f>IF(B1039=0,0,IF(AND(H1028="ja",((U1039)&lt;R1053)),ROUND(((R1055*R1052+((R1053/(R1053-R1052))-(R1052/(R1053-R1052))*R1055)*((U1039)-R1052))*(J1036*2))-(((R1053/(R1053-R1052))*((U1039)-R1052))*J1036),2),ROUND(IF(V1038&lt;(SUM(S1037:S1038)),IF((V1039)&gt;(SUM(S1037:S1039)),(((SUM(S1037:S1039))-(V1039-C1038))*J1036)+((U1039-C1038)*J1036),U1039*J1036),IF(V1039&gt;(SUM(S1037:S1039)),S1039*J1036,U1039*J1036)),2)))</f>
        <v>0</v>
      </c>
      <c r="K1039" s="64">
        <f>IF(B1039=0,0,IF(AND(H1028="ja",((U1039)&lt;R1053)),ROUND(((R1055*R1052+((R1053/(R1053-R1052))-(R1052/(R1053-R1052))*R1055)*((U1039)-R1052))*(K1036*2))-(((R1053/(R1053-R1052))*((U1039)-R1052))*K1036),2),ROUND(IF(V1038&lt;(SUM(R1037:R1038)),IF((V1039)&gt;(SUM(R1037:R1039)),(((SUM(R1037:R1039))-(V1039-C1038))*K1036)+((U1039-C1038)*K1036),U1039*K1036),IF(V1039&gt;(SUM(R1037:R1039)),R1039*K1036,U1039*K1036)),2)))</f>
        <v>0</v>
      </c>
      <c r="L1039" s="64">
        <f>IF(B1039=0,0,IF(AND(H1028="ja",((U1039-C1039)&lt;R1053)),ROUND(((R1055*R1052+((R1053/(R1053-R1052))-(R1052/(R1053-R1052))*R1055)*((U1039-C1039)-R1052))*(L1036)),2),ROUND(IF(SUM(B1037:F1038)&lt;(SUM(S1037:S1038)),IF((SUM(B1037:F1039))&gt;(SUM(S1037:S1039)),(((SUM(S1037:S1039))-(SUM(B1037:F1039)-C1039))*L1036)+((SUM(B1039:F1039)-C1039)*L1036),(SUM(B1039:F1039)-C1039)*L1036),IF(SUM(B1037:F1039)&gt;(SUM(S1037:S1039)),S1039*L1036,SUM(B1039:F1039)*L1036)),2)))</f>
        <v>0</v>
      </c>
      <c r="M1039" s="64">
        <f>IF(B1039=0,0,IF(AND(H1028="ja",((U1039-C1039)&lt;R1053)),ROUND(((R1055*R1052+((R1053/(R1053-R1052))-(R1052/(R1053-R1052))*R1055)*((U1039-C1039)-R1052))*(M1036)),2),ROUND(IF(SUM(B1037:F1038)&lt;(SUM(S1037:S1038)),IF((SUM(B1037:F1039))&gt;(SUM(S1037:S1039)),(((SUM(S1037:S1039))-(SUM(B1037:F1039)-C1039))*M1036)+((SUM(B1039:F1039)-C1039)*M1036),(SUM(B1039:F1039)-C1039)*M1036),IF(SUM(B1037:F1039)&gt;(SUM(S1037:S1039)),S1039*M1036,SUM(B1039:F1039)*M1036)),2)))</f>
        <v>0</v>
      </c>
      <c r="N1039" s="64">
        <f>IF(B1039=0,0,IF(AND(H1028="ja",((U1039)&lt;R1053)),ROUND(((R1055*R1052+((R1053/(R1053-R1052))-(R1052/(R1053-R1052))*R1055)*((U1039)-R1052))*(N1036)),2),ROUND(IF(SUM(B1037:F1038)&lt;(SUM(S1037:S1038)),IF((SUM(B1037:F1039))&gt;(SUM(S1037:S1039)),(((SUM(S1037:S1039))-(SUM(B1037:F1039)-C1038))*N1036)+((SUM(B1039:F1039)-C1038)*N1036),SUM(B1039:F1039)*N1036),IF(SUM(B1037:F1039)&gt;(SUM(S1037:S1039)),S1039*N1036,SUM(B1039:F1039)*N1036)),2)))</f>
        <v>0</v>
      </c>
      <c r="O1039" s="21">
        <f>ROUND(SUM(B1039+C1039+F1039)*O1036,2)</f>
        <v>0</v>
      </c>
      <c r="P1039" s="25">
        <f t="shared" si="173"/>
        <v>0</v>
      </c>
      <c r="Q1039" s="456"/>
      <c r="R1039" s="140">
        <f>ROUND(IF(M1015="",R1031,R1031/M1015*P1016),2)</f>
        <v>5175</v>
      </c>
      <c r="S1039" s="140">
        <f>ROUND(IF(M1015="",R1032,R1032/M1015*P1016),2)</f>
        <v>7450</v>
      </c>
      <c r="U1039" s="950">
        <f t="shared" si="174"/>
        <v>0</v>
      </c>
      <c r="V1039" s="950">
        <f>SUM(B1037:F1039)</f>
        <v>0</v>
      </c>
    </row>
    <row r="1040" spans="1:22" s="1" customFormat="1" x14ac:dyDescent="0.2">
      <c r="A1040" s="76" t="str">
        <f>CONCATENATE("Apr ",O1013)</f>
        <v>Apr 2025</v>
      </c>
      <c r="B1040" s="22">
        <f>ROUND(IF(P1017=0,0,IFERROR(((LOOKUP(2,1/(A1022:A1025=A1040),G1022:G1025))*P1017*4.348),B1039/P1016*P1017)),2)</f>
        <v>0</v>
      </c>
      <c r="C1040" s="21">
        <f>ROUND(IFERROR((LOOKUP(2,1/(A1028=A1040),E1028)),0)+IFERROR((LOOKUP(2,1/(A1029=A1040),E1029)),0),2)</f>
        <v>0</v>
      </c>
      <c r="D1040" s="21">
        <f>ROUND(IF(B1040=0,0,D1036/M1015*P1017),2)</f>
        <v>0</v>
      </c>
      <c r="E1040" s="21">
        <f>ROUND(IF(B1040=0,0,E1036/N1011*P1017),2)</f>
        <v>0</v>
      </c>
      <c r="F1040" s="22">
        <f>ROUND(IF(P1017=0,0,IFERROR(((LOOKUP(2,1/(A1022:A1025=A1040),I1022:I1025))/N1011*P1017),F1039/P1016*P1017)),2)</f>
        <v>0</v>
      </c>
      <c r="G1040" s="25">
        <f t="shared" si="172"/>
        <v>0</v>
      </c>
      <c r="H1040" s="64">
        <f>IF(B1040=0,0,IF(AND(H1028="ja",((U1040)&lt;R1053)),ROUND(((R1055*R1052+((R1053/(R1053-R1052))-(R1052/(R1053-R1052))*R1055)*((U1040)-R1052))*(H1036*2))-(((R1053/(R1053-R1052))*((U1040)-R1052))*H1036),2),ROUND(IF(V1039&lt;(SUM(R1037:R1039)),IF((V1040)&gt;(SUM(R1037:R1040)),(((SUM(R1037:R1040))-(V1040-C1039))*H1036)+((U1040-C1039)*H1036),U1040*H1036),IF(V1040&gt;(SUM(R1037:R1040)),R1040*H1036,U1040*H1036)),2)))</f>
        <v>0</v>
      </c>
      <c r="I1040" s="64">
        <f>IF(B1040=0,0,IF(AND(H1028="ja",((U1040)&lt;R1053)),ROUND(((R1055*R1052+((R1053/(R1053-R1052))-(R1052/(R1053-R1052))*R1055)*((U1040)-R1052))*(I1036*2))-(((R1053/(R1053-R1052))*((U1040)-R1052))*I1036),2),ROUND(IF(V1039&lt;(SUM(S1037:S1039)),IF((V1040)&gt;(SUM(S1037:S1040)),(((SUM(S1037:S1040))-(V1040-C1039))*I1036)+((U1040-C1039)*I1036),U1040*I1036),IF(V1040&gt;(SUM(S1037:S1040)),S1040*I1036,U1040*I1036)),2)))</f>
        <v>0</v>
      </c>
      <c r="J1040" s="64">
        <f>IF(B1040=0,0,IF(AND(H1028="ja",((U1040)&lt;R1053)),ROUND(((R1055*R1052+((R1053/(R1053-R1052))-(R1052/(R1053-R1052))*R1055)*((U1040)-R1052))*(J1036*2))-(((R1053/(R1053-R1052))*((U1040)-R1052))*J1036),2),ROUND(IF(U1039&lt;(SUM(S1037:S1039)),IF((V1040)&gt;(SUM(S1037:S1040)),(((SUM(S1037:S1040))-(V1040-C1039))*J1036)+((U1040-C1039)*J1036),U1040*J1036),IF(V1040&gt;(SUM(S1037:S1040)),S1040*J1036,U1040*J1036)),2)))</f>
        <v>0</v>
      </c>
      <c r="K1040" s="64">
        <f>IF(B1040=0,0,IF(AND(H1028="ja",((U1040)&lt;R1053)),ROUND(((R1055*R1052+((R1053/(R1053-R1052))-(R1052/(R1053-R1052))*R1055)*((U1040)-R1052))*(K1036*2))-(((R1053/(R1053-R1052))*((U1040)-R1052))*K1036),2),ROUND(IF(V1039&lt;(SUM(R1037:R1039)),IF((V1040)&gt;(SUM(R1037:R1040)),(((SUM(R1037:R1040))-(V1040-C1039))*K1036)+((U1040-C1039)*K1036),U1040*K1036),IF(V1040&gt;(SUM(R1037:R1040)),R1040*K1036,U1040*K1036)),2)))</f>
        <v>0</v>
      </c>
      <c r="L1040" s="64">
        <f>IF(B1040=0,0,IF(AND(H1028="ja",((U1040-C1040)&lt;R1053)),ROUND(((R1055*R1052+((R1053/(R1053-R1052))-(R1052/(R1053-R1052))*R1055)*((U1040-C1040)-R1052))*(L1036)),2),ROUND(IF(SUM(B1037:F1039)&lt;(SUM(S1037:S1039)),IF((SUM(B1037:F1040))&gt;(SUM(S1037:S1040)),(((SUM(S1037:S1040))-(SUM(B1037:F1040)-C1040))*L1036)+((SUM(B1040:F1040)-C1040)*L1036),(SUM(B1040:F1040)-C1040)*L1036),IF(SUM(B1037:F1040)&gt;(SUM(S1037:S1040)),S1040*L1036,SUM(B1040:F1040)*L1036)),2)))</f>
        <v>0</v>
      </c>
      <c r="M1040" s="64">
        <f>IF(B1040=0,0,IF(AND(H1028="ja",((U1040-C1040)&lt;R1053)),ROUND(((R1055*R1052+((R1053/(R1053-R1052))-(R1052/(R1053-R1052))*R1055)*((U1040-C1040)-R1052))*(M1036)),2),ROUND(IF(SUM(B1037:F1039)&lt;(SUM(S1037:S1039)),IF((SUM(B1037:F1040))&gt;(SUM(S1037:S1040)),(((SUM(S1037:S1040))-(SUM(B1037:F1040)-C1040))*M1036)+((SUM(B1040:F1040)-C1040)*M1036),(SUM(B1040:F1040)-C1040)*M1036),IF(SUM(B1037:F1040)&gt;(SUM(S1037:S1040)),S1040*M1036,SUM(B1040:F1040)*M1036)),2)))</f>
        <v>0</v>
      </c>
      <c r="N1040" s="64">
        <f>IF(B1040=0,0,IF(AND(H1028="ja",((U1040)&lt;R1053)),ROUND(((R1055*R1052+((R1053/(R1053-R1052))-(R1052/(R1053-R1052))*R1055)*((U1040)-R1052))*(N1036)),2),ROUND(IF(SUM(B1037:F1039)&lt;(SUM(S1037:S1039)),IF((SUM(B1037:F1040))&gt;(SUM(S1037:S1040)),(((SUM(S1037:S1040))-(SUM(B1037:F1040)-C1039))*N1036)+((SUM(B1040:F1040)-C1039)*N1036),SUM(B1040:F1040)*N1036),IF(SUM(B1037:F1040)&gt;(SUM(S1037:S1040)),S1040*N1036,SUM(B1040:F1040)*N1036)),2)))</f>
        <v>0</v>
      </c>
      <c r="O1040" s="21">
        <f>ROUND(SUM(B1040+C1040+F1040)*O1036,2)</f>
        <v>0</v>
      </c>
      <c r="P1040" s="25">
        <f t="shared" si="173"/>
        <v>0</v>
      </c>
      <c r="Q1040" s="456"/>
      <c r="R1040" s="140">
        <f>ROUND(IF(M1015="",R1031,R1031/M1015*P1017),2)</f>
        <v>5175</v>
      </c>
      <c r="S1040" s="140">
        <f>ROUND(IF(M1015="",R1032,R1032/M1015*P1017),2)</f>
        <v>7450</v>
      </c>
      <c r="U1040" s="950">
        <f t="shared" si="174"/>
        <v>0</v>
      </c>
      <c r="V1040" s="950">
        <f>SUM(B1037:F1040)</f>
        <v>0</v>
      </c>
    </row>
    <row r="1041" spans="1:24" s="1" customFormat="1" x14ac:dyDescent="0.2">
      <c r="A1041" s="76" t="str">
        <f>CONCATENATE("Mai ",O1013)</f>
        <v>Mai 2025</v>
      </c>
      <c r="B1041" s="22">
        <f>ROUND(IF(P1018=0,0,IFERROR(((LOOKUP(2,1/(A1022:A1025=A1041),G1022:G1025))*P1018*4.348),B1040/P1017*P1018)),2)</f>
        <v>0</v>
      </c>
      <c r="C1041" s="21">
        <f>ROUND(IFERROR((LOOKUP(2,1/(A1028=A1041),E1028)),0)+IFERROR((LOOKUP(2,1/(A1029=A1041),E1029)),0),2)</f>
        <v>0</v>
      </c>
      <c r="D1041" s="21">
        <f>ROUND(IF(B1041=0,0,D1036/M1015*P1018),2)</f>
        <v>0</v>
      </c>
      <c r="E1041" s="21">
        <f>ROUND(IF(B1041=0,0,E1036/N1011*P1018),2)</f>
        <v>0</v>
      </c>
      <c r="F1041" s="22">
        <f>ROUND(IF(P1018=0,0,IFERROR(((LOOKUP(2,1/(A1022:A1025=A1041),I1022:I1025))/N1011*P1018),F1040/P1017*P1018)),2)</f>
        <v>0</v>
      </c>
      <c r="G1041" s="25">
        <f t="shared" si="172"/>
        <v>0</v>
      </c>
      <c r="H1041" s="64">
        <f>IF(B1041=0,0,IF(AND(H1028="ja",((U1041)&lt;R1053)),ROUND(((R1055*R1052+((R1053/(R1053-R1052))-(R1052/(R1053-R1052))*R1055)*((U1041)-R1052))*(H1036*2))-(((R1053/(R1053-R1052))*((U1041)-R1052))*H1036),2),ROUND(IF(V1040&lt;(SUM(R1037:R1040)),IF((V1041)&gt;(SUM(R1037:R1041)),(((SUM(R1037:R1041))-(V1041-C1040))*H1036)+((U1041-C1040)*H1036),U1041*H1036),IF(V1041&gt;(SUM(R1037:R1041)),R1041*H1036,U1041*H1036)),2)))</f>
        <v>0</v>
      </c>
      <c r="I1041" s="64">
        <f>IF(B1041=0,0,IF(AND(H1028="ja",((U1041)&lt;R1053)),ROUND(((R1055*R1052+((R1053/(R1053-R1052))-(R1052/(R1053-R1052))*R1055)*((U1041)-R1052))*(I1036*2))-(((R1053/(R1053-R1052))*((U1041)-R1052))*I1036),2),ROUND(IF(V1040&lt;(SUM(S1037:S1040)),IF((V1041)&gt;(SUM(S1037:S1041)),(((SUM(S1037:S1041))-(V1041-C1040))*I1036)+((U1041-C1040)*I1036),U1041*I1036),IF(V1041&gt;(SUM(S1037:S1041)),S1041*I1036,U1041*I1036)),2)))</f>
        <v>0</v>
      </c>
      <c r="J1041" s="64">
        <f>IF(B1041=0,0,IF(AND(H1028="ja",((U1041)&lt;R1053)),ROUND(((R1055*R1052+((R1053/(R1053-R1052))-(R1052/(R1053-R1052))*R1055)*((U1041)-R1052))*(J1036*2))-(((R1053/(R1053-R1052))*((U1041)-R1052))*J1036),2),ROUND(IF(V1040&lt;(SUM(S1037:S1040)),IF((V1041)&gt;(SUM(S1037:S1041)),(((SUM(S1037:S1041))-(V1041-C1040))*J1036)+((U1041-C1040)*J1036),U1041*J1036),IF(V1041&gt;(SUM(S1037:S1041)),S1041*J1036,U1041*J1036)),2)))</f>
        <v>0</v>
      </c>
      <c r="K1041" s="64">
        <f>IF(B1041=0,0,IF(AND(H1028="ja",((U1041)&lt;R1053)),ROUND(((R1055*R1052+((R1053/(R1053-R1052))-(R1052/(R1053-R1052))*R1055)*((U1041)-R1052))*(K1036*2))-(((R1053/(R1053-R1052))*((U1041)-R1052))*K1036),2),ROUND(IF(V1040&lt;(SUM(R1037:R1040)),IF((V1041)&gt;(SUM(R1037:R1041)),(((SUM(R1037:R1041))-(V1041-C1040))*K1036)+((U1041-C1040)*K1036),U1041*K1036),IF(V1041&gt;(SUM(R1037:R1041)),R1041*K1036,U1041*K1036)),2)))</f>
        <v>0</v>
      </c>
      <c r="L1041" s="64">
        <f>IF(B1041=0,0,IF(AND(H1028="ja",((U1041-C1041)&lt;R1053)),ROUND(((R1055*R1052+((R1053/(R1053-R1052))-(R1052/(R1053-R1052))*R1055)*((U1041-C1041)-R1052))*(L1036)),2),ROUND(IF(SUM(B1037:F1040)&lt;(SUM(S1037:S1040)),IF((SUM(B1037:F1041))&gt;(SUM(S1037:S1041)),(((SUM(S1037:S1041))-(SUM(B1037:F1041)-C1041))*L1036)+((SUM(B1041:F1041)-C1041)*L1036),(SUM(B1041:F1041)-C1041)*L1036),IF(SUM(B1037:F1041)&gt;(SUM(S1037:S1041)),S1041*L1036,SUM(B1041:F1041)*L1036)),2)))</f>
        <v>0</v>
      </c>
      <c r="M1041" s="64">
        <f>IF(B1041=0,0,IF(AND(H1028="ja",((U1041-C1041)&lt;R1053)),ROUND(((R1055*R1052+((R1053/(R1053-R1052))-(R1052/(R1053-R1052))*R1055)*((U1041-C1041)-R1052))*(M1036)),2),ROUND(IF(SUM(B1037:F1040)&lt;(SUM(S1037:S1040)),IF((SUM(B1037:F1041))&gt;(SUM(S1037:S1041)),(((SUM(S1037:S1041))-(SUM(B1037:F1041)-C1041))*M1036)+((SUM(B1041:F1041)-C1041)*M1036),(SUM(B1041:F1041)-C1041)*M1036),IF(SUM(B1037:F1041)&gt;(SUM(S1037:S1041)),S1041*M1036,SUM(B1041:F1041)*M1036)),2)))</f>
        <v>0</v>
      </c>
      <c r="N1041" s="64">
        <f>IF(B1041=0,0,IF(AND(H1028="ja",((U1041)&lt;R1053)),ROUND(((R1055*R1052+((R1053/(R1053-R1052))-(R1052/(R1053-R1052))*R1055)*((U1041)-R1052))*(N1036)),2),ROUND(IF(SUM(B1037:F1040)&lt;(SUM(S1037:S1040)),IF((SUM(B1037:F1041))&gt;(SUM(S1037:S1041)),(((SUM(S1037:S1041))-(SUM(B1037:F1041)-C1040))*N1036)+((SUM(B1041:F1041)-C1040)*N1036),SUM(B1041:F1041)*N1036),IF(SUM(B1037:F1041)&gt;(SUM(S1037:S1041)),S1041*N1036,SUM(B1041:F1041)*N1036)),2)))</f>
        <v>0</v>
      </c>
      <c r="O1041" s="21">
        <f>ROUND(SUM(B1041+C1041+F1041)*O1036,2)</f>
        <v>0</v>
      </c>
      <c r="P1041" s="25">
        <f t="shared" si="173"/>
        <v>0</v>
      </c>
      <c r="Q1041" s="456"/>
      <c r="R1041" s="140">
        <f>ROUND(IF(M1015="",R1031,R1031/M1015*P1018),2)</f>
        <v>5175</v>
      </c>
      <c r="S1041" s="140">
        <f>ROUND(IF(M1015="",R1032,R1032/M1015*P1018),2)</f>
        <v>7450</v>
      </c>
      <c r="U1041" s="950">
        <f t="shared" si="174"/>
        <v>0</v>
      </c>
      <c r="V1041" s="950">
        <f>SUM(B1037:F1041)</f>
        <v>0</v>
      </c>
    </row>
    <row r="1042" spans="1:24" s="1" customFormat="1" x14ac:dyDescent="0.2">
      <c r="A1042" s="76" t="str">
        <f>CONCATENATE("Jun ",O1013)</f>
        <v>Jun 2025</v>
      </c>
      <c r="B1042" s="22">
        <f>ROUND(IF(P1019=0,0,IFERROR(((LOOKUP(2,1/(A1022:A1025=A1042),G1022:G1025))*P1019*4.348),B1041/P1018*P1019)),2)</f>
        <v>0</v>
      </c>
      <c r="C1042" s="21">
        <f>ROUND(IFERROR((LOOKUP(2,1/(A1028=A1042),E1028)),0)+IFERROR((LOOKUP(2,1/(A1029=A1042),E1029)),0),2)</f>
        <v>0</v>
      </c>
      <c r="D1042" s="21">
        <f>ROUND(IF(B1042=0,0,D1036/M1015*P1019),2)</f>
        <v>0</v>
      </c>
      <c r="E1042" s="21">
        <f>ROUND(IF(B1042=0,0,E1036/N1011*P1019),2)</f>
        <v>0</v>
      </c>
      <c r="F1042" s="22">
        <f>ROUND(IF(P1019=0,0,IFERROR(((LOOKUP(2,1/(A1022:A1025=A1042),I1022:I1025))/N1011*P1019),F1041/P1018*P1019)),2)</f>
        <v>0</v>
      </c>
      <c r="G1042" s="25">
        <f t="shared" si="172"/>
        <v>0</v>
      </c>
      <c r="H1042" s="64">
        <f>IF(B1042=0,0,IF(AND(H1028="ja",((U1042)&lt;R1053)),ROUND(((R1055*R1052+((R1053/(R1053-R1052))-(R1052/(R1053-R1052))*R1055)*((U1042)-R1052))*(H1036*2))-(((R1053/(R1053-R1052))*((U1042)-R1052))*H1036),2),ROUND(IF(V1041&lt;(SUM(R1037:R1041)),IF((V1042)&gt;(SUM(R1037:R1042)),(((SUM(R1037:R1042))-(V1042-C1041))*H1036)+((U1042-C1041)*H1036),U1042*H1036),IF(V1042&gt;(SUM(R1037:R1042)),R1042*H1036,U1042*H1036)),2)))</f>
        <v>0</v>
      </c>
      <c r="I1042" s="64">
        <f>IF(B1042=0,0,IF(AND(H1028="ja",((U1042)&lt;R1053)),ROUND(((R1055*R1052+((R1053/(R1053-R1052))-(R1052/(R1053-R1052))*R1055)*((U1042)-R1052))*(I1036*2))-(((R1053/(R1053-R1052))*((U1042)-R1052))*I1036),2),ROUND(IF(V1041&lt;(SUM(S1037:S1041)),IF((V1042)&gt;(SUM(S1037:S1042)),(((SUM(S1037:S1042))-(V1042-C1041))*I1036)+((U1042-C1041)*I1036),U1042*I1036),IF(V1042&gt;(SUM(S1037:S1042)),S1042*I1036,U1042*I1036)),2)))</f>
        <v>0</v>
      </c>
      <c r="J1042" s="64">
        <f>IF(B1042=0,0,IF(AND(H1028="ja",((U1042)&lt;R1053)),ROUND(((R1055*R1052+((R1053/(R1053-R1052))-(R1052/(R1053-R1052))*R1055)*((U1042)-R1052))*(J1036*2))-(((R1053/(R1053-R1052))*((U1042)-R1052))*J1036),2),ROUND(IF(V1041&lt;(SUM(S1037:S1041)),IF((V1042)&gt;(SUM(S1037:S1042)),(((SUM(S1037:S1042))-(V1042-C1041))*J1036)+((U1042-C1041)*J1036),U1042*J1036),IF(V1042&gt;(SUM(S1037:S1042)),S1042*J1036,U1042*J1036)),2)))</f>
        <v>0</v>
      </c>
      <c r="K1042" s="64">
        <f>IF(B1042=0,0,IF(AND(H1028="ja",((U1042)&lt;R1053)),ROUND(((R1055*R1052+((R1053/(R1053-R1052))-(R1052/(R1053-R1052))*R1055)*((U1042)-R1052))*(K1036*2))-(((R1053/(R1053-R1052))*((U1042)-R1052))*K1036),2),ROUND(IF(V1041&lt;(SUM(R1037:R1041)),IF((V1042)&gt;(SUM(R1037:R1042)),(((SUM(R1037:R1042))-(V1042-C1041))*K1036)+((U1042-C1041)*K1036),U1042*K1036),IF(V1042&gt;(SUM(R1037:R1042)),R1042*K1036,U1042*K1036)),2)))</f>
        <v>0</v>
      </c>
      <c r="L1042" s="64">
        <f>IF(B1042=0,0,IF(AND(H1028="ja",((U1042-C1042)&lt;R1053)),ROUND(((R1055*R1052+((R1053/(R1053-R1052))-(R1052/(R1053-R1052))*R1055)*((U1042-C1042)-R1052))*(L1036)),2),ROUND(IF(SUM(B1037:F1041)&lt;(SUM(S1037:S1041)),IF((SUM(B1037:F1042))&gt;(SUM(S1037:S1042)),(((SUM(S1037:S1042))-(SUM(B1037:F1042)-C1042))*L1036)+((SUM(B1042:F1042)-C1042)*L1036),(SUM(B1042:F1042)-C1042)*L1036),IF(SUM(B1037:F1042)&gt;(SUM(S1037:S1042)),S1042*L1036,SUM(B1042:F1042)*L1036)),2)))</f>
        <v>0</v>
      </c>
      <c r="M1042" s="64">
        <f>IF(B1042=0,0,IF(AND(H1028="ja",((U1042-C1042)&lt;R1053)),ROUND(((R1055*R1052+((R1053/(R1053-R1052))-(R1052/(R1053-R1052))*R1055)*((U1042-C1042)-R1052))*(M1036)),2),ROUND(IF(SUM(B1037:F1041)&lt;(SUM(S1037:S1041)),IF((SUM(B1037:F1042))&gt;(SUM(S1037:S1042)),(((SUM(S1037:S1042))-(SUM(B1037:F1042)-C1042))*M1036)+((SUM(B1042:F1042)-C1042)*M1036),(SUM(B1042:F1042)-C1042)*M1036),IF(SUM(B1037:F1042)&gt;(SUM(S1037:S1042)),S1042*M1036,SUM(B1042:F1042)*M1036)),2)))</f>
        <v>0</v>
      </c>
      <c r="N1042" s="64">
        <f>IF(B1042=0,0,IF(AND(H1028="ja",((U1042)&lt;R1053)),ROUND(((R1055*R1052+((R1053/(R1053-R1052))-(R1052/(R1053-R1052))*R1055)*((U1042)-R1052))*(N1036)),2),ROUND(IF(SUM(B1037:F1041)&lt;(SUM(S1037:S1041)),IF((SUM(B1037:F1042))&gt;(SUM(S1037:S1042)),(((SUM(S1037:S1042))-(SUM(B1037:F1042)-C1041))*N1036)+((SUM(B1042:F1042)-C1041)*N1036),SUM(B1042:F1042)*N1036),IF(SUM(B1037:F1042)&gt;(SUM(S1037:S1042)),S1042*N1036,SUM(B1042:F1042)*N1036)),2)))</f>
        <v>0</v>
      </c>
      <c r="O1042" s="21">
        <f>ROUND(SUM(B1042+C1042+F1042)*O1036,2)</f>
        <v>0</v>
      </c>
      <c r="P1042" s="25">
        <f t="shared" si="173"/>
        <v>0</v>
      </c>
      <c r="Q1042" s="456"/>
      <c r="R1042" s="140">
        <f>ROUND(IF(M1015="",R1031,R1031/M1015*P1019),2)</f>
        <v>5175</v>
      </c>
      <c r="S1042" s="140">
        <f>ROUND(IF(M1015="",R1032,R1032/M1015*P1019),2)</f>
        <v>7450</v>
      </c>
      <c r="U1042" s="950">
        <f t="shared" si="174"/>
        <v>0</v>
      </c>
      <c r="V1042" s="950">
        <f>SUM(B1037:F1042)</f>
        <v>0</v>
      </c>
    </row>
    <row r="1043" spans="1:24" s="1" customFormat="1" x14ac:dyDescent="0.2">
      <c r="A1043" s="76" t="str">
        <f>CONCATENATE("Jul ",O1013)</f>
        <v>Jul 2025</v>
      </c>
      <c r="B1043" s="22">
        <f>ROUND(IF(P1020=0,0,IFERROR(((LOOKUP(2,1/(A1022:A1025=A1043),G1022:G1025))*P1020*4.348),B1042/P1019*P1020)),2)</f>
        <v>0</v>
      </c>
      <c r="C1043" s="21">
        <f>ROUND(IFERROR((LOOKUP(2,1/(A1028=A1043),E1028)),0)+IFERROR((LOOKUP(2,1/(A1029=A1043),E1029)),0),2)</f>
        <v>0</v>
      </c>
      <c r="D1043" s="21">
        <f>ROUND(IF(B1043=0,0,D1036/M1015*P1020),2)</f>
        <v>0</v>
      </c>
      <c r="E1043" s="21">
        <f>ROUND(IF(B1043=0,0,E1036/N1011*P1020),2)</f>
        <v>0</v>
      </c>
      <c r="F1043" s="22">
        <f>ROUND(IF(P1020=0,0,IFERROR(((LOOKUP(2,1/(A1022:A1025=A1043),I1022:I1025))/N1011*P1020),F1042/P1019*P1020)),2)</f>
        <v>0</v>
      </c>
      <c r="G1043" s="25">
        <f t="shared" si="172"/>
        <v>0</v>
      </c>
      <c r="H1043" s="64">
        <f>IF(B1043=0,0,IF(AND(H1028="ja",((U1043)&lt;R1053)),ROUND(((R1055*R1052+((R1053/(R1053-R1052))-(R1052/(R1053-R1052))*R1055)*((U1043)-R1052))*(H1036*2))-(((R1053/(R1053-R1052))*((U1043)-R1052))*H1036),2),ROUND(IF(V1042&lt;(SUM(R1037:R1042)),IF((V1043)&gt;(SUM(R1037:R1043)),(((SUM(R1037:R1043))-(V1043-C1042))*H1036)+((U1043-C1042)*H1036),U1043*H1036),IF(V1043&gt;(SUM(R1037:R1043)),R1043*H1036,U1043*H1036)),2)))</f>
        <v>0</v>
      </c>
      <c r="I1043" s="64">
        <f>IF(B1043=0,0,IF(AND(H1028="ja",((U1043)&lt;R1053)),ROUND(((R1055*R1052+((R1053/(R1053-R1052))-(R1052/(R1053-R1052))*R1055)*((U1043)-R1052))*(I1036*2))-(((R1053/(R1053-R1052))*((U1043)-R1052))*I1036),2),ROUND(IF(V1042&lt;(SUM(S1037:S1042)),IF((V1043)&gt;(SUM(S1037:S1043)),(((SUM(S1037:S1043))-(V1043-C1042))*I1036)+((U1043-C1042)*I1036),U1043*I1036),IF(V1043&gt;(SUM(S1037:S1043)),S1043*I1036,U1043*I1036)),2)))</f>
        <v>0</v>
      </c>
      <c r="J1043" s="64">
        <f>IF(B1043=0,0,IF(AND(H1028="ja",((U1043)&lt;R1053)),ROUND(((R1055*R1052+((R1053/(R1053-R1052))-(R1052/(R1053-R1052))*R1055)*((U1043)-R1052))*(J1036*2))-(((R1053/(R1053-R1052))*((U1043)-R1052))*J1036),2),ROUND(IF(V1042&lt;(SUM(S1037:S1042)),IF((V1043)&gt;(SUM(S1037:S1043)),(((SUM(S1037:S1043))-(V1043-C1042))*J1036)+((U1043-C1042)*J1036),U1043*J1036),IF(V1043&gt;(SUM(S1037:S1043)),S1043*J1036,U1043*J1036)),2)))</f>
        <v>0</v>
      </c>
      <c r="K1043" s="64">
        <f>IF(B1043=0,0,IF(AND(H1028="ja",((U1043)&lt;R1053)),ROUND(((R1055*R1052+((R1053/(R1053-R1052))-(R1052/(R1053-R1052))*R1055)*((U1043)-R1052))*(K1036*2))-(((R1053/(R1053-R1052))*((U1043)-R1052))*K1036),2),ROUND(IF(V1042&lt;(SUM(R1037:R1042)),IF((V1043)&gt;(SUM(R1037:R1043)),(((SUM(R1037:R1043))-(V1043-C1042))*K1036)+((U1043-C1042)*K1036),U1043*K1036),IF(V1043&gt;(SUM(R1037:R1043)),R1043*K1036,U1043*K1036)),2)))</f>
        <v>0</v>
      </c>
      <c r="L1043" s="64">
        <f>IF(B1043=0,0,IF(AND(H1028="ja",((U1043-C1043)&lt;R1053)),ROUND(((R1055*R1052+((R1053/(R1053-R1052))-(R1052/(R1053-R1052))*R1055)*((U1043-C1043)-R1052))*(L1036)),2),ROUND(IF(SUM(B1037:F1042)&lt;(SUM(S1037:S1042)),IF((SUM(B1037:F1043))&gt;(SUM(S1037:S1043)),(((SUM(S1037:S1043))-(SUM(B1037:F1043)-C1043))*L1036)+((SUM(B1043:F1043)-C1043)*L1036),(SUM(B1043:F1043)-C1043)*L1036),IF(SUM(B1037:F1043)&gt;(SUM(S1037:S1043)),S1043*L1036,SUM(B1043:F1043)*L1036)),2)))</f>
        <v>0</v>
      </c>
      <c r="M1043" s="64">
        <f>IF(B1043=0,0,IF(AND(H1028="ja",((U1043-C1043)&lt;R1053)),ROUND(((R1055*R1052+((R1053/(R1053-R1052))-(R1052/(R1053-R1052))*R1055)*((U1043-C1043)-R1052))*(M1036)),2),ROUND(IF(SUM(B1037:F1042)&lt;(SUM(S1037:S1042)),IF((SUM(B1037:F1043))&gt;(SUM(S1037:S1043)),(((SUM(S1037:S1043))-(SUM(B1037:F1043)-C1043))*M1036)+((SUM(B1043:F1043)-C1043)*M1036),(SUM(B1043:F1043)-C1043)*M1036),IF(SUM(B1037:F1043)&gt;(SUM(S1037:S1043)),S1043*M1036,SUM(B1043:F1043)*M1036)),2)))</f>
        <v>0</v>
      </c>
      <c r="N1043" s="64">
        <f>IF(B1043=0,0,IF(AND(H1028="ja",((U1043)&lt;R1053)),ROUND(((R1055*R1052+((R1053/(R1053-R1052))-(R1052/(R1053-R1052))*R1055)*((U1043)-R1052))*(N1036)),2),ROUND(IF(SUM(B1037:F1042)&lt;(SUM(S1037:S1042)),IF((SUM(B1037:F1043))&gt;(SUM(S1037:S1043)),(((SUM(S1037:S1043))-(SUM(B1037:F1043)-C1042))*N1036)+((SUM(B1043:F1043)-C1042)*N1036),SUM(B1043:F1043)*N1036),IF(SUM(B1037:F1043)&gt;(SUM(S1037:S1043)),S1043*N1036,SUM(B1043:F1043)*N1036)),2)))</f>
        <v>0</v>
      </c>
      <c r="O1043" s="21">
        <f>ROUND(SUM(B1043+C1043+F1043)*O1036,2)</f>
        <v>0</v>
      </c>
      <c r="P1043" s="25">
        <f t="shared" si="173"/>
        <v>0</v>
      </c>
      <c r="Q1043" s="456"/>
      <c r="R1043" s="140">
        <f>ROUND(IF(M1015="",R1031,R1031/M1015*P1020),2)</f>
        <v>5175</v>
      </c>
      <c r="S1043" s="140">
        <f>ROUND(IF(M1015="",R1032,R1032/M1015*P1020),2)</f>
        <v>7450</v>
      </c>
      <c r="U1043" s="950">
        <f t="shared" si="174"/>
        <v>0</v>
      </c>
      <c r="V1043" s="950">
        <f>SUM(B1037:F1043)</f>
        <v>0</v>
      </c>
    </row>
    <row r="1044" spans="1:24" s="1" customFormat="1" x14ac:dyDescent="0.2">
      <c r="A1044" s="76" t="str">
        <f>CONCATENATE("Aug ",O1013)</f>
        <v>Aug 2025</v>
      </c>
      <c r="B1044" s="22">
        <f>ROUND(IF(P1021=0,0,IFERROR(((LOOKUP(2,1/(A1022:A1025=A1044),G1022:G1025))*P1021*4.348),B1043/P1020*P1021)),2)</f>
        <v>0</v>
      </c>
      <c r="C1044" s="21">
        <f>ROUND(IFERROR((LOOKUP(2,1/(A1028=A1044),E1028)),0)+IFERROR((LOOKUP(2,1/(A1029=A1044),E1029)),0),2)</f>
        <v>0</v>
      </c>
      <c r="D1044" s="21">
        <f>ROUND(IF(B1044=0,0,D1036/M1015*P1021),2)</f>
        <v>0</v>
      </c>
      <c r="E1044" s="21">
        <f>ROUND(IF(B1044=0,0,E1036/N1011*P1021),2)</f>
        <v>0</v>
      </c>
      <c r="F1044" s="22">
        <f>ROUND(IF(P1021=0,0,IFERROR(((LOOKUP(2,1/(A1022:A1025=A1044),I1022:I1025))/N1011*P1021),F1043/P1020*P1021)),2)</f>
        <v>0</v>
      </c>
      <c r="G1044" s="25">
        <f t="shared" si="172"/>
        <v>0</v>
      </c>
      <c r="H1044" s="64">
        <f>IF(B1044=0,0,IF(AND(H1028="ja",((U1044)&lt;R1053)),ROUND(((R1055*R1052+((R1053/(R1053-R1052))-(R1052/(R1053-R1052))*R1055)*((U1044)-R1052))*(H1036*2))-(((R1053/(R1053-R1052))*((U1044)-R1052))*H1036),2),ROUND(IF(V1043&lt;(SUM(R1037:R1043)),IF((V1044)&gt;(SUM(R1037:R1044)),(((SUM(R1037:R1044))-(V1044-C1043))*H1036)+((U1044-C1043)*H1036),U1044*H1036),IF(V1044&gt;(SUM(R1037:R1044)),R1044*H1036,U1044*H1036)),2)))</f>
        <v>0</v>
      </c>
      <c r="I1044" s="64">
        <f>IF(B1044=0,0,IF(AND(H1028="ja",((U1044)&lt;R1053)),ROUND(((R1055*R1052+((R1053/(R1053-R1052))-(R1052/(R1053-R1052))*R1055)*((U1044)-R1052))*(I1036*2))-(((R1053/(R1053-R1052))*((U1044)-R1052))*I1036),2),ROUND(IF(V1043&lt;(SUM(S1037:S1043)),IF((V1044)&gt;(SUM(S1037:S1044)),(((SUM(S1037:S1044))-(V1044-C1043))*I1036)+((U1044-C1043)*I1036),U1044*I1036),IF(V1044&gt;(SUM(S1037:S1044)),S1044*I1036,U1044*I1036)),2)))</f>
        <v>0</v>
      </c>
      <c r="J1044" s="64">
        <f>IF(B1044=0,0,IF(AND(H1028="ja",((U1044)&lt;R1053)),ROUND(((R1055*R1052+((R1053/(R1053-R1052))-(R1052/(R1053-R1052))*R1055)*((U1044)-R1052))*(J1036*2))-(((R1053/(R1053-R1052))*((U1044)-R1052))*J1036),2),ROUND(IF(V1043&lt;(SUM(S1037:S1043)),IF((V1044)&gt;(SUM(S1037:S1044)),(((SUM(S1037:S1044))-(V1044-C1043))*J1036)+((U1044-C1043)*J1036),U1044*J1036),IF(V1044&gt;(SUM(S1037:S1044)),S1044*J1036,U1044*J1036)),2)))</f>
        <v>0</v>
      </c>
      <c r="K1044" s="64">
        <f>IF(B1044=0,0,IF(AND(H1028="ja",((U1044)&lt;R1053)),ROUND(((R1055*R1052+((R1053/(R1053-R1052))-(R1052/(R1053-R1052))*R1055)*((U1044)-R1052))*(K1036*2))-(((R1053/(R1053-R1052))*((U1044)-R1052))*K1036),2),ROUND(IF(V1043&lt;(SUM(R1037:R1043)),IF((V1044)&gt;(SUM(R1037:R1044)),(((SUM(R1037:R1044))-(V1044-C1043))*K1036)+((U1044-C1043)*K1036),U1044*K1036),IF(V1044&gt;(SUM(R1037:R1044)),R1044*K1036,U1044*K1036)),2)))</f>
        <v>0</v>
      </c>
      <c r="L1044" s="64">
        <f>IF(B1044=0,0,IF(AND(H1028="ja",((U1044-C1044)&lt;R1053)),ROUND(((R1055*R1052+((R1053/(R1053-R1052))-(R1052/(R1053-R1052))*R1055)*((U1044-C1044)-R1052))*(L1036)),2),ROUND(IF(SUM(B1037:F1043)&lt;(SUM(S1037:S1043)),IF((SUM(B1037:F1044))&gt;(SUM(S1037:S1044)),(((SUM(S1037:S1044))-(SUM(B1037:F1044)-C1044))*L1036)+((SUM(B1044:F1044)-C1044)*L1036),(SUM(B1044:F1044)-C1044)*L1036),IF(SUM(B1037:F1044)&gt;(SUM(S1037:S1044)),S1044*L1036,SUM(B1044:F1044)*L1036)),2)))</f>
        <v>0</v>
      </c>
      <c r="M1044" s="64">
        <f>IF(B1044=0,0,IF(AND(H1028="ja",((U1044-C1044)&lt;R1053)),ROUND(((R1055*R1052+((R1053/(R1053-R1052))-(R1052/(R1053-R1052))*R1055)*((U1044-C1044)-R1052))*(M1036)),2),ROUND(IF(SUM(B1037:F1043)&lt;(SUM(S1037:S1043)),IF((SUM(B1037:F1044))&gt;(SUM(S1037:S1044)),(((SUM(S1037:S1044))-(SUM(B1037:F1044)-C1044))*M1036)+((SUM(B1044:F1044)-C1044)*M1036),(SUM(B1044:F1044)-C1044)*M1036),IF(SUM(B1037:F1044)&gt;(SUM(S1037:S1044)),S1044*M1036,SUM(B1044:F1044)*M1036)),2)))</f>
        <v>0</v>
      </c>
      <c r="N1044" s="64">
        <f>IF(B1044=0,0,IF(AND(H1028="ja",((U1044)&lt;R1053)),ROUND(((R1055*R1052+((R1053/(R1053-R1052))-(R1052/(R1053-R1052))*R1055)*((U1044)-R1052))*(N1036)),2),ROUND(IF(SUM(B1037:F1043)&lt;(SUM(S1037:S1043)),IF((SUM(B1037:F1044))&gt;(SUM(S1037:S1044)),(((SUM(S1037:S1044))-(SUM(B1037:F1044)-C1043))*N1036)+((SUM(B1044:F1044)-C1043)*N1036),SUM(B1044:F1044)*N1036),IF(SUM(B1037:F1044)&gt;(SUM(S1037:S1044)),S1044*N1036,SUM(B1044:F1044)*N1036)),2)))</f>
        <v>0</v>
      </c>
      <c r="O1044" s="21">
        <f>ROUND(SUM(B1044+C1044+F1044)*O1036,2)</f>
        <v>0</v>
      </c>
      <c r="P1044" s="25">
        <f t="shared" si="173"/>
        <v>0</v>
      </c>
      <c r="Q1044" s="456"/>
      <c r="R1044" s="140">
        <f>ROUND(IF(M1015="",R1031,R1031/M1015*P1021),2)</f>
        <v>5175</v>
      </c>
      <c r="S1044" s="140">
        <f>ROUND(IF(M1015="",R1032,R1032/M1015*P1021),2)</f>
        <v>7450</v>
      </c>
      <c r="U1044" s="950">
        <f t="shared" si="174"/>
        <v>0</v>
      </c>
      <c r="V1044" s="950">
        <f>SUM(B1037:F1044)</f>
        <v>0</v>
      </c>
    </row>
    <row r="1045" spans="1:24" s="1" customFormat="1" x14ac:dyDescent="0.2">
      <c r="A1045" s="76" t="str">
        <f>CONCATENATE("Sep ",O1013)</f>
        <v>Sep 2025</v>
      </c>
      <c r="B1045" s="22">
        <f>ROUND(IF(P1022=0,0,IFERROR(((LOOKUP(2,1/(A1022:A1025=A1045),G1022:G1025))*P1022*4.348),B1044/P1021*P1022)),2)</f>
        <v>0</v>
      </c>
      <c r="C1045" s="21">
        <f>ROUND(IFERROR((LOOKUP(2,1/(A1028=A1045),E1028)),0)+IFERROR((LOOKUP(2,1/(A1029=A1045),E1029)),0),2)</f>
        <v>0</v>
      </c>
      <c r="D1045" s="21">
        <f>ROUND(IF(B1045=0,0,D1036/M1015*P1022),2)</f>
        <v>0</v>
      </c>
      <c r="E1045" s="21">
        <f>ROUND(IF(B1045=0,0,E1036/N1011*P1022),2)</f>
        <v>0</v>
      </c>
      <c r="F1045" s="22">
        <f>ROUND(IF(P1022=0,0,IFERROR(((LOOKUP(2,1/(A1022:A1025=A1045),I1022:I1025))/N1011*P1022),F1044/P1021*P1022)),2)</f>
        <v>0</v>
      </c>
      <c r="G1045" s="25">
        <f t="shared" si="172"/>
        <v>0</v>
      </c>
      <c r="H1045" s="64">
        <f>IF(B1045=0,0,IF(AND(H1028="ja",((U1045)&lt;R1053)),ROUND(((R1055*R1052+((R1053/(R1053-R1052))-(R1052/(R1053-R1052))*R1055)*((U1045)-R1052))*(H1036*2))-(((R1053/(R1053-R1052))*((U1045)-R1052))*H1036),2),ROUND(IF(V1044&lt;(SUM(R1037:R1044)),IF((V1045)&gt;(SUM(R1037:R1045)),(((SUM(R1037:R1045))-(V1045-C1044))*H1036)+((U1045-C1044)*H1036),U1045*H1036),IF(V1045&gt;(SUM(R1037:R1045)),R1045*H1036,U1045*H1036)),2)))</f>
        <v>0</v>
      </c>
      <c r="I1045" s="64">
        <f>IF(B1045=0,0,IF(AND(H1028="ja",((U1045)&lt;R1053)),ROUND(((R1055*R1052+((R1053/(R1053-R1052))-(R1052/(R1053-R1052))*R1055)*((U1045)-R1052))*(I1036*2))-(((R1053/(R1053-R1052))*((U1045)-R1052))*I1036),2),ROUND(IF(V1044&lt;(SUM(S1037:S1044)),IF((V1045)&gt;(SUM(S1037:S1045)),(((SUM(S1037:S1045))-(V1045-C1044))*I1036)+((U1045-C1044)*I1036),U1045*I1036),IF(V1045&gt;(SUM(S1037:S1045)),S1045*I1036,U1045*I1036)),2)))</f>
        <v>0</v>
      </c>
      <c r="J1045" s="64">
        <f>IF(B1045=0,0,IF(AND(H1028="ja",((U1045)&lt;R1053)),ROUND(((R1055*R1052+((R1053/(R1053-R1052))-(R1052/(R1053-R1052))*R1055)*((U1045)-R1052))*(J1036*2))-(((R1053/(R1053-R1052))*((U1045)-R1052))*J1036),2),ROUND(IF(V1044&lt;(SUM(S1037:S1044)),IF((V1045)&gt;(SUM(S1037:S1045)),(((SUM(S1037:S1045))-(V1045-C1044))*J1036)+((U1045-C1044)*J1036),U1045*J1036),IF(V1045&gt;(SUM(S1037:S1045)),S1045*J1036,U1045*J1036)),2)))</f>
        <v>0</v>
      </c>
      <c r="K1045" s="64">
        <f>IF(B1045=0,0,IF(AND(H1028="ja",((U1045)&lt;R1053)),ROUND(((R1055*R1052+((R1053/(R1053-R1052))-(R1052/(R1053-R1052))*R1055)*((U1045)-R1052))*(K1036*2))-(((R1053/(R1053-R1052))*((U1045)-R1052))*K1036),2),ROUND(IF(V1044&lt;(SUM(R1037:R1044)),IF((V1045)&gt;(SUM(R1037:R1045)),(((SUM(R1037:R1045))-(V1045-C1044))*K1036)+((U1045-C1044)*K1036),U1045*K1036),IF(V1045&gt;(SUM(R1037:R1045)),R1045*K1036,U1045*K1036)),2)))</f>
        <v>0</v>
      </c>
      <c r="L1045" s="64">
        <f>IF(B1045=0,0,IF(AND(H1028="ja",((U1045-C1045)&lt;R1053)),ROUND(((R1055*R1052+((R1053/(R1053-R1052))-(R1052/(R1053-R1052))*R1055)*((U1045-C1045)-R1052))*(L1036)),2),ROUND(IF(SUM(B1037:F1044)&lt;(SUM(S1037:S1044)),IF((SUM(B1037:F1045))&gt;(SUM(S1037:S1045)),(((SUM(S1037:S1045))-(SUM(B1037:F1045)-C1045))*L1036)+((SUM(B1045:F1045)-C1045)*L1036),(SUM(B1045:F1045)-C1045)*L1036),IF(SUM(B1037:F1045)&gt;(SUM(S1037:S1045)),S1045*L1036,SUM(B1045:F1045)*L1036)),2)))</f>
        <v>0</v>
      </c>
      <c r="M1045" s="64">
        <f>IF(B1045=0,0,IF(AND(H1028="ja",((U1045-C1045)&lt;R1053)),ROUND(((R1055*R1052+((R1053/(R1053-R1052))-(R1052/(R1053-R1052))*R1055)*((U1045-C1045)-R1052))*(M1036)),2),ROUND(IF(SUM(B1037:F1044)&lt;(SUM(S1037:S1044)),IF((SUM(B1037:F1045))&gt;(SUM(S1037:S1045)),(((SUM(S1037:S1045))-(SUM(B1037:F1045)-C1045))*M1036)+((SUM(B1045:F1045)-C1045)*M1036),(SUM(B1045:F1045)-C1045)*M1036),IF(SUM(B1037:F1045)&gt;(SUM(S1037:S1045)),S1045*M1036,SUM(B1045:F1045)*M1036)),2)))</f>
        <v>0</v>
      </c>
      <c r="N1045" s="64">
        <f>IF(B1045=0,0,IF(AND(H1028="ja",((U1045)&lt;R1053)),ROUND(((R1055*R1052+((R1053/(R1053-R1052))-(R1052/(R1053-R1052))*R1055)*((U1045)-R1052))*(N1036)),2),ROUND(IF(SUM(B1037:F1044)&lt;(SUM(S1037:S1044)),IF((SUM(B1037:F1045))&gt;(SUM(S1037:S1045)),(((SUM(S1037:S1045))-(SUM(B1037:F1045)-C1044))*N1036)+((SUM(B1045:F1045)-C1044)*N1036),SUM(B1045:F1045)*N1036),IF(SUM(B1037:F1045)&gt;(SUM(S1037:S1045)),S1045*N1036,SUM(B1045:F1045)*N1036)),2)))</f>
        <v>0</v>
      </c>
      <c r="O1045" s="21">
        <f>ROUND(SUM(B1045+C1045+F1045)*O1036,2)</f>
        <v>0</v>
      </c>
      <c r="P1045" s="25">
        <f t="shared" si="173"/>
        <v>0</v>
      </c>
      <c r="Q1045" s="456"/>
      <c r="R1045" s="140">
        <f>ROUND(IF(M1015="",R1031,R1031/M1015*P1022),2)</f>
        <v>5175</v>
      </c>
      <c r="S1045" s="140">
        <f>ROUND(IF(M1015="",R1032,R1032/M1015*P1022),2)</f>
        <v>7450</v>
      </c>
      <c r="U1045" s="950">
        <f t="shared" si="174"/>
        <v>0</v>
      </c>
      <c r="V1045" s="950">
        <f>SUM(B1037:F1045)</f>
        <v>0</v>
      </c>
    </row>
    <row r="1046" spans="1:24" s="12" customFormat="1" ht="15" x14ac:dyDescent="0.25">
      <c r="A1046" s="76" t="str">
        <f>CONCATENATE("Okt ",O1013)</f>
        <v>Okt 2025</v>
      </c>
      <c r="B1046" s="22">
        <f>ROUND(IF(P1023=0,0,IFERROR(((LOOKUP(2,1/(A1022:A1025=A1046),G1022:G1025))*P1023*4.348),B1045/P1022*P1023)),2)</f>
        <v>0</v>
      </c>
      <c r="C1046" s="21">
        <f>ROUND(IFERROR((LOOKUP(2,1/(A1028=A1046),E1028)),0)+IFERROR((LOOKUP(2,1/(A1029=A1046),E1029)),0),2)</f>
        <v>0</v>
      </c>
      <c r="D1046" s="21">
        <f>ROUND(IF(B1046=0,0,D1036/M1015*P1023),2)</f>
        <v>0</v>
      </c>
      <c r="E1046" s="21">
        <f>ROUND(IF(B1046=0,0,E1036/N1011*P1023),2)</f>
        <v>0</v>
      </c>
      <c r="F1046" s="22">
        <f>ROUND(IF(P1023=0,0,IFERROR(((LOOKUP(2,1/(A1022:A1025=A1046),I1022:I1025))/N1011*P1023),F1045/P1022*P1023)),2)</f>
        <v>0</v>
      </c>
      <c r="G1046" s="25">
        <f t="shared" si="172"/>
        <v>0</v>
      </c>
      <c r="H1046" s="64">
        <f>IF(B1046=0,0,IF(AND(H1028="ja",((U1046)&lt;R1053)),ROUND(((R1055*R1052+((R1053/(R1053-R1052))-(R1052/(R1053-R1052))*R1055)*((U1046)-R1052))*(H1036*2))-(((R1053/(R1053-R1052))*((U1046)-R1052))*H1036),2),ROUND(IF(V1045&lt;(SUM(R1037:R1045)),IF((V1046)&gt;(SUM(R1037:R1046)),(((SUM(R1037:R1046))-(V1046-C1045))*H1036)+((U1046-C1045)*H1036),U1046*H1036),IF(V1046&gt;(SUM(R1037:R1046)),R1046*H1036,U1046*H1036)),2)))</f>
        <v>0</v>
      </c>
      <c r="I1046" s="64">
        <f>IF(B1046=0,0,IF(AND(H1028="ja",((U1046)&lt;R1053)),ROUND(((R1055*R1052+((R1053/(R1053-R1052))-(R1052/(R1053-R1052))*R1055)*((U1046)-R1052))*(I1036*2))-(((R1053/(R1053-R1052))*((U1046)-R1052))*I1036),2),ROUND(IF(V1045&lt;(SUM(S1037:S1045)),IF((V1046)&gt;(SUM(S1037:S1046)),(((SUM(S1037:S1046))-(V1046-C1045))*I1036)+((U1046-C1045)*I1036),U1046*I1036),IF(V1046&gt;(SUM(S1037:S1046)),S1046*I1036,U1046*I1036)),2)))</f>
        <v>0</v>
      </c>
      <c r="J1046" s="64">
        <f>IF(B1046=0,0,IF(AND(H1028="ja",((U1046)&lt;R1053)),ROUND(((R1055*R1052+((R1053/(R1053-R1052))-(R1052/(R1053-R1052))*R1055)*((U1046)-R1052))*(J1036*2))-(((R1053/(R1053-R1052))*((U1046)-R1052))*J1036),2),ROUND(IF(V1045&lt;(SUM(S1037:S1045)),IF((V1046)&gt;(SUM(S1037:S1046)),(((SUM(S1037:S1046))-(V1046-C1045))*J1036)+((U1046-C1045)*J1036),U1046*J1036),IF(V1046&gt;(SUM(S1037:S1046)),S1046*J1036,U1046*J1036)),2)))</f>
        <v>0</v>
      </c>
      <c r="K1046" s="64">
        <f>IF(B1046=0,0,IF(AND(H1028="ja",((U1046)&lt;R1053)),ROUND(((R1055*R1052+((R1053/(R1053-R1052))-(R1052/(R1053-R1052))*R1055)*((U1046)-R1052))*(K1036*2))-(((R1053/(R1053-R1052))*((U1046)-R1052))*K1036),2),ROUND(IF(V1045&lt;(SUM(R1037:R1045)),IF((V1046)&gt;(SUM(R1037:R1046)),(((SUM(R1037:R1046))-(V1046-C1045))*K1036)+((U1046-C1045)*K1036),U1046*K1036),IF(V1046&gt;(SUM(R1037:R1046)),R1046*K1036,U1046*K1036)),2)))</f>
        <v>0</v>
      </c>
      <c r="L1046" s="64">
        <f>IF(B1046=0,0,IF(AND(H1028="ja",((U1046-C1046)&lt;R1053)),ROUND(((R1055*R1052+((R1053/(R1053-R1052))-(R1052/(R1053-R1052))*R1055)*((U1046-C1046)-R1052))*(L1036)),2),ROUND(IF(SUM(B1037:F1045)&lt;(SUM(S1037:S1045)),IF((SUM(B1037:F1046))&gt;(SUM(S1037:S1046)),(((SUM(S1037:S1046))-(SUM(B1037:F1046)-C1046))*L1036)+((SUM(B1046:F1046)-C1046)*L1036),(SUM(B1046:F1046)-C1046)*L1036),IF(SUM(B1037:F1046)&gt;(SUM(S1037:S1046)),S1046*L1036,SUM(B1046:F1046)*L1036)),2)))</f>
        <v>0</v>
      </c>
      <c r="M1046" s="64">
        <f>IF(B1046=0,0,IF(AND(H1028="ja",((U1046-C1046)&lt;R1053)),ROUND(((R1055*R1052+((R1053/(R1053-R1052))-(R1052/(R1053-R1052))*R1055)*((U1046-C1046)-R1052))*(M1036)),2),ROUND(IF(SUM(B1037:F1045)&lt;(SUM(S1037:S1045)),IF((SUM(B1037:F1046))&gt;(SUM(S1037:S1046)),(((SUM(S1037:S1046))-(SUM(B1037:F1046)-C1046))*M1036)+((SUM(B1046:F1046)-C1046)*M1036),(SUM(B1046:F1046)-C1046)*M1036),IF(SUM(B1037:F1046)&gt;(SUM(S1037:S1046)),S1046*M1036,SUM(B1046:F1046)*M1036)),2)))</f>
        <v>0</v>
      </c>
      <c r="N1046" s="64">
        <f>IF(B1046=0,0,IF(AND(H1028="ja",((U1046)&lt;R1053)),ROUND(((R1055*R1052+((R1053/(R1053-R1052))-(R1052/(R1053-R1052))*R1055)*((U1046)-R1052))*(N1036)),2),ROUND(IF(SUM(B1037:F1045)&lt;(SUM(S1037:S1045)),IF((SUM(B1037:F1046))&gt;(SUM(S1037:S1046)),(((SUM(S1037:S1046))-(SUM(B1037:F1046)-C1045))*N1036)+((SUM(B1046:F1046)-C1045)*N1036),SUM(B1046:F1046)*N1036),IF(SUM(B1037:F1046)&gt;(SUM(S1037:S1046)),S1046*N1036,SUM(B1046:F1046)*N1036)),2)))</f>
        <v>0</v>
      </c>
      <c r="O1046" s="21">
        <f>ROUND(SUM(B1046+C1046+F1046)*O1036,2)</f>
        <v>0</v>
      </c>
      <c r="P1046" s="25">
        <f t="shared" si="173"/>
        <v>0</v>
      </c>
      <c r="Q1046" s="936"/>
      <c r="R1046" s="140">
        <f>ROUND(IF(M1015="",R1031,R1031/M1015*P1023),2)</f>
        <v>5175</v>
      </c>
      <c r="S1046" s="140">
        <f>ROUND(IF(M1015="",R1032,R1032/M1015*P1023),2)</f>
        <v>7450</v>
      </c>
      <c r="U1046" s="950">
        <f t="shared" si="174"/>
        <v>0</v>
      </c>
      <c r="V1046" s="950">
        <f>SUM(B1037:F1046)</f>
        <v>0</v>
      </c>
      <c r="X1046" s="1"/>
    </row>
    <row r="1047" spans="1:24" s="11" customFormat="1" x14ac:dyDescent="0.2">
      <c r="A1047" s="76" t="str">
        <f>CONCATENATE("Nov ",O1013)</f>
        <v>Nov 2025</v>
      </c>
      <c r="B1047" s="22">
        <f>ROUND(IF(P1024=0,0,IFERROR(((LOOKUP(2,1/(A1022:A1025=A1047),G1022:G1025))*P1024*4.348),B1046/P1023*P1024)),2)</f>
        <v>0</v>
      </c>
      <c r="C1047" s="21">
        <f>ROUND(IFERROR((LOOKUP(2,1/(A1028=A1047),E1028)),0)+(IFERROR((LOOKUP(2,1/(A1029=A1047),E1029)),0)),2)</f>
        <v>0</v>
      </c>
      <c r="D1047" s="21">
        <f>ROUND(IF(B1047=0,0,D1036/M1015*P1024),2)</f>
        <v>0</v>
      </c>
      <c r="E1047" s="21">
        <f>ROUND(IF(B1047=0,0,E1036/N1011*P1024),2)</f>
        <v>0</v>
      </c>
      <c r="F1047" s="22">
        <f>ROUND(IF(P1024=0,0,IFERROR(((LOOKUP(2,1/(A1022:A1025=A1047),I1022:I1025))/N1011*P1024),F1046/P1023*P1024)),2)</f>
        <v>0</v>
      </c>
      <c r="G1047" s="25">
        <f t="shared" si="172"/>
        <v>0</v>
      </c>
      <c r="H1047" s="64">
        <f>IF(B1047=0,0,IF(AND(H1028="ja",((U1047)&lt;R1053)),ROUND(((R1055*R1052+((R1053/(R1053-R1052))-(R1052/(R1053-R1052))*R1055)*((U1047)-R1052))*(H1036*2))-(((R1053/(R1053-R1052))*((U1047)-R1052))*H1036),2),ROUND(IF(V1046&lt;(SUM(R1037:R1046)),IF((V1047)&gt;(SUM(R1037:R1047)),(((SUM(R1037:R1047))-(V1047-C1046))*H1036)+((U1047-C1046)*H1036),U1047*H1036),IF(V1047&gt;(SUM(R1037:R1047)),R1047*H1036,U1047*H1036)),2)))</f>
        <v>0</v>
      </c>
      <c r="I1047" s="64">
        <f>IF(B1047=0,0,IF(AND(H1028="ja",((U1047)&lt;R1053)),ROUND(((R1055*R1052+((R1053/(R1053-R1052))-(R1052/(R1053-R1052))*R1055)*((U1047)-R1052))*(I1036*2))-(((R1053/(R1053-R1052))*((U1047)-R1052))*I1036),2),ROUND(IF(V1046&lt;(SUM(S1037:S1046)),IF((V1047)&gt;(SUM(S1037:S1047)),(((SUM(S1037:S1047))-(V1047-C1046))*I1036)+((U1047-C1046)*I1036),U1047*I1036),IF(V1047&gt;(SUM(S1037:S1047)),S1047*I1036,U1047*I1036)),2)))</f>
        <v>0</v>
      </c>
      <c r="J1047" s="64">
        <f>IF(B1047=0,0,IF(AND(H1028="ja",((U1047)&lt;R1053)),ROUND(((R1055*R1052+((R1053/(R1053-R1052))-(R1052/(R1053-R1052))*R1055)*((U1047)-R1052))*(J1036*2))-(((R1053/(R1053-R1052))*((U1047)-R1052))*J1036),2),ROUND(IF(V1046&lt;(SUM(S1037:S1046)),IF((V1047)&gt;(SUM(S1037:S1047)),(((SUM(S1037:S1047))-(V1047-C1046))*J1036)+((U1047-C1046)*J1036),U1047*J1036),IF(V1047&gt;(SUM(S1037:S1047)),S1047*J1036,U1047*J1036)),2)))</f>
        <v>0</v>
      </c>
      <c r="K1047" s="64">
        <f>IF(B1047=0,0,IF(AND(H1028="ja",((U1047)&lt;R1053)),ROUND(((R1055*R1052+((R1053/(R1053-R1052))-(R1052/(R1053-R1052))*R1055)*((U1047)-R1052))*(K1036*2))-(((R1053/(R1053-R1052))*((U1047)-R1052))*K1036),2),ROUND(IF(V1046&lt;(SUM(R1037:R1046)),IF((V1047)&gt;(SUM(R1037:R1047)),(((SUM(R1037:R1047))-(V1047-C1046))*K1036)+((U1047-C1046)*K1036),U1047*K1036),IF(V1047&gt;(SUM(R1037:R1047)),R1047*K1036,U1047*K1036)),2)))</f>
        <v>0</v>
      </c>
      <c r="L1047" s="64">
        <f>IF(B1047=0,0,IF(AND(H1028="ja",((U1047-C1047)&lt;R1053)),ROUND(((R1055*R1052+((R1053/(R1053-R1052))-(R1052/(R1053-R1052))*R1055)*((U1047-C1047)-R1052))*(L1036)),2),ROUND(IF(SUM(B1037:F1046)&lt;(SUM(S1037:S1046)),IF((SUM(B1037:F1047))&gt;(SUM(S1037:S1047)),(((SUM(S1037:S1047))-(SUM(B1037:F1047)-C1047))*L1036)+((SUM(B1047:F1047)-C1047)*L1036),(SUM(B1047:F1047)-C1047)*L1036),IF(SUM(B1037:F1047)&gt;(SUM(S1037:S1047)),S1047*L1036,SUM(B1047:F1047)*L1036)),2)))</f>
        <v>0</v>
      </c>
      <c r="M1047" s="64">
        <f>IF(B1047=0,0,IF(AND(H1028="ja",((U1047-C1047)&lt;R1053)),ROUND(((R1055*R1052+((R1053/(R1053-R1052))-(R1052/(R1053-R1052))*R1055)*((U1047-C1047)-R1052))*(M1036)),2),ROUND(IF(SUM(B1037:F1046)&lt;(SUM(S1037:S1046)),IF((SUM(B1037:F1047))&gt;(SUM(S1037:S1047)),(((SUM(S1037:S1047))-(SUM(B1037:F1047)-C1047))*M1036)+((SUM(B1047:F1047)-C1047)*M1036),(SUM(B1047:F1047)-C1047)*M1036),IF(SUM(B1037:F1047)&gt;(SUM(S1037:S1047)),S1047*M1036,SUM(B1047:F1047)*M1036)),2)))</f>
        <v>0</v>
      </c>
      <c r="N1047" s="64">
        <f>IF(B1047=0,0,IF(AND(H1028="ja",((U1047)&lt;R1053)),ROUND(((R1055*R1052+((R1053/(R1053-R1052))-(R1052/(R1053-R1052))*R1055)*((U1047)-R1052))*(N1036)),2),ROUND(IF(SUM(B1037:F1046)&lt;(SUM(S1037:S1046)),IF((SUM(B1037:F1047))&gt;(SUM(S1037:S1047)),(((SUM(S1037:S1047))-(SUM(B1037:F1047)-C1046))*N1036)+((SUM(B1047:F1047)-C1046)*N1036),SUM(B1047:F1047)*N1036),IF(SUM(B1037:F1047)&gt;(SUM(S1037:S1047)),S1047*N1036,SUM(B1047:F1047)*N1036)),2)))</f>
        <v>0</v>
      </c>
      <c r="O1047" s="21">
        <f>ROUND(SUM(B1047+C1047+F1047)*O1036,2)</f>
        <v>0</v>
      </c>
      <c r="P1047" s="25">
        <f t="shared" si="173"/>
        <v>0</v>
      </c>
      <c r="R1047" s="140">
        <f>ROUND(IF(M1015="",R1031,R1031/M1015*P1024),2)</f>
        <v>5175</v>
      </c>
      <c r="S1047" s="140">
        <f>ROUND(IF(M1015="",R1032,R1032/M1015*P1024),2)</f>
        <v>7450</v>
      </c>
      <c r="U1047" s="950">
        <f t="shared" si="174"/>
        <v>0</v>
      </c>
      <c r="V1047" s="950">
        <f>SUM(B1037:F1047)</f>
        <v>0</v>
      </c>
      <c r="X1047" s="1"/>
    </row>
    <row r="1048" spans="1:24" s="1" customFormat="1" ht="14.25" customHeight="1" x14ac:dyDescent="0.2">
      <c r="A1048" s="76" t="str">
        <f>CONCATENATE("Dez ",O1013)</f>
        <v>Dez 2025</v>
      </c>
      <c r="B1048" s="22">
        <f>ROUND(IF(P1025=0,0,IFERROR(((LOOKUP(2,1/(A1022:A1025=A1048),G1022:G1025))*P1025*4.348),B1047/P1024*P1025)),2)</f>
        <v>0</v>
      </c>
      <c r="C1048" s="21">
        <f>ROUND(IFERROR((LOOKUP(2,1/(A1028=A1048),E1028)),0)+IFERROR((LOOKUP(2,1/(A1029=A1048),E1029)),0),2)</f>
        <v>0</v>
      </c>
      <c r="D1048" s="21">
        <f>ROUND(IF(B1048=0,0,D1036/M1015*P1025),2)</f>
        <v>0</v>
      </c>
      <c r="E1048" s="21">
        <f>ROUND(IF(B1048=0,0,E1036/N1011*P1025),2)</f>
        <v>0</v>
      </c>
      <c r="F1048" s="22">
        <f>ROUND(IF(P1025=0,0,IFERROR(((LOOKUP(2,1/(A1022:A1025=A1048),I1022:I1025))/N1011*P1025),F1047/P1024*P1025)),2)</f>
        <v>0</v>
      </c>
      <c r="G1048" s="25">
        <f t="shared" si="172"/>
        <v>0</v>
      </c>
      <c r="H1048" s="64">
        <f>IF(B1048=0,0,IF(AND(H1028="ja",((U1048)&lt;R1053)),ROUND(((R1055*R1052+((R1053/(R1053-R1052))-(R1052/(R1053-R1052))*R1055)*((U1048)-R1052))*(H1036*2))-(((R1053/(R1053-R1052))*((U1048)-R1052))*H1036),2),ROUND(IF(V1047&lt;(SUM(R1037:R1047)),IF((V1048)&gt;(SUM(R1037:R1048)),(((SUM(R1037:R1048))-(V1048-C1047))*H1036)+((U1048-C1047)*H1036),U1048*H1036),IF(V1048&gt;(SUM(R1037:R1048)),R1048*H1036,U1048*H1036)),2)))</f>
        <v>0</v>
      </c>
      <c r="I1048" s="64">
        <f>IF(B1048=0,0,IF(AND(H1028="ja",((U1048)&lt;R1053)),ROUND(((R1055*R1052+((R1053/(R1053-R1052))-(R1052/(R1053-R1052))*R1055)*((U1048)-R1052))*(I1036*2))-(((R1053/(R1053-R1052))*((U1048)-R1052))*I1036),2),ROUND(IF(V1047&lt;(SUM(S1037:S1047)),IF((V1048)&gt;(SUM(S1037:S1048)),(((SUM(S1037:S1048))-(V1048-C1047))*I1036)+((U1048-C1047)*I1036),U1048*I1036),IF(V1048&gt;(SUM(S1037:S1048)),S1048*I1036,U1048*I1036)),2)))</f>
        <v>0</v>
      </c>
      <c r="J1048" s="64">
        <f>IF(B1048=0,0,IF(AND(H1028="ja",((U1048)&lt;R1053)),ROUND(((R1055*R1052+((R1053/(R1053-R1052))-(R1052/(R1053-R1052))*R1055)*((U1048)-R1052))*(J1036*2))-(((R1053/(R1053-R1052))*((U1048)-R1052))*J1036),2),ROUND(IF(V1047&lt;(SUM(S1037:S1047)),IF((V1048)&gt;(SUM(S1037:S1048)),(((SUM(S1037:S1048))-(V1048-C1047))*J1036)+((U1048-C1047)*J1036),U1048*J1036),IF(V1048&gt;(SUM(S1037:S1048)),S1048*J1036,U1048*J1036)),2)))</f>
        <v>0</v>
      </c>
      <c r="K1048" s="64">
        <f>IF(B1048=0,0,IF(AND(H1028="ja",((U1048)&lt;R1053)),ROUND(((R1055*R1052+((R1053/(R1053-R1052))-(R1052/(R1053-R1052))*R1055)*((U1048)-R1052))*(K1036*2))-(((R1053/(R1053-R1052))*((U1048)-R1052))*K1036),2),ROUND(IF(V1047&lt;(SUM(R1037:R1047)),IF((V1048)&gt;(SUM(R1037:R1048)),(((SUM(R1037:R1048))-(V1048-C1047))*K1036)+((U1048-C1047)*K1036),U1048*K1036),IF(V1048&gt;(SUM(R1037:R1048)),R1048*K1036,U1048*K1036)),2)))</f>
        <v>0</v>
      </c>
      <c r="L1048" s="64">
        <f>IF(B1048=0,0,IF(AND(H1028="ja",((U1048-C1048)&lt;R1053)),ROUND(((R1055*R1052+((R1053/(R1053-R1052))-(R1052/(R1053-R1052))*R1055)*((U1048-C1048)-R1052))*(L1036)),2),ROUND(IF(SUM(B1037:F1047)&lt;(SUM(S1037:S1047)),IF((SUM(B1037:F1048))&gt;(SUM(S1037:S1048)),(((SUM(S1037:S1048))-(SUM(B1037:F1048)-C1048))*L1036)+((SUM(B1048:F1048)-C1048)*L1036),(SUM(B1048:F1048)-C1048)*L1036),IF(SUM(B1037:F1048)&gt;(SUM(S1037:S1048)),S1048*L1036,SUM(B1048:F1048)*L1036)),2)))</f>
        <v>0</v>
      </c>
      <c r="M1048" s="64">
        <f>IF(B1048=0,0,IF(AND(H1028="ja",((U1048-C1048)&lt;R1053)),ROUND(((R1055*R1052+((R1053/(R1053-R1052))-(R1052/(R1053-R1052))*R1055)*((U1048-C1048)-R1052))*(M1036)),2),ROUND(IF(SUM(B1037:F1047)&lt;(SUM(S1037:S1047)),IF((SUM(B1037:F1048))&gt;(SUM(S1037:S1048)),(((SUM(S1037:S1048))-(SUM(B1037:F1048)-C1048))*M1036)+((SUM(B1048:F1048)-C1048)*M1036),(SUM(B1048:F1048)-C1048)*M1036),IF(SUM(B1037:F1048)&gt;(SUM(S1037:S1048)),S1048*M1036,SUM(B1048:F1048)*M1036)),2)))</f>
        <v>0</v>
      </c>
      <c r="N1048" s="64">
        <f>IF(B1048=0,0,IF(AND(H1028="ja",((U1048)&lt;R1053)),ROUND(((R1055*R1052+((R1053/(R1053-R1052))-(R1052/(R1053-R1052))*R1055)*((U1048)-R1052))*(N1036)),2),ROUND(IF(SUM(B1037:F1047)&lt;(SUM(S1037:S1047)),IF((SUM(B1037:F1048))&gt;(SUM(S1037:S1048)),(((SUM(S1037:S1048))-(SUM(B1037:F1048)-C1047))*N1036)+((SUM(B1048:F1048)-C1047)*N1036),SUM(B1048:F1048)*N1036),IF(SUM(B1037:F1048)&gt;(SUM(S1037:S1048)),S1048*N1036,SUM(B1048:F1048)*N1036)),2)))</f>
        <v>0</v>
      </c>
      <c r="O1048" s="21">
        <f>ROUND(SUM(B1048+C1048+F1048)*O1036,2)</f>
        <v>0</v>
      </c>
      <c r="P1048" s="25">
        <f t="shared" si="173"/>
        <v>0</v>
      </c>
      <c r="Q1048" s="11"/>
      <c r="R1048" s="140">
        <f>ROUND(IF(M1015="",R1031,R1031/M1015*P1025),2)</f>
        <v>5175</v>
      </c>
      <c r="S1048" s="140">
        <f>ROUND(IF(M1015="",R1032,R1032/M1015*P1025),2)</f>
        <v>7450</v>
      </c>
      <c r="U1048" s="950">
        <f t="shared" si="174"/>
        <v>0</v>
      </c>
      <c r="V1048" s="950">
        <f>SUM(B1037:F1048)</f>
        <v>0</v>
      </c>
    </row>
    <row r="1049" spans="1:24" s="1" customFormat="1" ht="15" customHeight="1" x14ac:dyDescent="0.2">
      <c r="A1049" s="2" t="s">
        <v>1</v>
      </c>
      <c r="B1049" s="25">
        <f t="shared" ref="B1049:G1049" si="175">SUM(B1037:B1048)</f>
        <v>0</v>
      </c>
      <c r="C1049" s="25">
        <f t="shared" si="175"/>
        <v>0</v>
      </c>
      <c r="D1049" s="25">
        <f t="shared" si="175"/>
        <v>0</v>
      </c>
      <c r="E1049" s="25">
        <f t="shared" si="175"/>
        <v>0</v>
      </c>
      <c r="F1049" s="25">
        <f t="shared" si="175"/>
        <v>0</v>
      </c>
      <c r="G1049" s="25">
        <f t="shared" si="175"/>
        <v>0</v>
      </c>
      <c r="H1049" s="1309">
        <f>SUM(H1037:N1048)</f>
        <v>0</v>
      </c>
      <c r="I1049" s="1310"/>
      <c r="J1049" s="1310"/>
      <c r="K1049" s="1310"/>
      <c r="L1049" s="1310"/>
      <c r="M1049" s="1310"/>
      <c r="N1049" s="1311"/>
      <c r="O1049" s="25">
        <f>SUM(O1037:O1048)</f>
        <v>0</v>
      </c>
      <c r="P1049" s="25">
        <f>SUM(P1037:P1048)</f>
        <v>0</v>
      </c>
    </row>
    <row r="1050" spans="1:24" s="1" customFormat="1" ht="12" customHeight="1" x14ac:dyDescent="0.2"/>
    <row r="1051" spans="1:24" s="1" customFormat="1" ht="14.25" customHeight="1" x14ac:dyDescent="0.2">
      <c r="B1051" s="906"/>
      <c r="H1051" s="905"/>
      <c r="I1051" s="62"/>
      <c r="J1051" s="914" t="s">
        <v>123</v>
      </c>
      <c r="L1051" s="900" t="s">
        <v>124</v>
      </c>
      <c r="M1051" s="974" t="str">
        <f>IF(IF(G1049=0,"",'päd.Personal - Leitung'!$M$43)=0,"",IF(G1049=0,"",'päd.Personal - Leitung'!$M$43))</f>
        <v/>
      </c>
      <c r="N1051" s="902" t="s">
        <v>125</v>
      </c>
      <c r="O1051" s="963" t="str">
        <f>IF(IF(G1049=0,"",'päd.Personal - Leitung'!$O$43)=0,"",IF(G1049=0,"",'päd.Personal - Leitung'!$O$43))</f>
        <v/>
      </c>
      <c r="P1051" s="25">
        <f>ROUND(IF(M1051="",0,G1049*M1051*O1051/1000),2)</f>
        <v>0</v>
      </c>
      <c r="Q1051" s="937"/>
      <c r="R1051" s="938">
        <v>2025</v>
      </c>
      <c r="S1051" s="939"/>
    </row>
    <row r="1052" spans="1:24" s="1" customFormat="1" ht="14.25" customHeight="1" x14ac:dyDescent="0.2">
      <c r="H1052" s="907"/>
      <c r="I1052" s="42"/>
      <c r="M1052" s="915" t="s">
        <v>129</v>
      </c>
      <c r="N1052" s="80" t="s">
        <v>125</v>
      </c>
      <c r="O1052" s="75" t="str">
        <f>IF(IF(G1049=0,"",'päd.Personal - Leitung'!$O$44)=0,"",IF(G1049=0,"",'päd.Personal - Leitung'!$O$44))</f>
        <v/>
      </c>
      <c r="P1052" s="25">
        <f>ROUND(IF(O1052="",0,G1049*O1052/1000),2)</f>
        <v>0</v>
      </c>
      <c r="Q1052" s="942" t="s">
        <v>737</v>
      </c>
      <c r="R1052" s="141">
        <f>'päd.Personal - Leitung'!$R$44</f>
        <v>556</v>
      </c>
      <c r="S1052" s="955">
        <f>'päd.Personal - Leitung'!$S$44</f>
        <v>12.82</v>
      </c>
    </row>
    <row r="1053" spans="1:24" s="1" customFormat="1" ht="14.25" customHeight="1" x14ac:dyDescent="0.2">
      <c r="H1053" s="912" t="s">
        <v>126</v>
      </c>
      <c r="I1053" s="1013" t="s">
        <v>127</v>
      </c>
      <c r="J1053" s="975" t="str">
        <f>IF(IF(G1049=0,"",'päd.Personal - Leitung'!$J$45)=0,"",IF(G1049=0,"",'päd.Personal - Leitung'!$J$45))</f>
        <v/>
      </c>
      <c r="K1053" s="902" t="s">
        <v>128</v>
      </c>
      <c r="L1053" s="964" t="str">
        <f>IF(IF(G1049=0,"",'päd.Personal - Leitung'!$L$45)=0,"",IF(G1049=0,"",'päd.Personal - Leitung'!$L$45))</f>
        <v/>
      </c>
      <c r="M1053" s="16"/>
      <c r="N1053" s="900" t="s">
        <v>132</v>
      </c>
      <c r="O1053" s="965" t="str">
        <f>IF(IF(G1049=0,"",'päd.Personal - Leitung'!$O$45)=0,"",IF(G1049=0,"",'päd.Personal - Leitung'!$O$45))</f>
        <v/>
      </c>
      <c r="P1053" s="25">
        <f>ROUND(IF(J1053="",0,(J1053*L1053/O1053)/M1017*M1018),2)</f>
        <v>0</v>
      </c>
      <c r="Q1053" s="942" t="s">
        <v>738</v>
      </c>
      <c r="R1053" s="140">
        <f>'päd.Personal - Leitung'!$R$45</f>
        <v>2000</v>
      </c>
      <c r="S1053" s="939"/>
    </row>
    <row r="1054" spans="1:24" s="1" customFormat="1" ht="14.25" customHeight="1" x14ac:dyDescent="0.2">
      <c r="D1054" s="16"/>
      <c r="I1054" s="16"/>
      <c r="J1054" s="16"/>
      <c r="K1054" s="63"/>
      <c r="L1054" s="67"/>
      <c r="M1054" s="915" t="s">
        <v>130</v>
      </c>
      <c r="N1054" s="80" t="s">
        <v>131</v>
      </c>
      <c r="O1054" s="904">
        <f>IF(IF(G1049="",0,'päd.Personal - Leitung'!$O$94)=0,0,IF(G1049="",0,'päd.Personal - Leitung'!$O$94))</f>
        <v>0</v>
      </c>
      <c r="P1054" s="21">
        <f>ROUND(IF(G1049=0,0,O1054/M1015*M1016),2)</f>
        <v>0</v>
      </c>
      <c r="Q1054" s="942" t="s">
        <v>740</v>
      </c>
      <c r="R1054" s="956">
        <f>'päd.Personal - Leitung'!$R$46</f>
        <v>0.40900000000000003</v>
      </c>
    </row>
    <row r="1055" spans="1:24" s="1" customFormat="1" ht="14.25" customHeight="1" x14ac:dyDescent="0.2">
      <c r="A1055" s="16"/>
      <c r="B1055" s="16"/>
      <c r="I1055" s="905"/>
      <c r="J1055" s="961" t="s">
        <v>176</v>
      </c>
      <c r="K1055" s="1312" t="str">
        <f>IF($K$47="","",$K$47)</f>
        <v/>
      </c>
      <c r="L1055" s="1312"/>
      <c r="M1055" s="1312"/>
      <c r="N1055" s="80" t="s">
        <v>131</v>
      </c>
      <c r="O1055" s="904">
        <f>IF(IF(G1049="",0,'päd.Personal - Leitung'!$O$95)=0,0,IF(G1049="",0,'päd.Personal - Leitung'!$O$95))</f>
        <v>0</v>
      </c>
      <c r="P1055" s="21">
        <f>ROUND(IF(G1049=0,0,O1055/M1015*M1016),2)</f>
        <v>0</v>
      </c>
      <c r="Q1055" s="942" t="s">
        <v>739</v>
      </c>
      <c r="R1055" s="940">
        <f>'päd.Personal - Leitung'!$R$47</f>
        <v>0.68459999999999999</v>
      </c>
      <c r="S1055" s="957">
        <f>'päd.Personal - Leitung'!$S$47</f>
        <v>0.28000000000000003</v>
      </c>
    </row>
    <row r="1056" spans="1:24" s="1" customFormat="1" ht="14.25" customHeight="1" x14ac:dyDescent="0.2">
      <c r="A1056" s="908"/>
      <c r="B1056" s="908"/>
      <c r="C1056" s="1013"/>
      <c r="D1056" s="1013"/>
      <c r="I1056" s="913"/>
      <c r="J1056" s="913"/>
      <c r="K1056" s="916"/>
      <c r="L1056" s="27"/>
      <c r="M1056" s="27"/>
      <c r="N1056" s="27"/>
      <c r="O1056" s="26" t="s">
        <v>0</v>
      </c>
      <c r="P1056" s="25">
        <f>P1049+SUM(P1051:P1055)</f>
        <v>0</v>
      </c>
    </row>
    <row r="1057" spans="1:19" s="10" customFormat="1" ht="13.5" customHeight="1" x14ac:dyDescent="0.2">
      <c r="A1057" s="1321" t="s">
        <v>17</v>
      </c>
      <c r="B1057" s="1321"/>
      <c r="C1057" s="1321"/>
      <c r="D1057" s="1320" t="str">
        <f>IF('päd.Personal - Leitung'!$D$1="","",'päd.Personal - Leitung'!$D$1)</f>
        <v/>
      </c>
      <c r="E1057" s="1320"/>
      <c r="F1057" s="1320"/>
      <c r="G1057" s="1320"/>
      <c r="H1057" s="1320"/>
      <c r="I1057" s="1320"/>
      <c r="J1057" s="1320"/>
      <c r="K1057" s="1320"/>
      <c r="L1057" s="1320"/>
      <c r="M1057" s="1320"/>
      <c r="N1057" s="1320"/>
    </row>
    <row r="1058" spans="1:19" s="10" customFormat="1" ht="15" customHeight="1" x14ac:dyDescent="0.2">
      <c r="A1058" s="1321" t="s">
        <v>16</v>
      </c>
      <c r="B1058" s="1321"/>
      <c r="C1058" s="1321" t="s">
        <v>14</v>
      </c>
      <c r="D1058" s="1320" t="str">
        <f>IF('päd.Personal - Leitung'!$D$2="","",'päd.Personal - Leitung'!$D$2)</f>
        <v/>
      </c>
      <c r="E1058" s="1320"/>
      <c r="F1058" s="1320"/>
      <c r="G1058" s="1320"/>
      <c r="H1058" s="1320"/>
      <c r="I1058" s="1320"/>
      <c r="J1058" s="1320"/>
      <c r="K1058" s="1320"/>
      <c r="L1058" s="1320"/>
      <c r="M1058" s="1320"/>
      <c r="N1058" s="1320"/>
    </row>
    <row r="1059" spans="1:19" s="10" customFormat="1" ht="15" customHeight="1" x14ac:dyDescent="0.2">
      <c r="A1059" s="1321" t="s">
        <v>15</v>
      </c>
      <c r="B1059" s="1321"/>
      <c r="C1059" s="1321" t="s">
        <v>14</v>
      </c>
      <c r="D1059" s="1320" t="str">
        <f>IF('päd.Personal - Leitung'!$D$3="","",'päd.Personal - Leitung'!$D$3)</f>
        <v/>
      </c>
      <c r="E1059" s="1320"/>
      <c r="F1059" s="1320"/>
      <c r="G1059" s="1320"/>
      <c r="H1059" s="1320"/>
      <c r="I1059" s="1320"/>
      <c r="J1059" s="1320"/>
      <c r="K1059" s="1321" t="s">
        <v>100</v>
      </c>
      <c r="L1059" s="1321"/>
      <c r="M1059" s="1321"/>
      <c r="N1059" s="38" t="str">
        <f>IF('päd.Personal - Leitung'!$N$3="","",'päd.Personal - Leitung'!$N$3)</f>
        <v/>
      </c>
    </row>
    <row r="1060" spans="1:19" s="923" customFormat="1" ht="7.5" customHeight="1" x14ac:dyDescent="0.15">
      <c r="A1060" s="1353"/>
      <c r="B1060" s="1353"/>
      <c r="C1060" s="1353"/>
      <c r="D1060" s="1354"/>
      <c r="E1060" s="1354"/>
      <c r="F1060" s="1354"/>
      <c r="G1060" s="1354"/>
      <c r="H1060" s="1354"/>
      <c r="I1060" s="1354"/>
      <c r="J1060" s="1354"/>
      <c r="K1060" s="922"/>
      <c r="L1060" s="922"/>
      <c r="M1060" s="922"/>
      <c r="N1060" s="922"/>
      <c r="O1060" s="922"/>
      <c r="P1060" s="922"/>
    </row>
    <row r="1061" spans="1:19" s="13" customFormat="1" ht="13.5" customHeight="1" x14ac:dyDescent="0.2">
      <c r="A1061" s="1355" t="s">
        <v>151</v>
      </c>
      <c r="B1061" s="1355"/>
      <c r="C1061" s="1355"/>
      <c r="D1061" s="1355"/>
      <c r="E1061" s="1355"/>
      <c r="F1061" s="1355"/>
      <c r="G1061" s="1355"/>
      <c r="H1061" s="1355"/>
      <c r="I1061" s="1355"/>
      <c r="J1061" s="1355"/>
      <c r="K1061" s="7"/>
      <c r="L1061" s="7"/>
      <c r="M1061" s="7"/>
      <c r="N1061" s="52"/>
      <c r="O1061" s="138">
        <f>'päd.Personal - Leitung'!$O$5</f>
        <v>2025</v>
      </c>
      <c r="P1061" s="52" t="s">
        <v>140</v>
      </c>
    </row>
    <row r="1062" spans="1:19" s="8" customFormat="1" ht="13.5" customHeight="1" x14ac:dyDescent="0.25">
      <c r="B1062" s="29"/>
      <c r="C1062" s="29"/>
      <c r="D1062" s="3" t="s">
        <v>55</v>
      </c>
      <c r="E1062" s="28"/>
      <c r="F1062" s="28"/>
      <c r="G1062" s="28"/>
      <c r="H1062" s="28"/>
      <c r="I1062" s="24"/>
      <c r="K1062" s="1327" t="s">
        <v>13</v>
      </c>
      <c r="L1062" s="1327"/>
      <c r="M1062" s="131"/>
      <c r="O1062" s="928" t="str">
        <f>A1085</f>
        <v>Jan 2025</v>
      </c>
      <c r="P1062" s="1402">
        <f>IF(M1064="","",M1064)</f>
        <v>0</v>
      </c>
    </row>
    <row r="1063" spans="1:19" s="5" customFormat="1" ht="13.5" customHeight="1" x14ac:dyDescent="0.25">
      <c r="A1063" s="1328" t="s">
        <v>754</v>
      </c>
      <c r="B1063" s="1328"/>
      <c r="C1063" s="1328"/>
      <c r="D1063" s="1345"/>
      <c r="E1063" s="1345"/>
      <c r="F1063" s="1345"/>
      <c r="G1063" s="1345"/>
      <c r="H1063" s="1345"/>
      <c r="I1063" s="1345"/>
      <c r="K1063" s="1327" t="s">
        <v>101</v>
      </c>
      <c r="L1063" s="1327"/>
      <c r="M1063" s="101"/>
      <c r="O1063" s="928" t="str">
        <f t="shared" ref="O1063:O1073" si="176">A1086</f>
        <v>Feb 2025</v>
      </c>
      <c r="P1063" s="1403">
        <f t="shared" ref="P1063:P1070" si="177">IF(P1062="","",P1062)</f>
        <v>0</v>
      </c>
    </row>
    <row r="1064" spans="1:19" s="1" customFormat="1" ht="13.5" customHeight="1" x14ac:dyDescent="0.2">
      <c r="A1064" s="1328" t="s">
        <v>12</v>
      </c>
      <c r="B1064" s="1328"/>
      <c r="C1064" s="1328"/>
      <c r="D1064" s="1345"/>
      <c r="E1064" s="1345"/>
      <c r="F1064" s="1345"/>
      <c r="G1064" s="1345"/>
      <c r="H1064" s="1345"/>
      <c r="I1064" s="1345"/>
      <c r="K1064" s="1327" t="s">
        <v>149</v>
      </c>
      <c r="L1064" s="1327"/>
      <c r="M1064" s="101">
        <f>IF((M1065+M1066)&gt;M1063,0,M1063-M1065-M1066)</f>
        <v>0</v>
      </c>
      <c r="O1064" s="928" t="str">
        <f t="shared" si="176"/>
        <v>Mrz 2025</v>
      </c>
      <c r="P1064" s="1403">
        <f t="shared" si="177"/>
        <v>0</v>
      </c>
    </row>
    <row r="1065" spans="1:19" s="1" customFormat="1" ht="13.5" customHeight="1" x14ac:dyDescent="0.2">
      <c r="A1065" s="1328" t="s">
        <v>11</v>
      </c>
      <c r="B1065" s="1328"/>
      <c r="C1065" s="1328"/>
      <c r="D1065" s="1345"/>
      <c r="E1065" s="1345"/>
      <c r="F1065" s="1345"/>
      <c r="G1065" s="1345"/>
      <c r="H1065" s="1345"/>
      <c r="I1065" s="1345"/>
      <c r="K1065" s="1327" t="s">
        <v>150</v>
      </c>
      <c r="L1065" s="1327"/>
      <c r="M1065" s="101"/>
      <c r="O1065" s="928" t="str">
        <f t="shared" si="176"/>
        <v>Apr 2025</v>
      </c>
      <c r="P1065" s="1403">
        <f t="shared" si="177"/>
        <v>0</v>
      </c>
    </row>
    <row r="1066" spans="1:19" s="1" customFormat="1" ht="13.5" customHeight="1" x14ac:dyDescent="0.2">
      <c r="A1066" s="1328" t="s">
        <v>18</v>
      </c>
      <c r="B1066" s="1328"/>
      <c r="C1066" s="1328"/>
      <c r="D1066" s="1345"/>
      <c r="E1066" s="1345"/>
      <c r="F1066" s="1345"/>
      <c r="G1066" s="1345"/>
      <c r="H1066" s="1345"/>
      <c r="I1066" s="1345"/>
      <c r="K1066" s="1327" t="s">
        <v>222</v>
      </c>
      <c r="L1066" s="1327"/>
      <c r="M1066" s="101"/>
      <c r="O1066" s="928" t="str">
        <f t="shared" si="176"/>
        <v>Mai 2025</v>
      </c>
      <c r="P1066" s="1403">
        <f t="shared" si="177"/>
        <v>0</v>
      </c>
    </row>
    <row r="1067" spans="1:19" s="1" customFormat="1" ht="13.5" customHeight="1" x14ac:dyDescent="0.2">
      <c r="B1067" s="6"/>
      <c r="C1067" s="1029" t="s">
        <v>147</v>
      </c>
      <c r="D1067" s="1324"/>
      <c r="E1067" s="1324"/>
      <c r="F1067" s="1359" t="s">
        <v>103</v>
      </c>
      <c r="G1067" s="1359"/>
      <c r="H1067" s="1361"/>
      <c r="I1067" s="1361"/>
      <c r="K1067" s="1327" t="s">
        <v>94</v>
      </c>
      <c r="L1067" s="1327"/>
      <c r="M1067" s="15" t="str">
        <f>IF(IF((COUNTIF(B1085:B1096,"&gt;0"))=0,0,(COUNTIF(B1085:B1096,"&gt;0")))&gt;Grundlagen!$C$26,Grundlagen!$C$26,IF((COUNTIF(B1085:B1096,"&gt;0"))=0,"",(COUNTIF(B1085:B1096,"&gt;0"))))</f>
        <v/>
      </c>
      <c r="O1067" s="928" t="str">
        <f t="shared" si="176"/>
        <v>Jun 2025</v>
      </c>
      <c r="P1067" s="1403">
        <f t="shared" si="177"/>
        <v>0</v>
      </c>
    </row>
    <row r="1068" spans="1:19" s="1" customFormat="1" ht="13.5" customHeight="1" x14ac:dyDescent="0.2">
      <c r="I1068" s="4"/>
      <c r="M1068" s="102" t="str">
        <f>IF((SUM(F1070:F1073))=0,"",IF(P1074&gt;M1064,M1064,IF(M1064="","",IF(M1067="","",P1074))))</f>
        <v/>
      </c>
      <c r="O1068" s="928" t="str">
        <f t="shared" si="176"/>
        <v>Jul 2025</v>
      </c>
      <c r="P1068" s="1403">
        <f t="shared" si="177"/>
        <v>0</v>
      </c>
    </row>
    <row r="1069" spans="1:19" s="46" customFormat="1" ht="13.5" customHeight="1" x14ac:dyDescent="0.2">
      <c r="A1069" s="54" t="s">
        <v>134</v>
      </c>
      <c r="B1069" s="1356" t="s">
        <v>135</v>
      </c>
      <c r="C1069" s="1356"/>
      <c r="D1069" s="55" t="s">
        <v>136</v>
      </c>
      <c r="E1069" s="56" t="s">
        <v>137</v>
      </c>
      <c r="F1069" s="57" t="str">
        <f>CONCATENATE("Entg. ",N1059," h/Wo")</f>
        <v>Entg.  h/Wo</v>
      </c>
      <c r="G1069" s="58" t="s">
        <v>138</v>
      </c>
      <c r="I1069" s="58" t="s">
        <v>139</v>
      </c>
      <c r="K1069" s="970"/>
      <c r="L1069" s="970"/>
      <c r="M1069" s="59"/>
      <c r="N1069" s="968"/>
      <c r="O1069" s="928" t="str">
        <f t="shared" si="176"/>
        <v>Aug 2025</v>
      </c>
      <c r="P1069" s="1403">
        <f t="shared" si="177"/>
        <v>0</v>
      </c>
      <c r="Q1069" s="85"/>
      <c r="R1069" s="85"/>
      <c r="S1069" s="85"/>
    </row>
    <row r="1070" spans="1:19" s="46" customFormat="1" ht="13.5" customHeight="1" x14ac:dyDescent="0.25">
      <c r="A1070" s="48" t="str">
        <f>'päd.Personal - Leitung'!$A$14</f>
        <v>Jan 2025</v>
      </c>
      <c r="B1070" s="1357" t="str">
        <f>IF($D$3="","",$D$3)</f>
        <v/>
      </c>
      <c r="C1070" s="1358"/>
      <c r="D1070" s="132"/>
      <c r="E1070" s="132"/>
      <c r="F1070" s="71"/>
      <c r="G1070" s="50">
        <f>IF(N1059="",0,F1070/N1059/4.348)</f>
        <v>0</v>
      </c>
      <c r="I1070" s="125">
        <f>SUM(J1070:M1070)</f>
        <v>0</v>
      </c>
      <c r="J1070" s="124"/>
      <c r="K1070" s="124"/>
      <c r="L1070" s="124"/>
      <c r="M1070" s="124"/>
      <c r="N1070" s="969"/>
      <c r="O1070" s="928" t="str">
        <f t="shared" si="176"/>
        <v>Sep 2025</v>
      </c>
      <c r="P1070" s="1403">
        <f t="shared" si="177"/>
        <v>0</v>
      </c>
      <c r="Q1070" s="85"/>
      <c r="R1070" s="85"/>
      <c r="S1070" s="85"/>
    </row>
    <row r="1071" spans="1:19" s="46" customFormat="1" ht="13.5" customHeight="1" x14ac:dyDescent="0.25">
      <c r="A1071" s="49"/>
      <c r="B1071" s="1322" t="str">
        <f>IF(A1071="","",B1070)</f>
        <v/>
      </c>
      <c r="C1071" s="1323"/>
      <c r="D1071" s="132"/>
      <c r="E1071" s="132"/>
      <c r="F1071" s="71"/>
      <c r="G1071" s="50">
        <f>IF(N1059="",0,F1071/N1059/4.348)</f>
        <v>0</v>
      </c>
      <c r="I1071" s="125">
        <f t="shared" ref="I1071:I1073" si="178">SUM(J1071:M1071)</f>
        <v>0</v>
      </c>
      <c r="J1071" s="124"/>
      <c r="K1071" s="124"/>
      <c r="L1071" s="124"/>
      <c r="M1071" s="124"/>
      <c r="N1071" s="969"/>
      <c r="O1071" s="928" t="str">
        <f t="shared" si="176"/>
        <v>Okt 2025</v>
      </c>
      <c r="P1071" s="1403">
        <f t="shared" ref="P1071:P1073" si="179">IF(P1070="","",P1070)</f>
        <v>0</v>
      </c>
      <c r="Q1071" s="85"/>
      <c r="R1071" s="85"/>
      <c r="S1071" s="85"/>
    </row>
    <row r="1072" spans="1:19" s="46" customFormat="1" ht="13.5" customHeight="1" x14ac:dyDescent="0.25">
      <c r="A1072" s="49"/>
      <c r="B1072" s="1322" t="str">
        <f>IF(A1072="","",B1071)</f>
        <v/>
      </c>
      <c r="C1072" s="1323"/>
      <c r="D1072" s="132"/>
      <c r="E1072" s="132"/>
      <c r="F1072" s="71"/>
      <c r="G1072" s="50">
        <f>IF(N1059="",0,F1072/N1059/4.348)</f>
        <v>0</v>
      </c>
      <c r="I1072" s="125">
        <f t="shared" si="178"/>
        <v>0</v>
      </c>
      <c r="J1072" s="124"/>
      <c r="K1072" s="124"/>
      <c r="L1072" s="124"/>
      <c r="M1072" s="124"/>
      <c r="N1072" s="969"/>
      <c r="O1072" s="928" t="str">
        <f t="shared" si="176"/>
        <v>Nov 2025</v>
      </c>
      <c r="P1072" s="1403">
        <f t="shared" si="179"/>
        <v>0</v>
      </c>
      <c r="Q1072" s="85"/>
      <c r="R1072" s="85"/>
      <c r="S1072" s="85"/>
    </row>
    <row r="1073" spans="1:22" s="46" customFormat="1" ht="13.5" customHeight="1" x14ac:dyDescent="0.25">
      <c r="A1073" s="49"/>
      <c r="B1073" s="1322" t="str">
        <f>IF(A1073="","",B1072)</f>
        <v/>
      </c>
      <c r="C1073" s="1323"/>
      <c r="D1073" s="132"/>
      <c r="E1073" s="132"/>
      <c r="F1073" s="71"/>
      <c r="G1073" s="50">
        <f>IF(N1059="",0,F1073/N1059/4.348)</f>
        <v>0</v>
      </c>
      <c r="I1073" s="125">
        <f t="shared" si="178"/>
        <v>0</v>
      </c>
      <c r="J1073" s="124"/>
      <c r="K1073" s="124"/>
      <c r="L1073" s="124"/>
      <c r="M1073" s="124"/>
      <c r="N1073" s="969"/>
      <c r="O1073" s="928" t="str">
        <f t="shared" si="176"/>
        <v>Dez 2025</v>
      </c>
      <c r="P1073" s="1403">
        <f t="shared" si="179"/>
        <v>0</v>
      </c>
      <c r="Q1073" s="85"/>
      <c r="R1073" s="85"/>
      <c r="S1073" s="85"/>
    </row>
    <row r="1074" spans="1:22" s="46" customFormat="1" ht="13.5" customHeight="1" x14ac:dyDescent="0.25">
      <c r="B1074" s="972"/>
      <c r="C1074" s="972"/>
      <c r="E1074" s="972"/>
      <c r="F1074" s="972"/>
      <c r="I1074" s="930" t="s">
        <v>730</v>
      </c>
      <c r="J1074" s="1060"/>
      <c r="K1074" s="1060"/>
      <c r="L1074" s="1060"/>
      <c r="M1074" s="1060"/>
      <c r="N1074" s="971"/>
      <c r="O1074" s="126" t="s">
        <v>221</v>
      </c>
      <c r="P1074" s="127">
        <f>IF(M1067="",0,((IF(SUMIF(B1085,"&gt;0"),P1062,0))+(IF(SUMIF(B1086,"&gt;0"),P1063,0))+(IF(SUMIF(B1087,"&gt;0"),P1064,0))+(IF(SUMIF(B1088,"&gt;0"),P1065,0))+(IF(SUMIF(B1089,"&gt;0"),P1066,0))+(IF(SUMIF(B1090,"&gt;0"),P1067,0))+(IF(SUMIF(B1091,"&gt;0"),P1068,0))+(IF(SUMIF(B1092,"&gt;0"),P1069,0))+(IF(SUMIF(B1093,"&gt;0"),P1070,0))+(IF(SUMIF(B1094,"&gt;0"),P1071,0))+(IF(SUMIF(B1095,"&gt;0"),P1072,0))+(IF(SUMIF(B1096,"&gt;0"),P1073,0)))/Grundlagen!$C$26)</f>
        <v>0</v>
      </c>
      <c r="Q1074" s="944" t="str">
        <f>CONCATENATE("BBG"," anteilig ",O1076)</f>
        <v>BBG anteilig 2025</v>
      </c>
      <c r="R1074" s="931" t="s">
        <v>659</v>
      </c>
      <c r="S1074" s="931" t="s">
        <v>398</v>
      </c>
      <c r="T1074" s="107"/>
    </row>
    <row r="1075" spans="1:22" s="46" customFormat="1" ht="13.5" customHeight="1" x14ac:dyDescent="0.2">
      <c r="A1075" s="924" t="s">
        <v>732</v>
      </c>
      <c r="D1075" s="55" t="s">
        <v>369</v>
      </c>
      <c r="E1075" s="56" t="s">
        <v>368</v>
      </c>
      <c r="F1075" s="58"/>
      <c r="J1075" s="61"/>
      <c r="Q1075" s="932" t="s">
        <v>144</v>
      </c>
      <c r="R1075" s="140">
        <f>IF(M1064=0,R1079,IF(M1063="",R1079,(SUM(R1085:R1096)/M1067)))</f>
        <v>5175</v>
      </c>
      <c r="S1075" s="933">
        <f>IF(M1064=0,S1079,IF(M1063="",S1079,SUM(R1085:R1096)))</f>
        <v>0</v>
      </c>
      <c r="T1075" s="107"/>
    </row>
    <row r="1076" spans="1:22" s="46" customFormat="1" ht="13.5" customHeight="1" x14ac:dyDescent="0.25">
      <c r="A1076" s="60"/>
      <c r="B1076" s="1314" t="str">
        <f>IF($B$20="","",$B$20)</f>
        <v>Jahressonderzahlung (JSZ)</v>
      </c>
      <c r="C1076" s="1315"/>
      <c r="D1076" s="926"/>
      <c r="E1076" s="929" t="str">
        <f>IF(A1076="","",ROUND((((SUM(B1091:B1093)+SUM(F1091:F1093))/3)*D1076)/Grundlagen!$C$26*M1067,2))</f>
        <v/>
      </c>
      <c r="G1076" s="941" t="s">
        <v>733</v>
      </c>
      <c r="H1076" s="943"/>
      <c r="I1076" s="1316" t="str">
        <f>CONCATENATE(R1099,":"," Übergangsbereich von ",R1100+0.01," €"," bis ",R1101," €")</f>
        <v>2025: Übergangsbereich von 556,01 € bis 2000 €</v>
      </c>
      <c r="J1076" s="1317"/>
      <c r="K1076" s="1317"/>
      <c r="L1076" s="1067"/>
      <c r="M1076" s="1067"/>
      <c r="N1076" s="1068" t="s">
        <v>736</v>
      </c>
      <c r="O1076" s="1069">
        <f>P1076+1</f>
        <v>2025</v>
      </c>
      <c r="P1076" s="1069" t="s">
        <v>721</v>
      </c>
      <c r="Q1076" s="932" t="s">
        <v>145</v>
      </c>
      <c r="R1076" s="140">
        <f>IF(M1064=0,R1080,IF(M1063="",R1080,(SUM(S1085:S1096)/M1067)))</f>
        <v>7450</v>
      </c>
      <c r="S1076" s="933">
        <f>IF(M1064=0,S1080,IF(M1063="",S1080,SUM(S1085:S1096)))</f>
        <v>0</v>
      </c>
      <c r="T1076" s="109"/>
    </row>
    <row r="1077" spans="1:22" s="1" customFormat="1" ht="14.25" customHeight="1" x14ac:dyDescent="0.2">
      <c r="A1077" s="60"/>
      <c r="B1077" s="1314" t="str">
        <f>IF($B$21="","",$B$21)</f>
        <v>Leistungsentgelt (LOB)</v>
      </c>
      <c r="C1077" s="1315"/>
      <c r="D1077" s="926"/>
      <c r="E1077" s="929" t="str">
        <f>IF(A1077="","",ROUND(((B1097+F1097)*D1077)/Grundlagen!$C$26*M1067,2))</f>
        <v/>
      </c>
      <c r="G1077" s="941" t="str">
        <f>IF(OR(H1076="",H1076="nein")=TRUE,"","Faktor (F):")</f>
        <v/>
      </c>
      <c r="H1077" s="949" t="str">
        <f>IF(OR(H1076="",H1076="nein")=TRUE,"",IF(H1076="","",R1103))</f>
        <v/>
      </c>
      <c r="I1077" s="1318" t="str">
        <f>IF(OR(H1076="",H1076="nein")=TRUE,"",IF(H1077="","",CONCATENATE(S1103*100,"%"," / ","(",R1102*100,"%"," Gesamt-SV-Beitragssatz 2024)")))</f>
        <v/>
      </c>
      <c r="J1077" s="1319"/>
      <c r="K1077" s="1319"/>
      <c r="L1077" s="1070"/>
      <c r="M1077" s="1070"/>
      <c r="N1077" s="1071" t="s">
        <v>144</v>
      </c>
      <c r="O1077" s="1072">
        <f>'päd.Personal - Leitung'!$O$21</f>
        <v>5175</v>
      </c>
      <c r="P1077" s="1072">
        <f>'päd.Personal - Leitung'!$P$21</f>
        <v>5175</v>
      </c>
      <c r="Q1077" s="11"/>
      <c r="R1077" s="11"/>
      <c r="S1077" s="11"/>
      <c r="T1077" s="109"/>
    </row>
    <row r="1078" spans="1:22" s="1" customFormat="1" ht="14.25" customHeight="1" x14ac:dyDescent="0.2">
      <c r="C1078" s="925" t="s">
        <v>731</v>
      </c>
      <c r="L1078" s="1070"/>
      <c r="M1078" s="1070"/>
      <c r="N1078" s="1071" t="s">
        <v>145</v>
      </c>
      <c r="O1078" s="1073">
        <f>'päd.Personal - Leitung'!$O$22</f>
        <v>7450</v>
      </c>
      <c r="P1078" s="1073">
        <f>'päd.Personal - Leitung'!$P$22</f>
        <v>7450</v>
      </c>
      <c r="Q1078" s="944" t="str">
        <f>CONCATENATE("BBG"," ",O1076)</f>
        <v>BBG 2025</v>
      </c>
      <c r="R1078" s="11"/>
      <c r="S1078" s="11"/>
      <c r="T1078" s="109"/>
    </row>
    <row r="1079" spans="1:22" s="1" customFormat="1" ht="14.25" customHeight="1" x14ac:dyDescent="0.2">
      <c r="A1079" s="53" t="s">
        <v>141</v>
      </c>
      <c r="B1079" s="46"/>
      <c r="C1079" s="46"/>
      <c r="D1079" s="46"/>
      <c r="E1079" s="46"/>
      <c r="F1079" s="46"/>
      <c r="G1079" s="46"/>
      <c r="H1079" s="46"/>
      <c r="I1079" s="46"/>
      <c r="J1079" s="46"/>
      <c r="K1079" s="46"/>
      <c r="L1079" s="46"/>
      <c r="M1079" s="46"/>
      <c r="N1079" s="46"/>
      <c r="O1079" s="46"/>
      <c r="P1079" s="46"/>
      <c r="Q1079" s="932" t="s">
        <v>144</v>
      </c>
      <c r="R1079" s="141">
        <f>IF($O$21="",0,$O$21)</f>
        <v>5175</v>
      </c>
      <c r="S1079" s="933">
        <f>R1079*IF(M1067="",0,M1067)</f>
        <v>0</v>
      </c>
      <c r="T1079" s="295"/>
    </row>
    <row r="1080" spans="1:22" s="1" customFormat="1" ht="14.25" customHeight="1" x14ac:dyDescent="0.2">
      <c r="A1080" s="1346"/>
      <c r="B1080" s="1348" t="s">
        <v>8</v>
      </c>
      <c r="C1080" s="1349"/>
      <c r="D1080" s="1349"/>
      <c r="E1080" s="1349"/>
      <c r="F1080" s="1349"/>
      <c r="G1080" s="1350"/>
      <c r="H1080" s="1351" t="s">
        <v>113</v>
      </c>
      <c r="I1080" s="1352"/>
      <c r="J1080" s="1352"/>
      <c r="K1080" s="1352"/>
      <c r="L1080" s="1352"/>
      <c r="M1080" s="1352"/>
      <c r="N1080" s="1352"/>
      <c r="O1080" s="30"/>
      <c r="P1080" s="1330" t="s">
        <v>0</v>
      </c>
      <c r="Q1080" s="932" t="s">
        <v>145</v>
      </c>
      <c r="R1080" s="141">
        <f>IF($O$22="",0,$O$22)</f>
        <v>7450</v>
      </c>
      <c r="S1080" s="933">
        <f>R1080*IF(M1067="",0,M1067)</f>
        <v>0</v>
      </c>
      <c r="T1080" s="830"/>
    </row>
    <row r="1081" spans="1:22" s="1" customFormat="1" ht="14.25" customHeight="1" x14ac:dyDescent="0.2">
      <c r="A1081" s="1347"/>
      <c r="B1081" s="1333" t="s">
        <v>111</v>
      </c>
      <c r="C1081" s="1335" t="s">
        <v>743</v>
      </c>
      <c r="D1081" s="1337" t="s">
        <v>226</v>
      </c>
      <c r="E1081" s="1339" t="s">
        <v>133</v>
      </c>
      <c r="F1081" s="1030" t="s">
        <v>6</v>
      </c>
      <c r="G1081" s="1340" t="s">
        <v>5</v>
      </c>
      <c r="H1081" s="1339" t="s">
        <v>119</v>
      </c>
      <c r="I1081" s="1339" t="s">
        <v>4</v>
      </c>
      <c r="J1081" s="1339" t="s">
        <v>3</v>
      </c>
      <c r="K1081" s="1339" t="s">
        <v>2</v>
      </c>
      <c r="L1081" s="1339" t="s">
        <v>114</v>
      </c>
      <c r="M1081" s="1339" t="s">
        <v>115</v>
      </c>
      <c r="N1081" s="1339" t="s">
        <v>116</v>
      </c>
      <c r="O1081" s="1338" t="s">
        <v>109</v>
      </c>
      <c r="P1081" s="1331"/>
      <c r="Q1081" s="456"/>
      <c r="R1081" s="11"/>
      <c r="S1081" s="11"/>
      <c r="T1081" s="621"/>
    </row>
    <row r="1082" spans="1:22" s="1" customFormat="1" ht="14.25" customHeight="1" x14ac:dyDescent="0.2">
      <c r="A1082" s="1347"/>
      <c r="B1082" s="1333"/>
      <c r="C1082" s="1335"/>
      <c r="D1082" s="1338"/>
      <c r="E1082" s="1339"/>
      <c r="F1082" s="1343" t="str">
        <f>I1074</f>
        <v>Zuschläge / Zulagen / o.ä.:</v>
      </c>
      <c r="G1082" s="1340"/>
      <c r="H1082" s="1342" t="s">
        <v>117</v>
      </c>
      <c r="I1082" s="1342"/>
      <c r="J1082" s="1342"/>
      <c r="K1082" s="1342"/>
      <c r="L1082" s="1342"/>
      <c r="M1082" s="1342"/>
      <c r="N1082" s="1342"/>
      <c r="O1082" s="1338"/>
      <c r="P1082" s="1331"/>
      <c r="Q1082" s="456"/>
      <c r="R1082" s="1306" t="str">
        <f>Q1074</f>
        <v>BBG anteilig 2025</v>
      </c>
      <c r="S1082" s="1306"/>
      <c r="T1082" s="829"/>
    </row>
    <row r="1083" spans="1:22" s="1" customFormat="1" ht="14.25" customHeight="1" x14ac:dyDescent="0.2">
      <c r="A1083" s="1347"/>
      <c r="B1083" s="1333"/>
      <c r="C1083" s="1335"/>
      <c r="D1083" s="1338"/>
      <c r="E1083" s="1339"/>
      <c r="F1083" s="1343"/>
      <c r="G1083" s="1340"/>
      <c r="H1083" s="39" t="str">
        <f>'päd.Personal - Leitung'!$H$27</f>
        <v>(7,30% + Zusatz)</v>
      </c>
      <c r="I1083" s="39" t="str">
        <f>'päd.Personal - Leitung'!$I$27</f>
        <v xml:space="preserve"> (2024: 9,30%)</v>
      </c>
      <c r="J1083" s="39" t="str">
        <f>'päd.Personal - Leitung'!$J$27</f>
        <v>(2024: 1,30%)</v>
      </c>
      <c r="K1083" s="39" t="str">
        <f>'päd.Personal - Leitung'!$K$27</f>
        <v>(2024: 1,700%)</v>
      </c>
      <c r="L1083" s="39"/>
      <c r="M1083" s="39"/>
      <c r="N1083" s="39" t="str">
        <f>'päd.Personal - Leitung'!$N$27</f>
        <v>(2024: 0,06%)</v>
      </c>
      <c r="O1083" s="1338"/>
      <c r="P1083" s="1331"/>
      <c r="Q1083" s="456"/>
      <c r="R1083" s="1307" t="s">
        <v>659</v>
      </c>
      <c r="S1083" s="1307"/>
      <c r="T1083" s="829"/>
      <c r="U1083" s="1308" t="s">
        <v>1</v>
      </c>
      <c r="V1083" s="1308" t="s">
        <v>741</v>
      </c>
    </row>
    <row r="1084" spans="1:22" s="1" customFormat="1" x14ac:dyDescent="0.2">
      <c r="A1084" s="1347"/>
      <c r="B1084" s="1334"/>
      <c r="C1084" s="1336"/>
      <c r="D1084" s="45"/>
      <c r="E1084" s="45"/>
      <c r="F1084" s="1344"/>
      <c r="G1084" s="1341"/>
      <c r="H1084" s="74"/>
      <c r="I1084" s="99">
        <f>'päd.Personal - Leitung'!$I$28</f>
        <v>0</v>
      </c>
      <c r="J1084" s="99">
        <f>'päd.Personal - Leitung'!$J$28</f>
        <v>0</v>
      </c>
      <c r="K1084" s="40">
        <f>'päd.Personal - Leitung'!$K$28</f>
        <v>0</v>
      </c>
      <c r="L1084" s="19"/>
      <c r="M1084" s="19"/>
      <c r="N1084" s="99">
        <f>'päd.Personal - Leitung'!$N$28</f>
        <v>0</v>
      </c>
      <c r="O1084" s="23"/>
      <c r="P1084" s="1332"/>
      <c r="Q1084" s="456"/>
      <c r="R1084" s="935" t="s">
        <v>144</v>
      </c>
      <c r="S1084" s="935" t="s">
        <v>145</v>
      </c>
      <c r="T1084" s="829"/>
      <c r="U1084" s="1308"/>
      <c r="V1084" s="1308"/>
    </row>
    <row r="1085" spans="1:22" s="1" customFormat="1" x14ac:dyDescent="0.2">
      <c r="A1085" s="76" t="str">
        <f>CONCATENATE("Jan ",O1061)</f>
        <v>Jan 2025</v>
      </c>
      <c r="B1085" s="22">
        <f>ROUND(IF(P1062=0,0,(LOOKUP(2,1/(A1070:A1073=A1085),G1070:G1073))*P1062*4.348),2)</f>
        <v>0</v>
      </c>
      <c r="C1085" s="21">
        <f>ROUND(IFERROR((LOOKUP(2,1/(A1076=A1085),E1076)),0)+IFERROR((LOOKUP(2,1/(A1077=A1085),E1077)),0),2)</f>
        <v>0</v>
      </c>
      <c r="D1085" s="21">
        <f>ROUND(IF(B1085=0,0,D1084/M1063*P1062),2)</f>
        <v>0</v>
      </c>
      <c r="E1085" s="21">
        <f>ROUND(IF(B1085=0,0,E1084/N1059*P1062),2)</f>
        <v>0</v>
      </c>
      <c r="F1085" s="22">
        <f>ROUND(IF(P1062=0,0,(LOOKUP(2,1/(A1070:A1073=A1085),I1070:I1073))/N1059*P1062),2)</f>
        <v>0</v>
      </c>
      <c r="G1085" s="25">
        <f t="shared" ref="G1085:G1096" si="180">SUM(B1085+C1085+E1085+F1085)</f>
        <v>0</v>
      </c>
      <c r="H1085" s="64">
        <f>IF(B1085=0,0,IF(AND(H1076="ja",((U1085)&lt;R1101)),ROUND(((R1103*R1100+((R1101/(R1101-R1100))-(R1100/(R1101-R1100))*R1103)*((U1085)-R1100))*(H1084*2))-(((R1101/(R1101-R1100))*((U1085)-R1100))*H1084),2),ROUND(IF((U1085)&gt;R1085,R1085*H1084,U1085*H1084),2)))</f>
        <v>0</v>
      </c>
      <c r="I1085" s="64">
        <f>IF(B1085=0,0,IF(AND(H1076="ja",((U1085)&lt;R1101)),ROUND(((R1103*R1100+((R1101/(R1101-R1100))-(R1100/(R1101-R1100))*R1103)*((U1085)-R1100))*(I1084*2))-(((R1101/(R1101-R1100))*((U1085)-R1100))*I1084),2),ROUND(IF((U1085)&gt;S1085,S1085*I1084,U1085*I1084),2)))</f>
        <v>0</v>
      </c>
      <c r="J1085" s="64">
        <f>IF(B1085=0,0,IF(AND(H1076="ja",((U1085)&lt;R1101)),ROUND(((R1103*R1100+((R1101/(R1101-R1100))-(R1100/(R1101-R1100))*R1103)*((U1085)-R1100))*(J1084*2))-(((R1101/(R1101-R1100))*((U1085)-R1100))*J1084),2),ROUND(IF((U1085)&gt;S1085,S1085*J1084,U1085*J1084),2)))</f>
        <v>0</v>
      </c>
      <c r="K1085" s="64">
        <f>IF(B1085=0,0,IF(AND(H1076="ja",((U1085)&lt;R1101)),ROUND(((R1103*R1100+((R1101/(R1101-R1100))-(R1100/(R1101-R1100))*R1103)*((U1085)-R1100))*(K1084*2))-(((R1101/(R1101-R1100))*((U1085)-R1100))*K1084),2),ROUND(IF((U1085)&gt;R1085,R1085*K1084,U1085*K1084),2)))</f>
        <v>0</v>
      </c>
      <c r="L1085" s="64">
        <f>IF(B1085=0,0,IF(AND(H1076="ja",((U1085-C1085)&lt;R1101)),ROUND(((R1103*R1100+((R1101/(R1101-R1100))-(R1100/(R1101-R1100))*R1103)*((U1085-C1085)-R1100))*(L1084)),2),ROUND(IF((SUM(B1085:F1085))&gt;S1085,S1085*L1084,(SUM(B1085:F1085)-C1085)*L1084),2)))</f>
        <v>0</v>
      </c>
      <c r="M1085" s="64">
        <f>IF(B1085=0,0,IF(AND(H1076="ja",((U1085-C1085)&lt;R1101)),ROUND(((R1103*R1100+((R1101/(R1101-R1100))-(R1100/(R1101-R1100))*R1103)*((U1085-C1085)-R1100))*(M1084)),2),ROUND(IF((SUM(B1085:F1085))&gt;S1085,S1085*M1084,(SUM(B1085:F1085)-C1085)*M1084),2)))</f>
        <v>0</v>
      </c>
      <c r="N1085" s="64">
        <f>IF(B1085=0,0,IF(AND(H1076="ja",((U1085)&lt;R1101)),ROUND(((R1103*R1100+((R1101/(R1101-R1100))-(R1100/(R1101-R1100))*R1103)*((U1085)-R1100))*(N1084)),2),ROUND(IF((SUM(B1085:F1085))&gt;S1085,S1085*N1084,SUM(B1085:F1085)*N1084),2)))</f>
        <v>0</v>
      </c>
      <c r="O1085" s="21">
        <f>ROUND(SUM(B1085+C1085+F1085)*O1084,2)</f>
        <v>0</v>
      </c>
      <c r="P1085" s="25">
        <f>SUM(G1085:O1085)</f>
        <v>0</v>
      </c>
      <c r="Q1085" s="456"/>
      <c r="R1085" s="140">
        <f>ROUND(IF(M1063="",R1079,R1079/M1063*P1062),2)</f>
        <v>5175</v>
      </c>
      <c r="S1085" s="140">
        <f>ROUND(IF(M1063="",R1080,R1080/M1063*P1062),2)</f>
        <v>7450</v>
      </c>
      <c r="U1085" s="950">
        <f>SUM(B1085:F1085)</f>
        <v>0</v>
      </c>
      <c r="V1085" s="950">
        <f>SUM(B1085:F1085)</f>
        <v>0</v>
      </c>
    </row>
    <row r="1086" spans="1:22" s="1" customFormat="1" x14ac:dyDescent="0.2">
      <c r="A1086" s="76" t="str">
        <f>CONCATENATE("Feb ",O1061)</f>
        <v>Feb 2025</v>
      </c>
      <c r="B1086" s="22">
        <f>ROUND(IF(P1063=0,0,IFERROR(((LOOKUP(2,1/(A1070:A1073=A1086),G1070:G1073))*P1063*4.348),B1085/P1062*P1063)),2)</f>
        <v>0</v>
      </c>
      <c r="C1086" s="21">
        <f>ROUND(IFERROR((LOOKUP(2,1/(A1076=A1086),E1076)),0)+IFERROR((LOOKUP(2,1/(A1077=A1086),E1077)),0),2)</f>
        <v>0</v>
      </c>
      <c r="D1086" s="21">
        <f>ROUND(IF(B1086=0,0,D1084/M1063*P1063),2)</f>
        <v>0</v>
      </c>
      <c r="E1086" s="21">
        <f>ROUND(IF(B1086=0,0,E1084/N1059*P1063),2)</f>
        <v>0</v>
      </c>
      <c r="F1086" s="22">
        <f>ROUND(IF(P1063=0,0,IFERROR(((LOOKUP(2,1/(A1070:A1073=A1086),I1070:I1073))/N1059*P1063),F1085/P1062*P1063)),2)</f>
        <v>0</v>
      </c>
      <c r="G1086" s="25">
        <f t="shared" si="180"/>
        <v>0</v>
      </c>
      <c r="H1086" s="64">
        <f>IF(B1086=0,0,IF(AND(H1076="ja",((U1086)&lt;R1101)),ROUND(((R1103*R1100+((R1101/(R1101-R1100))-(R1100/(R1101-R1100))*R1103)*((U1086)-R1100))*(H1084*2))-(((R1101/(R1101-R1100))*((U1086)-R1100))*H1084),2),ROUND(IF(U1085&lt;(R1085),IF((V1086)&gt;(SUM(R1085:R1086)),(((SUM(R1085:R1086))-(V1086-C1085))*H1084)+((U1086-C1085)*H1084),U1086*H1084),IF(V1086&gt;(SUM(R1085:R1086)),R1086*H1084,U1086*H1084)),2)))</f>
        <v>0</v>
      </c>
      <c r="I1086" s="64">
        <f>IF(B1086=0,0,IF(AND(H1076="ja",((U1086)&lt;R1101)),ROUND(((R1103*R1100+((R1101/(R1101-R1100))-(R1100/(R1101-R1100))*R1103)*((U1086)-R1100))*(I1084*2))-(((R1101/(R1101-R1100))*((U1086)-R1100))*I1084),2),ROUND(IF(U1085&lt;(S1085),IF((V1086)&gt;(SUM(S1085:S1086)),(((SUM(S1085:S1086))-(V1086-C1085))*I1084)+((U1086-C1085)*I1084),U1086*I1084),IF(V1086&gt;(SUM(S1085:S1086)),S1086*I1084,U1086*I1084)),2)))</f>
        <v>0</v>
      </c>
      <c r="J1086" s="64">
        <f>IF(B1086=0,0,IF(AND(H1076="ja",((U1086)&lt;R1101)),ROUND(((R1103*R1100+((R1101/(R1101-R1100))-(R1100/(R1101-R1100))*R1103)*((U1086)-R1100))*(J1084*2))-(((R1101/(R1101-R1100))*((U1086)-R1100))*J1084),2),ROUND(IF(U1085&lt;(S1085),IF((V1086)&gt;(SUM(S1085:S1086)),(((SUM(S1085:S1086))-(V1086-C1085))*J1084)+((U1086-C1085)*J1084),U1086*J1084),IF(V1086&gt;(SUM(S1085:S1086)),S1086*J1084,U1086*J1084)),2)))</f>
        <v>0</v>
      </c>
      <c r="K1086" s="64">
        <f>IF(B1086=0,0,IF(AND(H1076="ja",((U1086)&lt;R1101)),ROUND(((R1103*R1100+((R1101/(R1101-R1100))-(R1100/(R1101-R1100))*R1103)*((U1086)-R1100))*(K1084*2))-(((R1101/(R1101-R1100))*((U1086)-R1100))*K1084),2),ROUND(IF(U1085&lt;(R1085),IF((V1086)&gt;(SUM(R1085:R1086)),(((SUM(R1085:R1086))-(V1086-C1085))*K1084)+((U1086-C1085)*K1084),U1086*K1084),IF(V1086&gt;(SUM(R1085:R1086)),R1086*K1084,U1086*K1084)),2)))</f>
        <v>0</v>
      </c>
      <c r="L1086" s="64">
        <f>IF(B1086=0,0,IF(AND(H1076="ja",((U1086-C1086)&lt;R1101)),ROUND(((R1103*R1100+((R1101/(R1101-R1100))-(R1100/(R1101-R1100))*R1103)*((U1086-C1086)-R1100))*(L1084)),2),ROUND(IF(SUM(B1085:F1085)&lt;(S1085),IF((SUM(B1085:F1086))&gt;(SUM(S1085:S1086)),(((SUM(S1085:S1086))-(SUM(B1085:F1086)-C1086))*L1084)+((SUM(B1086:F1086)-C1086)*L1084),(SUM(B1086:F1086)-C1086)*L1084),IF(SUM(B1085:F1086)&gt;(SUM(S1085:S1086)),S1086*L1084,SUM(B1086:F1086)*L1084)),2)))</f>
        <v>0</v>
      </c>
      <c r="M1086" s="64">
        <f>IF(B1086=0,0,IF(AND(H1076="ja",((U1086-C1086)&lt;R1101)),ROUND(((R1103*R1100+((R1101/(R1101-R1100))-(R1100/(R1101-R1100))*R1103)*((U1086-C1086)-R1100))*(M1084)),2),ROUND(IF(SUM(B1085:F1085)&lt;(S1085),IF((SUM(B1085:F1086))&gt;(SUM(S1085:S1086)),(((SUM(S1085:S1086))-(SUM(B1085:F1086)-C1086))*M1084)+((SUM(B1086:F1086)-C1086)*M1084),(SUM(B1086:F1086)-C1086)*M1084),IF(SUM(B1085:F1086)&gt;(SUM(S1085:S1086)),S1086*M1084,SUM(B1086:F1086)*M1084)),2)))</f>
        <v>0</v>
      </c>
      <c r="N1086" s="64">
        <f>IF(B1086=0,0,IF(AND(H1076="ja",((U1086)&lt;R1101)),ROUND(((R1103*R1100+((R1101/(R1101-R1100))-(R1100/(R1101-R1100))*R1103)*((U1086)-R1100))*(N1084)),2),ROUND(IF(SUM(B1085:F1085)&lt;(S1085),IF((SUM(B1085:F1086))&gt;(SUM(S1085:S1086)),(((SUM(S1085:S1086))-(SUM(B1085:F1086)-C1085))*N1084)+((SUM(B1086:F1086)-C1085)*N1084),SUM(B1086:F1086)*N1084),IF(SUM(B1085:F1086)&gt;(SUM(S1085:S1086)),S1086*N1084,SUM(B1086:F1086)*N1084)),2)))</f>
        <v>0</v>
      </c>
      <c r="O1086" s="21">
        <f>ROUND(SUM(B1086+C1086+F1086)*O1084,2)</f>
        <v>0</v>
      </c>
      <c r="P1086" s="25">
        <f t="shared" ref="P1086:P1096" si="181">SUM(G1086:O1086)</f>
        <v>0</v>
      </c>
      <c r="Q1086" s="456"/>
      <c r="R1086" s="140">
        <f>ROUND(IF(M1063="",R1079,R1079/M1063*P1063),2)</f>
        <v>5175</v>
      </c>
      <c r="S1086" s="140">
        <f>ROUND(IF(M1063="",R1080,R1080/M1063*P1063),2)</f>
        <v>7450</v>
      </c>
      <c r="U1086" s="950">
        <f t="shared" ref="U1086:U1096" si="182">SUM(B1086:F1086)</f>
        <v>0</v>
      </c>
      <c r="V1086" s="950">
        <f>SUM(B1085:F1086)</f>
        <v>0</v>
      </c>
    </row>
    <row r="1087" spans="1:22" s="1" customFormat="1" x14ac:dyDescent="0.2">
      <c r="A1087" s="76" t="str">
        <f>CONCATENATE("Mrz ",O1061)</f>
        <v>Mrz 2025</v>
      </c>
      <c r="B1087" s="22">
        <f>ROUND(IF(P1064=0,0,IFERROR(((LOOKUP(2,1/(A1070:A1073=A1087),G1070:G1073))*P1064*4.348),B1086/P1063*P1064)),2)</f>
        <v>0</v>
      </c>
      <c r="C1087" s="21">
        <f>ROUND(IFERROR((LOOKUP(2,1/(A1076=A1087),E1076)),0)+IFERROR((LOOKUP(2,1/(A1077=A1087),E1077)),0),2)</f>
        <v>0</v>
      </c>
      <c r="D1087" s="21">
        <f>ROUND(IF(B1087=0,0,D1084/M1063*P1064),2)</f>
        <v>0</v>
      </c>
      <c r="E1087" s="21">
        <f>ROUND(IF(B1087=0,0,E1084/N1059*P1064),2)</f>
        <v>0</v>
      </c>
      <c r="F1087" s="22">
        <f>ROUND(IF(P1064=0,0,IFERROR(((LOOKUP(2,1/(A1070:A1073=A1087),I1070:I1073))/N1059*P1064),F1086/P1063*P1064)),2)</f>
        <v>0</v>
      </c>
      <c r="G1087" s="25">
        <f t="shared" si="180"/>
        <v>0</v>
      </c>
      <c r="H1087" s="64">
        <f>IF(B1087=0,0,IF(AND(H1076="ja",((U1087)&lt;R1101)),ROUND(((R1103*R1100+((R1101/(R1101-R1100))-(R1100/(R1101-R1100))*R1103)*((U1087)-R1100))*(H1084*2))-(((R1101/(R1101-R1100))*((U1087)-R1100))*H1084),2),ROUND(IF(V1086&lt;(SUM(R1085:R1086)),IF((V1087)&gt;(SUM(R1085:R1087)),(((SUM(R1085:R1087))-(V1087-C1086))*H1084)+((U1087-C1086)*H1084),U1087*H1084),IF(V1087&gt;(SUM(R1085:R1087)),R1087*H1084,U1087*H1084)),2)))</f>
        <v>0</v>
      </c>
      <c r="I1087" s="64">
        <f>IF(B1087=0,0,IF(AND(H1076="ja",((U1087)&lt;R1101)),ROUND(((R1103*R1100+((R1101/(R1101-R1100))-(R1100/(R1101-R1100))*R1103)*((U1087)-R1100))*(I1084*2))-(((R1101/(R1101-R1100))*((U1087)-R1100))*I1084),2),ROUND(IF(V1086&lt;(SUM(S1085:S1086)),IF((V1087)&gt;(SUM(S1085:S1087)),(((SUM(S1085:S1087))-(V1087-C1086))*I1084)+((U1087-C1086)*I1084),U1087*I1084),IF(V1087&gt;(SUM(S1085:S1087)),S1087*I1084,U1087*I1084)),2)))</f>
        <v>0</v>
      </c>
      <c r="J1087" s="64">
        <f>IF(B1087=0,0,IF(AND(H1076="ja",((U1087)&lt;R1101)),ROUND(((R1103*R1100+((R1101/(R1101-R1100))-(R1100/(R1101-R1100))*R1103)*((U1087)-R1100))*(J1084*2))-(((R1101/(R1101-R1100))*((U1087)-R1100))*J1084),2),ROUND(IF(V1086&lt;(SUM(S1085:S1086)),IF((V1087)&gt;(SUM(S1085:S1087)),(((SUM(S1085:S1087))-(V1087-C1086))*J1084)+((U1087-C1086)*J1084),U1087*J1084),IF(V1087&gt;(SUM(S1085:S1087)),S1087*J1084,U1087*J1084)),2)))</f>
        <v>0</v>
      </c>
      <c r="K1087" s="64">
        <f>IF(B1087=0,0,IF(AND(H1076="ja",((U1087)&lt;R1101)),ROUND(((R1103*R1100+((R1101/(R1101-R1100))-(R1100/(R1101-R1100))*R1103)*((U1087)-R1100))*(K1084*2))-(((R1101/(R1101-R1100))*((U1087)-R1100))*K1084),2),ROUND(IF(V1086&lt;(SUM(R1085:R1086)),IF((V1087)&gt;(SUM(R1085:R1087)),(((SUM(R1085:R1087))-(V1087-C1086))*K1084)+((U1087-C1086)*K1084),U1087*K1084),IF(V1087&gt;(SUM(R1085:R1087)),R1087*K1084,U1087*K1084)),2)))</f>
        <v>0</v>
      </c>
      <c r="L1087" s="64">
        <f>IF(B1087=0,0,IF(AND(H1076="ja",((U1087-C1087)&lt;R1101)),ROUND(((R1103*R1100+((R1101/(R1101-R1100))-(R1100/(R1101-R1100))*R1103)*((U1087-C1087)-R1100))*(L1084)),2),ROUND(IF(SUM(B1085:F1086)&lt;(SUM(S1085:S1086)),IF((SUM(B1085:F1087))&gt;(SUM(S1085:S1087)),(((SUM(S1085:S1087))-(SUM(B1085:F1087)-C1087))*L1084)+((SUM(B1087:F1087)-C1087)*L1084),(SUM(B1087:F1087)-C1087)*L1084),IF(SUM(B1085:F1087)&gt;(SUM(S1085:S1087)),S1087*L1084,SUM(B1087:F1087)*L1084)),2)))</f>
        <v>0</v>
      </c>
      <c r="M1087" s="64">
        <f>IF(B1087=0,0,IF(AND(H1076="ja",((U1087-C1087)&lt;R1101)),ROUND(((R1103*R1100+((R1101/(R1101-R1100))-(R1100/(R1101-R1100))*R1103)*((U1087-C1087)-R1100))*(M1084)),2),ROUND(IF(SUM(B1085:F1086)&lt;(SUM(S1085:S1086)),IF((SUM(B1085:F1087))&gt;(SUM(S1085:S1087)),(((SUM(S1085:S1087))-(SUM(B1085:F1087)-C1087))*M1084)+((SUM(B1087:F1087)-C1087)*M1084),(SUM(B1087:F1087)-C1087)*M1084),IF(SUM(B1085:F1087)&gt;(SUM(S1085:S1087)),S1087*M1084,SUM(B1087:F1087)*M1084)),2)))</f>
        <v>0</v>
      </c>
      <c r="N1087" s="64">
        <f>IF(B1087=0,0,IF(AND(H1076="ja",((U1087)&lt;R1101)),ROUND(((R1103*R1100+((R1101/(R1101-R1100))-(R1100/(R1101-R1100))*R1103)*((U1087)-R1100))*(N1084)),2),ROUND(IF(SUM(B1085:F1086)&lt;(SUM(S1085:S1086)),IF((SUM(B1085:F1087))&gt;(SUM(S1085:S1087)),(((SUM(S1085:S1087))-(SUM(B1085:F1087)-C1086))*N1084)+((SUM(B1087:F1087)-C1086)*N1084),SUM(B1087:F1087)*N1084),IF(SUM(B1085:F1087)&gt;(SUM(S1085:S1087)),S1087*N1084,SUM(B1087:F1087)*N1084)),2)))</f>
        <v>0</v>
      </c>
      <c r="O1087" s="21">
        <f>ROUND(SUM(B1087+C1087+F1087)*O1084,2)</f>
        <v>0</v>
      </c>
      <c r="P1087" s="25">
        <f t="shared" si="181"/>
        <v>0</v>
      </c>
      <c r="Q1087" s="456"/>
      <c r="R1087" s="140">
        <f>ROUND(IF(M1063="",R1079,R1079/M1063*P1064),2)</f>
        <v>5175</v>
      </c>
      <c r="S1087" s="140">
        <f>ROUND(IF(M1063="",R1080,R1080/M1063*P1064),2)</f>
        <v>7450</v>
      </c>
      <c r="U1087" s="950">
        <f t="shared" si="182"/>
        <v>0</v>
      </c>
      <c r="V1087" s="950">
        <f>SUM(B1085:F1087)</f>
        <v>0</v>
      </c>
    </row>
    <row r="1088" spans="1:22" s="1" customFormat="1" x14ac:dyDescent="0.2">
      <c r="A1088" s="76" t="str">
        <f>CONCATENATE("Apr ",O1061)</f>
        <v>Apr 2025</v>
      </c>
      <c r="B1088" s="22">
        <f>ROUND(IF(P1065=0,0,IFERROR(((LOOKUP(2,1/(A1070:A1073=A1088),G1070:G1073))*P1065*4.348),B1087/P1064*P1065)),2)</f>
        <v>0</v>
      </c>
      <c r="C1088" s="21">
        <f>ROUND(IFERROR((LOOKUP(2,1/(A1076=A1088),E1076)),0)+IFERROR((LOOKUP(2,1/(A1077=A1088),E1077)),0),2)</f>
        <v>0</v>
      </c>
      <c r="D1088" s="21">
        <f>ROUND(IF(B1088=0,0,D1084/M1063*P1065),2)</f>
        <v>0</v>
      </c>
      <c r="E1088" s="21">
        <f>ROUND(IF(B1088=0,0,E1084/N1059*P1065),2)</f>
        <v>0</v>
      </c>
      <c r="F1088" s="22">
        <f>ROUND(IF(P1065=0,0,IFERROR(((LOOKUP(2,1/(A1070:A1073=A1088),I1070:I1073))/N1059*P1065),F1087/P1064*P1065)),2)</f>
        <v>0</v>
      </c>
      <c r="G1088" s="25">
        <f t="shared" si="180"/>
        <v>0</v>
      </c>
      <c r="H1088" s="64">
        <f>IF(B1088=0,0,IF(AND(H1076="ja",((U1088)&lt;R1101)),ROUND(((R1103*R1100+((R1101/(R1101-R1100))-(R1100/(R1101-R1100))*R1103)*((U1088)-R1100))*(H1084*2))-(((R1101/(R1101-R1100))*((U1088)-R1100))*H1084),2),ROUND(IF(V1087&lt;(SUM(R1085:R1087)),IF((V1088)&gt;(SUM(R1085:R1088)),(((SUM(R1085:R1088))-(V1088-C1087))*H1084)+((U1088-C1087)*H1084),U1088*H1084),IF(V1088&gt;(SUM(R1085:R1088)),R1088*H1084,U1088*H1084)),2)))</f>
        <v>0</v>
      </c>
      <c r="I1088" s="64">
        <f>IF(B1088=0,0,IF(AND(H1076="ja",((U1088)&lt;R1101)),ROUND(((R1103*R1100+((R1101/(R1101-R1100))-(R1100/(R1101-R1100))*R1103)*((U1088)-R1100))*(I1084*2))-(((R1101/(R1101-R1100))*((U1088)-R1100))*I1084),2),ROUND(IF(V1087&lt;(SUM(S1085:S1087)),IF((V1088)&gt;(SUM(S1085:S1088)),(((SUM(S1085:S1088))-(V1088-C1087))*I1084)+((U1088-C1087)*I1084),U1088*I1084),IF(V1088&gt;(SUM(S1085:S1088)),S1088*I1084,U1088*I1084)),2)))</f>
        <v>0</v>
      </c>
      <c r="J1088" s="64">
        <f>IF(B1088=0,0,IF(AND(H1076="ja",((U1088)&lt;R1101)),ROUND(((R1103*R1100+((R1101/(R1101-R1100))-(R1100/(R1101-R1100))*R1103)*((U1088)-R1100))*(J1084*2))-(((R1101/(R1101-R1100))*((U1088)-R1100))*J1084),2),ROUND(IF(U1087&lt;(SUM(S1085:S1087)),IF((V1088)&gt;(SUM(S1085:S1088)),(((SUM(S1085:S1088))-(V1088-C1087))*J1084)+((U1088-C1087)*J1084),U1088*J1084),IF(V1088&gt;(SUM(S1085:S1088)),S1088*J1084,U1088*J1084)),2)))</f>
        <v>0</v>
      </c>
      <c r="K1088" s="64">
        <f>IF(B1088=0,0,IF(AND(H1076="ja",((U1088)&lt;R1101)),ROUND(((R1103*R1100+((R1101/(R1101-R1100))-(R1100/(R1101-R1100))*R1103)*((U1088)-R1100))*(K1084*2))-(((R1101/(R1101-R1100))*((U1088)-R1100))*K1084),2),ROUND(IF(V1087&lt;(SUM(R1085:R1087)),IF((V1088)&gt;(SUM(R1085:R1088)),(((SUM(R1085:R1088))-(V1088-C1087))*K1084)+((U1088-C1087)*K1084),U1088*K1084),IF(V1088&gt;(SUM(R1085:R1088)),R1088*K1084,U1088*K1084)),2)))</f>
        <v>0</v>
      </c>
      <c r="L1088" s="64">
        <f>IF(B1088=0,0,IF(AND(H1076="ja",((U1088-C1088)&lt;R1101)),ROUND(((R1103*R1100+((R1101/(R1101-R1100))-(R1100/(R1101-R1100))*R1103)*((U1088-C1088)-R1100))*(L1084)),2),ROUND(IF(SUM(B1085:F1087)&lt;(SUM(S1085:S1087)),IF((SUM(B1085:F1088))&gt;(SUM(S1085:S1088)),(((SUM(S1085:S1088))-(SUM(B1085:F1088)-C1088))*L1084)+((SUM(B1088:F1088)-C1088)*L1084),(SUM(B1088:F1088)-C1088)*L1084),IF(SUM(B1085:F1088)&gt;(SUM(S1085:S1088)),S1088*L1084,SUM(B1088:F1088)*L1084)),2)))</f>
        <v>0</v>
      </c>
      <c r="M1088" s="64">
        <f>IF(B1088=0,0,IF(AND(H1076="ja",((U1088-C1088)&lt;R1101)),ROUND(((R1103*R1100+((R1101/(R1101-R1100))-(R1100/(R1101-R1100))*R1103)*((U1088-C1088)-R1100))*(M1084)),2),ROUND(IF(SUM(B1085:F1087)&lt;(SUM(S1085:S1087)),IF((SUM(B1085:F1088))&gt;(SUM(S1085:S1088)),(((SUM(S1085:S1088))-(SUM(B1085:F1088)-C1088))*M1084)+((SUM(B1088:F1088)-C1088)*M1084),(SUM(B1088:F1088)-C1088)*M1084),IF(SUM(B1085:F1088)&gt;(SUM(S1085:S1088)),S1088*M1084,SUM(B1088:F1088)*M1084)),2)))</f>
        <v>0</v>
      </c>
      <c r="N1088" s="64">
        <f>IF(B1088=0,0,IF(AND(H1076="ja",((U1088)&lt;R1101)),ROUND(((R1103*R1100+((R1101/(R1101-R1100))-(R1100/(R1101-R1100))*R1103)*((U1088)-R1100))*(N1084)),2),ROUND(IF(SUM(B1085:F1087)&lt;(SUM(S1085:S1087)),IF((SUM(B1085:F1088))&gt;(SUM(S1085:S1088)),(((SUM(S1085:S1088))-(SUM(B1085:F1088)-C1087))*N1084)+((SUM(B1088:F1088)-C1087)*N1084),SUM(B1088:F1088)*N1084),IF(SUM(B1085:F1088)&gt;(SUM(S1085:S1088)),S1088*N1084,SUM(B1088:F1088)*N1084)),2)))</f>
        <v>0</v>
      </c>
      <c r="O1088" s="21">
        <f>ROUND(SUM(B1088+C1088+F1088)*O1084,2)</f>
        <v>0</v>
      </c>
      <c r="P1088" s="25">
        <f t="shared" si="181"/>
        <v>0</v>
      </c>
      <c r="Q1088" s="456"/>
      <c r="R1088" s="140">
        <f>ROUND(IF(M1063="",R1079,R1079/M1063*P1065),2)</f>
        <v>5175</v>
      </c>
      <c r="S1088" s="140">
        <f>ROUND(IF(M1063="",R1080,R1080/M1063*P1065),2)</f>
        <v>7450</v>
      </c>
      <c r="U1088" s="950">
        <f t="shared" si="182"/>
        <v>0</v>
      </c>
      <c r="V1088" s="950">
        <f>SUM(B1085:F1088)</f>
        <v>0</v>
      </c>
    </row>
    <row r="1089" spans="1:24" s="1" customFormat="1" x14ac:dyDescent="0.2">
      <c r="A1089" s="76" t="str">
        <f>CONCATENATE("Mai ",O1061)</f>
        <v>Mai 2025</v>
      </c>
      <c r="B1089" s="22">
        <f>ROUND(IF(P1066=0,0,IFERROR(((LOOKUP(2,1/(A1070:A1073=A1089),G1070:G1073))*P1066*4.348),B1088/P1065*P1066)),2)</f>
        <v>0</v>
      </c>
      <c r="C1089" s="21">
        <f>ROUND(IFERROR((LOOKUP(2,1/(A1076=A1089),E1076)),0)+IFERROR((LOOKUP(2,1/(A1077=A1089),E1077)),0),2)</f>
        <v>0</v>
      </c>
      <c r="D1089" s="21">
        <f>ROUND(IF(B1089=0,0,D1084/M1063*P1066),2)</f>
        <v>0</v>
      </c>
      <c r="E1089" s="21">
        <f>ROUND(IF(B1089=0,0,E1084/N1059*P1066),2)</f>
        <v>0</v>
      </c>
      <c r="F1089" s="22">
        <f>ROUND(IF(P1066=0,0,IFERROR(((LOOKUP(2,1/(A1070:A1073=A1089),I1070:I1073))/N1059*P1066),F1088/P1065*P1066)),2)</f>
        <v>0</v>
      </c>
      <c r="G1089" s="25">
        <f t="shared" si="180"/>
        <v>0</v>
      </c>
      <c r="H1089" s="64">
        <f>IF(B1089=0,0,IF(AND(H1076="ja",((U1089)&lt;R1101)),ROUND(((R1103*R1100+((R1101/(R1101-R1100))-(R1100/(R1101-R1100))*R1103)*((U1089)-R1100))*(H1084*2))-(((R1101/(R1101-R1100))*((U1089)-R1100))*H1084),2),ROUND(IF(V1088&lt;(SUM(R1085:R1088)),IF((V1089)&gt;(SUM(R1085:R1089)),(((SUM(R1085:R1089))-(V1089-C1088))*H1084)+((U1089-C1088)*H1084),U1089*H1084),IF(V1089&gt;(SUM(R1085:R1089)),R1089*H1084,U1089*H1084)),2)))</f>
        <v>0</v>
      </c>
      <c r="I1089" s="64">
        <f>IF(B1089=0,0,IF(AND(H1076="ja",((U1089)&lt;R1101)),ROUND(((R1103*R1100+((R1101/(R1101-R1100))-(R1100/(R1101-R1100))*R1103)*((U1089)-R1100))*(I1084*2))-(((R1101/(R1101-R1100))*((U1089)-R1100))*I1084),2),ROUND(IF(V1088&lt;(SUM(S1085:S1088)),IF((V1089)&gt;(SUM(S1085:S1089)),(((SUM(S1085:S1089))-(V1089-C1088))*I1084)+((U1089-C1088)*I1084),U1089*I1084),IF(V1089&gt;(SUM(S1085:S1089)),S1089*I1084,U1089*I1084)),2)))</f>
        <v>0</v>
      </c>
      <c r="J1089" s="64">
        <f>IF(B1089=0,0,IF(AND(H1076="ja",((U1089)&lt;R1101)),ROUND(((R1103*R1100+((R1101/(R1101-R1100))-(R1100/(R1101-R1100))*R1103)*((U1089)-R1100))*(J1084*2))-(((R1101/(R1101-R1100))*((U1089)-R1100))*J1084),2),ROUND(IF(V1088&lt;(SUM(S1085:S1088)),IF((V1089)&gt;(SUM(S1085:S1089)),(((SUM(S1085:S1089))-(V1089-C1088))*J1084)+((U1089-C1088)*J1084),U1089*J1084),IF(V1089&gt;(SUM(S1085:S1089)),S1089*J1084,U1089*J1084)),2)))</f>
        <v>0</v>
      </c>
      <c r="K1089" s="64">
        <f>IF(B1089=0,0,IF(AND(H1076="ja",((U1089)&lt;R1101)),ROUND(((R1103*R1100+((R1101/(R1101-R1100))-(R1100/(R1101-R1100))*R1103)*((U1089)-R1100))*(K1084*2))-(((R1101/(R1101-R1100))*((U1089)-R1100))*K1084),2),ROUND(IF(V1088&lt;(SUM(R1085:R1088)),IF((V1089)&gt;(SUM(R1085:R1089)),(((SUM(R1085:R1089))-(V1089-C1088))*K1084)+((U1089-C1088)*K1084),U1089*K1084),IF(V1089&gt;(SUM(R1085:R1089)),R1089*K1084,U1089*K1084)),2)))</f>
        <v>0</v>
      </c>
      <c r="L1089" s="64">
        <f>IF(B1089=0,0,IF(AND(H1076="ja",((U1089-C1089)&lt;R1101)),ROUND(((R1103*R1100+((R1101/(R1101-R1100))-(R1100/(R1101-R1100))*R1103)*((U1089-C1089)-R1100))*(L1084)),2),ROUND(IF(SUM(B1085:F1088)&lt;(SUM(S1085:S1088)),IF((SUM(B1085:F1089))&gt;(SUM(S1085:S1089)),(((SUM(S1085:S1089))-(SUM(B1085:F1089)-C1089))*L1084)+((SUM(B1089:F1089)-C1089)*L1084),(SUM(B1089:F1089)-C1089)*L1084),IF(SUM(B1085:F1089)&gt;(SUM(S1085:S1089)),S1089*L1084,SUM(B1089:F1089)*L1084)),2)))</f>
        <v>0</v>
      </c>
      <c r="M1089" s="64">
        <f>IF(B1089=0,0,IF(AND(H1076="ja",((U1089-C1089)&lt;R1101)),ROUND(((R1103*R1100+((R1101/(R1101-R1100))-(R1100/(R1101-R1100))*R1103)*((U1089-C1089)-R1100))*(M1084)),2),ROUND(IF(SUM(B1085:F1088)&lt;(SUM(S1085:S1088)),IF((SUM(B1085:F1089))&gt;(SUM(S1085:S1089)),(((SUM(S1085:S1089))-(SUM(B1085:F1089)-C1089))*M1084)+((SUM(B1089:F1089)-C1089)*M1084),(SUM(B1089:F1089)-C1089)*M1084),IF(SUM(B1085:F1089)&gt;(SUM(S1085:S1089)),S1089*M1084,SUM(B1089:F1089)*M1084)),2)))</f>
        <v>0</v>
      </c>
      <c r="N1089" s="64">
        <f>IF(B1089=0,0,IF(AND(H1076="ja",((U1089)&lt;R1101)),ROUND(((R1103*R1100+((R1101/(R1101-R1100))-(R1100/(R1101-R1100))*R1103)*((U1089)-R1100))*(N1084)),2),ROUND(IF(SUM(B1085:F1088)&lt;(SUM(S1085:S1088)),IF((SUM(B1085:F1089))&gt;(SUM(S1085:S1089)),(((SUM(S1085:S1089))-(SUM(B1085:F1089)-C1088))*N1084)+((SUM(B1089:F1089)-C1088)*N1084),SUM(B1089:F1089)*N1084),IF(SUM(B1085:F1089)&gt;(SUM(S1085:S1089)),S1089*N1084,SUM(B1089:F1089)*N1084)),2)))</f>
        <v>0</v>
      </c>
      <c r="O1089" s="21">
        <f>ROUND(SUM(B1089+C1089+F1089)*O1084,2)</f>
        <v>0</v>
      </c>
      <c r="P1089" s="25">
        <f t="shared" si="181"/>
        <v>0</v>
      </c>
      <c r="Q1089" s="456"/>
      <c r="R1089" s="140">
        <f>ROUND(IF(M1063="",R1079,R1079/M1063*P1066),2)</f>
        <v>5175</v>
      </c>
      <c r="S1089" s="140">
        <f>ROUND(IF(M1063="",R1080,R1080/M1063*P1066),2)</f>
        <v>7450</v>
      </c>
      <c r="U1089" s="950">
        <f t="shared" si="182"/>
        <v>0</v>
      </c>
      <c r="V1089" s="950">
        <f>SUM(B1085:F1089)</f>
        <v>0</v>
      </c>
    </row>
    <row r="1090" spans="1:24" s="1" customFormat="1" x14ac:dyDescent="0.2">
      <c r="A1090" s="76" t="str">
        <f>CONCATENATE("Jun ",O1061)</f>
        <v>Jun 2025</v>
      </c>
      <c r="B1090" s="22">
        <f>ROUND(IF(P1067=0,0,IFERROR(((LOOKUP(2,1/(A1070:A1073=A1090),G1070:G1073))*P1067*4.348),B1089/P1066*P1067)),2)</f>
        <v>0</v>
      </c>
      <c r="C1090" s="21">
        <f>ROUND(IFERROR((LOOKUP(2,1/(A1076=A1090),E1076)),0)+IFERROR((LOOKUP(2,1/(A1077=A1090),E1077)),0),2)</f>
        <v>0</v>
      </c>
      <c r="D1090" s="21">
        <f>ROUND(IF(B1090=0,0,D1084/M1063*P1067),2)</f>
        <v>0</v>
      </c>
      <c r="E1090" s="21">
        <f>ROUND(IF(B1090=0,0,E1084/N1059*P1067),2)</f>
        <v>0</v>
      </c>
      <c r="F1090" s="22">
        <f>ROUND(IF(P1067=0,0,IFERROR(((LOOKUP(2,1/(A1070:A1073=A1090),I1070:I1073))/N1059*P1067),F1089/P1066*P1067)),2)</f>
        <v>0</v>
      </c>
      <c r="G1090" s="25">
        <f t="shared" si="180"/>
        <v>0</v>
      </c>
      <c r="H1090" s="64">
        <f>IF(B1090=0,0,IF(AND(H1076="ja",((U1090)&lt;R1101)),ROUND(((R1103*R1100+((R1101/(R1101-R1100))-(R1100/(R1101-R1100))*R1103)*((U1090)-R1100))*(H1084*2))-(((R1101/(R1101-R1100))*((U1090)-R1100))*H1084),2),ROUND(IF(V1089&lt;(SUM(R1085:R1089)),IF((V1090)&gt;(SUM(R1085:R1090)),(((SUM(R1085:R1090))-(V1090-C1089))*H1084)+((U1090-C1089)*H1084),U1090*H1084),IF(V1090&gt;(SUM(R1085:R1090)),R1090*H1084,U1090*H1084)),2)))</f>
        <v>0</v>
      </c>
      <c r="I1090" s="64">
        <f>IF(B1090=0,0,IF(AND(H1076="ja",((U1090)&lt;R1101)),ROUND(((R1103*R1100+((R1101/(R1101-R1100))-(R1100/(R1101-R1100))*R1103)*((U1090)-R1100))*(I1084*2))-(((R1101/(R1101-R1100))*((U1090)-R1100))*I1084),2),ROUND(IF(V1089&lt;(SUM(S1085:S1089)),IF((V1090)&gt;(SUM(S1085:S1090)),(((SUM(S1085:S1090))-(V1090-C1089))*I1084)+((U1090-C1089)*I1084),U1090*I1084),IF(V1090&gt;(SUM(S1085:S1090)),S1090*I1084,U1090*I1084)),2)))</f>
        <v>0</v>
      </c>
      <c r="J1090" s="64">
        <f>IF(B1090=0,0,IF(AND(H1076="ja",((U1090)&lt;R1101)),ROUND(((R1103*R1100+((R1101/(R1101-R1100))-(R1100/(R1101-R1100))*R1103)*((U1090)-R1100))*(J1084*2))-(((R1101/(R1101-R1100))*((U1090)-R1100))*J1084),2),ROUND(IF(V1089&lt;(SUM(S1085:S1089)),IF((V1090)&gt;(SUM(S1085:S1090)),(((SUM(S1085:S1090))-(V1090-C1089))*J1084)+((U1090-C1089)*J1084),U1090*J1084),IF(V1090&gt;(SUM(S1085:S1090)),S1090*J1084,U1090*J1084)),2)))</f>
        <v>0</v>
      </c>
      <c r="K1090" s="64">
        <f>IF(B1090=0,0,IF(AND(H1076="ja",((U1090)&lt;R1101)),ROUND(((R1103*R1100+((R1101/(R1101-R1100))-(R1100/(R1101-R1100))*R1103)*((U1090)-R1100))*(K1084*2))-(((R1101/(R1101-R1100))*((U1090)-R1100))*K1084),2),ROUND(IF(V1089&lt;(SUM(R1085:R1089)),IF((V1090)&gt;(SUM(R1085:R1090)),(((SUM(R1085:R1090))-(V1090-C1089))*K1084)+((U1090-C1089)*K1084),U1090*K1084),IF(V1090&gt;(SUM(R1085:R1090)),R1090*K1084,U1090*K1084)),2)))</f>
        <v>0</v>
      </c>
      <c r="L1090" s="64">
        <f>IF(B1090=0,0,IF(AND(H1076="ja",((U1090-C1090)&lt;R1101)),ROUND(((R1103*R1100+((R1101/(R1101-R1100))-(R1100/(R1101-R1100))*R1103)*((U1090-C1090)-R1100))*(L1084)),2),ROUND(IF(SUM(B1085:F1089)&lt;(SUM(S1085:S1089)),IF((SUM(B1085:F1090))&gt;(SUM(S1085:S1090)),(((SUM(S1085:S1090))-(SUM(B1085:F1090)-C1090))*L1084)+((SUM(B1090:F1090)-C1090)*L1084),(SUM(B1090:F1090)-C1090)*L1084),IF(SUM(B1085:F1090)&gt;(SUM(S1085:S1090)),S1090*L1084,SUM(B1090:F1090)*L1084)),2)))</f>
        <v>0</v>
      </c>
      <c r="M1090" s="64">
        <f>IF(B1090=0,0,IF(AND(H1076="ja",((U1090-C1090)&lt;R1101)),ROUND(((R1103*R1100+((R1101/(R1101-R1100))-(R1100/(R1101-R1100))*R1103)*((U1090-C1090)-R1100))*(M1084)),2),ROUND(IF(SUM(B1085:F1089)&lt;(SUM(S1085:S1089)),IF((SUM(B1085:F1090))&gt;(SUM(S1085:S1090)),(((SUM(S1085:S1090))-(SUM(B1085:F1090)-C1090))*M1084)+((SUM(B1090:F1090)-C1090)*M1084),(SUM(B1090:F1090)-C1090)*M1084),IF(SUM(B1085:F1090)&gt;(SUM(S1085:S1090)),S1090*M1084,SUM(B1090:F1090)*M1084)),2)))</f>
        <v>0</v>
      </c>
      <c r="N1090" s="64">
        <f>IF(B1090=0,0,IF(AND(H1076="ja",((U1090)&lt;R1101)),ROUND(((R1103*R1100+((R1101/(R1101-R1100))-(R1100/(R1101-R1100))*R1103)*((U1090)-R1100))*(N1084)),2),ROUND(IF(SUM(B1085:F1089)&lt;(SUM(S1085:S1089)),IF((SUM(B1085:F1090))&gt;(SUM(S1085:S1090)),(((SUM(S1085:S1090))-(SUM(B1085:F1090)-C1089))*N1084)+((SUM(B1090:F1090)-C1089)*N1084),SUM(B1090:F1090)*N1084),IF(SUM(B1085:F1090)&gt;(SUM(S1085:S1090)),S1090*N1084,SUM(B1090:F1090)*N1084)),2)))</f>
        <v>0</v>
      </c>
      <c r="O1090" s="21">
        <f>ROUND(SUM(B1090+C1090+F1090)*O1084,2)</f>
        <v>0</v>
      </c>
      <c r="P1090" s="25">
        <f t="shared" si="181"/>
        <v>0</v>
      </c>
      <c r="Q1090" s="456"/>
      <c r="R1090" s="140">
        <f>ROUND(IF(M1063="",R1079,R1079/M1063*P1067),2)</f>
        <v>5175</v>
      </c>
      <c r="S1090" s="140">
        <f>ROUND(IF(M1063="",R1080,R1080/M1063*P1067),2)</f>
        <v>7450</v>
      </c>
      <c r="U1090" s="950">
        <f t="shared" si="182"/>
        <v>0</v>
      </c>
      <c r="V1090" s="950">
        <f>SUM(B1085:F1090)</f>
        <v>0</v>
      </c>
    </row>
    <row r="1091" spans="1:24" s="1" customFormat="1" x14ac:dyDescent="0.2">
      <c r="A1091" s="76" t="str">
        <f>CONCATENATE("Jul ",O1061)</f>
        <v>Jul 2025</v>
      </c>
      <c r="B1091" s="22">
        <f>ROUND(IF(P1068=0,0,IFERROR(((LOOKUP(2,1/(A1070:A1073=A1091),G1070:G1073))*P1068*4.348),B1090/P1067*P1068)),2)</f>
        <v>0</v>
      </c>
      <c r="C1091" s="21">
        <f>ROUND(IFERROR((LOOKUP(2,1/(A1076=A1091),E1076)),0)+IFERROR((LOOKUP(2,1/(A1077=A1091),E1077)),0),2)</f>
        <v>0</v>
      </c>
      <c r="D1091" s="21">
        <f>ROUND(IF(B1091=0,0,D1084/M1063*P1068),2)</f>
        <v>0</v>
      </c>
      <c r="E1091" s="21">
        <f>ROUND(IF(B1091=0,0,E1084/N1059*P1068),2)</f>
        <v>0</v>
      </c>
      <c r="F1091" s="22">
        <f>ROUND(IF(P1068=0,0,IFERROR(((LOOKUP(2,1/(A1070:A1073=A1091),I1070:I1073))/N1059*P1068),F1090/P1067*P1068)),2)</f>
        <v>0</v>
      </c>
      <c r="G1091" s="25">
        <f t="shared" si="180"/>
        <v>0</v>
      </c>
      <c r="H1091" s="64">
        <f>IF(B1091=0,0,IF(AND(H1076="ja",((U1091)&lt;R1101)),ROUND(((R1103*R1100+((R1101/(R1101-R1100))-(R1100/(R1101-R1100))*R1103)*((U1091)-R1100))*(H1084*2))-(((R1101/(R1101-R1100))*((U1091)-R1100))*H1084),2),ROUND(IF(V1090&lt;(SUM(R1085:R1090)),IF((V1091)&gt;(SUM(R1085:R1091)),(((SUM(R1085:R1091))-(V1091-C1090))*H1084)+((U1091-C1090)*H1084),U1091*H1084),IF(V1091&gt;(SUM(R1085:R1091)),R1091*H1084,U1091*H1084)),2)))</f>
        <v>0</v>
      </c>
      <c r="I1091" s="64">
        <f>IF(B1091=0,0,IF(AND(H1076="ja",((U1091)&lt;R1101)),ROUND(((R1103*R1100+((R1101/(R1101-R1100))-(R1100/(R1101-R1100))*R1103)*((U1091)-R1100))*(I1084*2))-(((R1101/(R1101-R1100))*((U1091)-R1100))*I1084),2),ROUND(IF(V1090&lt;(SUM(S1085:S1090)),IF((V1091)&gt;(SUM(S1085:S1091)),(((SUM(S1085:S1091))-(V1091-C1090))*I1084)+((U1091-C1090)*I1084),U1091*I1084),IF(V1091&gt;(SUM(S1085:S1091)),S1091*I1084,U1091*I1084)),2)))</f>
        <v>0</v>
      </c>
      <c r="J1091" s="64">
        <f>IF(B1091=0,0,IF(AND(H1076="ja",((U1091)&lt;R1101)),ROUND(((R1103*R1100+((R1101/(R1101-R1100))-(R1100/(R1101-R1100))*R1103)*((U1091)-R1100))*(J1084*2))-(((R1101/(R1101-R1100))*((U1091)-R1100))*J1084),2),ROUND(IF(V1090&lt;(SUM(S1085:S1090)),IF((V1091)&gt;(SUM(S1085:S1091)),(((SUM(S1085:S1091))-(V1091-C1090))*J1084)+((U1091-C1090)*J1084),U1091*J1084),IF(V1091&gt;(SUM(S1085:S1091)),S1091*J1084,U1091*J1084)),2)))</f>
        <v>0</v>
      </c>
      <c r="K1091" s="64">
        <f>IF(B1091=0,0,IF(AND(H1076="ja",((U1091)&lt;R1101)),ROUND(((R1103*R1100+((R1101/(R1101-R1100))-(R1100/(R1101-R1100))*R1103)*((U1091)-R1100))*(K1084*2))-(((R1101/(R1101-R1100))*((U1091)-R1100))*K1084),2),ROUND(IF(V1090&lt;(SUM(R1085:R1090)),IF((V1091)&gt;(SUM(R1085:R1091)),(((SUM(R1085:R1091))-(V1091-C1090))*K1084)+((U1091-C1090)*K1084),U1091*K1084),IF(V1091&gt;(SUM(R1085:R1091)),R1091*K1084,U1091*K1084)),2)))</f>
        <v>0</v>
      </c>
      <c r="L1091" s="64">
        <f>IF(B1091=0,0,IF(AND(H1076="ja",((U1091-C1091)&lt;R1101)),ROUND(((R1103*R1100+((R1101/(R1101-R1100))-(R1100/(R1101-R1100))*R1103)*((U1091-C1091)-R1100))*(L1084)),2),ROUND(IF(SUM(B1085:F1090)&lt;(SUM(S1085:S1090)),IF((SUM(B1085:F1091))&gt;(SUM(S1085:S1091)),(((SUM(S1085:S1091))-(SUM(B1085:F1091)-C1091))*L1084)+((SUM(B1091:F1091)-C1091)*L1084),(SUM(B1091:F1091)-C1091)*L1084),IF(SUM(B1085:F1091)&gt;(SUM(S1085:S1091)),S1091*L1084,SUM(B1091:F1091)*L1084)),2)))</f>
        <v>0</v>
      </c>
      <c r="M1091" s="64">
        <f>IF(B1091=0,0,IF(AND(H1076="ja",((U1091-C1091)&lt;R1101)),ROUND(((R1103*R1100+((R1101/(R1101-R1100))-(R1100/(R1101-R1100))*R1103)*((U1091-C1091)-R1100))*(M1084)),2),ROUND(IF(SUM(B1085:F1090)&lt;(SUM(S1085:S1090)),IF((SUM(B1085:F1091))&gt;(SUM(S1085:S1091)),(((SUM(S1085:S1091))-(SUM(B1085:F1091)-C1091))*M1084)+((SUM(B1091:F1091)-C1091)*M1084),(SUM(B1091:F1091)-C1091)*M1084),IF(SUM(B1085:F1091)&gt;(SUM(S1085:S1091)),S1091*M1084,SUM(B1091:F1091)*M1084)),2)))</f>
        <v>0</v>
      </c>
      <c r="N1091" s="64">
        <f>IF(B1091=0,0,IF(AND(H1076="ja",((U1091)&lt;R1101)),ROUND(((R1103*R1100+((R1101/(R1101-R1100))-(R1100/(R1101-R1100))*R1103)*((U1091)-R1100))*(N1084)),2),ROUND(IF(SUM(B1085:F1090)&lt;(SUM(S1085:S1090)),IF((SUM(B1085:F1091))&gt;(SUM(S1085:S1091)),(((SUM(S1085:S1091))-(SUM(B1085:F1091)-C1090))*N1084)+((SUM(B1091:F1091)-C1090)*N1084),SUM(B1091:F1091)*N1084),IF(SUM(B1085:F1091)&gt;(SUM(S1085:S1091)),S1091*N1084,SUM(B1091:F1091)*N1084)),2)))</f>
        <v>0</v>
      </c>
      <c r="O1091" s="21">
        <f>ROUND(SUM(B1091+C1091+F1091)*O1084,2)</f>
        <v>0</v>
      </c>
      <c r="P1091" s="25">
        <f t="shared" si="181"/>
        <v>0</v>
      </c>
      <c r="Q1091" s="456"/>
      <c r="R1091" s="140">
        <f>ROUND(IF(M1063="",R1079,R1079/M1063*P1068),2)</f>
        <v>5175</v>
      </c>
      <c r="S1091" s="140">
        <f>ROUND(IF(M1063="",R1080,R1080/M1063*P1068),2)</f>
        <v>7450</v>
      </c>
      <c r="U1091" s="950">
        <f t="shared" si="182"/>
        <v>0</v>
      </c>
      <c r="V1091" s="950">
        <f>SUM(B1085:F1091)</f>
        <v>0</v>
      </c>
    </row>
    <row r="1092" spans="1:24" s="1" customFormat="1" x14ac:dyDescent="0.2">
      <c r="A1092" s="76" t="str">
        <f>CONCATENATE("Aug ",O1061)</f>
        <v>Aug 2025</v>
      </c>
      <c r="B1092" s="22">
        <f>ROUND(IF(P1069=0,0,IFERROR(((LOOKUP(2,1/(A1070:A1073=A1092),G1070:G1073))*P1069*4.348),B1091/P1068*P1069)),2)</f>
        <v>0</v>
      </c>
      <c r="C1092" s="21">
        <f>ROUND(IFERROR((LOOKUP(2,1/(A1076=A1092),E1076)),0)+IFERROR((LOOKUP(2,1/(A1077=A1092),E1077)),0),2)</f>
        <v>0</v>
      </c>
      <c r="D1092" s="21">
        <f>ROUND(IF(B1092=0,0,D1084/M1063*P1069),2)</f>
        <v>0</v>
      </c>
      <c r="E1092" s="21">
        <f>ROUND(IF(B1092=0,0,E1084/N1059*P1069),2)</f>
        <v>0</v>
      </c>
      <c r="F1092" s="22">
        <f>ROUND(IF(P1069=0,0,IFERROR(((LOOKUP(2,1/(A1070:A1073=A1092),I1070:I1073))/N1059*P1069),F1091/P1068*P1069)),2)</f>
        <v>0</v>
      </c>
      <c r="G1092" s="25">
        <f t="shared" si="180"/>
        <v>0</v>
      </c>
      <c r="H1092" s="64">
        <f>IF(B1092=0,0,IF(AND(H1076="ja",((U1092)&lt;R1101)),ROUND(((R1103*R1100+((R1101/(R1101-R1100))-(R1100/(R1101-R1100))*R1103)*((U1092)-R1100))*(H1084*2))-(((R1101/(R1101-R1100))*((U1092)-R1100))*H1084),2),ROUND(IF(V1091&lt;(SUM(R1085:R1091)),IF((V1092)&gt;(SUM(R1085:R1092)),(((SUM(R1085:R1092))-(V1092-C1091))*H1084)+((U1092-C1091)*H1084),U1092*H1084),IF(V1092&gt;(SUM(R1085:R1092)),R1092*H1084,U1092*H1084)),2)))</f>
        <v>0</v>
      </c>
      <c r="I1092" s="64">
        <f>IF(B1092=0,0,IF(AND(H1076="ja",((U1092)&lt;R1101)),ROUND(((R1103*R1100+((R1101/(R1101-R1100))-(R1100/(R1101-R1100))*R1103)*((U1092)-R1100))*(I1084*2))-(((R1101/(R1101-R1100))*((U1092)-R1100))*I1084),2),ROUND(IF(V1091&lt;(SUM(S1085:S1091)),IF((V1092)&gt;(SUM(S1085:S1092)),(((SUM(S1085:S1092))-(V1092-C1091))*I1084)+((U1092-C1091)*I1084),U1092*I1084),IF(V1092&gt;(SUM(S1085:S1092)),S1092*I1084,U1092*I1084)),2)))</f>
        <v>0</v>
      </c>
      <c r="J1092" s="64">
        <f>IF(B1092=0,0,IF(AND(H1076="ja",((U1092)&lt;R1101)),ROUND(((R1103*R1100+((R1101/(R1101-R1100))-(R1100/(R1101-R1100))*R1103)*((U1092)-R1100))*(J1084*2))-(((R1101/(R1101-R1100))*((U1092)-R1100))*J1084),2),ROUND(IF(V1091&lt;(SUM(S1085:S1091)),IF((V1092)&gt;(SUM(S1085:S1092)),(((SUM(S1085:S1092))-(V1092-C1091))*J1084)+((U1092-C1091)*J1084),U1092*J1084),IF(V1092&gt;(SUM(S1085:S1092)),S1092*J1084,U1092*J1084)),2)))</f>
        <v>0</v>
      </c>
      <c r="K1092" s="64">
        <f>IF(B1092=0,0,IF(AND(H1076="ja",((U1092)&lt;R1101)),ROUND(((R1103*R1100+((R1101/(R1101-R1100))-(R1100/(R1101-R1100))*R1103)*((U1092)-R1100))*(K1084*2))-(((R1101/(R1101-R1100))*((U1092)-R1100))*K1084),2),ROUND(IF(V1091&lt;(SUM(R1085:R1091)),IF((V1092)&gt;(SUM(R1085:R1092)),(((SUM(R1085:R1092))-(V1092-C1091))*K1084)+((U1092-C1091)*K1084),U1092*K1084),IF(V1092&gt;(SUM(R1085:R1092)),R1092*K1084,U1092*K1084)),2)))</f>
        <v>0</v>
      </c>
      <c r="L1092" s="64">
        <f>IF(B1092=0,0,IF(AND(H1076="ja",((U1092-C1092)&lt;R1101)),ROUND(((R1103*R1100+((R1101/(R1101-R1100))-(R1100/(R1101-R1100))*R1103)*((U1092-C1092)-R1100))*(L1084)),2),ROUND(IF(SUM(B1085:F1091)&lt;(SUM(S1085:S1091)),IF((SUM(B1085:F1092))&gt;(SUM(S1085:S1092)),(((SUM(S1085:S1092))-(SUM(B1085:F1092)-C1092))*L1084)+((SUM(B1092:F1092)-C1092)*L1084),(SUM(B1092:F1092)-C1092)*L1084),IF(SUM(B1085:F1092)&gt;(SUM(S1085:S1092)),S1092*L1084,SUM(B1092:F1092)*L1084)),2)))</f>
        <v>0</v>
      </c>
      <c r="M1092" s="64">
        <f>IF(B1092=0,0,IF(AND(H1076="ja",((U1092-C1092)&lt;R1101)),ROUND(((R1103*R1100+((R1101/(R1101-R1100))-(R1100/(R1101-R1100))*R1103)*((U1092-C1092)-R1100))*(M1084)),2),ROUND(IF(SUM(B1085:F1091)&lt;(SUM(S1085:S1091)),IF((SUM(B1085:F1092))&gt;(SUM(S1085:S1092)),(((SUM(S1085:S1092))-(SUM(B1085:F1092)-C1092))*M1084)+((SUM(B1092:F1092)-C1092)*M1084),(SUM(B1092:F1092)-C1092)*M1084),IF(SUM(B1085:F1092)&gt;(SUM(S1085:S1092)),S1092*M1084,SUM(B1092:F1092)*M1084)),2)))</f>
        <v>0</v>
      </c>
      <c r="N1092" s="64">
        <f>IF(B1092=0,0,IF(AND(H1076="ja",((U1092)&lt;R1101)),ROUND(((R1103*R1100+((R1101/(R1101-R1100))-(R1100/(R1101-R1100))*R1103)*((U1092)-R1100))*(N1084)),2),ROUND(IF(SUM(B1085:F1091)&lt;(SUM(S1085:S1091)),IF((SUM(B1085:F1092))&gt;(SUM(S1085:S1092)),(((SUM(S1085:S1092))-(SUM(B1085:F1092)-C1091))*N1084)+((SUM(B1092:F1092)-C1091)*N1084),SUM(B1092:F1092)*N1084),IF(SUM(B1085:F1092)&gt;(SUM(S1085:S1092)),S1092*N1084,SUM(B1092:F1092)*N1084)),2)))</f>
        <v>0</v>
      </c>
      <c r="O1092" s="21">
        <f>ROUND(SUM(B1092+C1092+F1092)*O1084,2)</f>
        <v>0</v>
      </c>
      <c r="P1092" s="25">
        <f t="shared" si="181"/>
        <v>0</v>
      </c>
      <c r="Q1092" s="456"/>
      <c r="R1092" s="140">
        <f>ROUND(IF(M1063="",R1079,R1079/M1063*P1069),2)</f>
        <v>5175</v>
      </c>
      <c r="S1092" s="140">
        <f>ROUND(IF(M1063="",R1080,R1080/M1063*P1069),2)</f>
        <v>7450</v>
      </c>
      <c r="U1092" s="950">
        <f t="shared" si="182"/>
        <v>0</v>
      </c>
      <c r="V1092" s="950">
        <f>SUM(B1085:F1092)</f>
        <v>0</v>
      </c>
    </row>
    <row r="1093" spans="1:24" s="1" customFormat="1" x14ac:dyDescent="0.2">
      <c r="A1093" s="76" t="str">
        <f>CONCATENATE("Sep ",O1061)</f>
        <v>Sep 2025</v>
      </c>
      <c r="B1093" s="22">
        <f>ROUND(IF(P1070=0,0,IFERROR(((LOOKUP(2,1/(A1070:A1073=A1093),G1070:G1073))*P1070*4.348),B1092/P1069*P1070)),2)</f>
        <v>0</v>
      </c>
      <c r="C1093" s="21">
        <f>ROUND(IFERROR((LOOKUP(2,1/(A1076=A1093),E1076)),0)+IFERROR((LOOKUP(2,1/(A1077=A1093),E1077)),0),2)</f>
        <v>0</v>
      </c>
      <c r="D1093" s="21">
        <f>ROUND(IF(B1093=0,0,D1084/M1063*P1070),2)</f>
        <v>0</v>
      </c>
      <c r="E1093" s="21">
        <f>ROUND(IF(B1093=0,0,E1084/N1059*P1070),2)</f>
        <v>0</v>
      </c>
      <c r="F1093" s="22">
        <f>ROUND(IF(P1070=0,0,IFERROR(((LOOKUP(2,1/(A1070:A1073=A1093),I1070:I1073))/N1059*P1070),F1092/P1069*P1070)),2)</f>
        <v>0</v>
      </c>
      <c r="G1093" s="25">
        <f t="shared" si="180"/>
        <v>0</v>
      </c>
      <c r="H1093" s="64">
        <f>IF(B1093=0,0,IF(AND(H1076="ja",((U1093)&lt;R1101)),ROUND(((R1103*R1100+((R1101/(R1101-R1100))-(R1100/(R1101-R1100))*R1103)*((U1093)-R1100))*(H1084*2))-(((R1101/(R1101-R1100))*((U1093)-R1100))*H1084),2),ROUND(IF(V1092&lt;(SUM(R1085:R1092)),IF((V1093)&gt;(SUM(R1085:R1093)),(((SUM(R1085:R1093))-(V1093-C1092))*H1084)+((U1093-C1092)*H1084),U1093*H1084),IF(V1093&gt;(SUM(R1085:R1093)),R1093*H1084,U1093*H1084)),2)))</f>
        <v>0</v>
      </c>
      <c r="I1093" s="64">
        <f>IF(B1093=0,0,IF(AND(H1076="ja",((U1093)&lt;R1101)),ROUND(((R1103*R1100+((R1101/(R1101-R1100))-(R1100/(R1101-R1100))*R1103)*((U1093)-R1100))*(I1084*2))-(((R1101/(R1101-R1100))*((U1093)-R1100))*I1084),2),ROUND(IF(V1092&lt;(SUM(S1085:S1092)),IF((V1093)&gt;(SUM(S1085:S1093)),(((SUM(S1085:S1093))-(V1093-C1092))*I1084)+((U1093-C1092)*I1084),U1093*I1084),IF(V1093&gt;(SUM(S1085:S1093)),S1093*I1084,U1093*I1084)),2)))</f>
        <v>0</v>
      </c>
      <c r="J1093" s="64">
        <f>IF(B1093=0,0,IF(AND(H1076="ja",((U1093)&lt;R1101)),ROUND(((R1103*R1100+((R1101/(R1101-R1100))-(R1100/(R1101-R1100))*R1103)*((U1093)-R1100))*(J1084*2))-(((R1101/(R1101-R1100))*((U1093)-R1100))*J1084),2),ROUND(IF(V1092&lt;(SUM(S1085:S1092)),IF((V1093)&gt;(SUM(S1085:S1093)),(((SUM(S1085:S1093))-(V1093-C1092))*J1084)+((U1093-C1092)*J1084),U1093*J1084),IF(V1093&gt;(SUM(S1085:S1093)),S1093*J1084,U1093*J1084)),2)))</f>
        <v>0</v>
      </c>
      <c r="K1093" s="64">
        <f>IF(B1093=0,0,IF(AND(H1076="ja",((U1093)&lt;R1101)),ROUND(((R1103*R1100+((R1101/(R1101-R1100))-(R1100/(R1101-R1100))*R1103)*((U1093)-R1100))*(K1084*2))-(((R1101/(R1101-R1100))*((U1093)-R1100))*K1084),2),ROUND(IF(V1092&lt;(SUM(R1085:R1092)),IF((V1093)&gt;(SUM(R1085:R1093)),(((SUM(R1085:R1093))-(V1093-C1092))*K1084)+((U1093-C1092)*K1084),U1093*K1084),IF(V1093&gt;(SUM(R1085:R1093)),R1093*K1084,U1093*K1084)),2)))</f>
        <v>0</v>
      </c>
      <c r="L1093" s="64">
        <f>IF(B1093=0,0,IF(AND(H1076="ja",((U1093-C1093)&lt;R1101)),ROUND(((R1103*R1100+((R1101/(R1101-R1100))-(R1100/(R1101-R1100))*R1103)*((U1093-C1093)-R1100))*(L1084)),2),ROUND(IF(SUM(B1085:F1092)&lt;(SUM(S1085:S1092)),IF((SUM(B1085:F1093))&gt;(SUM(S1085:S1093)),(((SUM(S1085:S1093))-(SUM(B1085:F1093)-C1093))*L1084)+((SUM(B1093:F1093)-C1093)*L1084),(SUM(B1093:F1093)-C1093)*L1084),IF(SUM(B1085:F1093)&gt;(SUM(S1085:S1093)),S1093*L1084,SUM(B1093:F1093)*L1084)),2)))</f>
        <v>0</v>
      </c>
      <c r="M1093" s="64">
        <f>IF(B1093=0,0,IF(AND(H1076="ja",((U1093-C1093)&lt;R1101)),ROUND(((R1103*R1100+((R1101/(R1101-R1100))-(R1100/(R1101-R1100))*R1103)*((U1093-C1093)-R1100))*(M1084)),2),ROUND(IF(SUM(B1085:F1092)&lt;(SUM(S1085:S1092)),IF((SUM(B1085:F1093))&gt;(SUM(S1085:S1093)),(((SUM(S1085:S1093))-(SUM(B1085:F1093)-C1093))*M1084)+((SUM(B1093:F1093)-C1093)*M1084),(SUM(B1093:F1093)-C1093)*M1084),IF(SUM(B1085:F1093)&gt;(SUM(S1085:S1093)),S1093*M1084,SUM(B1093:F1093)*M1084)),2)))</f>
        <v>0</v>
      </c>
      <c r="N1093" s="64">
        <f>IF(B1093=0,0,IF(AND(H1076="ja",((U1093)&lt;R1101)),ROUND(((R1103*R1100+((R1101/(R1101-R1100))-(R1100/(R1101-R1100))*R1103)*((U1093)-R1100))*(N1084)),2),ROUND(IF(SUM(B1085:F1092)&lt;(SUM(S1085:S1092)),IF((SUM(B1085:F1093))&gt;(SUM(S1085:S1093)),(((SUM(S1085:S1093))-(SUM(B1085:F1093)-C1092))*N1084)+((SUM(B1093:F1093)-C1092)*N1084),SUM(B1093:F1093)*N1084),IF(SUM(B1085:F1093)&gt;(SUM(S1085:S1093)),S1093*N1084,SUM(B1093:F1093)*N1084)),2)))</f>
        <v>0</v>
      </c>
      <c r="O1093" s="21">
        <f>ROUND(SUM(B1093+C1093+F1093)*O1084,2)</f>
        <v>0</v>
      </c>
      <c r="P1093" s="25">
        <f t="shared" si="181"/>
        <v>0</v>
      </c>
      <c r="Q1093" s="456"/>
      <c r="R1093" s="140">
        <f>ROUND(IF(M1063="",R1079,R1079/M1063*P1070),2)</f>
        <v>5175</v>
      </c>
      <c r="S1093" s="140">
        <f>ROUND(IF(M1063="",R1080,R1080/M1063*P1070),2)</f>
        <v>7450</v>
      </c>
      <c r="U1093" s="950">
        <f t="shared" si="182"/>
        <v>0</v>
      </c>
      <c r="V1093" s="950">
        <f>SUM(B1085:F1093)</f>
        <v>0</v>
      </c>
    </row>
    <row r="1094" spans="1:24" s="12" customFormat="1" ht="15" x14ac:dyDescent="0.25">
      <c r="A1094" s="76" t="str">
        <f>CONCATENATE("Okt ",O1061)</f>
        <v>Okt 2025</v>
      </c>
      <c r="B1094" s="22">
        <f>ROUND(IF(P1071=0,0,IFERROR(((LOOKUP(2,1/(A1070:A1073=A1094),G1070:G1073))*P1071*4.348),B1093/P1070*P1071)),2)</f>
        <v>0</v>
      </c>
      <c r="C1094" s="21">
        <f>ROUND(IFERROR((LOOKUP(2,1/(A1076=A1094),E1076)),0)+IFERROR((LOOKUP(2,1/(A1077=A1094),E1077)),0),2)</f>
        <v>0</v>
      </c>
      <c r="D1094" s="21">
        <f>ROUND(IF(B1094=0,0,D1084/M1063*P1071),2)</f>
        <v>0</v>
      </c>
      <c r="E1094" s="21">
        <f>ROUND(IF(B1094=0,0,E1084/N1059*P1071),2)</f>
        <v>0</v>
      </c>
      <c r="F1094" s="22">
        <f>ROUND(IF(P1071=0,0,IFERROR(((LOOKUP(2,1/(A1070:A1073=A1094),I1070:I1073))/N1059*P1071),F1093/P1070*P1071)),2)</f>
        <v>0</v>
      </c>
      <c r="G1094" s="25">
        <f t="shared" si="180"/>
        <v>0</v>
      </c>
      <c r="H1094" s="64">
        <f>IF(B1094=0,0,IF(AND(H1076="ja",((U1094)&lt;R1101)),ROUND(((R1103*R1100+((R1101/(R1101-R1100))-(R1100/(R1101-R1100))*R1103)*((U1094)-R1100))*(H1084*2))-(((R1101/(R1101-R1100))*((U1094)-R1100))*H1084),2),ROUND(IF(V1093&lt;(SUM(R1085:R1093)),IF((V1094)&gt;(SUM(R1085:R1094)),(((SUM(R1085:R1094))-(V1094-C1093))*H1084)+((U1094-C1093)*H1084),U1094*H1084),IF(V1094&gt;(SUM(R1085:R1094)),R1094*H1084,U1094*H1084)),2)))</f>
        <v>0</v>
      </c>
      <c r="I1094" s="64">
        <f>IF(B1094=0,0,IF(AND(H1076="ja",((U1094)&lt;R1101)),ROUND(((R1103*R1100+((R1101/(R1101-R1100))-(R1100/(R1101-R1100))*R1103)*((U1094)-R1100))*(I1084*2))-(((R1101/(R1101-R1100))*((U1094)-R1100))*I1084),2),ROUND(IF(V1093&lt;(SUM(S1085:S1093)),IF((V1094)&gt;(SUM(S1085:S1094)),(((SUM(S1085:S1094))-(V1094-C1093))*I1084)+((U1094-C1093)*I1084),U1094*I1084),IF(V1094&gt;(SUM(S1085:S1094)),S1094*I1084,U1094*I1084)),2)))</f>
        <v>0</v>
      </c>
      <c r="J1094" s="64">
        <f>IF(B1094=0,0,IF(AND(H1076="ja",((U1094)&lt;R1101)),ROUND(((R1103*R1100+((R1101/(R1101-R1100))-(R1100/(R1101-R1100))*R1103)*((U1094)-R1100))*(J1084*2))-(((R1101/(R1101-R1100))*((U1094)-R1100))*J1084),2),ROUND(IF(V1093&lt;(SUM(S1085:S1093)),IF((V1094)&gt;(SUM(S1085:S1094)),(((SUM(S1085:S1094))-(V1094-C1093))*J1084)+((U1094-C1093)*J1084),U1094*J1084),IF(V1094&gt;(SUM(S1085:S1094)),S1094*J1084,U1094*J1084)),2)))</f>
        <v>0</v>
      </c>
      <c r="K1094" s="64">
        <f>IF(B1094=0,0,IF(AND(H1076="ja",((U1094)&lt;R1101)),ROUND(((R1103*R1100+((R1101/(R1101-R1100))-(R1100/(R1101-R1100))*R1103)*((U1094)-R1100))*(K1084*2))-(((R1101/(R1101-R1100))*((U1094)-R1100))*K1084),2),ROUND(IF(V1093&lt;(SUM(R1085:R1093)),IF((V1094)&gt;(SUM(R1085:R1094)),(((SUM(R1085:R1094))-(V1094-C1093))*K1084)+((U1094-C1093)*K1084),U1094*K1084),IF(V1094&gt;(SUM(R1085:R1094)),R1094*K1084,U1094*K1084)),2)))</f>
        <v>0</v>
      </c>
      <c r="L1094" s="64">
        <f>IF(B1094=0,0,IF(AND(H1076="ja",((U1094-C1094)&lt;R1101)),ROUND(((R1103*R1100+((R1101/(R1101-R1100))-(R1100/(R1101-R1100))*R1103)*((U1094-C1094)-R1100))*(L1084)),2),ROUND(IF(SUM(B1085:F1093)&lt;(SUM(S1085:S1093)),IF((SUM(B1085:F1094))&gt;(SUM(S1085:S1094)),(((SUM(S1085:S1094))-(SUM(B1085:F1094)-C1094))*L1084)+((SUM(B1094:F1094)-C1094)*L1084),(SUM(B1094:F1094)-C1094)*L1084),IF(SUM(B1085:F1094)&gt;(SUM(S1085:S1094)),S1094*L1084,SUM(B1094:F1094)*L1084)),2)))</f>
        <v>0</v>
      </c>
      <c r="M1094" s="64">
        <f>IF(B1094=0,0,IF(AND(H1076="ja",((U1094-C1094)&lt;R1101)),ROUND(((R1103*R1100+((R1101/(R1101-R1100))-(R1100/(R1101-R1100))*R1103)*((U1094-C1094)-R1100))*(M1084)),2),ROUND(IF(SUM(B1085:F1093)&lt;(SUM(S1085:S1093)),IF((SUM(B1085:F1094))&gt;(SUM(S1085:S1094)),(((SUM(S1085:S1094))-(SUM(B1085:F1094)-C1094))*M1084)+((SUM(B1094:F1094)-C1094)*M1084),(SUM(B1094:F1094)-C1094)*M1084),IF(SUM(B1085:F1094)&gt;(SUM(S1085:S1094)),S1094*M1084,SUM(B1094:F1094)*M1084)),2)))</f>
        <v>0</v>
      </c>
      <c r="N1094" s="64">
        <f>IF(B1094=0,0,IF(AND(H1076="ja",((U1094)&lt;R1101)),ROUND(((R1103*R1100+((R1101/(R1101-R1100))-(R1100/(R1101-R1100))*R1103)*((U1094)-R1100))*(N1084)),2),ROUND(IF(SUM(B1085:F1093)&lt;(SUM(S1085:S1093)),IF((SUM(B1085:F1094))&gt;(SUM(S1085:S1094)),(((SUM(S1085:S1094))-(SUM(B1085:F1094)-C1093))*N1084)+((SUM(B1094:F1094)-C1093)*N1084),SUM(B1094:F1094)*N1084),IF(SUM(B1085:F1094)&gt;(SUM(S1085:S1094)),S1094*N1084,SUM(B1094:F1094)*N1084)),2)))</f>
        <v>0</v>
      </c>
      <c r="O1094" s="21">
        <f>ROUND(SUM(B1094+C1094+F1094)*O1084,2)</f>
        <v>0</v>
      </c>
      <c r="P1094" s="25">
        <f t="shared" si="181"/>
        <v>0</v>
      </c>
      <c r="Q1094" s="936"/>
      <c r="R1094" s="140">
        <f>ROUND(IF(M1063="",R1079,R1079/M1063*P1071),2)</f>
        <v>5175</v>
      </c>
      <c r="S1094" s="140">
        <f>ROUND(IF(M1063="",R1080,R1080/M1063*P1071),2)</f>
        <v>7450</v>
      </c>
      <c r="U1094" s="950">
        <f t="shared" si="182"/>
        <v>0</v>
      </c>
      <c r="V1094" s="950">
        <f>SUM(B1085:F1094)</f>
        <v>0</v>
      </c>
      <c r="X1094" s="1"/>
    </row>
    <row r="1095" spans="1:24" s="11" customFormat="1" x14ac:dyDescent="0.2">
      <c r="A1095" s="76" t="str">
        <f>CONCATENATE("Nov ",O1061)</f>
        <v>Nov 2025</v>
      </c>
      <c r="B1095" s="22">
        <f>ROUND(IF(P1072=0,0,IFERROR(((LOOKUP(2,1/(A1070:A1073=A1095),G1070:G1073))*P1072*4.348),B1094/P1071*P1072)),2)</f>
        <v>0</v>
      </c>
      <c r="C1095" s="21">
        <f>ROUND(IFERROR((LOOKUP(2,1/(A1076=A1095),E1076)),0)+(IFERROR((LOOKUP(2,1/(A1077=A1095),E1077)),0)),2)</f>
        <v>0</v>
      </c>
      <c r="D1095" s="21">
        <f>ROUND(IF(B1095=0,0,D1084/M1063*P1072),2)</f>
        <v>0</v>
      </c>
      <c r="E1095" s="21">
        <f>ROUND(IF(B1095=0,0,E1084/N1059*P1072),2)</f>
        <v>0</v>
      </c>
      <c r="F1095" s="22">
        <f>ROUND(IF(P1072=0,0,IFERROR(((LOOKUP(2,1/(A1070:A1073=A1095),I1070:I1073))/N1059*P1072),F1094/P1071*P1072)),2)</f>
        <v>0</v>
      </c>
      <c r="G1095" s="25">
        <f t="shared" si="180"/>
        <v>0</v>
      </c>
      <c r="H1095" s="64">
        <f>IF(B1095=0,0,IF(AND(H1076="ja",((U1095)&lt;R1101)),ROUND(((R1103*R1100+((R1101/(R1101-R1100))-(R1100/(R1101-R1100))*R1103)*((U1095)-R1100))*(H1084*2))-(((R1101/(R1101-R1100))*((U1095)-R1100))*H1084),2),ROUND(IF(V1094&lt;(SUM(R1085:R1094)),IF((V1095)&gt;(SUM(R1085:R1095)),(((SUM(R1085:R1095))-(V1095-C1094))*H1084)+((U1095-C1094)*H1084),U1095*H1084),IF(V1095&gt;(SUM(R1085:R1095)),R1095*H1084,U1095*H1084)),2)))</f>
        <v>0</v>
      </c>
      <c r="I1095" s="64">
        <f>IF(B1095=0,0,IF(AND(H1076="ja",((U1095)&lt;R1101)),ROUND(((R1103*R1100+((R1101/(R1101-R1100))-(R1100/(R1101-R1100))*R1103)*((U1095)-R1100))*(I1084*2))-(((R1101/(R1101-R1100))*((U1095)-R1100))*I1084),2),ROUND(IF(V1094&lt;(SUM(S1085:S1094)),IF((V1095)&gt;(SUM(S1085:S1095)),(((SUM(S1085:S1095))-(V1095-C1094))*I1084)+((U1095-C1094)*I1084),U1095*I1084),IF(V1095&gt;(SUM(S1085:S1095)),S1095*I1084,U1095*I1084)),2)))</f>
        <v>0</v>
      </c>
      <c r="J1095" s="64">
        <f>IF(B1095=0,0,IF(AND(H1076="ja",((U1095)&lt;R1101)),ROUND(((R1103*R1100+((R1101/(R1101-R1100))-(R1100/(R1101-R1100))*R1103)*((U1095)-R1100))*(J1084*2))-(((R1101/(R1101-R1100))*((U1095)-R1100))*J1084),2),ROUND(IF(V1094&lt;(SUM(S1085:S1094)),IF((V1095)&gt;(SUM(S1085:S1095)),(((SUM(S1085:S1095))-(V1095-C1094))*J1084)+((U1095-C1094)*J1084),U1095*J1084),IF(V1095&gt;(SUM(S1085:S1095)),S1095*J1084,U1095*J1084)),2)))</f>
        <v>0</v>
      </c>
      <c r="K1095" s="64">
        <f>IF(B1095=0,0,IF(AND(H1076="ja",((U1095)&lt;R1101)),ROUND(((R1103*R1100+((R1101/(R1101-R1100))-(R1100/(R1101-R1100))*R1103)*((U1095)-R1100))*(K1084*2))-(((R1101/(R1101-R1100))*((U1095)-R1100))*K1084),2),ROUND(IF(V1094&lt;(SUM(R1085:R1094)),IF((V1095)&gt;(SUM(R1085:R1095)),(((SUM(R1085:R1095))-(V1095-C1094))*K1084)+((U1095-C1094)*K1084),U1095*K1084),IF(V1095&gt;(SUM(R1085:R1095)),R1095*K1084,U1095*K1084)),2)))</f>
        <v>0</v>
      </c>
      <c r="L1095" s="64">
        <f>IF(B1095=0,0,IF(AND(H1076="ja",((U1095-C1095)&lt;R1101)),ROUND(((R1103*R1100+((R1101/(R1101-R1100))-(R1100/(R1101-R1100))*R1103)*((U1095-C1095)-R1100))*(L1084)),2),ROUND(IF(SUM(B1085:F1094)&lt;(SUM(S1085:S1094)),IF((SUM(B1085:F1095))&gt;(SUM(S1085:S1095)),(((SUM(S1085:S1095))-(SUM(B1085:F1095)-C1095))*L1084)+((SUM(B1095:F1095)-C1095)*L1084),(SUM(B1095:F1095)-C1095)*L1084),IF(SUM(B1085:F1095)&gt;(SUM(S1085:S1095)),S1095*L1084,SUM(B1095:F1095)*L1084)),2)))</f>
        <v>0</v>
      </c>
      <c r="M1095" s="64">
        <f>IF(B1095=0,0,IF(AND(H1076="ja",((U1095-C1095)&lt;R1101)),ROUND(((R1103*R1100+((R1101/(R1101-R1100))-(R1100/(R1101-R1100))*R1103)*((U1095-C1095)-R1100))*(M1084)),2),ROUND(IF(SUM(B1085:F1094)&lt;(SUM(S1085:S1094)),IF((SUM(B1085:F1095))&gt;(SUM(S1085:S1095)),(((SUM(S1085:S1095))-(SUM(B1085:F1095)-C1095))*M1084)+((SUM(B1095:F1095)-C1095)*M1084),(SUM(B1095:F1095)-C1095)*M1084),IF(SUM(B1085:F1095)&gt;(SUM(S1085:S1095)),S1095*M1084,SUM(B1095:F1095)*M1084)),2)))</f>
        <v>0</v>
      </c>
      <c r="N1095" s="64">
        <f>IF(B1095=0,0,IF(AND(H1076="ja",((U1095)&lt;R1101)),ROUND(((R1103*R1100+((R1101/(R1101-R1100))-(R1100/(R1101-R1100))*R1103)*((U1095)-R1100))*(N1084)),2),ROUND(IF(SUM(B1085:F1094)&lt;(SUM(S1085:S1094)),IF((SUM(B1085:F1095))&gt;(SUM(S1085:S1095)),(((SUM(S1085:S1095))-(SUM(B1085:F1095)-C1094))*N1084)+((SUM(B1095:F1095)-C1094)*N1084),SUM(B1095:F1095)*N1084),IF(SUM(B1085:F1095)&gt;(SUM(S1085:S1095)),S1095*N1084,SUM(B1095:F1095)*N1084)),2)))</f>
        <v>0</v>
      </c>
      <c r="O1095" s="21">
        <f>ROUND(SUM(B1095+C1095+F1095)*O1084,2)</f>
        <v>0</v>
      </c>
      <c r="P1095" s="25">
        <f t="shared" si="181"/>
        <v>0</v>
      </c>
      <c r="R1095" s="140">
        <f>ROUND(IF(M1063="",R1079,R1079/M1063*P1072),2)</f>
        <v>5175</v>
      </c>
      <c r="S1095" s="140">
        <f>ROUND(IF(M1063="",R1080,R1080/M1063*P1072),2)</f>
        <v>7450</v>
      </c>
      <c r="U1095" s="950">
        <f t="shared" si="182"/>
        <v>0</v>
      </c>
      <c r="V1095" s="950">
        <f>SUM(B1085:F1095)</f>
        <v>0</v>
      </c>
      <c r="X1095" s="1"/>
    </row>
    <row r="1096" spans="1:24" s="1" customFormat="1" ht="14.25" customHeight="1" x14ac:dyDescent="0.2">
      <c r="A1096" s="76" t="str">
        <f>CONCATENATE("Dez ",O1061)</f>
        <v>Dez 2025</v>
      </c>
      <c r="B1096" s="22">
        <f>ROUND(IF(P1073=0,0,IFERROR(((LOOKUP(2,1/(A1070:A1073=A1096),G1070:G1073))*P1073*4.348),B1095/P1072*P1073)),2)</f>
        <v>0</v>
      </c>
      <c r="C1096" s="21">
        <f>ROUND(IFERROR((LOOKUP(2,1/(A1076=A1096),E1076)),0)+IFERROR((LOOKUP(2,1/(A1077=A1096),E1077)),0),2)</f>
        <v>0</v>
      </c>
      <c r="D1096" s="21">
        <f>ROUND(IF(B1096=0,0,D1084/M1063*P1073),2)</f>
        <v>0</v>
      </c>
      <c r="E1096" s="21">
        <f>ROUND(IF(B1096=0,0,E1084/N1059*P1073),2)</f>
        <v>0</v>
      </c>
      <c r="F1096" s="22">
        <f>ROUND(IF(P1073=0,0,IFERROR(((LOOKUP(2,1/(A1070:A1073=A1096),I1070:I1073))/N1059*P1073),F1095/P1072*P1073)),2)</f>
        <v>0</v>
      </c>
      <c r="G1096" s="25">
        <f t="shared" si="180"/>
        <v>0</v>
      </c>
      <c r="H1096" s="64">
        <f>IF(B1096=0,0,IF(AND(H1076="ja",((U1096)&lt;R1101)),ROUND(((R1103*R1100+((R1101/(R1101-R1100))-(R1100/(R1101-R1100))*R1103)*((U1096)-R1100))*(H1084*2))-(((R1101/(R1101-R1100))*((U1096)-R1100))*H1084),2),ROUND(IF(V1095&lt;(SUM(R1085:R1095)),IF((V1096)&gt;(SUM(R1085:R1096)),(((SUM(R1085:R1096))-(V1096-C1095))*H1084)+((U1096-C1095)*H1084),U1096*H1084),IF(V1096&gt;(SUM(R1085:R1096)),R1096*H1084,U1096*H1084)),2)))</f>
        <v>0</v>
      </c>
      <c r="I1096" s="64">
        <f>IF(B1096=0,0,IF(AND(H1076="ja",((U1096)&lt;R1101)),ROUND(((R1103*R1100+((R1101/(R1101-R1100))-(R1100/(R1101-R1100))*R1103)*((U1096)-R1100))*(I1084*2))-(((R1101/(R1101-R1100))*((U1096)-R1100))*I1084),2),ROUND(IF(V1095&lt;(SUM(S1085:S1095)),IF((V1096)&gt;(SUM(S1085:S1096)),(((SUM(S1085:S1096))-(V1096-C1095))*I1084)+((U1096-C1095)*I1084),U1096*I1084),IF(V1096&gt;(SUM(S1085:S1096)),S1096*I1084,U1096*I1084)),2)))</f>
        <v>0</v>
      </c>
      <c r="J1096" s="64">
        <f>IF(B1096=0,0,IF(AND(H1076="ja",((U1096)&lt;R1101)),ROUND(((R1103*R1100+((R1101/(R1101-R1100))-(R1100/(R1101-R1100))*R1103)*((U1096)-R1100))*(J1084*2))-(((R1101/(R1101-R1100))*((U1096)-R1100))*J1084),2),ROUND(IF(V1095&lt;(SUM(S1085:S1095)),IF((V1096)&gt;(SUM(S1085:S1096)),(((SUM(S1085:S1096))-(V1096-C1095))*J1084)+((U1096-C1095)*J1084),U1096*J1084),IF(V1096&gt;(SUM(S1085:S1096)),S1096*J1084,U1096*J1084)),2)))</f>
        <v>0</v>
      </c>
      <c r="K1096" s="64">
        <f>IF(B1096=0,0,IF(AND(H1076="ja",((U1096)&lt;R1101)),ROUND(((R1103*R1100+((R1101/(R1101-R1100))-(R1100/(R1101-R1100))*R1103)*((U1096)-R1100))*(K1084*2))-(((R1101/(R1101-R1100))*((U1096)-R1100))*K1084),2),ROUND(IF(V1095&lt;(SUM(R1085:R1095)),IF((V1096)&gt;(SUM(R1085:R1096)),(((SUM(R1085:R1096))-(V1096-C1095))*K1084)+((U1096-C1095)*K1084),U1096*K1084),IF(V1096&gt;(SUM(R1085:R1096)),R1096*K1084,U1096*K1084)),2)))</f>
        <v>0</v>
      </c>
      <c r="L1096" s="64">
        <f>IF(B1096=0,0,IF(AND(H1076="ja",((U1096-C1096)&lt;R1101)),ROUND(((R1103*R1100+((R1101/(R1101-R1100))-(R1100/(R1101-R1100))*R1103)*((U1096-C1096)-R1100))*(L1084)),2),ROUND(IF(SUM(B1085:F1095)&lt;(SUM(S1085:S1095)),IF((SUM(B1085:F1096))&gt;(SUM(S1085:S1096)),(((SUM(S1085:S1096))-(SUM(B1085:F1096)-C1096))*L1084)+((SUM(B1096:F1096)-C1096)*L1084),(SUM(B1096:F1096)-C1096)*L1084),IF(SUM(B1085:F1096)&gt;(SUM(S1085:S1096)),S1096*L1084,SUM(B1096:F1096)*L1084)),2)))</f>
        <v>0</v>
      </c>
      <c r="M1096" s="64">
        <f>IF(B1096=0,0,IF(AND(H1076="ja",((U1096-C1096)&lt;R1101)),ROUND(((R1103*R1100+((R1101/(R1101-R1100))-(R1100/(R1101-R1100))*R1103)*((U1096-C1096)-R1100))*(M1084)),2),ROUND(IF(SUM(B1085:F1095)&lt;(SUM(S1085:S1095)),IF((SUM(B1085:F1096))&gt;(SUM(S1085:S1096)),(((SUM(S1085:S1096))-(SUM(B1085:F1096)-C1096))*M1084)+((SUM(B1096:F1096)-C1096)*M1084),(SUM(B1096:F1096)-C1096)*M1084),IF(SUM(B1085:F1096)&gt;(SUM(S1085:S1096)),S1096*M1084,SUM(B1096:F1096)*M1084)),2)))</f>
        <v>0</v>
      </c>
      <c r="N1096" s="64">
        <f>IF(B1096=0,0,IF(AND(H1076="ja",((U1096)&lt;R1101)),ROUND(((R1103*R1100+((R1101/(R1101-R1100))-(R1100/(R1101-R1100))*R1103)*((U1096)-R1100))*(N1084)),2),ROUND(IF(SUM(B1085:F1095)&lt;(SUM(S1085:S1095)),IF((SUM(B1085:F1096))&gt;(SUM(S1085:S1096)),(((SUM(S1085:S1096))-(SUM(B1085:F1096)-C1095))*N1084)+((SUM(B1096:F1096)-C1095)*N1084),SUM(B1096:F1096)*N1084),IF(SUM(B1085:F1096)&gt;(SUM(S1085:S1096)),S1096*N1084,SUM(B1096:F1096)*N1084)),2)))</f>
        <v>0</v>
      </c>
      <c r="O1096" s="21">
        <f>ROUND(SUM(B1096+C1096+F1096)*O1084,2)</f>
        <v>0</v>
      </c>
      <c r="P1096" s="25">
        <f t="shared" si="181"/>
        <v>0</v>
      </c>
      <c r="Q1096" s="11"/>
      <c r="R1096" s="140">
        <f>ROUND(IF(M1063="",R1079,R1079/M1063*P1073),2)</f>
        <v>5175</v>
      </c>
      <c r="S1096" s="140">
        <f>ROUND(IF(M1063="",R1080,R1080/M1063*P1073),2)</f>
        <v>7450</v>
      </c>
      <c r="U1096" s="950">
        <f t="shared" si="182"/>
        <v>0</v>
      </c>
      <c r="V1096" s="950">
        <f>SUM(B1085:F1096)</f>
        <v>0</v>
      </c>
    </row>
    <row r="1097" spans="1:24" s="1" customFormat="1" ht="15" customHeight="1" x14ac:dyDescent="0.2">
      <c r="A1097" s="2" t="s">
        <v>1</v>
      </c>
      <c r="B1097" s="25">
        <f t="shared" ref="B1097:G1097" si="183">SUM(B1085:B1096)</f>
        <v>0</v>
      </c>
      <c r="C1097" s="25">
        <f t="shared" si="183"/>
        <v>0</v>
      </c>
      <c r="D1097" s="25">
        <f t="shared" si="183"/>
        <v>0</v>
      </c>
      <c r="E1097" s="25">
        <f t="shared" si="183"/>
        <v>0</v>
      </c>
      <c r="F1097" s="25">
        <f t="shared" si="183"/>
        <v>0</v>
      </c>
      <c r="G1097" s="25">
        <f t="shared" si="183"/>
        <v>0</v>
      </c>
      <c r="H1097" s="1309">
        <f>SUM(H1085:N1096)</f>
        <v>0</v>
      </c>
      <c r="I1097" s="1310"/>
      <c r="J1097" s="1310"/>
      <c r="K1097" s="1310"/>
      <c r="L1097" s="1310"/>
      <c r="M1097" s="1310"/>
      <c r="N1097" s="1311"/>
      <c r="O1097" s="25">
        <f>SUM(O1085:O1096)</f>
        <v>0</v>
      </c>
      <c r="P1097" s="25">
        <f>SUM(P1085:P1096)</f>
        <v>0</v>
      </c>
    </row>
    <row r="1098" spans="1:24" s="1" customFormat="1" ht="12" customHeight="1" x14ac:dyDescent="0.2"/>
    <row r="1099" spans="1:24" s="1" customFormat="1" ht="14.25" customHeight="1" x14ac:dyDescent="0.2">
      <c r="B1099" s="906"/>
      <c r="H1099" s="905"/>
      <c r="I1099" s="62"/>
      <c r="J1099" s="914" t="s">
        <v>123</v>
      </c>
      <c r="L1099" s="900" t="s">
        <v>124</v>
      </c>
      <c r="M1099" s="974" t="str">
        <f>IF(IF(G1097=0,"",'päd.Personal - Leitung'!$M$43)=0,"",IF(G1097=0,"",'päd.Personal - Leitung'!$M$43))</f>
        <v/>
      </c>
      <c r="N1099" s="902" t="s">
        <v>125</v>
      </c>
      <c r="O1099" s="963" t="str">
        <f>IF(IF(G1097=0,"",'päd.Personal - Leitung'!$O$43)=0,"",IF(G1097=0,"",'päd.Personal - Leitung'!$O$43))</f>
        <v/>
      </c>
      <c r="P1099" s="25">
        <f>ROUND(IF(M1099="",0,G1097*M1099*O1099/1000),2)</f>
        <v>0</v>
      </c>
      <c r="Q1099" s="937"/>
      <c r="R1099" s="938">
        <v>2025</v>
      </c>
      <c r="S1099" s="939"/>
    </row>
    <row r="1100" spans="1:24" s="1" customFormat="1" ht="14.25" customHeight="1" x14ac:dyDescent="0.2">
      <c r="H1100" s="907"/>
      <c r="I1100" s="42"/>
      <c r="M1100" s="915" t="s">
        <v>129</v>
      </c>
      <c r="N1100" s="80" t="s">
        <v>125</v>
      </c>
      <c r="O1100" s="75" t="str">
        <f>IF(IF(G1097=0,"",'päd.Personal - Leitung'!$O$44)=0,"",IF(G1097=0,"",'päd.Personal - Leitung'!$O$44))</f>
        <v/>
      </c>
      <c r="P1100" s="25">
        <f>ROUND(IF(O1100="",0,G1097*O1100/1000),2)</f>
        <v>0</v>
      </c>
      <c r="Q1100" s="942" t="s">
        <v>737</v>
      </c>
      <c r="R1100" s="141">
        <f>'päd.Personal - Leitung'!$R$44</f>
        <v>556</v>
      </c>
      <c r="S1100" s="955">
        <f>'päd.Personal - Leitung'!$S$44</f>
        <v>12.82</v>
      </c>
    </row>
    <row r="1101" spans="1:24" s="1" customFormat="1" ht="14.25" customHeight="1" x14ac:dyDescent="0.2">
      <c r="H1101" s="912" t="s">
        <v>126</v>
      </c>
      <c r="I1101" s="1013" t="s">
        <v>127</v>
      </c>
      <c r="J1101" s="975" t="str">
        <f>IF(IF(G1097=0,"",'päd.Personal - Leitung'!$J$45)=0,"",IF(G1097=0,"",'päd.Personal - Leitung'!$J$45))</f>
        <v/>
      </c>
      <c r="K1101" s="902" t="s">
        <v>128</v>
      </c>
      <c r="L1101" s="964" t="str">
        <f>IF(IF(G1097=0,"",'päd.Personal - Leitung'!$L$45)=0,"",IF(G1097=0,"",'päd.Personal - Leitung'!$L$45))</f>
        <v/>
      </c>
      <c r="M1101" s="16"/>
      <c r="N1101" s="900" t="s">
        <v>132</v>
      </c>
      <c r="O1101" s="965" t="str">
        <f>IF(IF(G1097=0,"",'päd.Personal - Leitung'!$O$45)=0,"",IF(G1097=0,"",'päd.Personal - Leitung'!$O$45))</f>
        <v/>
      </c>
      <c r="P1101" s="25">
        <f>ROUND(IF(J1101="",0,(J1101*L1101/O1101)/M1065*M1066),2)</f>
        <v>0</v>
      </c>
      <c r="Q1101" s="942" t="s">
        <v>738</v>
      </c>
      <c r="R1101" s="140">
        <f>'päd.Personal - Leitung'!$R$45</f>
        <v>2000</v>
      </c>
      <c r="S1101" s="939"/>
    </row>
    <row r="1102" spans="1:24" s="1" customFormat="1" ht="14.25" customHeight="1" x14ac:dyDescent="0.2">
      <c r="D1102" s="16"/>
      <c r="I1102" s="16"/>
      <c r="J1102" s="16"/>
      <c r="K1102" s="63"/>
      <c r="L1102" s="67"/>
      <c r="M1102" s="915" t="s">
        <v>130</v>
      </c>
      <c r="N1102" s="80" t="s">
        <v>131</v>
      </c>
      <c r="O1102" s="904">
        <f>IF(IF(G1097="",0,'päd.Personal - Leitung'!$O$94)=0,0,IF(G1097="",0,'päd.Personal - Leitung'!$O$94))</f>
        <v>0</v>
      </c>
      <c r="P1102" s="21">
        <f>ROUND(IF(G1097=0,0,O1102/M1063*M1064),2)</f>
        <v>0</v>
      </c>
      <c r="Q1102" s="942" t="s">
        <v>740</v>
      </c>
      <c r="R1102" s="956">
        <f>'päd.Personal - Leitung'!$R$46</f>
        <v>0.40900000000000003</v>
      </c>
    </row>
    <row r="1103" spans="1:24" s="1" customFormat="1" ht="14.25" customHeight="1" x14ac:dyDescent="0.2">
      <c r="A1103" s="16"/>
      <c r="B1103" s="16"/>
      <c r="I1103" s="905"/>
      <c r="J1103" s="961" t="s">
        <v>176</v>
      </c>
      <c r="K1103" s="1312" t="str">
        <f>IF($K$47="","",$K$47)</f>
        <v/>
      </c>
      <c r="L1103" s="1312"/>
      <c r="M1103" s="1312"/>
      <c r="N1103" s="80" t="s">
        <v>131</v>
      </c>
      <c r="O1103" s="904">
        <f>IF(IF(G1097="",0,'päd.Personal - Leitung'!$O$95)=0,0,IF(G1097="",0,'päd.Personal - Leitung'!$O$95))</f>
        <v>0</v>
      </c>
      <c r="P1103" s="21">
        <f>ROUND(IF(G1097=0,0,O1103/M1063*M1064),2)</f>
        <v>0</v>
      </c>
      <c r="Q1103" s="942" t="s">
        <v>739</v>
      </c>
      <c r="R1103" s="940">
        <f>'päd.Personal - Leitung'!$R$47</f>
        <v>0.68459999999999999</v>
      </c>
      <c r="S1103" s="957">
        <f>'päd.Personal - Leitung'!$S$47</f>
        <v>0.28000000000000003</v>
      </c>
    </row>
    <row r="1104" spans="1:24" s="1" customFormat="1" ht="14.25" customHeight="1" x14ac:dyDescent="0.2">
      <c r="A1104" s="908"/>
      <c r="B1104" s="908"/>
      <c r="C1104" s="1013"/>
      <c r="D1104" s="1013"/>
      <c r="I1104" s="913"/>
      <c r="J1104" s="913"/>
      <c r="K1104" s="916"/>
      <c r="L1104" s="27"/>
      <c r="M1104" s="27"/>
      <c r="N1104" s="27"/>
      <c r="O1104" s="26" t="s">
        <v>0</v>
      </c>
      <c r="P1104" s="25">
        <f>P1097+SUM(P1099:P1103)</f>
        <v>0</v>
      </c>
    </row>
    <row r="1105" spans="1:19" s="10" customFormat="1" ht="13.5" customHeight="1" x14ac:dyDescent="0.2">
      <c r="A1105" s="1321" t="s">
        <v>17</v>
      </c>
      <c r="B1105" s="1321"/>
      <c r="C1105" s="1321"/>
      <c r="D1105" s="1320" t="str">
        <f>IF('päd.Personal - Leitung'!$D$1="","",'päd.Personal - Leitung'!$D$1)</f>
        <v/>
      </c>
      <c r="E1105" s="1320"/>
      <c r="F1105" s="1320"/>
      <c r="G1105" s="1320"/>
      <c r="H1105" s="1320"/>
      <c r="I1105" s="1320"/>
      <c r="J1105" s="1320"/>
      <c r="K1105" s="1320"/>
      <c r="L1105" s="1320"/>
      <c r="M1105" s="1320"/>
      <c r="N1105" s="1320"/>
    </row>
    <row r="1106" spans="1:19" s="10" customFormat="1" ht="15" customHeight="1" x14ac:dyDescent="0.2">
      <c r="A1106" s="1321" t="s">
        <v>16</v>
      </c>
      <c r="B1106" s="1321"/>
      <c r="C1106" s="1321" t="s">
        <v>14</v>
      </c>
      <c r="D1106" s="1320" t="str">
        <f>IF('päd.Personal - Leitung'!$D$2="","",'päd.Personal - Leitung'!$D$2)</f>
        <v/>
      </c>
      <c r="E1106" s="1320"/>
      <c r="F1106" s="1320"/>
      <c r="G1106" s="1320"/>
      <c r="H1106" s="1320"/>
      <c r="I1106" s="1320"/>
      <c r="J1106" s="1320"/>
      <c r="K1106" s="1320"/>
      <c r="L1106" s="1320"/>
      <c r="M1106" s="1320"/>
      <c r="N1106" s="1320"/>
    </row>
    <row r="1107" spans="1:19" s="10" customFormat="1" ht="15" customHeight="1" x14ac:dyDescent="0.2">
      <c r="A1107" s="1321" t="s">
        <v>15</v>
      </c>
      <c r="B1107" s="1321"/>
      <c r="C1107" s="1321" t="s">
        <v>14</v>
      </c>
      <c r="D1107" s="1320" t="str">
        <f>IF('päd.Personal - Leitung'!$D$3="","",'päd.Personal - Leitung'!$D$3)</f>
        <v/>
      </c>
      <c r="E1107" s="1320"/>
      <c r="F1107" s="1320"/>
      <c r="G1107" s="1320"/>
      <c r="H1107" s="1320"/>
      <c r="I1107" s="1320"/>
      <c r="J1107" s="1320"/>
      <c r="K1107" s="1321" t="s">
        <v>100</v>
      </c>
      <c r="L1107" s="1321"/>
      <c r="M1107" s="1321"/>
      <c r="N1107" s="38" t="str">
        <f>IF('päd.Personal - Leitung'!$N$3="","",'päd.Personal - Leitung'!$N$3)</f>
        <v/>
      </c>
    </row>
    <row r="1108" spans="1:19" s="923" customFormat="1" ht="7.5" customHeight="1" x14ac:dyDescent="0.15">
      <c r="A1108" s="1353"/>
      <c r="B1108" s="1353"/>
      <c r="C1108" s="1353"/>
      <c r="D1108" s="1354"/>
      <c r="E1108" s="1354"/>
      <c r="F1108" s="1354"/>
      <c r="G1108" s="1354"/>
      <c r="H1108" s="1354"/>
      <c r="I1108" s="1354"/>
      <c r="J1108" s="1354"/>
      <c r="K1108" s="922"/>
      <c r="L1108" s="922"/>
      <c r="M1108" s="922"/>
      <c r="N1108" s="922"/>
      <c r="O1108" s="922"/>
      <c r="P1108" s="922"/>
    </row>
    <row r="1109" spans="1:19" s="13" customFormat="1" ht="13.5" customHeight="1" x14ac:dyDescent="0.2">
      <c r="A1109" s="1355" t="s">
        <v>151</v>
      </c>
      <c r="B1109" s="1355"/>
      <c r="C1109" s="1355"/>
      <c r="D1109" s="1355"/>
      <c r="E1109" s="1355"/>
      <c r="F1109" s="1355"/>
      <c r="G1109" s="1355"/>
      <c r="H1109" s="1355"/>
      <c r="I1109" s="1355"/>
      <c r="J1109" s="1355"/>
      <c r="K1109" s="7"/>
      <c r="L1109" s="7"/>
      <c r="M1109" s="7"/>
      <c r="N1109" s="52"/>
      <c r="O1109" s="138">
        <f>'päd.Personal - Leitung'!$O$5</f>
        <v>2025</v>
      </c>
      <c r="P1109" s="52" t="s">
        <v>140</v>
      </c>
    </row>
    <row r="1110" spans="1:19" s="8" customFormat="1" ht="13.5" customHeight="1" x14ac:dyDescent="0.25">
      <c r="B1110" s="29"/>
      <c r="C1110" s="29"/>
      <c r="D1110" s="3" t="s">
        <v>56</v>
      </c>
      <c r="E1110" s="28"/>
      <c r="F1110" s="28"/>
      <c r="G1110" s="28"/>
      <c r="H1110" s="28"/>
      <c r="I1110" s="24"/>
      <c r="K1110" s="1327" t="s">
        <v>13</v>
      </c>
      <c r="L1110" s="1327"/>
      <c r="M1110" s="131"/>
      <c r="O1110" s="928" t="str">
        <f>A1133</f>
        <v>Jan 2025</v>
      </c>
      <c r="P1110" s="1402">
        <f>IF(M1112="","",M1112)</f>
        <v>0</v>
      </c>
    </row>
    <row r="1111" spans="1:19" s="5" customFormat="1" ht="13.5" customHeight="1" x14ac:dyDescent="0.25">
      <c r="A1111" s="1328" t="s">
        <v>754</v>
      </c>
      <c r="B1111" s="1328"/>
      <c r="C1111" s="1328"/>
      <c r="D1111" s="1345"/>
      <c r="E1111" s="1345"/>
      <c r="F1111" s="1345"/>
      <c r="G1111" s="1345"/>
      <c r="H1111" s="1345"/>
      <c r="I1111" s="1345"/>
      <c r="K1111" s="1327" t="s">
        <v>101</v>
      </c>
      <c r="L1111" s="1327"/>
      <c r="M1111" s="101"/>
      <c r="O1111" s="928" t="str">
        <f t="shared" ref="O1111:O1121" si="184">A1134</f>
        <v>Feb 2025</v>
      </c>
      <c r="P1111" s="1403">
        <f t="shared" ref="P1111:P1121" si="185">IF(P1110="","",P1110)</f>
        <v>0</v>
      </c>
    </row>
    <row r="1112" spans="1:19" s="1" customFormat="1" ht="13.5" customHeight="1" x14ac:dyDescent="0.2">
      <c r="A1112" s="1328" t="s">
        <v>12</v>
      </c>
      <c r="B1112" s="1328"/>
      <c r="C1112" s="1328"/>
      <c r="D1112" s="1345"/>
      <c r="E1112" s="1345"/>
      <c r="F1112" s="1345"/>
      <c r="G1112" s="1345"/>
      <c r="H1112" s="1345"/>
      <c r="I1112" s="1345"/>
      <c r="K1112" s="1327" t="s">
        <v>149</v>
      </c>
      <c r="L1112" s="1327"/>
      <c r="M1112" s="101">
        <f>IF((M1113+M1114)&gt;M1111,0,M1111-M1113-M1114)</f>
        <v>0</v>
      </c>
      <c r="O1112" s="928" t="str">
        <f t="shared" si="184"/>
        <v>Mrz 2025</v>
      </c>
      <c r="P1112" s="1403">
        <f t="shared" si="185"/>
        <v>0</v>
      </c>
    </row>
    <row r="1113" spans="1:19" s="1" customFormat="1" ht="13.5" customHeight="1" x14ac:dyDescent="0.2">
      <c r="A1113" s="1328" t="s">
        <v>11</v>
      </c>
      <c r="B1113" s="1328"/>
      <c r="C1113" s="1328"/>
      <c r="D1113" s="1345"/>
      <c r="E1113" s="1345"/>
      <c r="F1113" s="1345"/>
      <c r="G1113" s="1345"/>
      <c r="H1113" s="1345"/>
      <c r="I1113" s="1345"/>
      <c r="K1113" s="1327" t="s">
        <v>150</v>
      </c>
      <c r="L1113" s="1327"/>
      <c r="M1113" s="101"/>
      <c r="O1113" s="928" t="str">
        <f t="shared" si="184"/>
        <v>Apr 2025</v>
      </c>
      <c r="P1113" s="1403">
        <f t="shared" si="185"/>
        <v>0</v>
      </c>
    </row>
    <row r="1114" spans="1:19" s="1" customFormat="1" ht="13.5" customHeight="1" x14ac:dyDescent="0.2">
      <c r="A1114" s="1328" t="s">
        <v>18</v>
      </c>
      <c r="B1114" s="1328"/>
      <c r="C1114" s="1328"/>
      <c r="D1114" s="1345"/>
      <c r="E1114" s="1345"/>
      <c r="F1114" s="1345"/>
      <c r="G1114" s="1345"/>
      <c r="H1114" s="1345"/>
      <c r="I1114" s="1345"/>
      <c r="K1114" s="1327" t="s">
        <v>222</v>
      </c>
      <c r="L1114" s="1327"/>
      <c r="M1114" s="101"/>
      <c r="O1114" s="928" t="str">
        <f t="shared" si="184"/>
        <v>Mai 2025</v>
      </c>
      <c r="P1114" s="1403">
        <f t="shared" si="185"/>
        <v>0</v>
      </c>
    </row>
    <row r="1115" spans="1:19" s="1" customFormat="1" ht="13.5" customHeight="1" x14ac:dyDescent="0.2">
      <c r="B1115" s="6"/>
      <c r="C1115" s="1029" t="s">
        <v>147</v>
      </c>
      <c r="D1115" s="1324"/>
      <c r="E1115" s="1324"/>
      <c r="F1115" s="1359" t="s">
        <v>103</v>
      </c>
      <c r="G1115" s="1359"/>
      <c r="H1115" s="1361"/>
      <c r="I1115" s="1361"/>
      <c r="K1115" s="1327" t="s">
        <v>94</v>
      </c>
      <c r="L1115" s="1327"/>
      <c r="M1115" s="15" t="str">
        <f>IF(IF((COUNTIF(B1133:B1144,"&gt;0"))=0,0,(COUNTIF(B1133:B1144,"&gt;0")))&gt;Grundlagen!$C$26,Grundlagen!$C$26,IF((COUNTIF(B1133:B1144,"&gt;0"))=0,"",(COUNTIF(B1133:B1144,"&gt;0"))))</f>
        <v/>
      </c>
      <c r="O1115" s="928" t="str">
        <f t="shared" si="184"/>
        <v>Jun 2025</v>
      </c>
      <c r="P1115" s="1403">
        <f t="shared" si="185"/>
        <v>0</v>
      </c>
    </row>
    <row r="1116" spans="1:19" s="1" customFormat="1" ht="13.5" customHeight="1" x14ac:dyDescent="0.2">
      <c r="I1116" s="4"/>
      <c r="M1116" s="102" t="str">
        <f>IF((SUM(F1118:F1121))=0,"",IF(P1122&gt;M1112,M1112,IF(M1112="","",IF(M1115="","",P1122))))</f>
        <v/>
      </c>
      <c r="O1116" s="928" t="str">
        <f t="shared" si="184"/>
        <v>Jul 2025</v>
      </c>
      <c r="P1116" s="1403">
        <f t="shared" si="185"/>
        <v>0</v>
      </c>
    </row>
    <row r="1117" spans="1:19" s="46" customFormat="1" ht="13.5" customHeight="1" x14ac:dyDescent="0.2">
      <c r="A1117" s="54" t="s">
        <v>134</v>
      </c>
      <c r="B1117" s="1356" t="s">
        <v>135</v>
      </c>
      <c r="C1117" s="1356"/>
      <c r="D1117" s="55" t="s">
        <v>136</v>
      </c>
      <c r="E1117" s="56" t="s">
        <v>137</v>
      </c>
      <c r="F1117" s="57" t="str">
        <f>CONCATENATE("Entg. ",N1107," h/Wo")</f>
        <v>Entg.  h/Wo</v>
      </c>
      <c r="G1117" s="58" t="s">
        <v>138</v>
      </c>
      <c r="I1117" s="58" t="s">
        <v>139</v>
      </c>
      <c r="K1117" s="970"/>
      <c r="L1117" s="970"/>
      <c r="M1117" s="59"/>
      <c r="N1117" s="968"/>
      <c r="O1117" s="928" t="str">
        <f t="shared" si="184"/>
        <v>Aug 2025</v>
      </c>
      <c r="P1117" s="1403">
        <f t="shared" si="185"/>
        <v>0</v>
      </c>
      <c r="Q1117" s="85"/>
      <c r="R1117" s="85"/>
      <c r="S1117" s="85"/>
    </row>
    <row r="1118" spans="1:19" s="46" customFormat="1" ht="13.5" customHeight="1" x14ac:dyDescent="0.25">
      <c r="A1118" s="48" t="str">
        <f>'päd.Personal - Leitung'!$A$14</f>
        <v>Jan 2025</v>
      </c>
      <c r="B1118" s="1357" t="str">
        <f>IF($D$3="","",$D$3)</f>
        <v/>
      </c>
      <c r="C1118" s="1358"/>
      <c r="D1118" s="132"/>
      <c r="E1118" s="132"/>
      <c r="F1118" s="71"/>
      <c r="G1118" s="50">
        <f>IF(N1107="",0,F1118/N1107/4.348)</f>
        <v>0</v>
      </c>
      <c r="I1118" s="125">
        <f>SUM(J1118:M1118)</f>
        <v>0</v>
      </c>
      <c r="J1118" s="124"/>
      <c r="K1118" s="124"/>
      <c r="L1118" s="124"/>
      <c r="M1118" s="124"/>
      <c r="N1118" s="969"/>
      <c r="O1118" s="928" t="str">
        <f t="shared" si="184"/>
        <v>Sep 2025</v>
      </c>
      <c r="P1118" s="1403">
        <f t="shared" si="185"/>
        <v>0</v>
      </c>
      <c r="Q1118" s="85"/>
      <c r="R1118" s="85"/>
      <c r="S1118" s="85"/>
    </row>
    <row r="1119" spans="1:19" s="46" customFormat="1" ht="13.5" customHeight="1" x14ac:dyDescent="0.25">
      <c r="A1119" s="49"/>
      <c r="B1119" s="1322" t="str">
        <f>IF(A1119="","",B1118)</f>
        <v/>
      </c>
      <c r="C1119" s="1323"/>
      <c r="D1119" s="132"/>
      <c r="E1119" s="132"/>
      <c r="F1119" s="71"/>
      <c r="G1119" s="50">
        <f>IF(N1107="",0,F1119/N1107/4.348)</f>
        <v>0</v>
      </c>
      <c r="I1119" s="125">
        <f t="shared" ref="I1119:I1121" si="186">SUM(J1119:M1119)</f>
        <v>0</v>
      </c>
      <c r="J1119" s="124"/>
      <c r="K1119" s="124"/>
      <c r="L1119" s="124"/>
      <c r="M1119" s="124"/>
      <c r="N1119" s="969"/>
      <c r="O1119" s="928" t="str">
        <f t="shared" si="184"/>
        <v>Okt 2025</v>
      </c>
      <c r="P1119" s="1403">
        <f t="shared" si="185"/>
        <v>0</v>
      </c>
      <c r="Q1119" s="85"/>
      <c r="R1119" s="85"/>
      <c r="S1119" s="85"/>
    </row>
    <row r="1120" spans="1:19" s="46" customFormat="1" ht="13.5" customHeight="1" x14ac:dyDescent="0.25">
      <c r="A1120" s="49"/>
      <c r="B1120" s="1322" t="str">
        <f>IF(A1120="","",B1119)</f>
        <v/>
      </c>
      <c r="C1120" s="1323"/>
      <c r="D1120" s="132"/>
      <c r="E1120" s="132"/>
      <c r="F1120" s="71"/>
      <c r="G1120" s="50">
        <f>IF(N1107="",0,F1120/N1107/4.348)</f>
        <v>0</v>
      </c>
      <c r="I1120" s="125">
        <f t="shared" si="186"/>
        <v>0</v>
      </c>
      <c r="J1120" s="124"/>
      <c r="K1120" s="124"/>
      <c r="L1120" s="124"/>
      <c r="M1120" s="124"/>
      <c r="N1120" s="969"/>
      <c r="O1120" s="928" t="str">
        <f t="shared" si="184"/>
        <v>Nov 2025</v>
      </c>
      <c r="P1120" s="1403">
        <f t="shared" si="185"/>
        <v>0</v>
      </c>
      <c r="Q1120" s="85"/>
      <c r="R1120" s="85"/>
      <c r="S1120" s="85"/>
    </row>
    <row r="1121" spans="1:22" s="46" customFormat="1" ht="13.5" customHeight="1" x14ac:dyDescent="0.25">
      <c r="A1121" s="49"/>
      <c r="B1121" s="1322" t="str">
        <f>IF(A1121="","",B1120)</f>
        <v/>
      </c>
      <c r="C1121" s="1323"/>
      <c r="D1121" s="132"/>
      <c r="E1121" s="132"/>
      <c r="F1121" s="71"/>
      <c r="G1121" s="50">
        <f>IF(N1107="",0,F1121/N1107/4.348)</f>
        <v>0</v>
      </c>
      <c r="I1121" s="125">
        <f t="shared" si="186"/>
        <v>0</v>
      </c>
      <c r="J1121" s="124"/>
      <c r="K1121" s="124"/>
      <c r="L1121" s="124"/>
      <c r="M1121" s="124"/>
      <c r="N1121" s="969"/>
      <c r="O1121" s="928" t="str">
        <f t="shared" si="184"/>
        <v>Dez 2025</v>
      </c>
      <c r="P1121" s="1403">
        <f t="shared" si="185"/>
        <v>0</v>
      </c>
      <c r="Q1121" s="85"/>
      <c r="R1121" s="85"/>
      <c r="S1121" s="85"/>
    </row>
    <row r="1122" spans="1:22" s="46" customFormat="1" ht="13.5" customHeight="1" x14ac:dyDescent="0.25">
      <c r="B1122" s="972"/>
      <c r="C1122" s="972"/>
      <c r="E1122" s="972"/>
      <c r="F1122" s="972"/>
      <c r="I1122" s="930" t="s">
        <v>730</v>
      </c>
      <c r="J1122" s="1060"/>
      <c r="K1122" s="1060"/>
      <c r="L1122" s="1060"/>
      <c r="M1122" s="1060"/>
      <c r="N1122" s="971"/>
      <c r="O1122" s="126" t="s">
        <v>221</v>
      </c>
      <c r="P1122" s="127">
        <f>IF(M1115="",0,((IF(SUMIF(B1133,"&gt;0"),P1110,0))+(IF(SUMIF(B1134,"&gt;0"),P1111,0))+(IF(SUMIF(B1135,"&gt;0"),P1112,0))+(IF(SUMIF(B1136,"&gt;0"),P1113,0))+(IF(SUMIF(B1137,"&gt;0"),P1114,0))+(IF(SUMIF(B1138,"&gt;0"),P1115,0))+(IF(SUMIF(B1139,"&gt;0"),P1116,0))+(IF(SUMIF(B1140,"&gt;0"),P1117,0))+(IF(SUMIF(B1141,"&gt;0"),P1118,0))+(IF(SUMIF(B1142,"&gt;0"),P1119,0))+(IF(SUMIF(B1143,"&gt;0"),P1120,0))+(IF(SUMIF(B1144,"&gt;0"),P1121,0)))/Grundlagen!$C$26)</f>
        <v>0</v>
      </c>
      <c r="Q1122" s="958" t="str">
        <f>CONCATENATE("BBG"," anteilig ",O1124)</f>
        <v>BBG anteilig 2025</v>
      </c>
      <c r="R1122" s="931" t="s">
        <v>659</v>
      </c>
      <c r="S1122" s="931" t="s">
        <v>398</v>
      </c>
      <c r="T1122" s="107"/>
    </row>
    <row r="1123" spans="1:22" s="46" customFormat="1" ht="13.5" customHeight="1" x14ac:dyDescent="0.2">
      <c r="A1123" s="924" t="s">
        <v>732</v>
      </c>
      <c r="D1123" s="55" t="s">
        <v>369</v>
      </c>
      <c r="E1123" s="56" t="s">
        <v>368</v>
      </c>
      <c r="F1123" s="58"/>
      <c r="J1123" s="61"/>
      <c r="Q1123" s="932" t="s">
        <v>144</v>
      </c>
      <c r="R1123" s="140">
        <f>IF(M1112=0,R1127,IF(M1111="",R1127,(SUM(R1133:R1144)/M1115)))</f>
        <v>5175</v>
      </c>
      <c r="S1123" s="933">
        <f>IF(M1112=0,S1127,IF(M1111="",S1127,SUM(R1133:R1144)))</f>
        <v>0</v>
      </c>
      <c r="T1123" s="107"/>
    </row>
    <row r="1124" spans="1:22" s="46" customFormat="1" ht="13.5" customHeight="1" x14ac:dyDescent="0.25">
      <c r="A1124" s="60"/>
      <c r="B1124" s="1314" t="str">
        <f>IF($B$20="","",$B$20)</f>
        <v>Jahressonderzahlung (JSZ)</v>
      </c>
      <c r="C1124" s="1315"/>
      <c r="D1124" s="926"/>
      <c r="E1124" s="929" t="str">
        <f>IF(A1124="","",ROUND((((SUM(B1139:B1141)+SUM(F1139:F1141))/3)*D1124)/Grundlagen!$C$26*M1115,2))</f>
        <v/>
      </c>
      <c r="G1124" s="941" t="s">
        <v>733</v>
      </c>
      <c r="H1124" s="943"/>
      <c r="I1124" s="1316" t="str">
        <f>CONCATENATE(R1147,":"," Übergangsbereich von ",R1148+0.01," €"," bis ",R1149," €")</f>
        <v>2025: Übergangsbereich von 556,01 € bis 2000 €</v>
      </c>
      <c r="J1124" s="1317"/>
      <c r="K1124" s="1317"/>
      <c r="L1124" s="1067"/>
      <c r="M1124" s="1067"/>
      <c r="N1124" s="1068" t="s">
        <v>736</v>
      </c>
      <c r="O1124" s="1069">
        <f>P1124+1</f>
        <v>2025</v>
      </c>
      <c r="P1124" s="1069" t="s">
        <v>721</v>
      </c>
      <c r="Q1124" s="932" t="s">
        <v>145</v>
      </c>
      <c r="R1124" s="140">
        <f>IF(M1112=0,R1128,IF(M1111="",R1128,(SUM(S1133:S1144)/M1115)))</f>
        <v>7450</v>
      </c>
      <c r="S1124" s="933">
        <f>IF(M1112=0,S1128,IF(M1111="",S1128,SUM(S1133:S1144)))</f>
        <v>0</v>
      </c>
      <c r="T1124" s="109"/>
    </row>
    <row r="1125" spans="1:22" s="1" customFormat="1" ht="14.25" customHeight="1" x14ac:dyDescent="0.2">
      <c r="A1125" s="60"/>
      <c r="B1125" s="1314" t="str">
        <f>IF($B$21="","",$B$21)</f>
        <v>Leistungsentgelt (LOB)</v>
      </c>
      <c r="C1125" s="1315"/>
      <c r="D1125" s="926"/>
      <c r="E1125" s="929" t="str">
        <f>IF(A1125="","",ROUND(((B1145+F1145)*D1125)/Grundlagen!$C$26*M1115,2))</f>
        <v/>
      </c>
      <c r="G1125" s="941" t="str">
        <f>IF(OR(H1124="",H1124="nein")=TRUE,"","Faktor (F):")</f>
        <v/>
      </c>
      <c r="H1125" s="949" t="str">
        <f>IF(OR(H1124="",H1124="nein")=TRUE,"",IF(H1124="","",R1151))</f>
        <v/>
      </c>
      <c r="I1125" s="1318" t="str">
        <f>IF(OR(H1124="",H1124="nein")=TRUE,"",IF(H1125="","",CONCATENATE(S1151*100,"%"," / ","(",R1150*100,"%"," Gesamt-SV-Beitragssatz 2024)")))</f>
        <v/>
      </c>
      <c r="J1125" s="1319"/>
      <c r="K1125" s="1319"/>
      <c r="L1125" s="1070"/>
      <c r="M1125" s="1070"/>
      <c r="N1125" s="1071" t="s">
        <v>144</v>
      </c>
      <c r="O1125" s="1072">
        <f>'päd.Personal - Leitung'!$O$21</f>
        <v>5175</v>
      </c>
      <c r="P1125" s="1072">
        <f>'päd.Personal - Leitung'!$P$21</f>
        <v>5175</v>
      </c>
      <c r="Q1125" s="11"/>
      <c r="R1125" s="11"/>
      <c r="S1125" s="11"/>
      <c r="T1125" s="109"/>
    </row>
    <row r="1126" spans="1:22" s="1" customFormat="1" ht="14.25" customHeight="1" x14ac:dyDescent="0.2">
      <c r="C1126" s="925" t="s">
        <v>731</v>
      </c>
      <c r="L1126" s="1070"/>
      <c r="M1126" s="1070"/>
      <c r="N1126" s="1071" t="s">
        <v>145</v>
      </c>
      <c r="O1126" s="1073">
        <f>'päd.Personal - Leitung'!$O$22</f>
        <v>7450</v>
      </c>
      <c r="P1126" s="1073">
        <f>'päd.Personal - Leitung'!$P$22</f>
        <v>7450</v>
      </c>
      <c r="Q1126" s="958" t="str">
        <f>CONCATENATE("BBG"," ",O1124)</f>
        <v>BBG 2025</v>
      </c>
      <c r="R1126" s="11"/>
      <c r="S1126" s="11"/>
      <c r="T1126" s="109"/>
    </row>
    <row r="1127" spans="1:22" s="1" customFormat="1" ht="14.25" customHeight="1" x14ac:dyDescent="0.2">
      <c r="A1127" s="53" t="s">
        <v>141</v>
      </c>
      <c r="B1127" s="46"/>
      <c r="C1127" s="46"/>
      <c r="D1127" s="46"/>
      <c r="E1127" s="46"/>
      <c r="F1127" s="46"/>
      <c r="G1127" s="46"/>
      <c r="H1127" s="46"/>
      <c r="I1127" s="46"/>
      <c r="J1127" s="46"/>
      <c r="K1127" s="46"/>
      <c r="L1127" s="46"/>
      <c r="M1127" s="46"/>
      <c r="N1127" s="46"/>
      <c r="O1127" s="46"/>
      <c r="P1127" s="46"/>
      <c r="Q1127" s="932" t="s">
        <v>144</v>
      </c>
      <c r="R1127" s="141">
        <f>IF($O$21="",0,$O$21)</f>
        <v>5175</v>
      </c>
      <c r="S1127" s="933">
        <f>R1127*IF(M1115="",0,M1115)</f>
        <v>0</v>
      </c>
      <c r="T1127" s="295"/>
    </row>
    <row r="1128" spans="1:22" s="1" customFormat="1" ht="14.25" customHeight="1" x14ac:dyDescent="0.2">
      <c r="A1128" s="1346"/>
      <c r="B1128" s="1348" t="s">
        <v>8</v>
      </c>
      <c r="C1128" s="1349"/>
      <c r="D1128" s="1349"/>
      <c r="E1128" s="1349"/>
      <c r="F1128" s="1349"/>
      <c r="G1128" s="1350"/>
      <c r="H1128" s="1351" t="s">
        <v>113</v>
      </c>
      <c r="I1128" s="1352"/>
      <c r="J1128" s="1352"/>
      <c r="K1128" s="1352"/>
      <c r="L1128" s="1352"/>
      <c r="M1128" s="1352"/>
      <c r="N1128" s="1352"/>
      <c r="O1128" s="30"/>
      <c r="P1128" s="1330" t="s">
        <v>0</v>
      </c>
      <c r="Q1128" s="932" t="s">
        <v>145</v>
      </c>
      <c r="R1128" s="141">
        <f>IF($O$22="",0,$O$22)</f>
        <v>7450</v>
      </c>
      <c r="S1128" s="933">
        <f>R1128*IF(M1115="",0,M1115)</f>
        <v>0</v>
      </c>
      <c r="T1128" s="830"/>
    </row>
    <row r="1129" spans="1:22" s="1" customFormat="1" ht="14.25" customHeight="1" x14ac:dyDescent="0.2">
      <c r="A1129" s="1347"/>
      <c r="B1129" s="1333" t="s">
        <v>111</v>
      </c>
      <c r="C1129" s="1335" t="s">
        <v>743</v>
      </c>
      <c r="D1129" s="1337" t="s">
        <v>226</v>
      </c>
      <c r="E1129" s="1339" t="s">
        <v>133</v>
      </c>
      <c r="F1129" s="1030" t="s">
        <v>6</v>
      </c>
      <c r="G1129" s="1340" t="s">
        <v>5</v>
      </c>
      <c r="H1129" s="1339" t="s">
        <v>119</v>
      </c>
      <c r="I1129" s="1339" t="s">
        <v>4</v>
      </c>
      <c r="J1129" s="1339" t="s">
        <v>3</v>
      </c>
      <c r="K1129" s="1339" t="s">
        <v>2</v>
      </c>
      <c r="L1129" s="1339" t="s">
        <v>114</v>
      </c>
      <c r="M1129" s="1339" t="s">
        <v>115</v>
      </c>
      <c r="N1129" s="1339" t="s">
        <v>116</v>
      </c>
      <c r="O1129" s="1338" t="s">
        <v>109</v>
      </c>
      <c r="P1129" s="1331"/>
      <c r="Q1129" s="456"/>
      <c r="R1129" s="11"/>
      <c r="S1129" s="11"/>
      <c r="T1129" s="621"/>
    </row>
    <row r="1130" spans="1:22" s="1" customFormat="1" ht="14.25" customHeight="1" x14ac:dyDescent="0.2">
      <c r="A1130" s="1347"/>
      <c r="B1130" s="1333"/>
      <c r="C1130" s="1335"/>
      <c r="D1130" s="1338"/>
      <c r="E1130" s="1339"/>
      <c r="F1130" s="1343" t="str">
        <f>I1122</f>
        <v>Zuschläge / Zulagen / o.ä.:</v>
      </c>
      <c r="G1130" s="1340"/>
      <c r="H1130" s="1342" t="s">
        <v>117</v>
      </c>
      <c r="I1130" s="1342"/>
      <c r="J1130" s="1342"/>
      <c r="K1130" s="1342"/>
      <c r="L1130" s="1342"/>
      <c r="M1130" s="1342"/>
      <c r="N1130" s="1342"/>
      <c r="O1130" s="1338"/>
      <c r="P1130" s="1331"/>
      <c r="Q1130" s="456"/>
      <c r="R1130" s="1306" t="str">
        <f>Q1122</f>
        <v>BBG anteilig 2025</v>
      </c>
      <c r="S1130" s="1306"/>
      <c r="T1130" s="829"/>
    </row>
    <row r="1131" spans="1:22" s="1" customFormat="1" ht="14.25" customHeight="1" x14ac:dyDescent="0.2">
      <c r="A1131" s="1347"/>
      <c r="B1131" s="1333"/>
      <c r="C1131" s="1335"/>
      <c r="D1131" s="1338"/>
      <c r="E1131" s="1339"/>
      <c r="F1131" s="1343"/>
      <c r="G1131" s="1340"/>
      <c r="H1131" s="39" t="str">
        <f>'päd.Personal - Leitung'!$H$27</f>
        <v>(7,30% + Zusatz)</v>
      </c>
      <c r="I1131" s="39" t="str">
        <f>'päd.Personal - Leitung'!$I$27</f>
        <v xml:space="preserve"> (2024: 9,30%)</v>
      </c>
      <c r="J1131" s="39" t="str">
        <f>'päd.Personal - Leitung'!$J$27</f>
        <v>(2024: 1,30%)</v>
      </c>
      <c r="K1131" s="39" t="str">
        <f>'päd.Personal - Leitung'!$K$27</f>
        <v>(2024: 1,700%)</v>
      </c>
      <c r="L1131" s="39"/>
      <c r="M1131" s="39"/>
      <c r="N1131" s="39" t="str">
        <f>'päd.Personal - Leitung'!$N$27</f>
        <v>(2024: 0,06%)</v>
      </c>
      <c r="O1131" s="1338"/>
      <c r="P1131" s="1331"/>
      <c r="Q1131" s="456"/>
      <c r="R1131" s="1307" t="s">
        <v>659</v>
      </c>
      <c r="S1131" s="1307"/>
      <c r="T1131" s="829"/>
      <c r="U1131" s="1308" t="s">
        <v>1</v>
      </c>
      <c r="V1131" s="1308" t="s">
        <v>741</v>
      </c>
    </row>
    <row r="1132" spans="1:22" s="1" customFormat="1" x14ac:dyDescent="0.2">
      <c r="A1132" s="1347"/>
      <c r="B1132" s="1334"/>
      <c r="C1132" s="1336"/>
      <c r="D1132" s="45"/>
      <c r="E1132" s="45"/>
      <c r="F1132" s="1344"/>
      <c r="G1132" s="1341"/>
      <c r="H1132" s="74"/>
      <c r="I1132" s="99">
        <f>'päd.Personal - Leitung'!$I$28</f>
        <v>0</v>
      </c>
      <c r="J1132" s="99">
        <f>'päd.Personal - Leitung'!$J$28</f>
        <v>0</v>
      </c>
      <c r="K1132" s="40">
        <f>'päd.Personal - Leitung'!$K$28</f>
        <v>0</v>
      </c>
      <c r="L1132" s="19"/>
      <c r="M1132" s="19"/>
      <c r="N1132" s="99">
        <f>'päd.Personal - Leitung'!$N$28</f>
        <v>0</v>
      </c>
      <c r="O1132" s="23"/>
      <c r="P1132" s="1332"/>
      <c r="Q1132" s="456"/>
      <c r="R1132" s="935" t="s">
        <v>144</v>
      </c>
      <c r="S1132" s="935" t="s">
        <v>145</v>
      </c>
      <c r="T1132" s="829"/>
      <c r="U1132" s="1308"/>
      <c r="V1132" s="1308"/>
    </row>
    <row r="1133" spans="1:22" s="1" customFormat="1" x14ac:dyDescent="0.2">
      <c r="A1133" s="76" t="str">
        <f>CONCATENATE("Jan ",O1109)</f>
        <v>Jan 2025</v>
      </c>
      <c r="B1133" s="22">
        <f>ROUND(IF(P1110=0,0,(LOOKUP(2,1/(A1118:A1121=A1133),G1118:G1121))*P1110*4.348),2)</f>
        <v>0</v>
      </c>
      <c r="C1133" s="21">
        <f>ROUND(IFERROR((LOOKUP(2,1/(A1124=A1133),E1124)),0)+IFERROR((LOOKUP(2,1/(A1125=A1133),E1125)),0),2)</f>
        <v>0</v>
      </c>
      <c r="D1133" s="21">
        <f>ROUND(IF(B1133=0,0,D1132/M1111*P1110),2)</f>
        <v>0</v>
      </c>
      <c r="E1133" s="21">
        <f>ROUND(IF(B1133=0,0,E1132/N1107*P1110),2)</f>
        <v>0</v>
      </c>
      <c r="F1133" s="22">
        <f>ROUND(IF(P1110=0,0,(LOOKUP(2,1/(A1118:A1121=A1133),I1118:I1121))/N1107*P1110),2)</f>
        <v>0</v>
      </c>
      <c r="G1133" s="25">
        <f t="shared" ref="G1133:G1144" si="187">SUM(B1133+C1133+E1133+F1133)</f>
        <v>0</v>
      </c>
      <c r="H1133" s="64">
        <f>IF(B1133=0,0,IF(AND(H1124="ja",((U1133)&lt;R1149)),ROUND(((R1151*R1148+((R1149/(R1149-R1148))-(R1148/(R1149-R1148))*R1151)*((U1133)-R1148))*(H1132*2))-(((R1149/(R1149-R1148))*((U1133)-R1148))*H1132),2),ROUND(IF((U1133)&gt;R1133,R1133*H1132,U1133*H1132),2)))</f>
        <v>0</v>
      </c>
      <c r="I1133" s="64">
        <f>IF(B1133=0,0,IF(AND(H1124="ja",((U1133)&lt;R1149)),ROUND(((R1151*R1148+((R1149/(R1149-R1148))-(R1148/(R1149-R1148))*R1151)*((U1133)-R1148))*(I1132*2))-(((R1149/(R1149-R1148))*((U1133)-R1148))*I1132),2),ROUND(IF((U1133)&gt;S1133,S1133*I1132,U1133*I1132),2)))</f>
        <v>0</v>
      </c>
      <c r="J1133" s="64">
        <f>IF(B1133=0,0,IF(AND(H1124="ja",((U1133)&lt;R1149)),ROUND(((R1151*R1148+((R1149/(R1149-R1148))-(R1148/(R1149-R1148))*R1151)*((U1133)-R1148))*(J1132*2))-(((R1149/(R1149-R1148))*((U1133)-R1148))*J1132),2),ROUND(IF((U1133)&gt;S1133,S1133*J1132,U1133*J1132),2)))</f>
        <v>0</v>
      </c>
      <c r="K1133" s="64">
        <f>IF(B1133=0,0,IF(AND(H1124="ja",((U1133)&lt;R1149)),ROUND(((R1151*R1148+((R1149/(R1149-R1148))-(R1148/(R1149-R1148))*R1151)*((U1133)-R1148))*(K1132*2))-(((R1149/(R1149-R1148))*((U1133)-R1148))*K1132),2),ROUND(IF((U1133)&gt;R1133,R1133*K1132,U1133*K1132),2)))</f>
        <v>0</v>
      </c>
      <c r="L1133" s="64">
        <f>IF(B1133=0,0,IF(AND(H1124="ja",((U1133-C1133)&lt;R1149)),ROUND(((R1151*R1148+((R1149/(R1149-R1148))-(R1148/(R1149-R1148))*R1151)*((U1133-C1133)-R1148))*(L1132)),2),ROUND(IF((SUM(B1133:F1133))&gt;S1133,S1133*L1132,(SUM(B1133:F1133)-C1133)*L1132),2)))</f>
        <v>0</v>
      </c>
      <c r="M1133" s="64">
        <f>IF(B1133=0,0,IF(AND(H1124="ja",((U1133-C1133)&lt;R1149)),ROUND(((R1151*R1148+((R1149/(R1149-R1148))-(R1148/(R1149-R1148))*R1151)*((U1133-C1133)-R1148))*(M1132)),2),ROUND(IF((SUM(B1133:F1133))&gt;S1133,S1133*M1132,(SUM(B1133:F1133)-C1133)*M1132),2)))</f>
        <v>0</v>
      </c>
      <c r="N1133" s="64">
        <f>IF(B1133=0,0,IF(AND(H1124="ja",((U1133)&lt;R1149)),ROUND(((R1151*R1148+((R1149/(R1149-R1148))-(R1148/(R1149-R1148))*R1151)*((U1133)-R1148))*(N1132)),2),ROUND(IF((SUM(B1133:F1133))&gt;S1133,S1133*N1132,SUM(B1133:F1133)*N1132),2)))</f>
        <v>0</v>
      </c>
      <c r="O1133" s="21">
        <f>ROUND(SUM(B1133+C1133+F1133)*O1132,2)</f>
        <v>0</v>
      </c>
      <c r="P1133" s="25">
        <f>SUM(G1133:O1133)</f>
        <v>0</v>
      </c>
      <c r="Q1133" s="456"/>
      <c r="R1133" s="140">
        <f>ROUND(IF(M1111="",R1127,R1127/M1111*P1110),2)</f>
        <v>5175</v>
      </c>
      <c r="S1133" s="140">
        <f>ROUND(IF(M1111="",R1128,R1128/M1111*P1110),2)</f>
        <v>7450</v>
      </c>
      <c r="U1133" s="950">
        <f>SUM(B1133:F1133)</f>
        <v>0</v>
      </c>
      <c r="V1133" s="950">
        <f>SUM(B1133:F1133)</f>
        <v>0</v>
      </c>
    </row>
    <row r="1134" spans="1:22" s="1" customFormat="1" x14ac:dyDescent="0.2">
      <c r="A1134" s="76" t="str">
        <f>CONCATENATE("Feb ",O1109)</f>
        <v>Feb 2025</v>
      </c>
      <c r="B1134" s="22">
        <f>ROUND(IF(P1111=0,0,IFERROR(((LOOKUP(2,1/(A1118:A1121=A1134),G1118:G1121))*P1111*4.348),B1133/P1110*P1111)),2)</f>
        <v>0</v>
      </c>
      <c r="C1134" s="21">
        <f>ROUND(IFERROR((LOOKUP(2,1/(A1124=A1134),E1124)),0)+IFERROR((LOOKUP(2,1/(A1125=A1134),E1125)),0),2)</f>
        <v>0</v>
      </c>
      <c r="D1134" s="21">
        <f>ROUND(IF(B1134=0,0,D1132/M1111*P1111),2)</f>
        <v>0</v>
      </c>
      <c r="E1134" s="21">
        <f>ROUND(IF(B1134=0,0,E1132/N1107*P1111),2)</f>
        <v>0</v>
      </c>
      <c r="F1134" s="22">
        <f>ROUND(IF(P1111=0,0,IFERROR(((LOOKUP(2,1/(A1118:A1121=A1134),I1118:I1121))/N1107*P1111),F1133/P1110*P1111)),2)</f>
        <v>0</v>
      </c>
      <c r="G1134" s="25">
        <f t="shared" si="187"/>
        <v>0</v>
      </c>
      <c r="H1134" s="64">
        <f>IF(B1134=0,0,IF(AND(H1124="ja",((U1134)&lt;R1149)),ROUND(((R1151*R1148+((R1149/(R1149-R1148))-(R1148/(R1149-R1148))*R1151)*((U1134)-R1148))*(H1132*2))-(((R1149/(R1149-R1148))*((U1134)-R1148))*H1132),2),ROUND(IF(U1133&lt;(R1133),IF((V1134)&gt;(SUM(R1133:R1134)),(((SUM(R1133:R1134))-(V1134-C1133))*H1132)+((U1134-C1133)*H1132),U1134*H1132),IF(V1134&gt;(SUM(R1133:R1134)),R1134*H1132,U1134*H1132)),2)))</f>
        <v>0</v>
      </c>
      <c r="I1134" s="64">
        <f>IF(B1134=0,0,IF(AND(H1124="ja",((U1134)&lt;R1149)),ROUND(((R1151*R1148+((R1149/(R1149-R1148))-(R1148/(R1149-R1148))*R1151)*((U1134)-R1148))*(I1132*2))-(((R1149/(R1149-R1148))*((U1134)-R1148))*I1132),2),ROUND(IF(U1133&lt;(S1133),IF((V1134)&gt;(SUM(S1133:S1134)),(((SUM(S1133:S1134))-(V1134-C1133))*I1132)+((U1134-C1133)*I1132),U1134*I1132),IF(V1134&gt;(SUM(S1133:S1134)),S1134*I1132,U1134*I1132)),2)))</f>
        <v>0</v>
      </c>
      <c r="J1134" s="64">
        <f>IF(B1134=0,0,IF(AND(H1124="ja",((U1134)&lt;R1149)),ROUND(((R1151*R1148+((R1149/(R1149-R1148))-(R1148/(R1149-R1148))*R1151)*((U1134)-R1148))*(J1132*2))-(((R1149/(R1149-R1148))*((U1134)-R1148))*J1132),2),ROUND(IF(U1133&lt;(S1133),IF((V1134)&gt;(SUM(S1133:S1134)),(((SUM(S1133:S1134))-(V1134-C1133))*J1132)+((U1134-C1133)*J1132),U1134*J1132),IF(V1134&gt;(SUM(S1133:S1134)),S1134*J1132,U1134*J1132)),2)))</f>
        <v>0</v>
      </c>
      <c r="K1134" s="64">
        <f>IF(B1134=0,0,IF(AND(H1124="ja",((U1134)&lt;R1149)),ROUND(((R1151*R1148+((R1149/(R1149-R1148))-(R1148/(R1149-R1148))*R1151)*((U1134)-R1148))*(K1132*2))-(((R1149/(R1149-R1148))*((U1134)-R1148))*K1132),2),ROUND(IF(U1133&lt;(R1133),IF((V1134)&gt;(SUM(R1133:R1134)),(((SUM(R1133:R1134))-(V1134-C1133))*K1132)+((U1134-C1133)*K1132),U1134*K1132),IF(V1134&gt;(SUM(R1133:R1134)),R1134*K1132,U1134*K1132)),2)))</f>
        <v>0</v>
      </c>
      <c r="L1134" s="64">
        <f>IF(B1134=0,0,IF(AND(H1124="ja",((U1134-C1134)&lt;R1149)),ROUND(((R1151*R1148+((R1149/(R1149-R1148))-(R1148/(R1149-R1148))*R1151)*((U1134-C1134)-R1148))*(L1132)),2),ROUND(IF(SUM(B1133:F1133)&lt;(S1133),IF((SUM(B1133:F1134))&gt;(SUM(S1133:S1134)),(((SUM(S1133:S1134))-(SUM(B1133:F1134)-C1134))*L1132)+((SUM(B1134:F1134)-C1134)*L1132),(SUM(B1134:F1134)-C1134)*L1132),IF(SUM(B1133:F1134)&gt;(SUM(S1133:S1134)),S1134*L1132,SUM(B1134:F1134)*L1132)),2)))</f>
        <v>0</v>
      </c>
      <c r="M1134" s="64">
        <f>IF(B1134=0,0,IF(AND(H1124="ja",((U1134-C1134)&lt;R1149)),ROUND(((R1151*R1148+((R1149/(R1149-R1148))-(R1148/(R1149-R1148))*R1151)*((U1134-C1134)-R1148))*(M1132)),2),ROUND(IF(SUM(B1133:F1133)&lt;(S1133),IF((SUM(B1133:F1134))&gt;(SUM(S1133:S1134)),(((SUM(S1133:S1134))-(SUM(B1133:F1134)-C1134))*M1132)+((SUM(B1134:F1134)-C1134)*M1132),(SUM(B1134:F1134)-C1134)*M1132),IF(SUM(B1133:F1134)&gt;(SUM(S1133:S1134)),S1134*M1132,SUM(B1134:F1134)*M1132)),2)))</f>
        <v>0</v>
      </c>
      <c r="N1134" s="64">
        <f>IF(B1134=0,0,IF(AND(H1124="ja",((U1134)&lt;R1149)),ROUND(((R1151*R1148+((R1149/(R1149-R1148))-(R1148/(R1149-R1148))*R1151)*((U1134)-R1148))*(N1132)),2),ROUND(IF(SUM(B1133:F1133)&lt;(S1133),IF((SUM(B1133:F1134))&gt;(SUM(S1133:S1134)),(((SUM(S1133:S1134))-(SUM(B1133:F1134)-C1133))*N1132)+((SUM(B1134:F1134)-C1133)*N1132),SUM(B1134:F1134)*N1132),IF(SUM(B1133:F1134)&gt;(SUM(S1133:S1134)),S1134*N1132,SUM(B1134:F1134)*N1132)),2)))</f>
        <v>0</v>
      </c>
      <c r="O1134" s="21">
        <f>ROUND(SUM(B1134+C1134+F1134)*O1132,2)</f>
        <v>0</v>
      </c>
      <c r="P1134" s="25">
        <f t="shared" ref="P1134:P1144" si="188">SUM(G1134:O1134)</f>
        <v>0</v>
      </c>
      <c r="Q1134" s="456"/>
      <c r="R1134" s="140">
        <f>ROUND(IF(M1111="",R1127,R1127/M1111*P1111),2)</f>
        <v>5175</v>
      </c>
      <c r="S1134" s="140">
        <f>ROUND(IF(M1111="",R1128,R1128/M1111*P1111),2)</f>
        <v>7450</v>
      </c>
      <c r="U1134" s="950">
        <f t="shared" ref="U1134:U1144" si="189">SUM(B1134:F1134)</f>
        <v>0</v>
      </c>
      <c r="V1134" s="950">
        <f>SUM(B1133:F1134)</f>
        <v>0</v>
      </c>
    </row>
    <row r="1135" spans="1:22" s="1" customFormat="1" x14ac:dyDescent="0.2">
      <c r="A1135" s="76" t="str">
        <f>CONCATENATE("Mrz ",O1109)</f>
        <v>Mrz 2025</v>
      </c>
      <c r="B1135" s="22">
        <f>ROUND(IF(P1112=0,0,IFERROR(((LOOKUP(2,1/(A1118:A1121=A1135),G1118:G1121))*P1112*4.348),B1134/P1111*P1112)),2)</f>
        <v>0</v>
      </c>
      <c r="C1135" s="21">
        <f>ROUND(IFERROR((LOOKUP(2,1/(A1124=A1135),E1124)),0)+IFERROR((LOOKUP(2,1/(A1125=A1135),E1125)),0),2)</f>
        <v>0</v>
      </c>
      <c r="D1135" s="21">
        <f>ROUND(IF(B1135=0,0,D1132/M1111*P1112),2)</f>
        <v>0</v>
      </c>
      <c r="E1135" s="21">
        <f>ROUND(IF(B1135=0,0,E1132/N1107*P1112),2)</f>
        <v>0</v>
      </c>
      <c r="F1135" s="22">
        <f>ROUND(IF(P1112=0,0,IFERROR(((LOOKUP(2,1/(A1118:A1121=A1135),I1118:I1121))/N1107*P1112),F1134/P1111*P1112)),2)</f>
        <v>0</v>
      </c>
      <c r="G1135" s="25">
        <f t="shared" si="187"/>
        <v>0</v>
      </c>
      <c r="H1135" s="64">
        <f>IF(B1135=0,0,IF(AND(H1124="ja",((U1135)&lt;R1149)),ROUND(((R1151*R1148+((R1149/(R1149-R1148))-(R1148/(R1149-R1148))*R1151)*((U1135)-R1148))*(H1132*2))-(((R1149/(R1149-R1148))*((U1135)-R1148))*H1132),2),ROUND(IF(V1134&lt;(SUM(R1133:R1134)),IF((V1135)&gt;(SUM(R1133:R1135)),(((SUM(R1133:R1135))-(V1135-C1134))*H1132)+((U1135-C1134)*H1132),U1135*H1132),IF(V1135&gt;(SUM(R1133:R1135)),R1135*H1132,U1135*H1132)),2)))</f>
        <v>0</v>
      </c>
      <c r="I1135" s="64">
        <f>IF(B1135=0,0,IF(AND(H1124="ja",((U1135)&lt;R1149)),ROUND(((R1151*R1148+((R1149/(R1149-R1148))-(R1148/(R1149-R1148))*R1151)*((U1135)-R1148))*(I1132*2))-(((R1149/(R1149-R1148))*((U1135)-R1148))*I1132),2),ROUND(IF(V1134&lt;(SUM(S1133:S1134)),IF((V1135)&gt;(SUM(S1133:S1135)),(((SUM(S1133:S1135))-(V1135-C1134))*I1132)+((U1135-C1134)*I1132),U1135*I1132),IF(V1135&gt;(SUM(S1133:S1135)),S1135*I1132,U1135*I1132)),2)))</f>
        <v>0</v>
      </c>
      <c r="J1135" s="64">
        <f>IF(B1135=0,0,IF(AND(H1124="ja",((U1135)&lt;R1149)),ROUND(((R1151*R1148+((R1149/(R1149-R1148))-(R1148/(R1149-R1148))*R1151)*((U1135)-R1148))*(J1132*2))-(((R1149/(R1149-R1148))*((U1135)-R1148))*J1132),2),ROUND(IF(V1134&lt;(SUM(S1133:S1134)),IF((V1135)&gt;(SUM(S1133:S1135)),(((SUM(S1133:S1135))-(V1135-C1134))*J1132)+((U1135-C1134)*J1132),U1135*J1132),IF(V1135&gt;(SUM(S1133:S1135)),S1135*J1132,U1135*J1132)),2)))</f>
        <v>0</v>
      </c>
      <c r="K1135" s="64">
        <f>IF(B1135=0,0,IF(AND(H1124="ja",((U1135)&lt;R1149)),ROUND(((R1151*R1148+((R1149/(R1149-R1148))-(R1148/(R1149-R1148))*R1151)*((U1135)-R1148))*(K1132*2))-(((R1149/(R1149-R1148))*((U1135)-R1148))*K1132),2),ROUND(IF(V1134&lt;(SUM(R1133:R1134)),IF((V1135)&gt;(SUM(R1133:R1135)),(((SUM(R1133:R1135))-(V1135-C1134))*K1132)+((U1135-C1134)*K1132),U1135*K1132),IF(V1135&gt;(SUM(R1133:R1135)),R1135*K1132,U1135*K1132)),2)))</f>
        <v>0</v>
      </c>
      <c r="L1135" s="64">
        <f>IF(B1135=0,0,IF(AND(H1124="ja",((U1135-C1135)&lt;R1149)),ROUND(((R1151*R1148+((R1149/(R1149-R1148))-(R1148/(R1149-R1148))*R1151)*((U1135-C1135)-R1148))*(L1132)),2),ROUND(IF(SUM(B1133:F1134)&lt;(SUM(S1133:S1134)),IF((SUM(B1133:F1135))&gt;(SUM(S1133:S1135)),(((SUM(S1133:S1135))-(SUM(B1133:F1135)-C1135))*L1132)+((SUM(B1135:F1135)-C1135)*L1132),(SUM(B1135:F1135)-C1135)*L1132),IF(SUM(B1133:F1135)&gt;(SUM(S1133:S1135)),S1135*L1132,SUM(B1135:F1135)*L1132)),2)))</f>
        <v>0</v>
      </c>
      <c r="M1135" s="64">
        <f>IF(B1135=0,0,IF(AND(H1124="ja",((U1135-C1135)&lt;R1149)),ROUND(((R1151*R1148+((R1149/(R1149-R1148))-(R1148/(R1149-R1148))*R1151)*((U1135-C1135)-R1148))*(M1132)),2),ROUND(IF(SUM(B1133:F1134)&lt;(SUM(S1133:S1134)),IF((SUM(B1133:F1135))&gt;(SUM(S1133:S1135)),(((SUM(S1133:S1135))-(SUM(B1133:F1135)-C1135))*M1132)+((SUM(B1135:F1135)-C1135)*M1132),(SUM(B1135:F1135)-C1135)*M1132),IF(SUM(B1133:F1135)&gt;(SUM(S1133:S1135)),S1135*M1132,SUM(B1135:F1135)*M1132)),2)))</f>
        <v>0</v>
      </c>
      <c r="N1135" s="64">
        <f>IF(B1135=0,0,IF(AND(H1124="ja",((U1135)&lt;R1149)),ROUND(((R1151*R1148+((R1149/(R1149-R1148))-(R1148/(R1149-R1148))*R1151)*((U1135)-R1148))*(N1132)),2),ROUND(IF(SUM(B1133:F1134)&lt;(SUM(S1133:S1134)),IF((SUM(B1133:F1135))&gt;(SUM(S1133:S1135)),(((SUM(S1133:S1135))-(SUM(B1133:F1135)-C1134))*N1132)+((SUM(B1135:F1135)-C1134)*N1132),SUM(B1135:F1135)*N1132),IF(SUM(B1133:F1135)&gt;(SUM(S1133:S1135)),S1135*N1132,SUM(B1135:F1135)*N1132)),2)))</f>
        <v>0</v>
      </c>
      <c r="O1135" s="21">
        <f>ROUND(SUM(B1135+C1135+F1135)*O1132,2)</f>
        <v>0</v>
      </c>
      <c r="P1135" s="25">
        <f t="shared" si="188"/>
        <v>0</v>
      </c>
      <c r="Q1135" s="456"/>
      <c r="R1135" s="140">
        <f>ROUND(IF(M1111="",R1127,R1127/M1111*P1112),2)</f>
        <v>5175</v>
      </c>
      <c r="S1135" s="140">
        <f>ROUND(IF(M1111="",R1128,R1128/M1111*P1112),2)</f>
        <v>7450</v>
      </c>
      <c r="U1135" s="950">
        <f t="shared" si="189"/>
        <v>0</v>
      </c>
      <c r="V1135" s="950">
        <f>SUM(B1133:F1135)</f>
        <v>0</v>
      </c>
    </row>
    <row r="1136" spans="1:22" s="1" customFormat="1" x14ac:dyDescent="0.2">
      <c r="A1136" s="76" t="str">
        <f>CONCATENATE("Apr ",O1109)</f>
        <v>Apr 2025</v>
      </c>
      <c r="B1136" s="22">
        <f>ROUND(IF(P1113=0,0,IFERROR(((LOOKUP(2,1/(A1118:A1121=A1136),G1118:G1121))*P1113*4.348),B1135/P1112*P1113)),2)</f>
        <v>0</v>
      </c>
      <c r="C1136" s="21">
        <f>ROUND(IFERROR((LOOKUP(2,1/(A1124=A1136),E1124)),0)+IFERROR((LOOKUP(2,1/(A1125=A1136),E1125)),0),2)</f>
        <v>0</v>
      </c>
      <c r="D1136" s="21">
        <f>ROUND(IF(B1136=0,0,D1132/M1111*P1113),2)</f>
        <v>0</v>
      </c>
      <c r="E1136" s="21">
        <f>ROUND(IF(B1136=0,0,E1132/N1107*P1113),2)</f>
        <v>0</v>
      </c>
      <c r="F1136" s="22">
        <f>ROUND(IF(P1113=0,0,IFERROR(((LOOKUP(2,1/(A1118:A1121=A1136),I1118:I1121))/N1107*P1113),F1135/P1112*P1113)),2)</f>
        <v>0</v>
      </c>
      <c r="G1136" s="25">
        <f t="shared" si="187"/>
        <v>0</v>
      </c>
      <c r="H1136" s="64">
        <f>IF(B1136=0,0,IF(AND(H1124="ja",((U1136)&lt;R1149)),ROUND(((R1151*R1148+((R1149/(R1149-R1148))-(R1148/(R1149-R1148))*R1151)*((U1136)-R1148))*(H1132*2))-(((R1149/(R1149-R1148))*((U1136)-R1148))*H1132),2),ROUND(IF(V1135&lt;(SUM(R1133:R1135)),IF((V1136)&gt;(SUM(R1133:R1136)),(((SUM(R1133:R1136))-(V1136-C1135))*H1132)+((U1136-C1135)*H1132),U1136*H1132),IF(V1136&gt;(SUM(R1133:R1136)),R1136*H1132,U1136*H1132)),2)))</f>
        <v>0</v>
      </c>
      <c r="I1136" s="64">
        <f>IF(B1136=0,0,IF(AND(H1124="ja",((U1136)&lt;R1149)),ROUND(((R1151*R1148+((R1149/(R1149-R1148))-(R1148/(R1149-R1148))*R1151)*((U1136)-R1148))*(I1132*2))-(((R1149/(R1149-R1148))*((U1136)-R1148))*I1132),2),ROUND(IF(V1135&lt;(SUM(S1133:S1135)),IF((V1136)&gt;(SUM(S1133:S1136)),(((SUM(S1133:S1136))-(V1136-C1135))*I1132)+((U1136-C1135)*I1132),U1136*I1132),IF(V1136&gt;(SUM(S1133:S1136)),S1136*I1132,U1136*I1132)),2)))</f>
        <v>0</v>
      </c>
      <c r="J1136" s="64">
        <f>IF(B1136=0,0,IF(AND(H1124="ja",((U1136)&lt;R1149)),ROUND(((R1151*R1148+((R1149/(R1149-R1148))-(R1148/(R1149-R1148))*R1151)*((U1136)-R1148))*(J1132*2))-(((R1149/(R1149-R1148))*((U1136)-R1148))*J1132),2),ROUND(IF(U1135&lt;(SUM(S1133:S1135)),IF((V1136)&gt;(SUM(S1133:S1136)),(((SUM(S1133:S1136))-(V1136-C1135))*J1132)+((U1136-C1135)*J1132),U1136*J1132),IF(V1136&gt;(SUM(S1133:S1136)),S1136*J1132,U1136*J1132)),2)))</f>
        <v>0</v>
      </c>
      <c r="K1136" s="64">
        <f>IF(B1136=0,0,IF(AND(H1124="ja",((U1136)&lt;R1149)),ROUND(((R1151*R1148+((R1149/(R1149-R1148))-(R1148/(R1149-R1148))*R1151)*((U1136)-R1148))*(K1132*2))-(((R1149/(R1149-R1148))*((U1136)-R1148))*K1132),2),ROUND(IF(V1135&lt;(SUM(R1133:R1135)),IF((V1136)&gt;(SUM(R1133:R1136)),(((SUM(R1133:R1136))-(V1136-C1135))*K1132)+((U1136-C1135)*K1132),U1136*K1132),IF(V1136&gt;(SUM(R1133:R1136)),R1136*K1132,U1136*K1132)),2)))</f>
        <v>0</v>
      </c>
      <c r="L1136" s="64">
        <f>IF(B1136=0,0,IF(AND(H1124="ja",((U1136-C1136)&lt;R1149)),ROUND(((R1151*R1148+((R1149/(R1149-R1148))-(R1148/(R1149-R1148))*R1151)*((U1136-C1136)-R1148))*(L1132)),2),ROUND(IF(SUM(B1133:F1135)&lt;(SUM(S1133:S1135)),IF((SUM(B1133:F1136))&gt;(SUM(S1133:S1136)),(((SUM(S1133:S1136))-(SUM(B1133:F1136)-C1136))*L1132)+((SUM(B1136:F1136)-C1136)*L1132),(SUM(B1136:F1136)-C1136)*L1132),IF(SUM(B1133:F1136)&gt;(SUM(S1133:S1136)),S1136*L1132,SUM(B1136:F1136)*L1132)),2)))</f>
        <v>0</v>
      </c>
      <c r="M1136" s="64">
        <f>IF(B1136=0,0,IF(AND(H1124="ja",((U1136-C1136)&lt;R1149)),ROUND(((R1151*R1148+((R1149/(R1149-R1148))-(R1148/(R1149-R1148))*R1151)*((U1136-C1136)-R1148))*(M1132)),2),ROUND(IF(SUM(B1133:F1135)&lt;(SUM(S1133:S1135)),IF((SUM(B1133:F1136))&gt;(SUM(S1133:S1136)),(((SUM(S1133:S1136))-(SUM(B1133:F1136)-C1136))*M1132)+((SUM(B1136:F1136)-C1136)*M1132),(SUM(B1136:F1136)-C1136)*M1132),IF(SUM(B1133:F1136)&gt;(SUM(S1133:S1136)),S1136*M1132,SUM(B1136:F1136)*M1132)),2)))</f>
        <v>0</v>
      </c>
      <c r="N1136" s="64">
        <f>IF(B1136=0,0,IF(AND(H1124="ja",((U1136)&lt;R1149)),ROUND(((R1151*R1148+((R1149/(R1149-R1148))-(R1148/(R1149-R1148))*R1151)*((U1136)-R1148))*(N1132)),2),ROUND(IF(SUM(B1133:F1135)&lt;(SUM(S1133:S1135)),IF((SUM(B1133:F1136))&gt;(SUM(S1133:S1136)),(((SUM(S1133:S1136))-(SUM(B1133:F1136)-C1135))*N1132)+((SUM(B1136:F1136)-C1135)*N1132),SUM(B1136:F1136)*N1132),IF(SUM(B1133:F1136)&gt;(SUM(S1133:S1136)),S1136*N1132,SUM(B1136:F1136)*N1132)),2)))</f>
        <v>0</v>
      </c>
      <c r="O1136" s="21">
        <f>ROUND(SUM(B1136+C1136+F1136)*O1132,2)</f>
        <v>0</v>
      </c>
      <c r="P1136" s="25">
        <f t="shared" si="188"/>
        <v>0</v>
      </c>
      <c r="Q1136" s="456"/>
      <c r="R1136" s="140">
        <f>ROUND(IF(M1111="",R1127,R1127/M1111*P1113),2)</f>
        <v>5175</v>
      </c>
      <c r="S1136" s="140">
        <f>ROUND(IF(M1111="",R1128,R1128/M1111*P1113),2)</f>
        <v>7450</v>
      </c>
      <c r="U1136" s="950">
        <f t="shared" si="189"/>
        <v>0</v>
      </c>
      <c r="V1136" s="950">
        <f>SUM(B1133:F1136)</f>
        <v>0</v>
      </c>
    </row>
    <row r="1137" spans="1:24" s="1" customFormat="1" x14ac:dyDescent="0.2">
      <c r="A1137" s="76" t="str">
        <f>CONCATENATE("Mai ",O1109)</f>
        <v>Mai 2025</v>
      </c>
      <c r="B1137" s="22">
        <f>ROUND(IF(P1114=0,0,IFERROR(((LOOKUP(2,1/(A1118:A1121=A1137),G1118:G1121))*P1114*4.348),B1136/P1113*P1114)),2)</f>
        <v>0</v>
      </c>
      <c r="C1137" s="21">
        <f>ROUND(IFERROR((LOOKUP(2,1/(A1124=A1137),E1124)),0)+IFERROR((LOOKUP(2,1/(A1125=A1137),E1125)),0),2)</f>
        <v>0</v>
      </c>
      <c r="D1137" s="21">
        <f>ROUND(IF(B1137=0,0,D1132/M1111*P1114),2)</f>
        <v>0</v>
      </c>
      <c r="E1137" s="21">
        <f>ROUND(IF(B1137=0,0,E1132/N1107*P1114),2)</f>
        <v>0</v>
      </c>
      <c r="F1137" s="22">
        <f>ROUND(IF(P1114=0,0,IFERROR(((LOOKUP(2,1/(A1118:A1121=A1137),I1118:I1121))/N1107*P1114),F1136/P1113*P1114)),2)</f>
        <v>0</v>
      </c>
      <c r="G1137" s="25">
        <f t="shared" si="187"/>
        <v>0</v>
      </c>
      <c r="H1137" s="64">
        <f>IF(B1137=0,0,IF(AND(H1124="ja",((U1137)&lt;R1149)),ROUND(((R1151*R1148+((R1149/(R1149-R1148))-(R1148/(R1149-R1148))*R1151)*((U1137)-R1148))*(H1132*2))-(((R1149/(R1149-R1148))*((U1137)-R1148))*H1132),2),ROUND(IF(V1136&lt;(SUM(R1133:R1136)),IF((V1137)&gt;(SUM(R1133:R1137)),(((SUM(R1133:R1137))-(V1137-C1136))*H1132)+((U1137-C1136)*H1132),U1137*H1132),IF(V1137&gt;(SUM(R1133:R1137)),R1137*H1132,U1137*H1132)),2)))</f>
        <v>0</v>
      </c>
      <c r="I1137" s="64">
        <f>IF(B1137=0,0,IF(AND(H1124="ja",((U1137)&lt;R1149)),ROUND(((R1151*R1148+((R1149/(R1149-R1148))-(R1148/(R1149-R1148))*R1151)*((U1137)-R1148))*(I1132*2))-(((R1149/(R1149-R1148))*((U1137)-R1148))*I1132),2),ROUND(IF(V1136&lt;(SUM(S1133:S1136)),IF((V1137)&gt;(SUM(S1133:S1137)),(((SUM(S1133:S1137))-(V1137-C1136))*I1132)+((U1137-C1136)*I1132),U1137*I1132),IF(V1137&gt;(SUM(S1133:S1137)),S1137*I1132,U1137*I1132)),2)))</f>
        <v>0</v>
      </c>
      <c r="J1137" s="64">
        <f>IF(B1137=0,0,IF(AND(H1124="ja",((U1137)&lt;R1149)),ROUND(((R1151*R1148+((R1149/(R1149-R1148))-(R1148/(R1149-R1148))*R1151)*((U1137)-R1148))*(J1132*2))-(((R1149/(R1149-R1148))*((U1137)-R1148))*J1132),2),ROUND(IF(V1136&lt;(SUM(S1133:S1136)),IF((V1137)&gt;(SUM(S1133:S1137)),(((SUM(S1133:S1137))-(V1137-C1136))*J1132)+((U1137-C1136)*J1132),U1137*J1132),IF(V1137&gt;(SUM(S1133:S1137)),S1137*J1132,U1137*J1132)),2)))</f>
        <v>0</v>
      </c>
      <c r="K1137" s="64">
        <f>IF(B1137=0,0,IF(AND(H1124="ja",((U1137)&lt;R1149)),ROUND(((R1151*R1148+((R1149/(R1149-R1148))-(R1148/(R1149-R1148))*R1151)*((U1137)-R1148))*(K1132*2))-(((R1149/(R1149-R1148))*((U1137)-R1148))*K1132),2),ROUND(IF(V1136&lt;(SUM(R1133:R1136)),IF((V1137)&gt;(SUM(R1133:R1137)),(((SUM(R1133:R1137))-(V1137-C1136))*K1132)+((U1137-C1136)*K1132),U1137*K1132),IF(V1137&gt;(SUM(R1133:R1137)),R1137*K1132,U1137*K1132)),2)))</f>
        <v>0</v>
      </c>
      <c r="L1137" s="64">
        <f>IF(B1137=0,0,IF(AND(H1124="ja",((U1137-C1137)&lt;R1149)),ROUND(((R1151*R1148+((R1149/(R1149-R1148))-(R1148/(R1149-R1148))*R1151)*((U1137-C1137)-R1148))*(L1132)),2),ROUND(IF(SUM(B1133:F1136)&lt;(SUM(S1133:S1136)),IF((SUM(B1133:F1137))&gt;(SUM(S1133:S1137)),(((SUM(S1133:S1137))-(SUM(B1133:F1137)-C1137))*L1132)+((SUM(B1137:F1137)-C1137)*L1132),(SUM(B1137:F1137)-C1137)*L1132),IF(SUM(B1133:F1137)&gt;(SUM(S1133:S1137)),S1137*L1132,SUM(B1137:F1137)*L1132)),2)))</f>
        <v>0</v>
      </c>
      <c r="M1137" s="64">
        <f>IF(B1137=0,0,IF(AND(H1124="ja",((U1137-C1137)&lt;R1149)),ROUND(((R1151*R1148+((R1149/(R1149-R1148))-(R1148/(R1149-R1148))*R1151)*((U1137-C1137)-R1148))*(M1132)),2),ROUND(IF(SUM(B1133:F1136)&lt;(SUM(S1133:S1136)),IF((SUM(B1133:F1137))&gt;(SUM(S1133:S1137)),(((SUM(S1133:S1137))-(SUM(B1133:F1137)-C1137))*M1132)+((SUM(B1137:F1137)-C1137)*M1132),(SUM(B1137:F1137)-C1137)*M1132),IF(SUM(B1133:F1137)&gt;(SUM(S1133:S1137)),S1137*M1132,SUM(B1137:F1137)*M1132)),2)))</f>
        <v>0</v>
      </c>
      <c r="N1137" s="64">
        <f>IF(B1137=0,0,IF(AND(H1124="ja",((U1137)&lt;R1149)),ROUND(((R1151*R1148+((R1149/(R1149-R1148))-(R1148/(R1149-R1148))*R1151)*((U1137)-R1148))*(N1132)),2),ROUND(IF(SUM(B1133:F1136)&lt;(SUM(S1133:S1136)),IF((SUM(B1133:F1137))&gt;(SUM(S1133:S1137)),(((SUM(S1133:S1137))-(SUM(B1133:F1137)-C1136))*N1132)+((SUM(B1137:F1137)-C1136)*N1132),SUM(B1137:F1137)*N1132),IF(SUM(B1133:F1137)&gt;(SUM(S1133:S1137)),S1137*N1132,SUM(B1137:F1137)*N1132)),2)))</f>
        <v>0</v>
      </c>
      <c r="O1137" s="21">
        <f>ROUND(SUM(B1137+C1137+F1137)*O1132,2)</f>
        <v>0</v>
      </c>
      <c r="P1137" s="25">
        <f t="shared" si="188"/>
        <v>0</v>
      </c>
      <c r="Q1137" s="456"/>
      <c r="R1137" s="140">
        <f>ROUND(IF(M1111="",R1127,R1127/M1111*P1114),2)</f>
        <v>5175</v>
      </c>
      <c r="S1137" s="140">
        <f>ROUND(IF(M1111="",R1128,R1128/M1111*P1114),2)</f>
        <v>7450</v>
      </c>
      <c r="U1137" s="950">
        <f t="shared" si="189"/>
        <v>0</v>
      </c>
      <c r="V1137" s="950">
        <f>SUM(B1133:F1137)</f>
        <v>0</v>
      </c>
    </row>
    <row r="1138" spans="1:24" s="1" customFormat="1" x14ac:dyDescent="0.2">
      <c r="A1138" s="76" t="str">
        <f>CONCATENATE("Jun ",O1109)</f>
        <v>Jun 2025</v>
      </c>
      <c r="B1138" s="22">
        <f>ROUND(IF(P1115=0,0,IFERROR(((LOOKUP(2,1/(A1118:A1121=A1138),G1118:G1121))*P1115*4.348),B1137/P1114*P1115)),2)</f>
        <v>0</v>
      </c>
      <c r="C1138" s="21">
        <f>ROUND(IFERROR((LOOKUP(2,1/(A1124=A1138),E1124)),0)+IFERROR((LOOKUP(2,1/(A1125=A1138),E1125)),0),2)</f>
        <v>0</v>
      </c>
      <c r="D1138" s="21">
        <f>ROUND(IF(B1138=0,0,D1132/M1111*P1115),2)</f>
        <v>0</v>
      </c>
      <c r="E1138" s="21">
        <f>ROUND(IF(B1138=0,0,E1132/N1107*P1115),2)</f>
        <v>0</v>
      </c>
      <c r="F1138" s="22">
        <f>ROUND(IF(P1115=0,0,IFERROR(((LOOKUP(2,1/(A1118:A1121=A1138),I1118:I1121))/N1107*P1115),F1137/P1114*P1115)),2)</f>
        <v>0</v>
      </c>
      <c r="G1138" s="25">
        <f t="shared" si="187"/>
        <v>0</v>
      </c>
      <c r="H1138" s="64">
        <f>IF(B1138=0,0,IF(AND(H1124="ja",((U1138)&lt;R1149)),ROUND(((R1151*R1148+((R1149/(R1149-R1148))-(R1148/(R1149-R1148))*R1151)*((U1138)-R1148))*(H1132*2))-(((R1149/(R1149-R1148))*((U1138)-R1148))*H1132),2),ROUND(IF(V1137&lt;(SUM(R1133:R1137)),IF((V1138)&gt;(SUM(R1133:R1138)),(((SUM(R1133:R1138))-(V1138-C1137))*H1132)+((U1138-C1137)*H1132),U1138*H1132),IF(V1138&gt;(SUM(R1133:R1138)),R1138*H1132,U1138*H1132)),2)))</f>
        <v>0</v>
      </c>
      <c r="I1138" s="64">
        <f>IF(B1138=0,0,IF(AND(H1124="ja",((U1138)&lt;R1149)),ROUND(((R1151*R1148+((R1149/(R1149-R1148))-(R1148/(R1149-R1148))*R1151)*((U1138)-R1148))*(I1132*2))-(((R1149/(R1149-R1148))*((U1138)-R1148))*I1132),2),ROUND(IF(V1137&lt;(SUM(S1133:S1137)),IF((V1138)&gt;(SUM(S1133:S1138)),(((SUM(S1133:S1138))-(V1138-C1137))*I1132)+((U1138-C1137)*I1132),U1138*I1132),IF(V1138&gt;(SUM(S1133:S1138)),S1138*I1132,U1138*I1132)),2)))</f>
        <v>0</v>
      </c>
      <c r="J1138" s="64">
        <f>IF(B1138=0,0,IF(AND(H1124="ja",((U1138)&lt;R1149)),ROUND(((R1151*R1148+((R1149/(R1149-R1148))-(R1148/(R1149-R1148))*R1151)*((U1138)-R1148))*(J1132*2))-(((R1149/(R1149-R1148))*((U1138)-R1148))*J1132),2),ROUND(IF(V1137&lt;(SUM(S1133:S1137)),IF((V1138)&gt;(SUM(S1133:S1138)),(((SUM(S1133:S1138))-(V1138-C1137))*J1132)+((U1138-C1137)*J1132),U1138*J1132),IF(V1138&gt;(SUM(S1133:S1138)),S1138*J1132,U1138*J1132)),2)))</f>
        <v>0</v>
      </c>
      <c r="K1138" s="64">
        <f>IF(B1138=0,0,IF(AND(H1124="ja",((U1138)&lt;R1149)),ROUND(((R1151*R1148+((R1149/(R1149-R1148))-(R1148/(R1149-R1148))*R1151)*((U1138)-R1148))*(K1132*2))-(((R1149/(R1149-R1148))*((U1138)-R1148))*K1132),2),ROUND(IF(V1137&lt;(SUM(R1133:R1137)),IF((V1138)&gt;(SUM(R1133:R1138)),(((SUM(R1133:R1138))-(V1138-C1137))*K1132)+((U1138-C1137)*K1132),U1138*K1132),IF(V1138&gt;(SUM(R1133:R1138)),R1138*K1132,U1138*K1132)),2)))</f>
        <v>0</v>
      </c>
      <c r="L1138" s="64">
        <f>IF(B1138=0,0,IF(AND(H1124="ja",((U1138-C1138)&lt;R1149)),ROUND(((R1151*R1148+((R1149/(R1149-R1148))-(R1148/(R1149-R1148))*R1151)*((U1138-C1138)-R1148))*(L1132)),2),ROUND(IF(SUM(B1133:F1137)&lt;(SUM(S1133:S1137)),IF((SUM(B1133:F1138))&gt;(SUM(S1133:S1138)),(((SUM(S1133:S1138))-(SUM(B1133:F1138)-C1138))*L1132)+((SUM(B1138:F1138)-C1138)*L1132),(SUM(B1138:F1138)-C1138)*L1132),IF(SUM(B1133:F1138)&gt;(SUM(S1133:S1138)),S1138*L1132,SUM(B1138:F1138)*L1132)),2)))</f>
        <v>0</v>
      </c>
      <c r="M1138" s="64">
        <f>IF(B1138=0,0,IF(AND(H1124="ja",((U1138-C1138)&lt;R1149)),ROUND(((R1151*R1148+((R1149/(R1149-R1148))-(R1148/(R1149-R1148))*R1151)*((U1138-C1138)-R1148))*(M1132)),2),ROUND(IF(SUM(B1133:F1137)&lt;(SUM(S1133:S1137)),IF((SUM(B1133:F1138))&gt;(SUM(S1133:S1138)),(((SUM(S1133:S1138))-(SUM(B1133:F1138)-C1138))*M1132)+((SUM(B1138:F1138)-C1138)*M1132),(SUM(B1138:F1138)-C1138)*M1132),IF(SUM(B1133:F1138)&gt;(SUM(S1133:S1138)),S1138*M1132,SUM(B1138:F1138)*M1132)),2)))</f>
        <v>0</v>
      </c>
      <c r="N1138" s="64">
        <f>IF(B1138=0,0,IF(AND(H1124="ja",((U1138)&lt;R1149)),ROUND(((R1151*R1148+((R1149/(R1149-R1148))-(R1148/(R1149-R1148))*R1151)*((U1138)-R1148))*(N1132)),2),ROUND(IF(SUM(B1133:F1137)&lt;(SUM(S1133:S1137)),IF((SUM(B1133:F1138))&gt;(SUM(S1133:S1138)),(((SUM(S1133:S1138))-(SUM(B1133:F1138)-C1137))*N1132)+((SUM(B1138:F1138)-C1137)*N1132),SUM(B1138:F1138)*N1132),IF(SUM(B1133:F1138)&gt;(SUM(S1133:S1138)),S1138*N1132,SUM(B1138:F1138)*N1132)),2)))</f>
        <v>0</v>
      </c>
      <c r="O1138" s="21">
        <f>ROUND(SUM(B1138+C1138+F1138)*O1132,2)</f>
        <v>0</v>
      </c>
      <c r="P1138" s="25">
        <f t="shared" si="188"/>
        <v>0</v>
      </c>
      <c r="Q1138" s="456"/>
      <c r="R1138" s="140">
        <f>ROUND(IF(M1111="",R1127,R1127/M1111*P1115),2)</f>
        <v>5175</v>
      </c>
      <c r="S1138" s="140">
        <f>ROUND(IF(M1111="",R1128,R1128/M1111*P1115),2)</f>
        <v>7450</v>
      </c>
      <c r="U1138" s="950">
        <f t="shared" si="189"/>
        <v>0</v>
      </c>
      <c r="V1138" s="950">
        <f>SUM(B1133:F1138)</f>
        <v>0</v>
      </c>
    </row>
    <row r="1139" spans="1:24" s="1" customFormat="1" x14ac:dyDescent="0.2">
      <c r="A1139" s="76" t="str">
        <f>CONCATENATE("Jul ",O1109)</f>
        <v>Jul 2025</v>
      </c>
      <c r="B1139" s="22">
        <f>ROUND(IF(P1116=0,0,IFERROR(((LOOKUP(2,1/(A1118:A1121=A1139),G1118:G1121))*P1116*4.348),B1138/P1115*P1116)),2)</f>
        <v>0</v>
      </c>
      <c r="C1139" s="21">
        <f>ROUND(IFERROR((LOOKUP(2,1/(A1124=A1139),E1124)),0)+IFERROR((LOOKUP(2,1/(A1125=A1139),E1125)),0),2)</f>
        <v>0</v>
      </c>
      <c r="D1139" s="21">
        <f>ROUND(IF(B1139=0,0,D1132/M1111*P1116),2)</f>
        <v>0</v>
      </c>
      <c r="E1139" s="21">
        <f>ROUND(IF(B1139=0,0,E1132/N1107*P1116),2)</f>
        <v>0</v>
      </c>
      <c r="F1139" s="22">
        <f>ROUND(IF(P1116=0,0,IFERROR(((LOOKUP(2,1/(A1118:A1121=A1139),I1118:I1121))/N1107*P1116),F1138/P1115*P1116)),2)</f>
        <v>0</v>
      </c>
      <c r="G1139" s="25">
        <f t="shared" si="187"/>
        <v>0</v>
      </c>
      <c r="H1139" s="64">
        <f>IF(B1139=0,0,IF(AND(H1124="ja",((U1139)&lt;R1149)),ROUND(((R1151*R1148+((R1149/(R1149-R1148))-(R1148/(R1149-R1148))*R1151)*((U1139)-R1148))*(H1132*2))-(((R1149/(R1149-R1148))*((U1139)-R1148))*H1132),2),ROUND(IF(V1138&lt;(SUM(R1133:R1138)),IF((V1139)&gt;(SUM(R1133:R1139)),(((SUM(R1133:R1139))-(V1139-C1138))*H1132)+((U1139-C1138)*H1132),U1139*H1132),IF(V1139&gt;(SUM(R1133:R1139)),R1139*H1132,U1139*H1132)),2)))</f>
        <v>0</v>
      </c>
      <c r="I1139" s="64">
        <f>IF(B1139=0,0,IF(AND(H1124="ja",((U1139)&lt;R1149)),ROUND(((R1151*R1148+((R1149/(R1149-R1148))-(R1148/(R1149-R1148))*R1151)*((U1139)-R1148))*(I1132*2))-(((R1149/(R1149-R1148))*((U1139)-R1148))*I1132),2),ROUND(IF(V1138&lt;(SUM(S1133:S1138)),IF((V1139)&gt;(SUM(S1133:S1139)),(((SUM(S1133:S1139))-(V1139-C1138))*I1132)+((U1139-C1138)*I1132),U1139*I1132),IF(V1139&gt;(SUM(S1133:S1139)),S1139*I1132,U1139*I1132)),2)))</f>
        <v>0</v>
      </c>
      <c r="J1139" s="64">
        <f>IF(B1139=0,0,IF(AND(H1124="ja",((U1139)&lt;R1149)),ROUND(((R1151*R1148+((R1149/(R1149-R1148))-(R1148/(R1149-R1148))*R1151)*((U1139)-R1148))*(J1132*2))-(((R1149/(R1149-R1148))*((U1139)-R1148))*J1132),2),ROUND(IF(V1138&lt;(SUM(S1133:S1138)),IF((V1139)&gt;(SUM(S1133:S1139)),(((SUM(S1133:S1139))-(V1139-C1138))*J1132)+((U1139-C1138)*J1132),U1139*J1132),IF(V1139&gt;(SUM(S1133:S1139)),S1139*J1132,U1139*J1132)),2)))</f>
        <v>0</v>
      </c>
      <c r="K1139" s="64">
        <f>IF(B1139=0,0,IF(AND(H1124="ja",((U1139)&lt;R1149)),ROUND(((R1151*R1148+((R1149/(R1149-R1148))-(R1148/(R1149-R1148))*R1151)*((U1139)-R1148))*(K1132*2))-(((R1149/(R1149-R1148))*((U1139)-R1148))*K1132),2),ROUND(IF(V1138&lt;(SUM(R1133:R1138)),IF((V1139)&gt;(SUM(R1133:R1139)),(((SUM(R1133:R1139))-(V1139-C1138))*K1132)+((U1139-C1138)*K1132),U1139*K1132),IF(V1139&gt;(SUM(R1133:R1139)),R1139*K1132,U1139*K1132)),2)))</f>
        <v>0</v>
      </c>
      <c r="L1139" s="64">
        <f>IF(B1139=0,0,IF(AND(H1124="ja",((U1139-C1139)&lt;R1149)),ROUND(((R1151*R1148+((R1149/(R1149-R1148))-(R1148/(R1149-R1148))*R1151)*((U1139-C1139)-R1148))*(L1132)),2),ROUND(IF(SUM(B1133:F1138)&lt;(SUM(S1133:S1138)),IF((SUM(B1133:F1139))&gt;(SUM(S1133:S1139)),(((SUM(S1133:S1139))-(SUM(B1133:F1139)-C1139))*L1132)+((SUM(B1139:F1139)-C1139)*L1132),(SUM(B1139:F1139)-C1139)*L1132),IF(SUM(B1133:F1139)&gt;(SUM(S1133:S1139)),S1139*L1132,SUM(B1139:F1139)*L1132)),2)))</f>
        <v>0</v>
      </c>
      <c r="M1139" s="64">
        <f>IF(B1139=0,0,IF(AND(H1124="ja",((U1139-C1139)&lt;R1149)),ROUND(((R1151*R1148+((R1149/(R1149-R1148))-(R1148/(R1149-R1148))*R1151)*((U1139-C1139)-R1148))*(M1132)),2),ROUND(IF(SUM(B1133:F1138)&lt;(SUM(S1133:S1138)),IF((SUM(B1133:F1139))&gt;(SUM(S1133:S1139)),(((SUM(S1133:S1139))-(SUM(B1133:F1139)-C1139))*M1132)+((SUM(B1139:F1139)-C1139)*M1132),(SUM(B1139:F1139)-C1139)*M1132),IF(SUM(B1133:F1139)&gt;(SUM(S1133:S1139)),S1139*M1132,SUM(B1139:F1139)*M1132)),2)))</f>
        <v>0</v>
      </c>
      <c r="N1139" s="64">
        <f>IF(B1139=0,0,IF(AND(H1124="ja",((U1139)&lt;R1149)),ROUND(((R1151*R1148+((R1149/(R1149-R1148))-(R1148/(R1149-R1148))*R1151)*((U1139)-R1148))*(N1132)),2),ROUND(IF(SUM(B1133:F1138)&lt;(SUM(S1133:S1138)),IF((SUM(B1133:F1139))&gt;(SUM(S1133:S1139)),(((SUM(S1133:S1139))-(SUM(B1133:F1139)-C1138))*N1132)+((SUM(B1139:F1139)-C1138)*N1132),SUM(B1139:F1139)*N1132),IF(SUM(B1133:F1139)&gt;(SUM(S1133:S1139)),S1139*N1132,SUM(B1139:F1139)*N1132)),2)))</f>
        <v>0</v>
      </c>
      <c r="O1139" s="21">
        <f>ROUND(SUM(B1139+C1139+F1139)*O1132,2)</f>
        <v>0</v>
      </c>
      <c r="P1139" s="25">
        <f t="shared" si="188"/>
        <v>0</v>
      </c>
      <c r="Q1139" s="456"/>
      <c r="R1139" s="140">
        <f>ROUND(IF(M1111="",R1127,R1127/M1111*P1116),2)</f>
        <v>5175</v>
      </c>
      <c r="S1139" s="140">
        <f>ROUND(IF(M1111="",R1128,R1128/M1111*P1116),2)</f>
        <v>7450</v>
      </c>
      <c r="U1139" s="950">
        <f t="shared" si="189"/>
        <v>0</v>
      </c>
      <c r="V1139" s="950">
        <f>SUM(B1133:F1139)</f>
        <v>0</v>
      </c>
    </row>
    <row r="1140" spans="1:24" s="1" customFormat="1" x14ac:dyDescent="0.2">
      <c r="A1140" s="76" t="str">
        <f>CONCATENATE("Aug ",O1109)</f>
        <v>Aug 2025</v>
      </c>
      <c r="B1140" s="22">
        <f>ROUND(IF(P1117=0,0,IFERROR(((LOOKUP(2,1/(A1118:A1121=A1140),G1118:G1121))*P1117*4.348),B1139/P1116*P1117)),2)</f>
        <v>0</v>
      </c>
      <c r="C1140" s="21">
        <f>ROUND(IFERROR((LOOKUP(2,1/(A1124=A1140),E1124)),0)+IFERROR((LOOKUP(2,1/(A1125=A1140),E1125)),0),2)</f>
        <v>0</v>
      </c>
      <c r="D1140" s="21">
        <f>ROUND(IF(B1140=0,0,D1132/M1111*P1117),2)</f>
        <v>0</v>
      </c>
      <c r="E1140" s="21">
        <f>ROUND(IF(B1140=0,0,E1132/N1107*P1117),2)</f>
        <v>0</v>
      </c>
      <c r="F1140" s="22">
        <f>ROUND(IF(P1117=0,0,IFERROR(((LOOKUP(2,1/(A1118:A1121=A1140),I1118:I1121))/N1107*P1117),F1139/P1116*P1117)),2)</f>
        <v>0</v>
      </c>
      <c r="G1140" s="25">
        <f t="shared" si="187"/>
        <v>0</v>
      </c>
      <c r="H1140" s="64">
        <f>IF(B1140=0,0,IF(AND(H1124="ja",((U1140)&lt;R1149)),ROUND(((R1151*R1148+((R1149/(R1149-R1148))-(R1148/(R1149-R1148))*R1151)*((U1140)-R1148))*(H1132*2))-(((R1149/(R1149-R1148))*((U1140)-R1148))*H1132),2),ROUND(IF(V1139&lt;(SUM(R1133:R1139)),IF((V1140)&gt;(SUM(R1133:R1140)),(((SUM(R1133:R1140))-(V1140-C1139))*H1132)+((U1140-C1139)*H1132),U1140*H1132),IF(V1140&gt;(SUM(R1133:R1140)),R1140*H1132,U1140*H1132)),2)))</f>
        <v>0</v>
      </c>
      <c r="I1140" s="64">
        <f>IF(B1140=0,0,IF(AND(H1124="ja",((U1140)&lt;R1149)),ROUND(((R1151*R1148+((R1149/(R1149-R1148))-(R1148/(R1149-R1148))*R1151)*((U1140)-R1148))*(I1132*2))-(((R1149/(R1149-R1148))*((U1140)-R1148))*I1132),2),ROUND(IF(V1139&lt;(SUM(S1133:S1139)),IF((V1140)&gt;(SUM(S1133:S1140)),(((SUM(S1133:S1140))-(V1140-C1139))*I1132)+((U1140-C1139)*I1132),U1140*I1132),IF(V1140&gt;(SUM(S1133:S1140)),S1140*I1132,U1140*I1132)),2)))</f>
        <v>0</v>
      </c>
      <c r="J1140" s="64">
        <f>IF(B1140=0,0,IF(AND(H1124="ja",((U1140)&lt;R1149)),ROUND(((R1151*R1148+((R1149/(R1149-R1148))-(R1148/(R1149-R1148))*R1151)*((U1140)-R1148))*(J1132*2))-(((R1149/(R1149-R1148))*((U1140)-R1148))*J1132),2),ROUND(IF(V1139&lt;(SUM(S1133:S1139)),IF((V1140)&gt;(SUM(S1133:S1140)),(((SUM(S1133:S1140))-(V1140-C1139))*J1132)+((U1140-C1139)*J1132),U1140*J1132),IF(V1140&gt;(SUM(S1133:S1140)),S1140*J1132,U1140*J1132)),2)))</f>
        <v>0</v>
      </c>
      <c r="K1140" s="64">
        <f>IF(B1140=0,0,IF(AND(H1124="ja",((U1140)&lt;R1149)),ROUND(((R1151*R1148+((R1149/(R1149-R1148))-(R1148/(R1149-R1148))*R1151)*((U1140)-R1148))*(K1132*2))-(((R1149/(R1149-R1148))*((U1140)-R1148))*K1132),2),ROUND(IF(V1139&lt;(SUM(R1133:R1139)),IF((V1140)&gt;(SUM(R1133:R1140)),(((SUM(R1133:R1140))-(V1140-C1139))*K1132)+((U1140-C1139)*K1132),U1140*K1132),IF(V1140&gt;(SUM(R1133:R1140)),R1140*K1132,U1140*K1132)),2)))</f>
        <v>0</v>
      </c>
      <c r="L1140" s="64">
        <f>IF(B1140=0,0,IF(AND(H1124="ja",((U1140-C1140)&lt;R1149)),ROUND(((R1151*R1148+((R1149/(R1149-R1148))-(R1148/(R1149-R1148))*R1151)*((U1140-C1140)-R1148))*(L1132)),2),ROUND(IF(SUM(B1133:F1139)&lt;(SUM(S1133:S1139)),IF((SUM(B1133:F1140))&gt;(SUM(S1133:S1140)),(((SUM(S1133:S1140))-(SUM(B1133:F1140)-C1140))*L1132)+((SUM(B1140:F1140)-C1140)*L1132),(SUM(B1140:F1140)-C1140)*L1132),IF(SUM(B1133:F1140)&gt;(SUM(S1133:S1140)),S1140*L1132,SUM(B1140:F1140)*L1132)),2)))</f>
        <v>0</v>
      </c>
      <c r="M1140" s="64">
        <f>IF(B1140=0,0,IF(AND(H1124="ja",((U1140-C1140)&lt;R1149)),ROUND(((R1151*R1148+((R1149/(R1149-R1148))-(R1148/(R1149-R1148))*R1151)*((U1140-C1140)-R1148))*(M1132)),2),ROUND(IF(SUM(B1133:F1139)&lt;(SUM(S1133:S1139)),IF((SUM(B1133:F1140))&gt;(SUM(S1133:S1140)),(((SUM(S1133:S1140))-(SUM(B1133:F1140)-C1140))*M1132)+((SUM(B1140:F1140)-C1140)*M1132),(SUM(B1140:F1140)-C1140)*M1132),IF(SUM(B1133:F1140)&gt;(SUM(S1133:S1140)),S1140*M1132,SUM(B1140:F1140)*M1132)),2)))</f>
        <v>0</v>
      </c>
      <c r="N1140" s="64">
        <f>IF(B1140=0,0,IF(AND(H1124="ja",((U1140)&lt;R1149)),ROUND(((R1151*R1148+((R1149/(R1149-R1148))-(R1148/(R1149-R1148))*R1151)*((U1140)-R1148))*(N1132)),2),ROUND(IF(SUM(B1133:F1139)&lt;(SUM(S1133:S1139)),IF((SUM(B1133:F1140))&gt;(SUM(S1133:S1140)),(((SUM(S1133:S1140))-(SUM(B1133:F1140)-C1139))*N1132)+((SUM(B1140:F1140)-C1139)*N1132),SUM(B1140:F1140)*N1132),IF(SUM(B1133:F1140)&gt;(SUM(S1133:S1140)),S1140*N1132,SUM(B1140:F1140)*N1132)),2)))</f>
        <v>0</v>
      </c>
      <c r="O1140" s="21">
        <f>ROUND(SUM(B1140+C1140+F1140)*O1132,2)</f>
        <v>0</v>
      </c>
      <c r="P1140" s="25">
        <f t="shared" si="188"/>
        <v>0</v>
      </c>
      <c r="Q1140" s="456"/>
      <c r="R1140" s="140">
        <f>ROUND(IF(M1111="",R1127,R1127/M1111*P1117),2)</f>
        <v>5175</v>
      </c>
      <c r="S1140" s="140">
        <f>ROUND(IF(M1111="",R1128,R1128/M1111*P1117),2)</f>
        <v>7450</v>
      </c>
      <c r="U1140" s="950">
        <f t="shared" si="189"/>
        <v>0</v>
      </c>
      <c r="V1140" s="950">
        <f>SUM(B1133:F1140)</f>
        <v>0</v>
      </c>
    </row>
    <row r="1141" spans="1:24" s="1" customFormat="1" x14ac:dyDescent="0.2">
      <c r="A1141" s="76" t="str">
        <f>CONCATENATE("Sep ",O1109)</f>
        <v>Sep 2025</v>
      </c>
      <c r="B1141" s="22">
        <f>ROUND(IF(P1118=0,0,IFERROR(((LOOKUP(2,1/(A1118:A1121=A1141),G1118:G1121))*P1118*4.348),B1140/P1117*P1118)),2)</f>
        <v>0</v>
      </c>
      <c r="C1141" s="21">
        <f>ROUND(IFERROR((LOOKUP(2,1/(A1124=A1141),E1124)),0)+IFERROR((LOOKUP(2,1/(A1125=A1141),E1125)),0),2)</f>
        <v>0</v>
      </c>
      <c r="D1141" s="21">
        <f>ROUND(IF(B1141=0,0,D1132/M1111*P1118),2)</f>
        <v>0</v>
      </c>
      <c r="E1141" s="21">
        <f>ROUND(IF(B1141=0,0,E1132/N1107*P1118),2)</f>
        <v>0</v>
      </c>
      <c r="F1141" s="22">
        <f>ROUND(IF(P1118=0,0,IFERROR(((LOOKUP(2,1/(A1118:A1121=A1141),I1118:I1121))/N1107*P1118),F1140/P1117*P1118)),2)</f>
        <v>0</v>
      </c>
      <c r="G1141" s="25">
        <f t="shared" si="187"/>
        <v>0</v>
      </c>
      <c r="H1141" s="64">
        <f>IF(B1141=0,0,IF(AND(H1124="ja",((U1141)&lt;R1149)),ROUND(((R1151*R1148+((R1149/(R1149-R1148))-(R1148/(R1149-R1148))*R1151)*((U1141)-R1148))*(H1132*2))-(((R1149/(R1149-R1148))*((U1141)-R1148))*H1132),2),ROUND(IF(V1140&lt;(SUM(R1133:R1140)),IF((V1141)&gt;(SUM(R1133:R1141)),(((SUM(R1133:R1141))-(V1141-C1140))*H1132)+((U1141-C1140)*H1132),U1141*H1132),IF(V1141&gt;(SUM(R1133:R1141)),R1141*H1132,U1141*H1132)),2)))</f>
        <v>0</v>
      </c>
      <c r="I1141" s="64">
        <f>IF(B1141=0,0,IF(AND(H1124="ja",((U1141)&lt;R1149)),ROUND(((R1151*R1148+((R1149/(R1149-R1148))-(R1148/(R1149-R1148))*R1151)*((U1141)-R1148))*(I1132*2))-(((R1149/(R1149-R1148))*((U1141)-R1148))*I1132),2),ROUND(IF(V1140&lt;(SUM(S1133:S1140)),IF((V1141)&gt;(SUM(S1133:S1141)),(((SUM(S1133:S1141))-(V1141-C1140))*I1132)+((U1141-C1140)*I1132),U1141*I1132),IF(V1141&gt;(SUM(S1133:S1141)),S1141*I1132,U1141*I1132)),2)))</f>
        <v>0</v>
      </c>
      <c r="J1141" s="64">
        <f>IF(B1141=0,0,IF(AND(H1124="ja",((U1141)&lt;R1149)),ROUND(((R1151*R1148+((R1149/(R1149-R1148))-(R1148/(R1149-R1148))*R1151)*((U1141)-R1148))*(J1132*2))-(((R1149/(R1149-R1148))*((U1141)-R1148))*J1132),2),ROUND(IF(V1140&lt;(SUM(S1133:S1140)),IF((V1141)&gt;(SUM(S1133:S1141)),(((SUM(S1133:S1141))-(V1141-C1140))*J1132)+((U1141-C1140)*J1132),U1141*J1132),IF(V1141&gt;(SUM(S1133:S1141)),S1141*J1132,U1141*J1132)),2)))</f>
        <v>0</v>
      </c>
      <c r="K1141" s="64">
        <f>IF(B1141=0,0,IF(AND(H1124="ja",((U1141)&lt;R1149)),ROUND(((R1151*R1148+((R1149/(R1149-R1148))-(R1148/(R1149-R1148))*R1151)*((U1141)-R1148))*(K1132*2))-(((R1149/(R1149-R1148))*((U1141)-R1148))*K1132),2),ROUND(IF(V1140&lt;(SUM(R1133:R1140)),IF((V1141)&gt;(SUM(R1133:R1141)),(((SUM(R1133:R1141))-(V1141-C1140))*K1132)+((U1141-C1140)*K1132),U1141*K1132),IF(V1141&gt;(SUM(R1133:R1141)),R1141*K1132,U1141*K1132)),2)))</f>
        <v>0</v>
      </c>
      <c r="L1141" s="64">
        <f>IF(B1141=0,0,IF(AND(H1124="ja",((U1141-C1141)&lt;R1149)),ROUND(((R1151*R1148+((R1149/(R1149-R1148))-(R1148/(R1149-R1148))*R1151)*((U1141-C1141)-R1148))*(L1132)),2),ROUND(IF(SUM(B1133:F1140)&lt;(SUM(S1133:S1140)),IF((SUM(B1133:F1141))&gt;(SUM(S1133:S1141)),(((SUM(S1133:S1141))-(SUM(B1133:F1141)-C1141))*L1132)+((SUM(B1141:F1141)-C1141)*L1132),(SUM(B1141:F1141)-C1141)*L1132),IF(SUM(B1133:F1141)&gt;(SUM(S1133:S1141)),S1141*L1132,SUM(B1141:F1141)*L1132)),2)))</f>
        <v>0</v>
      </c>
      <c r="M1141" s="64">
        <f>IF(B1141=0,0,IF(AND(H1124="ja",((U1141-C1141)&lt;R1149)),ROUND(((R1151*R1148+((R1149/(R1149-R1148))-(R1148/(R1149-R1148))*R1151)*((U1141-C1141)-R1148))*(M1132)),2),ROUND(IF(SUM(B1133:F1140)&lt;(SUM(S1133:S1140)),IF((SUM(B1133:F1141))&gt;(SUM(S1133:S1141)),(((SUM(S1133:S1141))-(SUM(B1133:F1141)-C1141))*M1132)+((SUM(B1141:F1141)-C1141)*M1132),(SUM(B1141:F1141)-C1141)*M1132),IF(SUM(B1133:F1141)&gt;(SUM(S1133:S1141)),S1141*M1132,SUM(B1141:F1141)*M1132)),2)))</f>
        <v>0</v>
      </c>
      <c r="N1141" s="64">
        <f>IF(B1141=0,0,IF(AND(H1124="ja",((U1141)&lt;R1149)),ROUND(((R1151*R1148+((R1149/(R1149-R1148))-(R1148/(R1149-R1148))*R1151)*((U1141)-R1148))*(N1132)),2),ROUND(IF(SUM(B1133:F1140)&lt;(SUM(S1133:S1140)),IF((SUM(B1133:F1141))&gt;(SUM(S1133:S1141)),(((SUM(S1133:S1141))-(SUM(B1133:F1141)-C1140))*N1132)+((SUM(B1141:F1141)-C1140)*N1132),SUM(B1141:F1141)*N1132),IF(SUM(B1133:F1141)&gt;(SUM(S1133:S1141)),S1141*N1132,SUM(B1141:F1141)*N1132)),2)))</f>
        <v>0</v>
      </c>
      <c r="O1141" s="21">
        <f>ROUND(SUM(B1141+C1141+F1141)*O1132,2)</f>
        <v>0</v>
      </c>
      <c r="P1141" s="25">
        <f t="shared" si="188"/>
        <v>0</v>
      </c>
      <c r="Q1141" s="456"/>
      <c r="R1141" s="140">
        <f>ROUND(IF(M1111="",R1127,R1127/M1111*P1118),2)</f>
        <v>5175</v>
      </c>
      <c r="S1141" s="140">
        <f>ROUND(IF(M1111="",R1128,R1128/M1111*P1118),2)</f>
        <v>7450</v>
      </c>
      <c r="U1141" s="950">
        <f t="shared" si="189"/>
        <v>0</v>
      </c>
      <c r="V1141" s="950">
        <f>SUM(B1133:F1141)</f>
        <v>0</v>
      </c>
    </row>
    <row r="1142" spans="1:24" s="12" customFormat="1" ht="15" x14ac:dyDescent="0.25">
      <c r="A1142" s="76" t="str">
        <f>CONCATENATE("Okt ",O1109)</f>
        <v>Okt 2025</v>
      </c>
      <c r="B1142" s="22">
        <f>ROUND(IF(P1119=0,0,IFERROR(((LOOKUP(2,1/(A1118:A1121=A1142),G1118:G1121))*P1119*4.348),B1141/P1118*P1119)),2)</f>
        <v>0</v>
      </c>
      <c r="C1142" s="21">
        <f>ROUND(IFERROR((LOOKUP(2,1/(A1124=A1142),E1124)),0)+IFERROR((LOOKUP(2,1/(A1125=A1142),E1125)),0),2)</f>
        <v>0</v>
      </c>
      <c r="D1142" s="21">
        <f>ROUND(IF(B1142=0,0,D1132/M1111*P1119),2)</f>
        <v>0</v>
      </c>
      <c r="E1142" s="21">
        <f>ROUND(IF(B1142=0,0,E1132/N1107*P1119),2)</f>
        <v>0</v>
      </c>
      <c r="F1142" s="22">
        <f>ROUND(IF(P1119=0,0,IFERROR(((LOOKUP(2,1/(A1118:A1121=A1142),I1118:I1121))/N1107*P1119),F1141/P1118*P1119)),2)</f>
        <v>0</v>
      </c>
      <c r="G1142" s="25">
        <f t="shared" si="187"/>
        <v>0</v>
      </c>
      <c r="H1142" s="64">
        <f>IF(B1142=0,0,IF(AND(H1124="ja",((U1142)&lt;R1149)),ROUND(((R1151*R1148+((R1149/(R1149-R1148))-(R1148/(R1149-R1148))*R1151)*((U1142)-R1148))*(H1132*2))-(((R1149/(R1149-R1148))*((U1142)-R1148))*H1132),2),ROUND(IF(V1141&lt;(SUM(R1133:R1141)),IF((V1142)&gt;(SUM(R1133:R1142)),(((SUM(R1133:R1142))-(V1142-C1141))*H1132)+((U1142-C1141)*H1132),U1142*H1132),IF(V1142&gt;(SUM(R1133:R1142)),R1142*H1132,U1142*H1132)),2)))</f>
        <v>0</v>
      </c>
      <c r="I1142" s="64">
        <f>IF(B1142=0,0,IF(AND(H1124="ja",((U1142)&lt;R1149)),ROUND(((R1151*R1148+((R1149/(R1149-R1148))-(R1148/(R1149-R1148))*R1151)*((U1142)-R1148))*(I1132*2))-(((R1149/(R1149-R1148))*((U1142)-R1148))*I1132),2),ROUND(IF(V1141&lt;(SUM(S1133:S1141)),IF((V1142)&gt;(SUM(S1133:S1142)),(((SUM(S1133:S1142))-(V1142-C1141))*I1132)+((U1142-C1141)*I1132),U1142*I1132),IF(V1142&gt;(SUM(S1133:S1142)),S1142*I1132,U1142*I1132)),2)))</f>
        <v>0</v>
      </c>
      <c r="J1142" s="64">
        <f>IF(B1142=0,0,IF(AND(H1124="ja",((U1142)&lt;R1149)),ROUND(((R1151*R1148+((R1149/(R1149-R1148))-(R1148/(R1149-R1148))*R1151)*((U1142)-R1148))*(J1132*2))-(((R1149/(R1149-R1148))*((U1142)-R1148))*J1132),2),ROUND(IF(V1141&lt;(SUM(S1133:S1141)),IF((V1142)&gt;(SUM(S1133:S1142)),(((SUM(S1133:S1142))-(V1142-C1141))*J1132)+((U1142-C1141)*J1132),U1142*J1132),IF(V1142&gt;(SUM(S1133:S1142)),S1142*J1132,U1142*J1132)),2)))</f>
        <v>0</v>
      </c>
      <c r="K1142" s="64">
        <f>IF(B1142=0,0,IF(AND(H1124="ja",((U1142)&lt;R1149)),ROUND(((R1151*R1148+((R1149/(R1149-R1148))-(R1148/(R1149-R1148))*R1151)*((U1142)-R1148))*(K1132*2))-(((R1149/(R1149-R1148))*((U1142)-R1148))*K1132),2),ROUND(IF(V1141&lt;(SUM(R1133:R1141)),IF((V1142)&gt;(SUM(R1133:R1142)),(((SUM(R1133:R1142))-(V1142-C1141))*K1132)+((U1142-C1141)*K1132),U1142*K1132),IF(V1142&gt;(SUM(R1133:R1142)),R1142*K1132,U1142*K1132)),2)))</f>
        <v>0</v>
      </c>
      <c r="L1142" s="64">
        <f>IF(B1142=0,0,IF(AND(H1124="ja",((U1142-C1142)&lt;R1149)),ROUND(((R1151*R1148+((R1149/(R1149-R1148))-(R1148/(R1149-R1148))*R1151)*((U1142-C1142)-R1148))*(L1132)),2),ROUND(IF(SUM(B1133:F1141)&lt;(SUM(S1133:S1141)),IF((SUM(B1133:F1142))&gt;(SUM(S1133:S1142)),(((SUM(S1133:S1142))-(SUM(B1133:F1142)-C1142))*L1132)+((SUM(B1142:F1142)-C1142)*L1132),(SUM(B1142:F1142)-C1142)*L1132),IF(SUM(B1133:F1142)&gt;(SUM(S1133:S1142)),S1142*L1132,SUM(B1142:F1142)*L1132)),2)))</f>
        <v>0</v>
      </c>
      <c r="M1142" s="64">
        <f>IF(B1142=0,0,IF(AND(H1124="ja",((U1142-C1142)&lt;R1149)),ROUND(((R1151*R1148+((R1149/(R1149-R1148))-(R1148/(R1149-R1148))*R1151)*((U1142-C1142)-R1148))*(M1132)),2),ROUND(IF(SUM(B1133:F1141)&lt;(SUM(S1133:S1141)),IF((SUM(B1133:F1142))&gt;(SUM(S1133:S1142)),(((SUM(S1133:S1142))-(SUM(B1133:F1142)-C1142))*M1132)+((SUM(B1142:F1142)-C1142)*M1132),(SUM(B1142:F1142)-C1142)*M1132),IF(SUM(B1133:F1142)&gt;(SUM(S1133:S1142)),S1142*M1132,SUM(B1142:F1142)*M1132)),2)))</f>
        <v>0</v>
      </c>
      <c r="N1142" s="64">
        <f>IF(B1142=0,0,IF(AND(H1124="ja",((U1142)&lt;R1149)),ROUND(((R1151*R1148+((R1149/(R1149-R1148))-(R1148/(R1149-R1148))*R1151)*((U1142)-R1148))*(N1132)),2),ROUND(IF(SUM(B1133:F1141)&lt;(SUM(S1133:S1141)),IF((SUM(B1133:F1142))&gt;(SUM(S1133:S1142)),(((SUM(S1133:S1142))-(SUM(B1133:F1142)-C1141))*N1132)+((SUM(B1142:F1142)-C1141)*N1132),SUM(B1142:F1142)*N1132),IF(SUM(B1133:F1142)&gt;(SUM(S1133:S1142)),S1142*N1132,SUM(B1142:F1142)*N1132)),2)))</f>
        <v>0</v>
      </c>
      <c r="O1142" s="21">
        <f>ROUND(SUM(B1142+C1142+F1142)*O1132,2)</f>
        <v>0</v>
      </c>
      <c r="P1142" s="25">
        <f t="shared" si="188"/>
        <v>0</v>
      </c>
      <c r="Q1142" s="936"/>
      <c r="R1142" s="140">
        <f>ROUND(IF(M1111="",R1127,R1127/M1111*P1119),2)</f>
        <v>5175</v>
      </c>
      <c r="S1142" s="140">
        <f>ROUND(IF(M1111="",R1128,R1128/M1111*P1119),2)</f>
        <v>7450</v>
      </c>
      <c r="U1142" s="950">
        <f t="shared" si="189"/>
        <v>0</v>
      </c>
      <c r="V1142" s="950">
        <f>SUM(B1133:F1142)</f>
        <v>0</v>
      </c>
      <c r="X1142" s="1"/>
    </row>
    <row r="1143" spans="1:24" s="11" customFormat="1" x14ac:dyDescent="0.2">
      <c r="A1143" s="76" t="str">
        <f>CONCATENATE("Nov ",O1109)</f>
        <v>Nov 2025</v>
      </c>
      <c r="B1143" s="22">
        <f>ROUND(IF(P1120=0,0,IFERROR(((LOOKUP(2,1/(A1118:A1121=A1143),G1118:G1121))*P1120*4.348),B1142/P1119*P1120)),2)</f>
        <v>0</v>
      </c>
      <c r="C1143" s="21">
        <f>ROUND(IFERROR((LOOKUP(2,1/(A1124=A1143),E1124)),0)+(IFERROR((LOOKUP(2,1/(A1125=A1143),E1125)),0)),2)</f>
        <v>0</v>
      </c>
      <c r="D1143" s="21">
        <f>ROUND(IF(B1143=0,0,D1132/M1111*P1120),2)</f>
        <v>0</v>
      </c>
      <c r="E1143" s="21">
        <f>ROUND(IF(B1143=0,0,E1132/N1107*P1120),2)</f>
        <v>0</v>
      </c>
      <c r="F1143" s="22">
        <f>ROUND(IF(P1120=0,0,IFERROR(((LOOKUP(2,1/(A1118:A1121=A1143),I1118:I1121))/N1107*P1120),F1142/P1119*P1120)),2)</f>
        <v>0</v>
      </c>
      <c r="G1143" s="25">
        <f t="shared" si="187"/>
        <v>0</v>
      </c>
      <c r="H1143" s="64">
        <f>IF(B1143=0,0,IF(AND(H1124="ja",((U1143)&lt;R1149)),ROUND(((R1151*R1148+((R1149/(R1149-R1148))-(R1148/(R1149-R1148))*R1151)*((U1143)-R1148))*(H1132*2))-(((R1149/(R1149-R1148))*((U1143)-R1148))*H1132),2),ROUND(IF(V1142&lt;(SUM(R1133:R1142)),IF((V1143)&gt;(SUM(R1133:R1143)),(((SUM(R1133:R1143))-(V1143-C1142))*H1132)+((U1143-C1142)*H1132),U1143*H1132),IF(V1143&gt;(SUM(R1133:R1143)),R1143*H1132,U1143*H1132)),2)))</f>
        <v>0</v>
      </c>
      <c r="I1143" s="64">
        <f>IF(B1143=0,0,IF(AND(H1124="ja",((U1143)&lt;R1149)),ROUND(((R1151*R1148+((R1149/(R1149-R1148))-(R1148/(R1149-R1148))*R1151)*((U1143)-R1148))*(I1132*2))-(((R1149/(R1149-R1148))*((U1143)-R1148))*I1132),2),ROUND(IF(V1142&lt;(SUM(S1133:S1142)),IF((V1143)&gt;(SUM(S1133:S1143)),(((SUM(S1133:S1143))-(V1143-C1142))*I1132)+((U1143-C1142)*I1132),U1143*I1132),IF(V1143&gt;(SUM(S1133:S1143)),S1143*I1132,U1143*I1132)),2)))</f>
        <v>0</v>
      </c>
      <c r="J1143" s="64">
        <f>IF(B1143=0,0,IF(AND(H1124="ja",((U1143)&lt;R1149)),ROUND(((R1151*R1148+((R1149/(R1149-R1148))-(R1148/(R1149-R1148))*R1151)*((U1143)-R1148))*(J1132*2))-(((R1149/(R1149-R1148))*((U1143)-R1148))*J1132),2),ROUND(IF(V1142&lt;(SUM(S1133:S1142)),IF((V1143)&gt;(SUM(S1133:S1143)),(((SUM(S1133:S1143))-(V1143-C1142))*J1132)+((U1143-C1142)*J1132),U1143*J1132),IF(V1143&gt;(SUM(S1133:S1143)),S1143*J1132,U1143*J1132)),2)))</f>
        <v>0</v>
      </c>
      <c r="K1143" s="64">
        <f>IF(B1143=0,0,IF(AND(H1124="ja",((U1143)&lt;R1149)),ROUND(((R1151*R1148+((R1149/(R1149-R1148))-(R1148/(R1149-R1148))*R1151)*((U1143)-R1148))*(K1132*2))-(((R1149/(R1149-R1148))*((U1143)-R1148))*K1132),2),ROUND(IF(V1142&lt;(SUM(R1133:R1142)),IF((V1143)&gt;(SUM(R1133:R1143)),(((SUM(R1133:R1143))-(V1143-C1142))*K1132)+((U1143-C1142)*K1132),U1143*K1132),IF(V1143&gt;(SUM(R1133:R1143)),R1143*K1132,U1143*K1132)),2)))</f>
        <v>0</v>
      </c>
      <c r="L1143" s="64">
        <f>IF(B1143=0,0,IF(AND(H1124="ja",((U1143-C1143)&lt;R1149)),ROUND(((R1151*R1148+((R1149/(R1149-R1148))-(R1148/(R1149-R1148))*R1151)*((U1143-C1143)-R1148))*(L1132)),2),ROUND(IF(SUM(B1133:F1142)&lt;(SUM(S1133:S1142)),IF((SUM(B1133:F1143))&gt;(SUM(S1133:S1143)),(((SUM(S1133:S1143))-(SUM(B1133:F1143)-C1143))*L1132)+((SUM(B1143:F1143)-C1143)*L1132),(SUM(B1143:F1143)-C1143)*L1132),IF(SUM(B1133:F1143)&gt;(SUM(S1133:S1143)),S1143*L1132,SUM(B1143:F1143)*L1132)),2)))</f>
        <v>0</v>
      </c>
      <c r="M1143" s="64">
        <f>IF(B1143=0,0,IF(AND(H1124="ja",((U1143-C1143)&lt;R1149)),ROUND(((R1151*R1148+((R1149/(R1149-R1148))-(R1148/(R1149-R1148))*R1151)*((U1143-C1143)-R1148))*(M1132)),2),ROUND(IF(SUM(B1133:F1142)&lt;(SUM(S1133:S1142)),IF((SUM(B1133:F1143))&gt;(SUM(S1133:S1143)),(((SUM(S1133:S1143))-(SUM(B1133:F1143)-C1143))*M1132)+((SUM(B1143:F1143)-C1143)*M1132),(SUM(B1143:F1143)-C1143)*M1132),IF(SUM(B1133:F1143)&gt;(SUM(S1133:S1143)),S1143*M1132,SUM(B1143:F1143)*M1132)),2)))</f>
        <v>0</v>
      </c>
      <c r="N1143" s="64">
        <f>IF(B1143=0,0,IF(AND(H1124="ja",((U1143)&lt;R1149)),ROUND(((R1151*R1148+((R1149/(R1149-R1148))-(R1148/(R1149-R1148))*R1151)*((U1143)-R1148))*(N1132)),2),ROUND(IF(SUM(B1133:F1142)&lt;(SUM(S1133:S1142)),IF((SUM(B1133:F1143))&gt;(SUM(S1133:S1143)),(((SUM(S1133:S1143))-(SUM(B1133:F1143)-C1142))*N1132)+((SUM(B1143:F1143)-C1142)*N1132),SUM(B1143:F1143)*N1132),IF(SUM(B1133:F1143)&gt;(SUM(S1133:S1143)),S1143*N1132,SUM(B1143:F1143)*N1132)),2)))</f>
        <v>0</v>
      </c>
      <c r="O1143" s="21">
        <f>ROUND(SUM(B1143+C1143+F1143)*O1132,2)</f>
        <v>0</v>
      </c>
      <c r="P1143" s="25">
        <f t="shared" si="188"/>
        <v>0</v>
      </c>
      <c r="R1143" s="140">
        <f>ROUND(IF(M1111="",R1127,R1127/M1111*P1120),2)</f>
        <v>5175</v>
      </c>
      <c r="S1143" s="140">
        <f>ROUND(IF(M1111="",R1128,R1128/M1111*P1120),2)</f>
        <v>7450</v>
      </c>
      <c r="U1143" s="950">
        <f t="shared" si="189"/>
        <v>0</v>
      </c>
      <c r="V1143" s="950">
        <f>SUM(B1133:F1143)</f>
        <v>0</v>
      </c>
      <c r="X1143" s="1"/>
    </row>
    <row r="1144" spans="1:24" s="1" customFormat="1" ht="14.25" customHeight="1" x14ac:dyDescent="0.2">
      <c r="A1144" s="76" t="str">
        <f>CONCATENATE("Dez ",O1109)</f>
        <v>Dez 2025</v>
      </c>
      <c r="B1144" s="22">
        <f>ROUND(IF(P1121=0,0,IFERROR(((LOOKUP(2,1/(A1118:A1121=A1144),G1118:G1121))*P1121*4.348),B1143/P1120*P1121)),2)</f>
        <v>0</v>
      </c>
      <c r="C1144" s="21">
        <f>ROUND(IFERROR((LOOKUP(2,1/(A1124=A1144),E1124)),0)+IFERROR((LOOKUP(2,1/(A1125=A1144),E1125)),0),2)</f>
        <v>0</v>
      </c>
      <c r="D1144" s="21">
        <f>ROUND(IF(B1144=0,0,D1132/M1111*P1121),2)</f>
        <v>0</v>
      </c>
      <c r="E1144" s="21">
        <f>ROUND(IF(B1144=0,0,E1132/N1107*P1121),2)</f>
        <v>0</v>
      </c>
      <c r="F1144" s="22">
        <f>ROUND(IF(P1121=0,0,IFERROR(((LOOKUP(2,1/(A1118:A1121=A1144),I1118:I1121))/N1107*P1121),F1143/P1120*P1121)),2)</f>
        <v>0</v>
      </c>
      <c r="G1144" s="25">
        <f t="shared" si="187"/>
        <v>0</v>
      </c>
      <c r="H1144" s="64">
        <f>IF(B1144=0,0,IF(AND(H1124="ja",((U1144)&lt;R1149)),ROUND(((R1151*R1148+((R1149/(R1149-R1148))-(R1148/(R1149-R1148))*R1151)*((U1144)-R1148))*(H1132*2))-(((R1149/(R1149-R1148))*((U1144)-R1148))*H1132),2),ROUND(IF(V1143&lt;(SUM(R1133:R1143)),IF((V1144)&gt;(SUM(R1133:R1144)),(((SUM(R1133:R1144))-(V1144-C1143))*H1132)+((U1144-C1143)*H1132),U1144*H1132),IF(V1144&gt;(SUM(R1133:R1144)),R1144*H1132,U1144*H1132)),2)))</f>
        <v>0</v>
      </c>
      <c r="I1144" s="64">
        <f>IF(B1144=0,0,IF(AND(H1124="ja",((U1144)&lt;R1149)),ROUND(((R1151*R1148+((R1149/(R1149-R1148))-(R1148/(R1149-R1148))*R1151)*((U1144)-R1148))*(I1132*2))-(((R1149/(R1149-R1148))*((U1144)-R1148))*I1132),2),ROUND(IF(V1143&lt;(SUM(S1133:S1143)),IF((V1144)&gt;(SUM(S1133:S1144)),(((SUM(S1133:S1144))-(V1144-C1143))*I1132)+((U1144-C1143)*I1132),U1144*I1132),IF(V1144&gt;(SUM(S1133:S1144)),S1144*I1132,U1144*I1132)),2)))</f>
        <v>0</v>
      </c>
      <c r="J1144" s="64">
        <f>IF(B1144=0,0,IF(AND(H1124="ja",((U1144)&lt;R1149)),ROUND(((R1151*R1148+((R1149/(R1149-R1148))-(R1148/(R1149-R1148))*R1151)*((U1144)-R1148))*(J1132*2))-(((R1149/(R1149-R1148))*((U1144)-R1148))*J1132),2),ROUND(IF(V1143&lt;(SUM(S1133:S1143)),IF((V1144)&gt;(SUM(S1133:S1144)),(((SUM(S1133:S1144))-(V1144-C1143))*J1132)+((U1144-C1143)*J1132),U1144*J1132),IF(V1144&gt;(SUM(S1133:S1144)),S1144*J1132,U1144*J1132)),2)))</f>
        <v>0</v>
      </c>
      <c r="K1144" s="64">
        <f>IF(B1144=0,0,IF(AND(H1124="ja",((U1144)&lt;R1149)),ROUND(((R1151*R1148+((R1149/(R1149-R1148))-(R1148/(R1149-R1148))*R1151)*((U1144)-R1148))*(K1132*2))-(((R1149/(R1149-R1148))*((U1144)-R1148))*K1132),2),ROUND(IF(V1143&lt;(SUM(R1133:R1143)),IF((V1144)&gt;(SUM(R1133:R1144)),(((SUM(R1133:R1144))-(V1144-C1143))*K1132)+((U1144-C1143)*K1132),U1144*K1132),IF(V1144&gt;(SUM(R1133:R1144)),R1144*K1132,U1144*K1132)),2)))</f>
        <v>0</v>
      </c>
      <c r="L1144" s="64">
        <f>IF(B1144=0,0,IF(AND(H1124="ja",((U1144-C1144)&lt;R1149)),ROUND(((R1151*R1148+((R1149/(R1149-R1148))-(R1148/(R1149-R1148))*R1151)*((U1144-C1144)-R1148))*(L1132)),2),ROUND(IF(SUM(B1133:F1143)&lt;(SUM(S1133:S1143)),IF((SUM(B1133:F1144))&gt;(SUM(S1133:S1144)),(((SUM(S1133:S1144))-(SUM(B1133:F1144)-C1144))*L1132)+((SUM(B1144:F1144)-C1144)*L1132),(SUM(B1144:F1144)-C1144)*L1132),IF(SUM(B1133:F1144)&gt;(SUM(S1133:S1144)),S1144*L1132,SUM(B1144:F1144)*L1132)),2)))</f>
        <v>0</v>
      </c>
      <c r="M1144" s="64">
        <f>IF(B1144=0,0,IF(AND(H1124="ja",((U1144-C1144)&lt;R1149)),ROUND(((R1151*R1148+((R1149/(R1149-R1148))-(R1148/(R1149-R1148))*R1151)*((U1144-C1144)-R1148))*(M1132)),2),ROUND(IF(SUM(B1133:F1143)&lt;(SUM(S1133:S1143)),IF((SUM(B1133:F1144))&gt;(SUM(S1133:S1144)),(((SUM(S1133:S1144))-(SUM(B1133:F1144)-C1144))*M1132)+((SUM(B1144:F1144)-C1144)*M1132),(SUM(B1144:F1144)-C1144)*M1132),IF(SUM(B1133:F1144)&gt;(SUM(S1133:S1144)),S1144*M1132,SUM(B1144:F1144)*M1132)),2)))</f>
        <v>0</v>
      </c>
      <c r="N1144" s="64">
        <f>IF(B1144=0,0,IF(AND(H1124="ja",((U1144)&lt;R1149)),ROUND(((R1151*R1148+((R1149/(R1149-R1148))-(R1148/(R1149-R1148))*R1151)*((U1144)-R1148))*(N1132)),2),ROUND(IF(SUM(B1133:F1143)&lt;(SUM(S1133:S1143)),IF((SUM(B1133:F1144))&gt;(SUM(S1133:S1144)),(((SUM(S1133:S1144))-(SUM(B1133:F1144)-C1143))*N1132)+((SUM(B1144:F1144)-C1143)*N1132),SUM(B1144:F1144)*N1132),IF(SUM(B1133:F1144)&gt;(SUM(S1133:S1144)),S1144*N1132,SUM(B1144:F1144)*N1132)),2)))</f>
        <v>0</v>
      </c>
      <c r="O1144" s="21">
        <f>ROUND(SUM(B1144+C1144+F1144)*O1132,2)</f>
        <v>0</v>
      </c>
      <c r="P1144" s="25">
        <f t="shared" si="188"/>
        <v>0</v>
      </c>
      <c r="Q1144" s="11"/>
      <c r="R1144" s="140">
        <f>ROUND(IF(M1111="",R1127,R1127/M1111*P1121),2)</f>
        <v>5175</v>
      </c>
      <c r="S1144" s="140">
        <f>ROUND(IF(M1111="",R1128,R1128/M1111*P1121),2)</f>
        <v>7450</v>
      </c>
      <c r="U1144" s="950">
        <f t="shared" si="189"/>
        <v>0</v>
      </c>
      <c r="V1144" s="950">
        <f>SUM(B1133:F1144)</f>
        <v>0</v>
      </c>
    </row>
    <row r="1145" spans="1:24" s="1" customFormat="1" ht="15" customHeight="1" x14ac:dyDescent="0.2">
      <c r="A1145" s="2" t="s">
        <v>1</v>
      </c>
      <c r="B1145" s="25">
        <f t="shared" ref="B1145:G1145" si="190">SUM(B1133:B1144)</f>
        <v>0</v>
      </c>
      <c r="C1145" s="25">
        <f t="shared" si="190"/>
        <v>0</v>
      </c>
      <c r="D1145" s="25">
        <f t="shared" si="190"/>
        <v>0</v>
      </c>
      <c r="E1145" s="25">
        <f t="shared" si="190"/>
        <v>0</v>
      </c>
      <c r="F1145" s="25">
        <f t="shared" si="190"/>
        <v>0</v>
      </c>
      <c r="G1145" s="25">
        <f t="shared" si="190"/>
        <v>0</v>
      </c>
      <c r="H1145" s="1309">
        <f>SUM(H1133:N1144)</f>
        <v>0</v>
      </c>
      <c r="I1145" s="1310"/>
      <c r="J1145" s="1310"/>
      <c r="K1145" s="1310"/>
      <c r="L1145" s="1310"/>
      <c r="M1145" s="1310"/>
      <c r="N1145" s="1311"/>
      <c r="O1145" s="25">
        <f>SUM(O1133:O1144)</f>
        <v>0</v>
      </c>
      <c r="P1145" s="25">
        <f>SUM(P1133:P1144)</f>
        <v>0</v>
      </c>
    </row>
    <row r="1146" spans="1:24" s="1" customFormat="1" ht="12" customHeight="1" x14ac:dyDescent="0.2"/>
    <row r="1147" spans="1:24" s="1" customFormat="1" ht="14.25" customHeight="1" x14ac:dyDescent="0.2">
      <c r="B1147" s="906"/>
      <c r="H1147" s="905"/>
      <c r="I1147" s="62"/>
      <c r="J1147" s="914" t="s">
        <v>123</v>
      </c>
      <c r="L1147" s="900" t="s">
        <v>124</v>
      </c>
      <c r="M1147" s="974" t="str">
        <f>IF(IF(G1145=0,"",'päd.Personal - Leitung'!$M$43)=0,"",IF(G1145=0,"",'päd.Personal - Leitung'!$M$43))</f>
        <v/>
      </c>
      <c r="N1147" s="902" t="s">
        <v>125</v>
      </c>
      <c r="O1147" s="963" t="str">
        <f>IF(IF(G1145=0,"",'päd.Personal - Leitung'!$O$43)=0,"",IF(G1145=0,"",'päd.Personal - Leitung'!$O$43))</f>
        <v/>
      </c>
      <c r="P1147" s="25">
        <f>ROUND(IF(M1147="",0,G1145*M1147*O1147/1000),2)</f>
        <v>0</v>
      </c>
      <c r="Q1147" s="937"/>
      <c r="R1147" s="938">
        <v>2025</v>
      </c>
      <c r="S1147" s="939"/>
    </row>
    <row r="1148" spans="1:24" s="1" customFormat="1" ht="14.25" customHeight="1" x14ac:dyDescent="0.2">
      <c r="H1148" s="907"/>
      <c r="I1148" s="42"/>
      <c r="M1148" s="915" t="s">
        <v>129</v>
      </c>
      <c r="N1148" s="80" t="s">
        <v>125</v>
      </c>
      <c r="O1148" s="75" t="str">
        <f>IF(IF(G1145=0,"",'päd.Personal - Leitung'!$O$44)=0,"",IF(G1145=0,"",'päd.Personal - Leitung'!$O$44))</f>
        <v/>
      </c>
      <c r="P1148" s="25">
        <f>ROUND(IF(O1148="",0,G1145*O1148/1000),2)</f>
        <v>0</v>
      </c>
      <c r="Q1148" s="942" t="s">
        <v>737</v>
      </c>
      <c r="R1148" s="141">
        <f>'päd.Personal - Leitung'!$R$44</f>
        <v>556</v>
      </c>
      <c r="S1148" s="955">
        <f>'päd.Personal - Leitung'!$S$44</f>
        <v>12.82</v>
      </c>
    </row>
    <row r="1149" spans="1:24" s="1" customFormat="1" ht="14.25" customHeight="1" x14ac:dyDescent="0.2">
      <c r="H1149" s="912" t="s">
        <v>126</v>
      </c>
      <c r="I1149" s="1013" t="s">
        <v>127</v>
      </c>
      <c r="J1149" s="975" t="str">
        <f>IF(IF(G1145=0,"",'päd.Personal - Leitung'!$J$45)=0,"",IF(G1145=0,"",'päd.Personal - Leitung'!$J$45))</f>
        <v/>
      </c>
      <c r="K1149" s="902" t="s">
        <v>128</v>
      </c>
      <c r="L1149" s="964" t="str">
        <f>IF(IF(G1145=0,"",'päd.Personal - Leitung'!$L$45)=0,"",IF(G1145=0,"",'päd.Personal - Leitung'!$L$45))</f>
        <v/>
      </c>
      <c r="M1149" s="16"/>
      <c r="N1149" s="900" t="s">
        <v>132</v>
      </c>
      <c r="O1149" s="965" t="str">
        <f>IF(IF(G1145=0,"",'päd.Personal - Leitung'!$O$45)=0,"",IF(G1145=0,"",'päd.Personal - Leitung'!$O$45))</f>
        <v/>
      </c>
      <c r="P1149" s="25">
        <f>ROUND(IF(J1149="",0,(J1149*L1149/O1149)/M1113*M1114),2)</f>
        <v>0</v>
      </c>
      <c r="Q1149" s="942" t="s">
        <v>738</v>
      </c>
      <c r="R1149" s="140">
        <f>'päd.Personal - Leitung'!$R$45</f>
        <v>2000</v>
      </c>
      <c r="S1149" s="939"/>
    </row>
    <row r="1150" spans="1:24" s="1" customFormat="1" ht="14.25" customHeight="1" x14ac:dyDescent="0.2">
      <c r="D1150" s="16"/>
      <c r="I1150" s="16"/>
      <c r="J1150" s="16"/>
      <c r="K1150" s="63"/>
      <c r="L1150" s="67"/>
      <c r="M1150" s="915" t="s">
        <v>130</v>
      </c>
      <c r="N1150" s="80" t="s">
        <v>131</v>
      </c>
      <c r="O1150" s="904">
        <f>IF(IF(G1145="",0,'päd.Personal - Leitung'!$O$94)=0,0,IF(G1145="",0,'päd.Personal - Leitung'!$O$94))</f>
        <v>0</v>
      </c>
      <c r="P1150" s="21">
        <f>ROUND(IF(G1145=0,0,O1150/M1111*M1112),2)</f>
        <v>0</v>
      </c>
      <c r="Q1150" s="942" t="s">
        <v>740</v>
      </c>
      <c r="R1150" s="956">
        <f>'päd.Personal - Leitung'!$R$46</f>
        <v>0.40900000000000003</v>
      </c>
    </row>
    <row r="1151" spans="1:24" s="1" customFormat="1" ht="14.25" customHeight="1" x14ac:dyDescent="0.2">
      <c r="A1151" s="16"/>
      <c r="B1151" s="16"/>
      <c r="I1151" s="905"/>
      <c r="J1151" s="961" t="s">
        <v>176</v>
      </c>
      <c r="K1151" s="1312" t="str">
        <f>IF($K$47="","",$K$47)</f>
        <v/>
      </c>
      <c r="L1151" s="1312"/>
      <c r="M1151" s="1312"/>
      <c r="N1151" s="80" t="s">
        <v>131</v>
      </c>
      <c r="O1151" s="904">
        <f>IF(IF(G1145="",0,'päd.Personal - Leitung'!$O$95)=0,0,IF(G1145="",0,'päd.Personal - Leitung'!$O$95))</f>
        <v>0</v>
      </c>
      <c r="P1151" s="21">
        <f>ROUND(IF(G1145=0,0,O1151/M1111*M1112),2)</f>
        <v>0</v>
      </c>
      <c r="Q1151" s="942" t="s">
        <v>739</v>
      </c>
      <c r="R1151" s="940">
        <f>'päd.Personal - Leitung'!$R$47</f>
        <v>0.68459999999999999</v>
      </c>
      <c r="S1151" s="957">
        <f>'päd.Personal - Leitung'!$S$47</f>
        <v>0.28000000000000003</v>
      </c>
    </row>
    <row r="1152" spans="1:24" s="1" customFormat="1" ht="14.25" customHeight="1" x14ac:dyDescent="0.2">
      <c r="A1152" s="908"/>
      <c r="B1152" s="908"/>
      <c r="C1152" s="1013"/>
      <c r="D1152" s="1013"/>
      <c r="I1152" s="913"/>
      <c r="J1152" s="913"/>
      <c r="K1152" s="916"/>
      <c r="L1152" s="27"/>
      <c r="M1152" s="27"/>
      <c r="N1152" s="27"/>
      <c r="O1152" s="26" t="s">
        <v>0</v>
      </c>
      <c r="P1152" s="25">
        <f>P1145+SUM(P1147:P1151)</f>
        <v>0</v>
      </c>
    </row>
    <row r="1153" spans="1:19" s="10" customFormat="1" ht="13.5" customHeight="1" x14ac:dyDescent="0.2">
      <c r="A1153" s="1321" t="s">
        <v>17</v>
      </c>
      <c r="B1153" s="1321"/>
      <c r="C1153" s="1321"/>
      <c r="D1153" s="1320" t="str">
        <f>IF('päd.Personal - Leitung'!$D$1="","",'päd.Personal - Leitung'!$D$1)</f>
        <v/>
      </c>
      <c r="E1153" s="1320"/>
      <c r="F1153" s="1320"/>
      <c r="G1153" s="1320"/>
      <c r="H1153" s="1320"/>
      <c r="I1153" s="1320"/>
      <c r="J1153" s="1320"/>
      <c r="K1153" s="1320"/>
      <c r="L1153" s="1320"/>
      <c r="M1153" s="1320"/>
      <c r="N1153" s="1320"/>
    </row>
    <row r="1154" spans="1:19" s="10" customFormat="1" ht="15" customHeight="1" x14ac:dyDescent="0.2">
      <c r="A1154" s="1321" t="s">
        <v>16</v>
      </c>
      <c r="B1154" s="1321"/>
      <c r="C1154" s="1321" t="s">
        <v>14</v>
      </c>
      <c r="D1154" s="1320" t="str">
        <f>IF('päd.Personal - Leitung'!$D$2="","",'päd.Personal - Leitung'!$D$2)</f>
        <v/>
      </c>
      <c r="E1154" s="1320"/>
      <c r="F1154" s="1320"/>
      <c r="G1154" s="1320"/>
      <c r="H1154" s="1320"/>
      <c r="I1154" s="1320"/>
      <c r="J1154" s="1320"/>
      <c r="K1154" s="1320"/>
      <c r="L1154" s="1320"/>
      <c r="M1154" s="1320"/>
      <c r="N1154" s="1320"/>
    </row>
    <row r="1155" spans="1:19" s="10" customFormat="1" ht="15" customHeight="1" x14ac:dyDescent="0.2">
      <c r="A1155" s="1321" t="s">
        <v>15</v>
      </c>
      <c r="B1155" s="1321"/>
      <c r="C1155" s="1321" t="s">
        <v>14</v>
      </c>
      <c r="D1155" s="1320" t="str">
        <f>IF('päd.Personal - Leitung'!$D$3="","",'päd.Personal - Leitung'!$D$3)</f>
        <v/>
      </c>
      <c r="E1155" s="1320"/>
      <c r="F1155" s="1320"/>
      <c r="G1155" s="1320"/>
      <c r="H1155" s="1320"/>
      <c r="I1155" s="1320"/>
      <c r="J1155" s="1320"/>
      <c r="K1155" s="1321" t="s">
        <v>100</v>
      </c>
      <c r="L1155" s="1321"/>
      <c r="M1155" s="1321"/>
      <c r="N1155" s="38" t="str">
        <f>IF('päd.Personal - Leitung'!$N$3="","",'päd.Personal - Leitung'!$N$3)</f>
        <v/>
      </c>
    </row>
    <row r="1156" spans="1:19" s="923" customFormat="1" ht="7.5" customHeight="1" x14ac:dyDescent="0.15">
      <c r="A1156" s="1353"/>
      <c r="B1156" s="1353"/>
      <c r="C1156" s="1353"/>
      <c r="D1156" s="1354"/>
      <c r="E1156" s="1354"/>
      <c r="F1156" s="1354"/>
      <c r="G1156" s="1354"/>
      <c r="H1156" s="1354"/>
      <c r="I1156" s="1354"/>
      <c r="J1156" s="1354"/>
      <c r="K1156" s="922"/>
      <c r="L1156" s="922"/>
      <c r="M1156" s="922"/>
      <c r="N1156" s="922"/>
      <c r="O1156" s="922"/>
      <c r="P1156" s="922"/>
    </row>
    <row r="1157" spans="1:19" s="13" customFormat="1" ht="13.5" customHeight="1" x14ac:dyDescent="0.2">
      <c r="A1157" s="1355" t="s">
        <v>151</v>
      </c>
      <c r="B1157" s="1355"/>
      <c r="C1157" s="1355"/>
      <c r="D1157" s="1355"/>
      <c r="E1157" s="1355"/>
      <c r="F1157" s="1355"/>
      <c r="G1157" s="1355"/>
      <c r="H1157" s="1355"/>
      <c r="I1157" s="1355"/>
      <c r="J1157" s="1355"/>
      <c r="K1157" s="7"/>
      <c r="L1157" s="7"/>
      <c r="M1157" s="7"/>
      <c r="N1157" s="52"/>
      <c r="O1157" s="138">
        <f>'päd.Personal - Leitung'!$O$5</f>
        <v>2025</v>
      </c>
      <c r="P1157" s="52" t="s">
        <v>140</v>
      </c>
    </row>
    <row r="1158" spans="1:19" s="8" customFormat="1" ht="13.5" customHeight="1" x14ac:dyDescent="0.25">
      <c r="B1158" s="29"/>
      <c r="C1158" s="29"/>
      <c r="D1158" s="3" t="s">
        <v>57</v>
      </c>
      <c r="E1158" s="28"/>
      <c r="F1158" s="28"/>
      <c r="G1158" s="28"/>
      <c r="H1158" s="28"/>
      <c r="I1158" s="24"/>
      <c r="K1158" s="1327" t="s">
        <v>13</v>
      </c>
      <c r="L1158" s="1327"/>
      <c r="M1158" s="131"/>
      <c r="O1158" s="928" t="str">
        <f>A1181</f>
        <v>Jan 2025</v>
      </c>
      <c r="P1158" s="1402">
        <f>IF(M1160="","",M1160)</f>
        <v>0</v>
      </c>
    </row>
    <row r="1159" spans="1:19" s="5" customFormat="1" ht="13.5" customHeight="1" x14ac:dyDescent="0.25">
      <c r="A1159" s="1328" t="s">
        <v>754</v>
      </c>
      <c r="B1159" s="1328"/>
      <c r="C1159" s="1328"/>
      <c r="D1159" s="1345"/>
      <c r="E1159" s="1345"/>
      <c r="F1159" s="1345"/>
      <c r="G1159" s="1345"/>
      <c r="H1159" s="1345"/>
      <c r="I1159" s="1345"/>
      <c r="K1159" s="1327" t="s">
        <v>101</v>
      </c>
      <c r="L1159" s="1327"/>
      <c r="M1159" s="101"/>
      <c r="O1159" s="928" t="str">
        <f t="shared" ref="O1159:O1169" si="191">A1182</f>
        <v>Feb 2025</v>
      </c>
      <c r="P1159" s="1403">
        <f t="shared" ref="P1159:P1169" si="192">IF(P1158="","",P1158)</f>
        <v>0</v>
      </c>
    </row>
    <row r="1160" spans="1:19" s="1" customFormat="1" ht="13.5" customHeight="1" x14ac:dyDescent="0.2">
      <c r="A1160" s="1328" t="s">
        <v>12</v>
      </c>
      <c r="B1160" s="1328"/>
      <c r="C1160" s="1328"/>
      <c r="D1160" s="1345"/>
      <c r="E1160" s="1345"/>
      <c r="F1160" s="1345"/>
      <c r="G1160" s="1345"/>
      <c r="H1160" s="1345"/>
      <c r="I1160" s="1345"/>
      <c r="K1160" s="1327" t="s">
        <v>149</v>
      </c>
      <c r="L1160" s="1327"/>
      <c r="M1160" s="101">
        <f>IF((M1161+M1162)&gt;M1159,0,M1159-M1161-M1162)</f>
        <v>0</v>
      </c>
      <c r="O1160" s="928" t="str">
        <f t="shared" si="191"/>
        <v>Mrz 2025</v>
      </c>
      <c r="P1160" s="1403">
        <f t="shared" si="192"/>
        <v>0</v>
      </c>
    </row>
    <row r="1161" spans="1:19" s="1" customFormat="1" ht="13.5" customHeight="1" x14ac:dyDescent="0.2">
      <c r="A1161" s="1328" t="s">
        <v>11</v>
      </c>
      <c r="B1161" s="1328"/>
      <c r="C1161" s="1328"/>
      <c r="D1161" s="1345"/>
      <c r="E1161" s="1345"/>
      <c r="F1161" s="1345"/>
      <c r="G1161" s="1345"/>
      <c r="H1161" s="1345"/>
      <c r="I1161" s="1345"/>
      <c r="K1161" s="1327" t="s">
        <v>150</v>
      </c>
      <c r="L1161" s="1327"/>
      <c r="M1161" s="101"/>
      <c r="O1161" s="928" t="str">
        <f t="shared" si="191"/>
        <v>Apr 2025</v>
      </c>
      <c r="P1161" s="1403">
        <f t="shared" si="192"/>
        <v>0</v>
      </c>
    </row>
    <row r="1162" spans="1:19" s="1" customFormat="1" ht="13.5" customHeight="1" x14ac:dyDescent="0.2">
      <c r="A1162" s="1328" t="s">
        <v>18</v>
      </c>
      <c r="B1162" s="1328"/>
      <c r="C1162" s="1328"/>
      <c r="D1162" s="1345"/>
      <c r="E1162" s="1345"/>
      <c r="F1162" s="1345"/>
      <c r="G1162" s="1345"/>
      <c r="H1162" s="1345"/>
      <c r="I1162" s="1345"/>
      <c r="K1162" s="1327" t="s">
        <v>222</v>
      </c>
      <c r="L1162" s="1327"/>
      <c r="M1162" s="101"/>
      <c r="O1162" s="928" t="str">
        <f t="shared" si="191"/>
        <v>Mai 2025</v>
      </c>
      <c r="P1162" s="1403">
        <f t="shared" si="192"/>
        <v>0</v>
      </c>
    </row>
    <row r="1163" spans="1:19" s="1" customFormat="1" ht="13.5" customHeight="1" x14ac:dyDescent="0.2">
      <c r="B1163" s="6"/>
      <c r="C1163" s="1029" t="s">
        <v>147</v>
      </c>
      <c r="D1163" s="1324"/>
      <c r="E1163" s="1324"/>
      <c r="F1163" s="1359" t="s">
        <v>103</v>
      </c>
      <c r="G1163" s="1359"/>
      <c r="H1163" s="1361"/>
      <c r="I1163" s="1361"/>
      <c r="K1163" s="1327" t="s">
        <v>94</v>
      </c>
      <c r="L1163" s="1327"/>
      <c r="M1163" s="15" t="str">
        <f>IF(IF((COUNTIF(B1181:B1192,"&gt;0"))=0,0,(COUNTIF(B1181:B1192,"&gt;0")))&gt;Grundlagen!$C$26,Grundlagen!$C$26,IF((COUNTIF(B1181:B1192,"&gt;0"))=0,"",(COUNTIF(B1181:B1192,"&gt;0"))))</f>
        <v/>
      </c>
      <c r="O1163" s="928" t="str">
        <f t="shared" si="191"/>
        <v>Jun 2025</v>
      </c>
      <c r="P1163" s="1403">
        <f t="shared" si="192"/>
        <v>0</v>
      </c>
    </row>
    <row r="1164" spans="1:19" s="1" customFormat="1" ht="13.5" customHeight="1" x14ac:dyDescent="0.2">
      <c r="I1164" s="4"/>
      <c r="M1164" s="102" t="str">
        <f>IF((SUM(F1166:F1169))=0,"",IF(P1170&gt;M1160,M1160,IF(M1160="","",IF(M1163="","",P1170))))</f>
        <v/>
      </c>
      <c r="O1164" s="928" t="str">
        <f t="shared" si="191"/>
        <v>Jul 2025</v>
      </c>
      <c r="P1164" s="1403">
        <f t="shared" si="192"/>
        <v>0</v>
      </c>
    </row>
    <row r="1165" spans="1:19" s="46" customFormat="1" ht="13.5" customHeight="1" x14ac:dyDescent="0.2">
      <c r="A1165" s="54" t="s">
        <v>134</v>
      </c>
      <c r="B1165" s="1356" t="s">
        <v>135</v>
      </c>
      <c r="C1165" s="1356"/>
      <c r="D1165" s="55" t="s">
        <v>136</v>
      </c>
      <c r="E1165" s="56" t="s">
        <v>137</v>
      </c>
      <c r="F1165" s="57" t="str">
        <f>CONCATENATE("Entg. ",N1155," h/Wo")</f>
        <v>Entg.  h/Wo</v>
      </c>
      <c r="G1165" s="58" t="s">
        <v>138</v>
      </c>
      <c r="I1165" s="58" t="s">
        <v>139</v>
      </c>
      <c r="K1165" s="970"/>
      <c r="L1165" s="970"/>
      <c r="M1165" s="59"/>
      <c r="N1165" s="968"/>
      <c r="O1165" s="928" t="str">
        <f t="shared" si="191"/>
        <v>Aug 2025</v>
      </c>
      <c r="P1165" s="1403">
        <f t="shared" si="192"/>
        <v>0</v>
      </c>
      <c r="Q1165" s="85"/>
      <c r="R1165" s="85"/>
      <c r="S1165" s="85"/>
    </row>
    <row r="1166" spans="1:19" s="46" customFormat="1" ht="13.5" customHeight="1" x14ac:dyDescent="0.25">
      <c r="A1166" s="48" t="str">
        <f>'päd.Personal - Leitung'!$A$14</f>
        <v>Jan 2025</v>
      </c>
      <c r="B1166" s="1357" t="str">
        <f>IF($D$3="","",$D$3)</f>
        <v/>
      </c>
      <c r="C1166" s="1358"/>
      <c r="D1166" s="132"/>
      <c r="E1166" s="132"/>
      <c r="F1166" s="71"/>
      <c r="G1166" s="50">
        <f>IF(N1155="",0,F1166/N1155/4.348)</f>
        <v>0</v>
      </c>
      <c r="I1166" s="125">
        <f>SUM(J1166:M1166)</f>
        <v>0</v>
      </c>
      <c r="J1166" s="124"/>
      <c r="K1166" s="124"/>
      <c r="L1166" s="124"/>
      <c r="M1166" s="124"/>
      <c r="N1166" s="969"/>
      <c r="O1166" s="928" t="str">
        <f t="shared" si="191"/>
        <v>Sep 2025</v>
      </c>
      <c r="P1166" s="1403">
        <f t="shared" si="192"/>
        <v>0</v>
      </c>
      <c r="Q1166" s="85"/>
      <c r="R1166" s="85"/>
      <c r="S1166" s="85"/>
    </row>
    <row r="1167" spans="1:19" s="46" customFormat="1" ht="13.5" customHeight="1" x14ac:dyDescent="0.25">
      <c r="A1167" s="49"/>
      <c r="B1167" s="1322" t="str">
        <f>IF(A1167="","",B1166)</f>
        <v/>
      </c>
      <c r="C1167" s="1323"/>
      <c r="D1167" s="132"/>
      <c r="E1167" s="132"/>
      <c r="F1167" s="71"/>
      <c r="G1167" s="50">
        <f>IF(N1155="",0,F1167/N1155/4.348)</f>
        <v>0</v>
      </c>
      <c r="I1167" s="125">
        <f t="shared" ref="I1167:I1169" si="193">SUM(J1167:M1167)</f>
        <v>0</v>
      </c>
      <c r="J1167" s="124"/>
      <c r="K1167" s="124"/>
      <c r="L1167" s="124"/>
      <c r="M1167" s="124"/>
      <c r="N1167" s="969"/>
      <c r="O1167" s="928" t="str">
        <f t="shared" si="191"/>
        <v>Okt 2025</v>
      </c>
      <c r="P1167" s="1403">
        <f t="shared" si="192"/>
        <v>0</v>
      </c>
      <c r="Q1167" s="85"/>
      <c r="R1167" s="85"/>
      <c r="S1167" s="85"/>
    </row>
    <row r="1168" spans="1:19" s="46" customFormat="1" ht="13.5" customHeight="1" x14ac:dyDescent="0.25">
      <c r="A1168" s="49"/>
      <c r="B1168" s="1322" t="str">
        <f>IF(A1168="","",B1167)</f>
        <v/>
      </c>
      <c r="C1168" s="1323"/>
      <c r="D1168" s="132"/>
      <c r="E1168" s="132"/>
      <c r="F1168" s="71"/>
      <c r="G1168" s="50">
        <f>IF(N1155="",0,F1168/N1155/4.348)</f>
        <v>0</v>
      </c>
      <c r="I1168" s="125">
        <f t="shared" si="193"/>
        <v>0</v>
      </c>
      <c r="J1168" s="124"/>
      <c r="K1168" s="124"/>
      <c r="L1168" s="124"/>
      <c r="M1168" s="124"/>
      <c r="N1168" s="969"/>
      <c r="O1168" s="928" t="str">
        <f t="shared" si="191"/>
        <v>Nov 2025</v>
      </c>
      <c r="P1168" s="1403">
        <f t="shared" si="192"/>
        <v>0</v>
      </c>
      <c r="Q1168" s="85"/>
      <c r="R1168" s="85"/>
      <c r="S1168" s="85"/>
    </row>
    <row r="1169" spans="1:22" s="46" customFormat="1" ht="13.5" customHeight="1" x14ac:dyDescent="0.25">
      <c r="A1169" s="49"/>
      <c r="B1169" s="1322" t="str">
        <f>IF(A1169="","",B1168)</f>
        <v/>
      </c>
      <c r="C1169" s="1323"/>
      <c r="D1169" s="132"/>
      <c r="E1169" s="132"/>
      <c r="F1169" s="71"/>
      <c r="G1169" s="50">
        <f>IF(N1155="",0,F1169/N1155/4.348)</f>
        <v>0</v>
      </c>
      <c r="I1169" s="125">
        <f t="shared" si="193"/>
        <v>0</v>
      </c>
      <c r="J1169" s="124"/>
      <c r="K1169" s="124"/>
      <c r="L1169" s="124"/>
      <c r="M1169" s="124"/>
      <c r="N1169" s="969"/>
      <c r="O1169" s="928" t="str">
        <f t="shared" si="191"/>
        <v>Dez 2025</v>
      </c>
      <c r="P1169" s="1403">
        <f t="shared" si="192"/>
        <v>0</v>
      </c>
      <c r="Q1169" s="85"/>
      <c r="R1169" s="85"/>
      <c r="S1169" s="85"/>
    </row>
    <row r="1170" spans="1:22" s="46" customFormat="1" ht="13.5" customHeight="1" x14ac:dyDescent="0.25">
      <c r="B1170" s="972"/>
      <c r="C1170" s="972"/>
      <c r="E1170" s="972"/>
      <c r="F1170" s="972"/>
      <c r="I1170" s="930" t="s">
        <v>730</v>
      </c>
      <c r="J1170" s="1060"/>
      <c r="K1170" s="1060"/>
      <c r="L1170" s="1060"/>
      <c r="M1170" s="1060"/>
      <c r="N1170" s="971"/>
      <c r="O1170" s="126" t="s">
        <v>221</v>
      </c>
      <c r="P1170" s="127">
        <f>IF(M1163="",0,((IF(SUMIF(B1181,"&gt;0"),P1158,0))+(IF(SUMIF(B1182,"&gt;0"),P1159,0))+(IF(SUMIF(B1183,"&gt;0"),P1160,0))+(IF(SUMIF(B1184,"&gt;0"),P1161,0))+(IF(SUMIF(B1185,"&gt;0"),P1162,0))+(IF(SUMIF(B1186,"&gt;0"),P1163,0))+(IF(SUMIF(B1187,"&gt;0"),P1164,0))+(IF(SUMIF(B1188,"&gt;0"),P1165,0))+(IF(SUMIF(B1189,"&gt;0"),P1166,0))+(IF(SUMIF(B1190,"&gt;0"),P1167,0))+(IF(SUMIF(B1191,"&gt;0"),P1168,0))+(IF(SUMIF(B1192,"&gt;0"),P1169,0)))/Grundlagen!$C$26)</f>
        <v>0</v>
      </c>
      <c r="Q1170" s="958" t="str">
        <f>CONCATENATE("BBG"," anteilig ",O1172)</f>
        <v>BBG anteilig 2025</v>
      </c>
      <c r="R1170" s="931" t="s">
        <v>659</v>
      </c>
      <c r="S1170" s="931" t="s">
        <v>398</v>
      </c>
      <c r="T1170" s="107"/>
    </row>
    <row r="1171" spans="1:22" s="46" customFormat="1" ht="13.5" customHeight="1" x14ac:dyDescent="0.2">
      <c r="A1171" s="924" t="s">
        <v>732</v>
      </c>
      <c r="D1171" s="55" t="s">
        <v>369</v>
      </c>
      <c r="E1171" s="56" t="s">
        <v>368</v>
      </c>
      <c r="F1171" s="58"/>
      <c r="J1171" s="61"/>
      <c r="Q1171" s="932" t="s">
        <v>144</v>
      </c>
      <c r="R1171" s="140">
        <f>IF(M1160=0,R1175,IF(M1159="",R1175,(SUM(R1181:R1192)/M1163)))</f>
        <v>5175</v>
      </c>
      <c r="S1171" s="933">
        <f>IF(M1160=0,S1175,IF(M1159="",S1175,SUM(R1181:R1192)))</f>
        <v>0</v>
      </c>
      <c r="T1171" s="107"/>
    </row>
    <row r="1172" spans="1:22" s="46" customFormat="1" ht="13.5" customHeight="1" x14ac:dyDescent="0.25">
      <c r="A1172" s="60"/>
      <c r="B1172" s="1314" t="str">
        <f>IF($B$20="","",$B$20)</f>
        <v>Jahressonderzahlung (JSZ)</v>
      </c>
      <c r="C1172" s="1315"/>
      <c r="D1172" s="926"/>
      <c r="E1172" s="929" t="str">
        <f>IF(A1172="","",ROUND((((SUM(B1187:B1189)+SUM(F1187:F1189))/3)*D1172)/Grundlagen!$C$26*M1163,2))</f>
        <v/>
      </c>
      <c r="G1172" s="941" t="s">
        <v>733</v>
      </c>
      <c r="H1172" s="943"/>
      <c r="I1172" s="1316" t="str">
        <f>CONCATENATE(R1195,":"," Übergangsbereich von ",R1196+0.01," €"," bis ",R1197," €")</f>
        <v>2025: Übergangsbereich von 556,01 € bis 2000 €</v>
      </c>
      <c r="J1172" s="1317"/>
      <c r="K1172" s="1317"/>
      <c r="L1172" s="1067"/>
      <c r="M1172" s="1067"/>
      <c r="N1172" s="1068" t="s">
        <v>736</v>
      </c>
      <c r="O1172" s="1069">
        <f>P1172+1</f>
        <v>2025</v>
      </c>
      <c r="P1172" s="1069" t="s">
        <v>721</v>
      </c>
      <c r="Q1172" s="932" t="s">
        <v>145</v>
      </c>
      <c r="R1172" s="140">
        <f>IF(M1160=0,R1176,IF(M1159="",R1176,(SUM(S1181:S1192)/M1163)))</f>
        <v>7450</v>
      </c>
      <c r="S1172" s="933">
        <f>IF(M1160=0,S1176,IF(M1159="",S1176,SUM(S1181:S1192)))</f>
        <v>0</v>
      </c>
      <c r="T1172" s="109"/>
    </row>
    <row r="1173" spans="1:22" s="1" customFormat="1" ht="14.25" customHeight="1" x14ac:dyDescent="0.2">
      <c r="A1173" s="60"/>
      <c r="B1173" s="1314" t="str">
        <f>IF($B$21="","",$B$21)</f>
        <v>Leistungsentgelt (LOB)</v>
      </c>
      <c r="C1173" s="1315"/>
      <c r="D1173" s="926"/>
      <c r="E1173" s="929" t="str">
        <f>IF(A1173="","",ROUND(((B1193+F1193)*D1173)/Grundlagen!$C$26*M1163,2))</f>
        <v/>
      </c>
      <c r="G1173" s="941" t="str">
        <f>IF(OR(H1172="",H1172="nein")=TRUE,"","Faktor (F):")</f>
        <v/>
      </c>
      <c r="H1173" s="949" t="str">
        <f>IF(OR(H1172="",H1172="nein")=TRUE,"",IF(H1172="","",R1199))</f>
        <v/>
      </c>
      <c r="I1173" s="1318" t="str">
        <f>IF(OR(H1172="",H1172="nein")=TRUE,"",IF(H1173="","",CONCATENATE(S1199*100,"%"," / ","(",R1198*100,"%"," Gesamt-SV-Beitragssatz 2024)")))</f>
        <v/>
      </c>
      <c r="J1173" s="1319"/>
      <c r="K1173" s="1319"/>
      <c r="L1173" s="1070"/>
      <c r="M1173" s="1070"/>
      <c r="N1173" s="1071" t="s">
        <v>144</v>
      </c>
      <c r="O1173" s="1072">
        <f>'päd.Personal - Leitung'!$O$21</f>
        <v>5175</v>
      </c>
      <c r="P1173" s="1072">
        <f>'päd.Personal - Leitung'!$P$21</f>
        <v>5175</v>
      </c>
      <c r="Q1173" s="11"/>
      <c r="R1173" s="11"/>
      <c r="S1173" s="11"/>
      <c r="T1173" s="109"/>
    </row>
    <row r="1174" spans="1:22" s="1" customFormat="1" ht="14.25" customHeight="1" x14ac:dyDescent="0.2">
      <c r="C1174" s="925" t="s">
        <v>731</v>
      </c>
      <c r="L1174" s="1070"/>
      <c r="M1174" s="1070"/>
      <c r="N1174" s="1071" t="s">
        <v>145</v>
      </c>
      <c r="O1174" s="1073">
        <f>'päd.Personal - Leitung'!$O$22</f>
        <v>7450</v>
      </c>
      <c r="P1174" s="1073">
        <f>'päd.Personal - Leitung'!$P$22</f>
        <v>7450</v>
      </c>
      <c r="Q1174" s="958" t="str">
        <f>CONCATENATE("BBG"," ",O1172)</f>
        <v>BBG 2025</v>
      </c>
      <c r="R1174" s="11"/>
      <c r="S1174" s="11"/>
      <c r="T1174" s="109"/>
    </row>
    <row r="1175" spans="1:22" s="1" customFormat="1" ht="14.25" customHeight="1" x14ac:dyDescent="0.2">
      <c r="A1175" s="53" t="s">
        <v>141</v>
      </c>
      <c r="B1175" s="46"/>
      <c r="C1175" s="46"/>
      <c r="D1175" s="46"/>
      <c r="E1175" s="46"/>
      <c r="F1175" s="46"/>
      <c r="G1175" s="46"/>
      <c r="H1175" s="46"/>
      <c r="I1175" s="46"/>
      <c r="J1175" s="46"/>
      <c r="K1175" s="46"/>
      <c r="L1175" s="46"/>
      <c r="M1175" s="46"/>
      <c r="N1175" s="46"/>
      <c r="O1175" s="46"/>
      <c r="P1175" s="46"/>
      <c r="Q1175" s="932" t="s">
        <v>144</v>
      </c>
      <c r="R1175" s="141">
        <f>IF($O$21="",0,$O$21)</f>
        <v>5175</v>
      </c>
      <c r="S1175" s="933">
        <f>R1175*IF(M1163="",0,M1163)</f>
        <v>0</v>
      </c>
      <c r="T1175" s="295"/>
    </row>
    <row r="1176" spans="1:22" s="1" customFormat="1" ht="14.25" customHeight="1" x14ac:dyDescent="0.2">
      <c r="A1176" s="1346"/>
      <c r="B1176" s="1348" t="s">
        <v>8</v>
      </c>
      <c r="C1176" s="1349"/>
      <c r="D1176" s="1349"/>
      <c r="E1176" s="1349"/>
      <c r="F1176" s="1349"/>
      <c r="G1176" s="1350"/>
      <c r="H1176" s="1351" t="s">
        <v>113</v>
      </c>
      <c r="I1176" s="1352"/>
      <c r="J1176" s="1352"/>
      <c r="K1176" s="1352"/>
      <c r="L1176" s="1352"/>
      <c r="M1176" s="1352"/>
      <c r="N1176" s="1352"/>
      <c r="O1176" s="30"/>
      <c r="P1176" s="1330" t="s">
        <v>0</v>
      </c>
      <c r="Q1176" s="932" t="s">
        <v>145</v>
      </c>
      <c r="R1176" s="141">
        <f>IF($O$22="",0,$O$22)</f>
        <v>7450</v>
      </c>
      <c r="S1176" s="933">
        <f>R1176*IF(M1163="",0,M1163)</f>
        <v>0</v>
      </c>
      <c r="T1176" s="830"/>
    </row>
    <row r="1177" spans="1:22" s="1" customFormat="1" ht="14.25" customHeight="1" x14ac:dyDescent="0.2">
      <c r="A1177" s="1347"/>
      <c r="B1177" s="1333" t="s">
        <v>111</v>
      </c>
      <c r="C1177" s="1335" t="s">
        <v>743</v>
      </c>
      <c r="D1177" s="1337" t="s">
        <v>226</v>
      </c>
      <c r="E1177" s="1339" t="s">
        <v>133</v>
      </c>
      <c r="F1177" s="1030" t="s">
        <v>6</v>
      </c>
      <c r="G1177" s="1340" t="s">
        <v>5</v>
      </c>
      <c r="H1177" s="1339" t="s">
        <v>119</v>
      </c>
      <c r="I1177" s="1339" t="s">
        <v>4</v>
      </c>
      <c r="J1177" s="1339" t="s">
        <v>3</v>
      </c>
      <c r="K1177" s="1339" t="s">
        <v>2</v>
      </c>
      <c r="L1177" s="1339" t="s">
        <v>114</v>
      </c>
      <c r="M1177" s="1339" t="s">
        <v>115</v>
      </c>
      <c r="N1177" s="1339" t="s">
        <v>116</v>
      </c>
      <c r="O1177" s="1338" t="s">
        <v>109</v>
      </c>
      <c r="P1177" s="1331"/>
      <c r="Q1177" s="456"/>
      <c r="R1177" s="11"/>
      <c r="S1177" s="11"/>
      <c r="T1177" s="621"/>
    </row>
    <row r="1178" spans="1:22" s="1" customFormat="1" ht="14.25" customHeight="1" x14ac:dyDescent="0.2">
      <c r="A1178" s="1347"/>
      <c r="B1178" s="1333"/>
      <c r="C1178" s="1335"/>
      <c r="D1178" s="1338"/>
      <c r="E1178" s="1339"/>
      <c r="F1178" s="1343" t="str">
        <f>I1170</f>
        <v>Zuschläge / Zulagen / o.ä.:</v>
      </c>
      <c r="G1178" s="1340"/>
      <c r="H1178" s="1342" t="s">
        <v>117</v>
      </c>
      <c r="I1178" s="1342"/>
      <c r="J1178" s="1342"/>
      <c r="K1178" s="1342"/>
      <c r="L1178" s="1342"/>
      <c r="M1178" s="1342"/>
      <c r="N1178" s="1342"/>
      <c r="O1178" s="1338"/>
      <c r="P1178" s="1331"/>
      <c r="Q1178" s="456"/>
      <c r="R1178" s="1306" t="str">
        <f>Q1170</f>
        <v>BBG anteilig 2025</v>
      </c>
      <c r="S1178" s="1306"/>
      <c r="T1178" s="829"/>
    </row>
    <row r="1179" spans="1:22" s="1" customFormat="1" ht="14.25" customHeight="1" x14ac:dyDescent="0.2">
      <c r="A1179" s="1347"/>
      <c r="B1179" s="1333"/>
      <c r="C1179" s="1335"/>
      <c r="D1179" s="1338"/>
      <c r="E1179" s="1339"/>
      <c r="F1179" s="1343"/>
      <c r="G1179" s="1340"/>
      <c r="H1179" s="39" t="str">
        <f>'päd.Personal - Leitung'!$H$27</f>
        <v>(7,30% + Zusatz)</v>
      </c>
      <c r="I1179" s="39" t="str">
        <f>'päd.Personal - Leitung'!$I$27</f>
        <v xml:space="preserve"> (2024: 9,30%)</v>
      </c>
      <c r="J1179" s="39" t="str">
        <f>'päd.Personal - Leitung'!$J$27</f>
        <v>(2024: 1,30%)</v>
      </c>
      <c r="K1179" s="39" t="str">
        <f>'päd.Personal - Leitung'!$K$27</f>
        <v>(2024: 1,700%)</v>
      </c>
      <c r="L1179" s="39"/>
      <c r="M1179" s="39"/>
      <c r="N1179" s="39" t="str">
        <f>'päd.Personal - Leitung'!$N$27</f>
        <v>(2024: 0,06%)</v>
      </c>
      <c r="O1179" s="1338"/>
      <c r="P1179" s="1331"/>
      <c r="Q1179" s="456"/>
      <c r="R1179" s="1307" t="s">
        <v>659</v>
      </c>
      <c r="S1179" s="1307"/>
      <c r="T1179" s="829"/>
      <c r="U1179" s="1308" t="s">
        <v>1</v>
      </c>
      <c r="V1179" s="1308" t="s">
        <v>741</v>
      </c>
    </row>
    <row r="1180" spans="1:22" s="1" customFormat="1" x14ac:dyDescent="0.2">
      <c r="A1180" s="1347"/>
      <c r="B1180" s="1334"/>
      <c r="C1180" s="1336"/>
      <c r="D1180" s="45"/>
      <c r="E1180" s="45"/>
      <c r="F1180" s="1344"/>
      <c r="G1180" s="1341"/>
      <c r="H1180" s="74"/>
      <c r="I1180" s="99">
        <f>'päd.Personal - Leitung'!$I$28</f>
        <v>0</v>
      </c>
      <c r="J1180" s="99">
        <f>'päd.Personal - Leitung'!$J$28</f>
        <v>0</v>
      </c>
      <c r="K1180" s="40">
        <f>'päd.Personal - Leitung'!$K$28</f>
        <v>0</v>
      </c>
      <c r="L1180" s="19"/>
      <c r="M1180" s="19"/>
      <c r="N1180" s="99">
        <f>'päd.Personal - Leitung'!$N$28</f>
        <v>0</v>
      </c>
      <c r="O1180" s="23"/>
      <c r="P1180" s="1332"/>
      <c r="Q1180" s="456"/>
      <c r="R1180" s="935" t="s">
        <v>144</v>
      </c>
      <c r="S1180" s="935" t="s">
        <v>145</v>
      </c>
      <c r="T1180" s="829"/>
      <c r="U1180" s="1308"/>
      <c r="V1180" s="1308"/>
    </row>
    <row r="1181" spans="1:22" s="1" customFormat="1" x14ac:dyDescent="0.2">
      <c r="A1181" s="76" t="str">
        <f>CONCATENATE("Jan ",O1157)</f>
        <v>Jan 2025</v>
      </c>
      <c r="B1181" s="22">
        <f>ROUND(IF(P1158=0,0,(LOOKUP(2,1/(A1166:A1169=A1181),G1166:G1169))*P1158*4.348),2)</f>
        <v>0</v>
      </c>
      <c r="C1181" s="21">
        <f>ROUND(IFERROR((LOOKUP(2,1/(A1172=A1181),E1172)),0)+IFERROR((LOOKUP(2,1/(A1173=A1181),E1173)),0),2)</f>
        <v>0</v>
      </c>
      <c r="D1181" s="21">
        <f>ROUND(IF(B1181=0,0,D1180/M1159*P1158),2)</f>
        <v>0</v>
      </c>
      <c r="E1181" s="21">
        <f>ROUND(IF(B1181=0,0,E1180/N1155*P1158),2)</f>
        <v>0</v>
      </c>
      <c r="F1181" s="22">
        <f>ROUND(IF(P1158=0,0,(LOOKUP(2,1/(A1166:A1169=A1181),I1166:I1169))/N1155*P1158),2)</f>
        <v>0</v>
      </c>
      <c r="G1181" s="25">
        <f t="shared" ref="G1181:G1192" si="194">SUM(B1181+C1181+E1181+F1181)</f>
        <v>0</v>
      </c>
      <c r="H1181" s="64">
        <f>IF(B1181=0,0,IF(AND(H1172="ja",((U1181)&lt;R1197)),ROUND(((R1199*R1196+((R1197/(R1197-R1196))-(R1196/(R1197-R1196))*R1199)*((U1181)-R1196))*(H1180*2))-(((R1197/(R1197-R1196))*((U1181)-R1196))*H1180),2),ROUND(IF((U1181)&gt;R1181,R1181*H1180,U1181*H1180),2)))</f>
        <v>0</v>
      </c>
      <c r="I1181" s="64">
        <f>IF(B1181=0,0,IF(AND(H1172="ja",((U1181)&lt;R1197)),ROUND(((R1199*R1196+((R1197/(R1197-R1196))-(R1196/(R1197-R1196))*R1199)*((U1181)-R1196))*(I1180*2))-(((R1197/(R1197-R1196))*((U1181)-R1196))*I1180),2),ROUND(IF((U1181)&gt;S1181,S1181*I1180,U1181*I1180),2)))</f>
        <v>0</v>
      </c>
      <c r="J1181" s="64">
        <f>IF(B1181=0,0,IF(AND(H1172="ja",((U1181)&lt;R1197)),ROUND(((R1199*R1196+((R1197/(R1197-R1196))-(R1196/(R1197-R1196))*R1199)*((U1181)-R1196))*(J1180*2))-(((R1197/(R1197-R1196))*((U1181)-R1196))*J1180),2),ROUND(IF((U1181)&gt;S1181,S1181*J1180,U1181*J1180),2)))</f>
        <v>0</v>
      </c>
      <c r="K1181" s="64">
        <f>IF(B1181=0,0,IF(AND(H1172="ja",((U1181)&lt;R1197)),ROUND(((R1199*R1196+((R1197/(R1197-R1196))-(R1196/(R1197-R1196))*R1199)*((U1181)-R1196))*(K1180*2))-(((R1197/(R1197-R1196))*((U1181)-R1196))*K1180),2),ROUND(IF((U1181)&gt;R1181,R1181*K1180,U1181*K1180),2)))</f>
        <v>0</v>
      </c>
      <c r="L1181" s="64">
        <f>IF(B1181=0,0,IF(AND(H1172="ja",((U1181-C1181)&lt;R1197)),ROUND(((R1199*R1196+((R1197/(R1197-R1196))-(R1196/(R1197-R1196))*R1199)*((U1181-C1181)-R1196))*(L1180)),2),ROUND(IF((SUM(B1181:F1181))&gt;S1181,S1181*L1180,(SUM(B1181:F1181)-C1181)*L1180),2)))</f>
        <v>0</v>
      </c>
      <c r="M1181" s="64">
        <f>IF(B1181=0,0,IF(AND(H1172="ja",((U1181-C1181)&lt;R1197)),ROUND(((R1199*R1196+((R1197/(R1197-R1196))-(R1196/(R1197-R1196))*R1199)*((U1181-C1181)-R1196))*(M1180)),2),ROUND(IF((SUM(B1181:F1181))&gt;S1181,S1181*M1180,(SUM(B1181:F1181)-C1181)*M1180),2)))</f>
        <v>0</v>
      </c>
      <c r="N1181" s="64">
        <f>IF(B1181=0,0,IF(AND(H1172="ja",((U1181)&lt;R1197)),ROUND(((R1199*R1196+((R1197/(R1197-R1196))-(R1196/(R1197-R1196))*R1199)*((U1181)-R1196))*(N1180)),2),ROUND(IF((SUM(B1181:F1181))&gt;S1181,S1181*N1180,SUM(B1181:F1181)*N1180),2)))</f>
        <v>0</v>
      </c>
      <c r="O1181" s="21">
        <f>ROUND(SUM(B1181+C1181+F1181)*O1180,2)</f>
        <v>0</v>
      </c>
      <c r="P1181" s="25">
        <f>SUM(G1181:O1181)</f>
        <v>0</v>
      </c>
      <c r="Q1181" s="456"/>
      <c r="R1181" s="140">
        <f>ROUND(IF(M1159="",R1175,R1175/M1159*P1158),2)</f>
        <v>5175</v>
      </c>
      <c r="S1181" s="140">
        <f>ROUND(IF(M1159="",R1176,R1176/M1159*P1158),2)</f>
        <v>7450</v>
      </c>
      <c r="U1181" s="950">
        <f>SUM(B1181:F1181)</f>
        <v>0</v>
      </c>
      <c r="V1181" s="950">
        <f>SUM(B1181:F1181)</f>
        <v>0</v>
      </c>
    </row>
    <row r="1182" spans="1:22" s="1" customFormat="1" x14ac:dyDescent="0.2">
      <c r="A1182" s="76" t="str">
        <f>CONCATENATE("Feb ",O1157)</f>
        <v>Feb 2025</v>
      </c>
      <c r="B1182" s="22">
        <f>ROUND(IF(P1159=0,0,IFERROR(((LOOKUP(2,1/(A1166:A1169=A1182),G1166:G1169))*P1159*4.348),B1181/P1158*P1159)),2)</f>
        <v>0</v>
      </c>
      <c r="C1182" s="21">
        <f>ROUND(IFERROR((LOOKUP(2,1/(A1172=A1182),E1172)),0)+IFERROR((LOOKUP(2,1/(A1173=A1182),E1173)),0),2)</f>
        <v>0</v>
      </c>
      <c r="D1182" s="21">
        <f>ROUND(IF(B1182=0,0,D1180/M1159*P1159),2)</f>
        <v>0</v>
      </c>
      <c r="E1182" s="21">
        <f>ROUND(IF(B1182=0,0,E1180/N1155*P1159),2)</f>
        <v>0</v>
      </c>
      <c r="F1182" s="22">
        <f>ROUND(IF(P1159=0,0,IFERROR(((LOOKUP(2,1/(A1166:A1169=A1182),I1166:I1169))/N1155*P1159),F1181/P1158*P1159)),2)</f>
        <v>0</v>
      </c>
      <c r="G1182" s="25">
        <f t="shared" si="194"/>
        <v>0</v>
      </c>
      <c r="H1182" s="64">
        <f>IF(B1182=0,0,IF(AND(H1172="ja",((U1182)&lt;R1197)),ROUND(((R1199*R1196+((R1197/(R1197-R1196))-(R1196/(R1197-R1196))*R1199)*((U1182)-R1196))*(H1180*2))-(((R1197/(R1197-R1196))*((U1182)-R1196))*H1180),2),ROUND(IF(U1181&lt;(R1181),IF((V1182)&gt;(SUM(R1181:R1182)),(((SUM(R1181:R1182))-(V1182-C1181))*H1180)+((U1182-C1181)*H1180),U1182*H1180),IF(V1182&gt;(SUM(R1181:R1182)),R1182*H1180,U1182*H1180)),2)))</f>
        <v>0</v>
      </c>
      <c r="I1182" s="64">
        <f>IF(B1182=0,0,IF(AND(H1172="ja",((U1182)&lt;R1197)),ROUND(((R1199*R1196+((R1197/(R1197-R1196))-(R1196/(R1197-R1196))*R1199)*((U1182)-R1196))*(I1180*2))-(((R1197/(R1197-R1196))*((U1182)-R1196))*I1180),2),ROUND(IF(U1181&lt;(S1181),IF((V1182)&gt;(SUM(S1181:S1182)),(((SUM(S1181:S1182))-(V1182-C1181))*I1180)+((U1182-C1181)*I1180),U1182*I1180),IF(V1182&gt;(SUM(S1181:S1182)),S1182*I1180,U1182*I1180)),2)))</f>
        <v>0</v>
      </c>
      <c r="J1182" s="64">
        <f>IF(B1182=0,0,IF(AND(H1172="ja",((U1182)&lt;R1197)),ROUND(((R1199*R1196+((R1197/(R1197-R1196))-(R1196/(R1197-R1196))*R1199)*((U1182)-R1196))*(J1180*2))-(((R1197/(R1197-R1196))*((U1182)-R1196))*J1180),2),ROUND(IF(U1181&lt;(S1181),IF((V1182)&gt;(SUM(S1181:S1182)),(((SUM(S1181:S1182))-(V1182-C1181))*J1180)+((U1182-C1181)*J1180),U1182*J1180),IF(V1182&gt;(SUM(S1181:S1182)),S1182*J1180,U1182*J1180)),2)))</f>
        <v>0</v>
      </c>
      <c r="K1182" s="64">
        <f>IF(B1182=0,0,IF(AND(H1172="ja",((U1182)&lt;R1197)),ROUND(((R1199*R1196+((R1197/(R1197-R1196))-(R1196/(R1197-R1196))*R1199)*((U1182)-R1196))*(K1180*2))-(((R1197/(R1197-R1196))*((U1182)-R1196))*K1180),2),ROUND(IF(U1181&lt;(R1181),IF((V1182)&gt;(SUM(R1181:R1182)),(((SUM(R1181:R1182))-(V1182-C1181))*K1180)+((U1182-C1181)*K1180),U1182*K1180),IF(V1182&gt;(SUM(R1181:R1182)),R1182*K1180,U1182*K1180)),2)))</f>
        <v>0</v>
      </c>
      <c r="L1182" s="64">
        <f>IF(B1182=0,0,IF(AND(H1172="ja",((U1182-C1182)&lt;R1197)),ROUND(((R1199*R1196+((R1197/(R1197-R1196))-(R1196/(R1197-R1196))*R1199)*((U1182-C1182)-R1196))*(L1180)),2),ROUND(IF(SUM(B1181:F1181)&lt;(S1181),IF((SUM(B1181:F1182))&gt;(SUM(S1181:S1182)),(((SUM(S1181:S1182))-(SUM(B1181:F1182)-C1182))*L1180)+((SUM(B1182:F1182)-C1182)*L1180),(SUM(B1182:F1182)-C1182)*L1180),IF(SUM(B1181:F1182)&gt;(SUM(S1181:S1182)),S1182*L1180,SUM(B1182:F1182)*L1180)),2)))</f>
        <v>0</v>
      </c>
      <c r="M1182" s="64">
        <f>IF(B1182=0,0,IF(AND(H1172="ja",((U1182-C1182)&lt;R1197)),ROUND(((R1199*R1196+((R1197/(R1197-R1196))-(R1196/(R1197-R1196))*R1199)*((U1182-C1182)-R1196))*(M1180)),2),ROUND(IF(SUM(B1181:F1181)&lt;(S1181),IF((SUM(B1181:F1182))&gt;(SUM(S1181:S1182)),(((SUM(S1181:S1182))-(SUM(B1181:F1182)-C1182))*M1180)+((SUM(B1182:F1182)-C1182)*M1180),(SUM(B1182:F1182)-C1182)*M1180),IF(SUM(B1181:F1182)&gt;(SUM(S1181:S1182)),S1182*M1180,SUM(B1182:F1182)*M1180)),2)))</f>
        <v>0</v>
      </c>
      <c r="N1182" s="64">
        <f>IF(B1182=0,0,IF(AND(H1172="ja",((U1182)&lt;R1197)),ROUND(((R1199*R1196+((R1197/(R1197-R1196))-(R1196/(R1197-R1196))*R1199)*((U1182)-R1196))*(N1180)),2),ROUND(IF(SUM(B1181:F1181)&lt;(S1181),IF((SUM(B1181:F1182))&gt;(SUM(S1181:S1182)),(((SUM(S1181:S1182))-(SUM(B1181:F1182)-C1181))*N1180)+((SUM(B1182:F1182)-C1181)*N1180),SUM(B1182:F1182)*N1180),IF(SUM(B1181:F1182)&gt;(SUM(S1181:S1182)),S1182*N1180,SUM(B1182:F1182)*N1180)),2)))</f>
        <v>0</v>
      </c>
      <c r="O1182" s="21">
        <f>ROUND(SUM(B1182+C1182+F1182)*O1180,2)</f>
        <v>0</v>
      </c>
      <c r="P1182" s="25">
        <f t="shared" ref="P1182:P1192" si="195">SUM(G1182:O1182)</f>
        <v>0</v>
      </c>
      <c r="Q1182" s="456"/>
      <c r="R1182" s="140">
        <f>ROUND(IF(M1159="",R1175,R1175/M1159*P1159),2)</f>
        <v>5175</v>
      </c>
      <c r="S1182" s="140">
        <f>ROUND(IF(M1159="",R1176,R1176/M1159*P1159),2)</f>
        <v>7450</v>
      </c>
      <c r="U1182" s="950">
        <f t="shared" ref="U1182:U1192" si="196">SUM(B1182:F1182)</f>
        <v>0</v>
      </c>
      <c r="V1182" s="950">
        <f>SUM(B1181:F1182)</f>
        <v>0</v>
      </c>
    </row>
    <row r="1183" spans="1:22" s="1" customFormat="1" x14ac:dyDescent="0.2">
      <c r="A1183" s="76" t="str">
        <f>CONCATENATE("Mrz ",O1157)</f>
        <v>Mrz 2025</v>
      </c>
      <c r="B1183" s="22">
        <f>ROUND(IF(P1160=0,0,IFERROR(((LOOKUP(2,1/(A1166:A1169=A1183),G1166:G1169))*P1160*4.348),B1182/P1159*P1160)),2)</f>
        <v>0</v>
      </c>
      <c r="C1183" s="21">
        <f>ROUND(IFERROR((LOOKUP(2,1/(A1172=A1183),E1172)),0)+IFERROR((LOOKUP(2,1/(A1173=A1183),E1173)),0),2)</f>
        <v>0</v>
      </c>
      <c r="D1183" s="21">
        <f>ROUND(IF(B1183=0,0,D1180/M1159*P1160),2)</f>
        <v>0</v>
      </c>
      <c r="E1183" s="21">
        <f>ROUND(IF(B1183=0,0,E1180/N1155*P1160),2)</f>
        <v>0</v>
      </c>
      <c r="F1183" s="22">
        <f>ROUND(IF(P1160=0,0,IFERROR(((LOOKUP(2,1/(A1166:A1169=A1183),I1166:I1169))/N1155*P1160),F1182/P1159*P1160)),2)</f>
        <v>0</v>
      </c>
      <c r="G1183" s="25">
        <f t="shared" si="194"/>
        <v>0</v>
      </c>
      <c r="H1183" s="64">
        <f>IF(B1183=0,0,IF(AND(H1172="ja",((U1183)&lt;R1197)),ROUND(((R1199*R1196+((R1197/(R1197-R1196))-(R1196/(R1197-R1196))*R1199)*((U1183)-R1196))*(H1180*2))-(((R1197/(R1197-R1196))*((U1183)-R1196))*H1180),2),ROUND(IF(V1182&lt;(SUM(R1181:R1182)),IF((V1183)&gt;(SUM(R1181:R1183)),(((SUM(R1181:R1183))-(V1183-C1182))*H1180)+((U1183-C1182)*H1180),U1183*H1180),IF(V1183&gt;(SUM(R1181:R1183)),R1183*H1180,U1183*H1180)),2)))</f>
        <v>0</v>
      </c>
      <c r="I1183" s="64">
        <f>IF(B1183=0,0,IF(AND(H1172="ja",((U1183)&lt;R1197)),ROUND(((R1199*R1196+((R1197/(R1197-R1196))-(R1196/(R1197-R1196))*R1199)*((U1183)-R1196))*(I1180*2))-(((R1197/(R1197-R1196))*((U1183)-R1196))*I1180),2),ROUND(IF(V1182&lt;(SUM(S1181:S1182)),IF((V1183)&gt;(SUM(S1181:S1183)),(((SUM(S1181:S1183))-(V1183-C1182))*I1180)+((U1183-C1182)*I1180),U1183*I1180),IF(V1183&gt;(SUM(S1181:S1183)),S1183*I1180,U1183*I1180)),2)))</f>
        <v>0</v>
      </c>
      <c r="J1183" s="64">
        <f>IF(B1183=0,0,IF(AND(H1172="ja",((U1183)&lt;R1197)),ROUND(((R1199*R1196+((R1197/(R1197-R1196))-(R1196/(R1197-R1196))*R1199)*((U1183)-R1196))*(J1180*2))-(((R1197/(R1197-R1196))*((U1183)-R1196))*J1180),2),ROUND(IF(V1182&lt;(SUM(S1181:S1182)),IF((V1183)&gt;(SUM(S1181:S1183)),(((SUM(S1181:S1183))-(V1183-C1182))*J1180)+((U1183-C1182)*J1180),U1183*J1180),IF(V1183&gt;(SUM(S1181:S1183)),S1183*J1180,U1183*J1180)),2)))</f>
        <v>0</v>
      </c>
      <c r="K1183" s="64">
        <f>IF(B1183=0,0,IF(AND(H1172="ja",((U1183)&lt;R1197)),ROUND(((R1199*R1196+((R1197/(R1197-R1196))-(R1196/(R1197-R1196))*R1199)*((U1183)-R1196))*(K1180*2))-(((R1197/(R1197-R1196))*((U1183)-R1196))*K1180),2),ROUND(IF(V1182&lt;(SUM(R1181:R1182)),IF((V1183)&gt;(SUM(R1181:R1183)),(((SUM(R1181:R1183))-(V1183-C1182))*K1180)+((U1183-C1182)*K1180),U1183*K1180),IF(V1183&gt;(SUM(R1181:R1183)),R1183*K1180,U1183*K1180)),2)))</f>
        <v>0</v>
      </c>
      <c r="L1183" s="64">
        <f>IF(B1183=0,0,IF(AND(H1172="ja",((U1183-C1183)&lt;R1197)),ROUND(((R1199*R1196+((R1197/(R1197-R1196))-(R1196/(R1197-R1196))*R1199)*((U1183-C1183)-R1196))*(L1180)),2),ROUND(IF(SUM(B1181:F1182)&lt;(SUM(S1181:S1182)),IF((SUM(B1181:F1183))&gt;(SUM(S1181:S1183)),(((SUM(S1181:S1183))-(SUM(B1181:F1183)-C1183))*L1180)+((SUM(B1183:F1183)-C1183)*L1180),(SUM(B1183:F1183)-C1183)*L1180),IF(SUM(B1181:F1183)&gt;(SUM(S1181:S1183)),S1183*L1180,SUM(B1183:F1183)*L1180)),2)))</f>
        <v>0</v>
      </c>
      <c r="M1183" s="64">
        <f>IF(B1183=0,0,IF(AND(H1172="ja",((U1183-C1183)&lt;R1197)),ROUND(((R1199*R1196+((R1197/(R1197-R1196))-(R1196/(R1197-R1196))*R1199)*((U1183-C1183)-R1196))*(M1180)),2),ROUND(IF(SUM(B1181:F1182)&lt;(SUM(S1181:S1182)),IF((SUM(B1181:F1183))&gt;(SUM(S1181:S1183)),(((SUM(S1181:S1183))-(SUM(B1181:F1183)-C1183))*M1180)+((SUM(B1183:F1183)-C1183)*M1180),(SUM(B1183:F1183)-C1183)*M1180),IF(SUM(B1181:F1183)&gt;(SUM(S1181:S1183)),S1183*M1180,SUM(B1183:F1183)*M1180)),2)))</f>
        <v>0</v>
      </c>
      <c r="N1183" s="64">
        <f>IF(B1183=0,0,IF(AND(H1172="ja",((U1183)&lt;R1197)),ROUND(((R1199*R1196+((R1197/(R1197-R1196))-(R1196/(R1197-R1196))*R1199)*((U1183)-R1196))*(N1180)),2),ROUND(IF(SUM(B1181:F1182)&lt;(SUM(S1181:S1182)),IF((SUM(B1181:F1183))&gt;(SUM(S1181:S1183)),(((SUM(S1181:S1183))-(SUM(B1181:F1183)-C1182))*N1180)+((SUM(B1183:F1183)-C1182)*N1180),SUM(B1183:F1183)*N1180),IF(SUM(B1181:F1183)&gt;(SUM(S1181:S1183)),S1183*N1180,SUM(B1183:F1183)*N1180)),2)))</f>
        <v>0</v>
      </c>
      <c r="O1183" s="21">
        <f>ROUND(SUM(B1183+C1183+F1183)*O1180,2)</f>
        <v>0</v>
      </c>
      <c r="P1183" s="25">
        <f t="shared" si="195"/>
        <v>0</v>
      </c>
      <c r="Q1183" s="456"/>
      <c r="R1183" s="140">
        <f>ROUND(IF(M1159="",R1175,R1175/M1159*P1160),2)</f>
        <v>5175</v>
      </c>
      <c r="S1183" s="140">
        <f>ROUND(IF(M1159="",R1176,R1176/M1159*P1160),2)</f>
        <v>7450</v>
      </c>
      <c r="U1183" s="950">
        <f t="shared" si="196"/>
        <v>0</v>
      </c>
      <c r="V1183" s="950">
        <f>SUM(B1181:F1183)</f>
        <v>0</v>
      </c>
    </row>
    <row r="1184" spans="1:22" s="1" customFormat="1" x14ac:dyDescent="0.2">
      <c r="A1184" s="76" t="str">
        <f>CONCATENATE("Apr ",O1157)</f>
        <v>Apr 2025</v>
      </c>
      <c r="B1184" s="22">
        <f>ROUND(IF(P1161=0,0,IFERROR(((LOOKUP(2,1/(A1166:A1169=A1184),G1166:G1169))*P1161*4.348),B1183/P1160*P1161)),2)</f>
        <v>0</v>
      </c>
      <c r="C1184" s="21">
        <f>ROUND(IFERROR((LOOKUP(2,1/(A1172=A1184),E1172)),0)+IFERROR((LOOKUP(2,1/(A1173=A1184),E1173)),0),2)</f>
        <v>0</v>
      </c>
      <c r="D1184" s="21">
        <f>ROUND(IF(B1184=0,0,D1180/M1159*P1161),2)</f>
        <v>0</v>
      </c>
      <c r="E1184" s="21">
        <f>ROUND(IF(B1184=0,0,E1180/N1155*P1161),2)</f>
        <v>0</v>
      </c>
      <c r="F1184" s="22">
        <f>ROUND(IF(P1161=0,0,IFERROR(((LOOKUP(2,1/(A1166:A1169=A1184),I1166:I1169))/N1155*P1161),F1183/P1160*P1161)),2)</f>
        <v>0</v>
      </c>
      <c r="G1184" s="25">
        <f t="shared" si="194"/>
        <v>0</v>
      </c>
      <c r="H1184" s="64">
        <f>IF(B1184=0,0,IF(AND(H1172="ja",((U1184)&lt;R1197)),ROUND(((R1199*R1196+((R1197/(R1197-R1196))-(R1196/(R1197-R1196))*R1199)*((U1184)-R1196))*(H1180*2))-(((R1197/(R1197-R1196))*((U1184)-R1196))*H1180),2),ROUND(IF(V1183&lt;(SUM(R1181:R1183)),IF((V1184)&gt;(SUM(R1181:R1184)),(((SUM(R1181:R1184))-(V1184-C1183))*H1180)+((U1184-C1183)*H1180),U1184*H1180),IF(V1184&gt;(SUM(R1181:R1184)),R1184*H1180,U1184*H1180)),2)))</f>
        <v>0</v>
      </c>
      <c r="I1184" s="64">
        <f>IF(B1184=0,0,IF(AND(H1172="ja",((U1184)&lt;R1197)),ROUND(((R1199*R1196+((R1197/(R1197-R1196))-(R1196/(R1197-R1196))*R1199)*((U1184)-R1196))*(I1180*2))-(((R1197/(R1197-R1196))*((U1184)-R1196))*I1180),2),ROUND(IF(V1183&lt;(SUM(S1181:S1183)),IF((V1184)&gt;(SUM(S1181:S1184)),(((SUM(S1181:S1184))-(V1184-C1183))*I1180)+((U1184-C1183)*I1180),U1184*I1180),IF(V1184&gt;(SUM(S1181:S1184)),S1184*I1180,U1184*I1180)),2)))</f>
        <v>0</v>
      </c>
      <c r="J1184" s="64">
        <f>IF(B1184=0,0,IF(AND(H1172="ja",((U1184)&lt;R1197)),ROUND(((R1199*R1196+((R1197/(R1197-R1196))-(R1196/(R1197-R1196))*R1199)*((U1184)-R1196))*(J1180*2))-(((R1197/(R1197-R1196))*((U1184)-R1196))*J1180),2),ROUND(IF(U1183&lt;(SUM(S1181:S1183)),IF((V1184)&gt;(SUM(S1181:S1184)),(((SUM(S1181:S1184))-(V1184-C1183))*J1180)+((U1184-C1183)*J1180),U1184*J1180),IF(V1184&gt;(SUM(S1181:S1184)),S1184*J1180,U1184*J1180)),2)))</f>
        <v>0</v>
      </c>
      <c r="K1184" s="64">
        <f>IF(B1184=0,0,IF(AND(H1172="ja",((U1184)&lt;R1197)),ROUND(((R1199*R1196+((R1197/(R1197-R1196))-(R1196/(R1197-R1196))*R1199)*((U1184)-R1196))*(K1180*2))-(((R1197/(R1197-R1196))*((U1184)-R1196))*K1180),2),ROUND(IF(V1183&lt;(SUM(R1181:R1183)),IF((V1184)&gt;(SUM(R1181:R1184)),(((SUM(R1181:R1184))-(V1184-C1183))*K1180)+((U1184-C1183)*K1180),U1184*K1180),IF(V1184&gt;(SUM(R1181:R1184)),R1184*K1180,U1184*K1180)),2)))</f>
        <v>0</v>
      </c>
      <c r="L1184" s="64">
        <f>IF(B1184=0,0,IF(AND(H1172="ja",((U1184-C1184)&lt;R1197)),ROUND(((R1199*R1196+((R1197/(R1197-R1196))-(R1196/(R1197-R1196))*R1199)*((U1184-C1184)-R1196))*(L1180)),2),ROUND(IF(SUM(B1181:F1183)&lt;(SUM(S1181:S1183)),IF((SUM(B1181:F1184))&gt;(SUM(S1181:S1184)),(((SUM(S1181:S1184))-(SUM(B1181:F1184)-C1184))*L1180)+((SUM(B1184:F1184)-C1184)*L1180),(SUM(B1184:F1184)-C1184)*L1180),IF(SUM(B1181:F1184)&gt;(SUM(S1181:S1184)),S1184*L1180,SUM(B1184:F1184)*L1180)),2)))</f>
        <v>0</v>
      </c>
      <c r="M1184" s="64">
        <f>IF(B1184=0,0,IF(AND(H1172="ja",((U1184-C1184)&lt;R1197)),ROUND(((R1199*R1196+((R1197/(R1197-R1196))-(R1196/(R1197-R1196))*R1199)*((U1184-C1184)-R1196))*(M1180)),2),ROUND(IF(SUM(B1181:F1183)&lt;(SUM(S1181:S1183)),IF((SUM(B1181:F1184))&gt;(SUM(S1181:S1184)),(((SUM(S1181:S1184))-(SUM(B1181:F1184)-C1184))*M1180)+((SUM(B1184:F1184)-C1184)*M1180),(SUM(B1184:F1184)-C1184)*M1180),IF(SUM(B1181:F1184)&gt;(SUM(S1181:S1184)),S1184*M1180,SUM(B1184:F1184)*M1180)),2)))</f>
        <v>0</v>
      </c>
      <c r="N1184" s="64">
        <f>IF(B1184=0,0,IF(AND(H1172="ja",((U1184)&lt;R1197)),ROUND(((R1199*R1196+((R1197/(R1197-R1196))-(R1196/(R1197-R1196))*R1199)*((U1184)-R1196))*(N1180)),2),ROUND(IF(SUM(B1181:F1183)&lt;(SUM(S1181:S1183)),IF((SUM(B1181:F1184))&gt;(SUM(S1181:S1184)),(((SUM(S1181:S1184))-(SUM(B1181:F1184)-C1183))*N1180)+((SUM(B1184:F1184)-C1183)*N1180),SUM(B1184:F1184)*N1180),IF(SUM(B1181:F1184)&gt;(SUM(S1181:S1184)),S1184*N1180,SUM(B1184:F1184)*N1180)),2)))</f>
        <v>0</v>
      </c>
      <c r="O1184" s="21">
        <f>ROUND(SUM(B1184+C1184+F1184)*O1180,2)</f>
        <v>0</v>
      </c>
      <c r="P1184" s="25">
        <f t="shared" si="195"/>
        <v>0</v>
      </c>
      <c r="Q1184" s="456"/>
      <c r="R1184" s="140">
        <f>ROUND(IF(M1159="",R1175,R1175/M1159*P1161),2)</f>
        <v>5175</v>
      </c>
      <c r="S1184" s="140">
        <f>ROUND(IF(M1159="",R1176,R1176/M1159*P1161),2)</f>
        <v>7450</v>
      </c>
      <c r="U1184" s="950">
        <f t="shared" si="196"/>
        <v>0</v>
      </c>
      <c r="V1184" s="950">
        <f>SUM(B1181:F1184)</f>
        <v>0</v>
      </c>
    </row>
    <row r="1185" spans="1:24" s="1" customFormat="1" x14ac:dyDescent="0.2">
      <c r="A1185" s="76" t="str">
        <f>CONCATENATE("Mai ",O1157)</f>
        <v>Mai 2025</v>
      </c>
      <c r="B1185" s="22">
        <f>ROUND(IF(P1162=0,0,IFERROR(((LOOKUP(2,1/(A1166:A1169=A1185),G1166:G1169))*P1162*4.348),B1184/P1161*P1162)),2)</f>
        <v>0</v>
      </c>
      <c r="C1185" s="21">
        <f>ROUND(IFERROR((LOOKUP(2,1/(A1172=A1185),E1172)),0)+IFERROR((LOOKUP(2,1/(A1173=A1185),E1173)),0),2)</f>
        <v>0</v>
      </c>
      <c r="D1185" s="21">
        <f>ROUND(IF(B1185=0,0,D1180/M1159*P1162),2)</f>
        <v>0</v>
      </c>
      <c r="E1185" s="21">
        <f>ROUND(IF(B1185=0,0,E1180/N1155*P1162),2)</f>
        <v>0</v>
      </c>
      <c r="F1185" s="22">
        <f>ROUND(IF(P1162=0,0,IFERROR(((LOOKUP(2,1/(A1166:A1169=A1185),I1166:I1169))/N1155*P1162),F1184/P1161*P1162)),2)</f>
        <v>0</v>
      </c>
      <c r="G1185" s="25">
        <f t="shared" si="194"/>
        <v>0</v>
      </c>
      <c r="H1185" s="64">
        <f>IF(B1185=0,0,IF(AND(H1172="ja",((U1185)&lt;R1197)),ROUND(((R1199*R1196+((R1197/(R1197-R1196))-(R1196/(R1197-R1196))*R1199)*((U1185)-R1196))*(H1180*2))-(((R1197/(R1197-R1196))*((U1185)-R1196))*H1180),2),ROUND(IF(V1184&lt;(SUM(R1181:R1184)),IF((V1185)&gt;(SUM(R1181:R1185)),(((SUM(R1181:R1185))-(V1185-C1184))*H1180)+((U1185-C1184)*H1180),U1185*H1180),IF(V1185&gt;(SUM(R1181:R1185)),R1185*H1180,U1185*H1180)),2)))</f>
        <v>0</v>
      </c>
      <c r="I1185" s="64">
        <f>IF(B1185=0,0,IF(AND(H1172="ja",((U1185)&lt;R1197)),ROUND(((R1199*R1196+((R1197/(R1197-R1196))-(R1196/(R1197-R1196))*R1199)*((U1185)-R1196))*(I1180*2))-(((R1197/(R1197-R1196))*((U1185)-R1196))*I1180),2),ROUND(IF(V1184&lt;(SUM(S1181:S1184)),IF((V1185)&gt;(SUM(S1181:S1185)),(((SUM(S1181:S1185))-(V1185-C1184))*I1180)+((U1185-C1184)*I1180),U1185*I1180),IF(V1185&gt;(SUM(S1181:S1185)),S1185*I1180,U1185*I1180)),2)))</f>
        <v>0</v>
      </c>
      <c r="J1185" s="64">
        <f>IF(B1185=0,0,IF(AND(H1172="ja",((U1185)&lt;R1197)),ROUND(((R1199*R1196+((R1197/(R1197-R1196))-(R1196/(R1197-R1196))*R1199)*((U1185)-R1196))*(J1180*2))-(((R1197/(R1197-R1196))*((U1185)-R1196))*J1180),2),ROUND(IF(V1184&lt;(SUM(S1181:S1184)),IF((V1185)&gt;(SUM(S1181:S1185)),(((SUM(S1181:S1185))-(V1185-C1184))*J1180)+((U1185-C1184)*J1180),U1185*J1180),IF(V1185&gt;(SUM(S1181:S1185)),S1185*J1180,U1185*J1180)),2)))</f>
        <v>0</v>
      </c>
      <c r="K1185" s="64">
        <f>IF(B1185=0,0,IF(AND(H1172="ja",((U1185)&lt;R1197)),ROUND(((R1199*R1196+((R1197/(R1197-R1196))-(R1196/(R1197-R1196))*R1199)*((U1185)-R1196))*(K1180*2))-(((R1197/(R1197-R1196))*((U1185)-R1196))*K1180),2),ROUND(IF(V1184&lt;(SUM(R1181:R1184)),IF((V1185)&gt;(SUM(R1181:R1185)),(((SUM(R1181:R1185))-(V1185-C1184))*K1180)+((U1185-C1184)*K1180),U1185*K1180),IF(V1185&gt;(SUM(R1181:R1185)),R1185*K1180,U1185*K1180)),2)))</f>
        <v>0</v>
      </c>
      <c r="L1185" s="64">
        <f>IF(B1185=0,0,IF(AND(H1172="ja",((U1185-C1185)&lt;R1197)),ROUND(((R1199*R1196+((R1197/(R1197-R1196))-(R1196/(R1197-R1196))*R1199)*((U1185-C1185)-R1196))*(L1180)),2),ROUND(IF(SUM(B1181:F1184)&lt;(SUM(S1181:S1184)),IF((SUM(B1181:F1185))&gt;(SUM(S1181:S1185)),(((SUM(S1181:S1185))-(SUM(B1181:F1185)-C1185))*L1180)+((SUM(B1185:F1185)-C1185)*L1180),(SUM(B1185:F1185)-C1185)*L1180),IF(SUM(B1181:F1185)&gt;(SUM(S1181:S1185)),S1185*L1180,SUM(B1185:F1185)*L1180)),2)))</f>
        <v>0</v>
      </c>
      <c r="M1185" s="64">
        <f>IF(B1185=0,0,IF(AND(H1172="ja",((U1185-C1185)&lt;R1197)),ROUND(((R1199*R1196+((R1197/(R1197-R1196))-(R1196/(R1197-R1196))*R1199)*((U1185-C1185)-R1196))*(M1180)),2),ROUND(IF(SUM(B1181:F1184)&lt;(SUM(S1181:S1184)),IF((SUM(B1181:F1185))&gt;(SUM(S1181:S1185)),(((SUM(S1181:S1185))-(SUM(B1181:F1185)-C1185))*M1180)+((SUM(B1185:F1185)-C1185)*M1180),(SUM(B1185:F1185)-C1185)*M1180),IF(SUM(B1181:F1185)&gt;(SUM(S1181:S1185)),S1185*M1180,SUM(B1185:F1185)*M1180)),2)))</f>
        <v>0</v>
      </c>
      <c r="N1185" s="64">
        <f>IF(B1185=0,0,IF(AND(H1172="ja",((U1185)&lt;R1197)),ROUND(((R1199*R1196+((R1197/(R1197-R1196))-(R1196/(R1197-R1196))*R1199)*((U1185)-R1196))*(N1180)),2),ROUND(IF(SUM(B1181:F1184)&lt;(SUM(S1181:S1184)),IF((SUM(B1181:F1185))&gt;(SUM(S1181:S1185)),(((SUM(S1181:S1185))-(SUM(B1181:F1185)-C1184))*N1180)+((SUM(B1185:F1185)-C1184)*N1180),SUM(B1185:F1185)*N1180),IF(SUM(B1181:F1185)&gt;(SUM(S1181:S1185)),S1185*N1180,SUM(B1185:F1185)*N1180)),2)))</f>
        <v>0</v>
      </c>
      <c r="O1185" s="21">
        <f>ROUND(SUM(B1185+C1185+F1185)*O1180,2)</f>
        <v>0</v>
      </c>
      <c r="P1185" s="25">
        <f t="shared" si="195"/>
        <v>0</v>
      </c>
      <c r="Q1185" s="456"/>
      <c r="R1185" s="140">
        <f>ROUND(IF(M1159="",R1175,R1175/M1159*P1162),2)</f>
        <v>5175</v>
      </c>
      <c r="S1185" s="140">
        <f>ROUND(IF(M1159="",R1176,R1176/M1159*P1162),2)</f>
        <v>7450</v>
      </c>
      <c r="U1185" s="950">
        <f t="shared" si="196"/>
        <v>0</v>
      </c>
      <c r="V1185" s="950">
        <f>SUM(B1181:F1185)</f>
        <v>0</v>
      </c>
    </row>
    <row r="1186" spans="1:24" s="1" customFormat="1" x14ac:dyDescent="0.2">
      <c r="A1186" s="76" t="str">
        <f>CONCATENATE("Jun ",O1157)</f>
        <v>Jun 2025</v>
      </c>
      <c r="B1186" s="22">
        <f>ROUND(IF(P1163=0,0,IFERROR(((LOOKUP(2,1/(A1166:A1169=A1186),G1166:G1169))*P1163*4.348),B1185/P1162*P1163)),2)</f>
        <v>0</v>
      </c>
      <c r="C1186" s="21">
        <f>ROUND(IFERROR((LOOKUP(2,1/(A1172=A1186),E1172)),0)+IFERROR((LOOKUP(2,1/(A1173=A1186),E1173)),0),2)</f>
        <v>0</v>
      </c>
      <c r="D1186" s="21">
        <f>ROUND(IF(B1186=0,0,D1180/M1159*P1163),2)</f>
        <v>0</v>
      </c>
      <c r="E1186" s="21">
        <f>ROUND(IF(B1186=0,0,E1180/N1155*P1163),2)</f>
        <v>0</v>
      </c>
      <c r="F1186" s="22">
        <f>ROUND(IF(P1163=0,0,IFERROR(((LOOKUP(2,1/(A1166:A1169=A1186),I1166:I1169))/N1155*P1163),F1185/P1162*P1163)),2)</f>
        <v>0</v>
      </c>
      <c r="G1186" s="25">
        <f t="shared" si="194"/>
        <v>0</v>
      </c>
      <c r="H1186" s="64">
        <f>IF(B1186=0,0,IF(AND(H1172="ja",((U1186)&lt;R1197)),ROUND(((R1199*R1196+((R1197/(R1197-R1196))-(R1196/(R1197-R1196))*R1199)*((U1186)-R1196))*(H1180*2))-(((R1197/(R1197-R1196))*((U1186)-R1196))*H1180),2),ROUND(IF(V1185&lt;(SUM(R1181:R1185)),IF((V1186)&gt;(SUM(R1181:R1186)),(((SUM(R1181:R1186))-(V1186-C1185))*H1180)+((U1186-C1185)*H1180),U1186*H1180),IF(V1186&gt;(SUM(R1181:R1186)),R1186*H1180,U1186*H1180)),2)))</f>
        <v>0</v>
      </c>
      <c r="I1186" s="64">
        <f>IF(B1186=0,0,IF(AND(H1172="ja",((U1186)&lt;R1197)),ROUND(((R1199*R1196+((R1197/(R1197-R1196))-(R1196/(R1197-R1196))*R1199)*((U1186)-R1196))*(I1180*2))-(((R1197/(R1197-R1196))*((U1186)-R1196))*I1180),2),ROUND(IF(V1185&lt;(SUM(S1181:S1185)),IF((V1186)&gt;(SUM(S1181:S1186)),(((SUM(S1181:S1186))-(V1186-C1185))*I1180)+((U1186-C1185)*I1180),U1186*I1180),IF(V1186&gt;(SUM(S1181:S1186)),S1186*I1180,U1186*I1180)),2)))</f>
        <v>0</v>
      </c>
      <c r="J1186" s="64">
        <f>IF(B1186=0,0,IF(AND(H1172="ja",((U1186)&lt;R1197)),ROUND(((R1199*R1196+((R1197/(R1197-R1196))-(R1196/(R1197-R1196))*R1199)*((U1186)-R1196))*(J1180*2))-(((R1197/(R1197-R1196))*((U1186)-R1196))*J1180),2),ROUND(IF(V1185&lt;(SUM(S1181:S1185)),IF((V1186)&gt;(SUM(S1181:S1186)),(((SUM(S1181:S1186))-(V1186-C1185))*J1180)+((U1186-C1185)*J1180),U1186*J1180),IF(V1186&gt;(SUM(S1181:S1186)),S1186*J1180,U1186*J1180)),2)))</f>
        <v>0</v>
      </c>
      <c r="K1186" s="64">
        <f>IF(B1186=0,0,IF(AND(H1172="ja",((U1186)&lt;R1197)),ROUND(((R1199*R1196+((R1197/(R1197-R1196))-(R1196/(R1197-R1196))*R1199)*((U1186)-R1196))*(K1180*2))-(((R1197/(R1197-R1196))*((U1186)-R1196))*K1180),2),ROUND(IF(V1185&lt;(SUM(R1181:R1185)),IF((V1186)&gt;(SUM(R1181:R1186)),(((SUM(R1181:R1186))-(V1186-C1185))*K1180)+((U1186-C1185)*K1180),U1186*K1180),IF(V1186&gt;(SUM(R1181:R1186)),R1186*K1180,U1186*K1180)),2)))</f>
        <v>0</v>
      </c>
      <c r="L1186" s="64">
        <f>IF(B1186=0,0,IF(AND(H1172="ja",((U1186-C1186)&lt;R1197)),ROUND(((R1199*R1196+((R1197/(R1197-R1196))-(R1196/(R1197-R1196))*R1199)*((U1186-C1186)-R1196))*(L1180)),2),ROUND(IF(SUM(B1181:F1185)&lt;(SUM(S1181:S1185)),IF((SUM(B1181:F1186))&gt;(SUM(S1181:S1186)),(((SUM(S1181:S1186))-(SUM(B1181:F1186)-C1186))*L1180)+((SUM(B1186:F1186)-C1186)*L1180),(SUM(B1186:F1186)-C1186)*L1180),IF(SUM(B1181:F1186)&gt;(SUM(S1181:S1186)),S1186*L1180,SUM(B1186:F1186)*L1180)),2)))</f>
        <v>0</v>
      </c>
      <c r="M1186" s="64">
        <f>IF(B1186=0,0,IF(AND(H1172="ja",((U1186-C1186)&lt;R1197)),ROUND(((R1199*R1196+((R1197/(R1197-R1196))-(R1196/(R1197-R1196))*R1199)*((U1186-C1186)-R1196))*(M1180)),2),ROUND(IF(SUM(B1181:F1185)&lt;(SUM(S1181:S1185)),IF((SUM(B1181:F1186))&gt;(SUM(S1181:S1186)),(((SUM(S1181:S1186))-(SUM(B1181:F1186)-C1186))*M1180)+((SUM(B1186:F1186)-C1186)*M1180),(SUM(B1186:F1186)-C1186)*M1180),IF(SUM(B1181:F1186)&gt;(SUM(S1181:S1186)),S1186*M1180,SUM(B1186:F1186)*M1180)),2)))</f>
        <v>0</v>
      </c>
      <c r="N1186" s="64">
        <f>IF(B1186=0,0,IF(AND(H1172="ja",((U1186)&lt;R1197)),ROUND(((R1199*R1196+((R1197/(R1197-R1196))-(R1196/(R1197-R1196))*R1199)*((U1186)-R1196))*(N1180)),2),ROUND(IF(SUM(B1181:F1185)&lt;(SUM(S1181:S1185)),IF((SUM(B1181:F1186))&gt;(SUM(S1181:S1186)),(((SUM(S1181:S1186))-(SUM(B1181:F1186)-C1185))*N1180)+((SUM(B1186:F1186)-C1185)*N1180),SUM(B1186:F1186)*N1180),IF(SUM(B1181:F1186)&gt;(SUM(S1181:S1186)),S1186*N1180,SUM(B1186:F1186)*N1180)),2)))</f>
        <v>0</v>
      </c>
      <c r="O1186" s="21">
        <f>ROUND(SUM(B1186+C1186+F1186)*O1180,2)</f>
        <v>0</v>
      </c>
      <c r="P1186" s="25">
        <f t="shared" si="195"/>
        <v>0</v>
      </c>
      <c r="Q1186" s="456"/>
      <c r="R1186" s="140">
        <f>ROUND(IF(M1159="",R1175,R1175/M1159*P1163),2)</f>
        <v>5175</v>
      </c>
      <c r="S1186" s="140">
        <f>ROUND(IF(M1159="",R1176,R1176/M1159*P1163),2)</f>
        <v>7450</v>
      </c>
      <c r="U1186" s="950">
        <f t="shared" si="196"/>
        <v>0</v>
      </c>
      <c r="V1186" s="950">
        <f>SUM(B1181:F1186)</f>
        <v>0</v>
      </c>
    </row>
    <row r="1187" spans="1:24" s="1" customFormat="1" x14ac:dyDescent="0.2">
      <c r="A1187" s="76" t="str">
        <f>CONCATENATE("Jul ",O1157)</f>
        <v>Jul 2025</v>
      </c>
      <c r="B1187" s="22">
        <f>ROUND(IF(P1164=0,0,IFERROR(((LOOKUP(2,1/(A1166:A1169=A1187),G1166:G1169))*P1164*4.348),B1186/P1163*P1164)),2)</f>
        <v>0</v>
      </c>
      <c r="C1187" s="21">
        <f>ROUND(IFERROR((LOOKUP(2,1/(A1172=A1187),E1172)),0)+IFERROR((LOOKUP(2,1/(A1173=A1187),E1173)),0),2)</f>
        <v>0</v>
      </c>
      <c r="D1187" s="21">
        <f>ROUND(IF(B1187=0,0,D1180/M1159*P1164),2)</f>
        <v>0</v>
      </c>
      <c r="E1187" s="21">
        <f>ROUND(IF(B1187=0,0,E1180/N1155*P1164),2)</f>
        <v>0</v>
      </c>
      <c r="F1187" s="22">
        <f>ROUND(IF(P1164=0,0,IFERROR(((LOOKUP(2,1/(A1166:A1169=A1187),I1166:I1169))/N1155*P1164),F1186/P1163*P1164)),2)</f>
        <v>0</v>
      </c>
      <c r="G1187" s="25">
        <f t="shared" si="194"/>
        <v>0</v>
      </c>
      <c r="H1187" s="64">
        <f>IF(B1187=0,0,IF(AND(H1172="ja",((U1187)&lt;R1197)),ROUND(((R1199*R1196+((R1197/(R1197-R1196))-(R1196/(R1197-R1196))*R1199)*((U1187)-R1196))*(H1180*2))-(((R1197/(R1197-R1196))*((U1187)-R1196))*H1180),2),ROUND(IF(V1186&lt;(SUM(R1181:R1186)),IF((V1187)&gt;(SUM(R1181:R1187)),(((SUM(R1181:R1187))-(V1187-C1186))*H1180)+((U1187-C1186)*H1180),U1187*H1180),IF(V1187&gt;(SUM(R1181:R1187)),R1187*H1180,U1187*H1180)),2)))</f>
        <v>0</v>
      </c>
      <c r="I1187" s="64">
        <f>IF(B1187=0,0,IF(AND(H1172="ja",((U1187)&lt;R1197)),ROUND(((R1199*R1196+((R1197/(R1197-R1196))-(R1196/(R1197-R1196))*R1199)*((U1187)-R1196))*(I1180*2))-(((R1197/(R1197-R1196))*((U1187)-R1196))*I1180),2),ROUND(IF(V1186&lt;(SUM(S1181:S1186)),IF((V1187)&gt;(SUM(S1181:S1187)),(((SUM(S1181:S1187))-(V1187-C1186))*I1180)+((U1187-C1186)*I1180),U1187*I1180),IF(V1187&gt;(SUM(S1181:S1187)),S1187*I1180,U1187*I1180)),2)))</f>
        <v>0</v>
      </c>
      <c r="J1187" s="64">
        <f>IF(B1187=0,0,IF(AND(H1172="ja",((U1187)&lt;R1197)),ROUND(((R1199*R1196+((R1197/(R1197-R1196))-(R1196/(R1197-R1196))*R1199)*((U1187)-R1196))*(J1180*2))-(((R1197/(R1197-R1196))*((U1187)-R1196))*J1180),2),ROUND(IF(V1186&lt;(SUM(S1181:S1186)),IF((V1187)&gt;(SUM(S1181:S1187)),(((SUM(S1181:S1187))-(V1187-C1186))*J1180)+((U1187-C1186)*J1180),U1187*J1180),IF(V1187&gt;(SUM(S1181:S1187)),S1187*J1180,U1187*J1180)),2)))</f>
        <v>0</v>
      </c>
      <c r="K1187" s="64">
        <f>IF(B1187=0,0,IF(AND(H1172="ja",((U1187)&lt;R1197)),ROUND(((R1199*R1196+((R1197/(R1197-R1196))-(R1196/(R1197-R1196))*R1199)*((U1187)-R1196))*(K1180*2))-(((R1197/(R1197-R1196))*((U1187)-R1196))*K1180),2),ROUND(IF(V1186&lt;(SUM(R1181:R1186)),IF((V1187)&gt;(SUM(R1181:R1187)),(((SUM(R1181:R1187))-(V1187-C1186))*K1180)+((U1187-C1186)*K1180),U1187*K1180),IF(V1187&gt;(SUM(R1181:R1187)),R1187*K1180,U1187*K1180)),2)))</f>
        <v>0</v>
      </c>
      <c r="L1187" s="64">
        <f>IF(B1187=0,0,IF(AND(H1172="ja",((U1187-C1187)&lt;R1197)),ROUND(((R1199*R1196+((R1197/(R1197-R1196))-(R1196/(R1197-R1196))*R1199)*((U1187-C1187)-R1196))*(L1180)),2),ROUND(IF(SUM(B1181:F1186)&lt;(SUM(S1181:S1186)),IF((SUM(B1181:F1187))&gt;(SUM(S1181:S1187)),(((SUM(S1181:S1187))-(SUM(B1181:F1187)-C1187))*L1180)+((SUM(B1187:F1187)-C1187)*L1180),(SUM(B1187:F1187)-C1187)*L1180),IF(SUM(B1181:F1187)&gt;(SUM(S1181:S1187)),S1187*L1180,SUM(B1187:F1187)*L1180)),2)))</f>
        <v>0</v>
      </c>
      <c r="M1187" s="64">
        <f>IF(B1187=0,0,IF(AND(H1172="ja",((U1187-C1187)&lt;R1197)),ROUND(((R1199*R1196+((R1197/(R1197-R1196))-(R1196/(R1197-R1196))*R1199)*((U1187-C1187)-R1196))*(M1180)),2),ROUND(IF(SUM(B1181:F1186)&lt;(SUM(S1181:S1186)),IF((SUM(B1181:F1187))&gt;(SUM(S1181:S1187)),(((SUM(S1181:S1187))-(SUM(B1181:F1187)-C1187))*M1180)+((SUM(B1187:F1187)-C1187)*M1180),(SUM(B1187:F1187)-C1187)*M1180),IF(SUM(B1181:F1187)&gt;(SUM(S1181:S1187)),S1187*M1180,SUM(B1187:F1187)*M1180)),2)))</f>
        <v>0</v>
      </c>
      <c r="N1187" s="64">
        <f>IF(B1187=0,0,IF(AND(H1172="ja",((U1187)&lt;R1197)),ROUND(((R1199*R1196+((R1197/(R1197-R1196))-(R1196/(R1197-R1196))*R1199)*((U1187)-R1196))*(N1180)),2),ROUND(IF(SUM(B1181:F1186)&lt;(SUM(S1181:S1186)),IF((SUM(B1181:F1187))&gt;(SUM(S1181:S1187)),(((SUM(S1181:S1187))-(SUM(B1181:F1187)-C1186))*N1180)+((SUM(B1187:F1187)-C1186)*N1180),SUM(B1187:F1187)*N1180),IF(SUM(B1181:F1187)&gt;(SUM(S1181:S1187)),S1187*N1180,SUM(B1187:F1187)*N1180)),2)))</f>
        <v>0</v>
      </c>
      <c r="O1187" s="21">
        <f>ROUND(SUM(B1187+C1187+F1187)*O1180,2)</f>
        <v>0</v>
      </c>
      <c r="P1187" s="25">
        <f t="shared" si="195"/>
        <v>0</v>
      </c>
      <c r="Q1187" s="456"/>
      <c r="R1187" s="140">
        <f>ROUND(IF(M1159="",R1175,R1175/M1159*P1164),2)</f>
        <v>5175</v>
      </c>
      <c r="S1187" s="140">
        <f>ROUND(IF(M1159="",R1176,R1176/M1159*P1164),2)</f>
        <v>7450</v>
      </c>
      <c r="U1187" s="950">
        <f t="shared" si="196"/>
        <v>0</v>
      </c>
      <c r="V1187" s="950">
        <f>SUM(B1181:F1187)</f>
        <v>0</v>
      </c>
    </row>
    <row r="1188" spans="1:24" s="1" customFormat="1" x14ac:dyDescent="0.2">
      <c r="A1188" s="76" t="str">
        <f>CONCATENATE("Aug ",O1157)</f>
        <v>Aug 2025</v>
      </c>
      <c r="B1188" s="22">
        <f>ROUND(IF(P1165=0,0,IFERROR(((LOOKUP(2,1/(A1166:A1169=A1188),G1166:G1169))*P1165*4.348),B1187/P1164*P1165)),2)</f>
        <v>0</v>
      </c>
      <c r="C1188" s="21">
        <f>ROUND(IFERROR((LOOKUP(2,1/(A1172=A1188),E1172)),0)+IFERROR((LOOKUP(2,1/(A1173=A1188),E1173)),0),2)</f>
        <v>0</v>
      </c>
      <c r="D1188" s="21">
        <f>ROUND(IF(B1188=0,0,D1180/M1159*P1165),2)</f>
        <v>0</v>
      </c>
      <c r="E1188" s="21">
        <f>ROUND(IF(B1188=0,0,E1180/N1155*P1165),2)</f>
        <v>0</v>
      </c>
      <c r="F1188" s="22">
        <f>ROUND(IF(P1165=0,0,IFERROR(((LOOKUP(2,1/(A1166:A1169=A1188),I1166:I1169))/N1155*P1165),F1187/P1164*P1165)),2)</f>
        <v>0</v>
      </c>
      <c r="G1188" s="25">
        <f t="shared" si="194"/>
        <v>0</v>
      </c>
      <c r="H1188" s="64">
        <f>IF(B1188=0,0,IF(AND(H1172="ja",((U1188)&lt;R1197)),ROUND(((R1199*R1196+((R1197/(R1197-R1196))-(R1196/(R1197-R1196))*R1199)*((U1188)-R1196))*(H1180*2))-(((R1197/(R1197-R1196))*((U1188)-R1196))*H1180),2),ROUND(IF(V1187&lt;(SUM(R1181:R1187)),IF((V1188)&gt;(SUM(R1181:R1188)),(((SUM(R1181:R1188))-(V1188-C1187))*H1180)+((U1188-C1187)*H1180),U1188*H1180),IF(V1188&gt;(SUM(R1181:R1188)),R1188*H1180,U1188*H1180)),2)))</f>
        <v>0</v>
      </c>
      <c r="I1188" s="64">
        <f>IF(B1188=0,0,IF(AND(H1172="ja",((U1188)&lt;R1197)),ROUND(((R1199*R1196+((R1197/(R1197-R1196))-(R1196/(R1197-R1196))*R1199)*((U1188)-R1196))*(I1180*2))-(((R1197/(R1197-R1196))*((U1188)-R1196))*I1180),2),ROUND(IF(V1187&lt;(SUM(S1181:S1187)),IF((V1188)&gt;(SUM(S1181:S1188)),(((SUM(S1181:S1188))-(V1188-C1187))*I1180)+((U1188-C1187)*I1180),U1188*I1180),IF(V1188&gt;(SUM(S1181:S1188)),S1188*I1180,U1188*I1180)),2)))</f>
        <v>0</v>
      </c>
      <c r="J1188" s="64">
        <f>IF(B1188=0,0,IF(AND(H1172="ja",((U1188)&lt;R1197)),ROUND(((R1199*R1196+((R1197/(R1197-R1196))-(R1196/(R1197-R1196))*R1199)*((U1188)-R1196))*(J1180*2))-(((R1197/(R1197-R1196))*((U1188)-R1196))*J1180),2),ROUND(IF(V1187&lt;(SUM(S1181:S1187)),IF((V1188)&gt;(SUM(S1181:S1188)),(((SUM(S1181:S1188))-(V1188-C1187))*J1180)+((U1188-C1187)*J1180),U1188*J1180),IF(V1188&gt;(SUM(S1181:S1188)),S1188*J1180,U1188*J1180)),2)))</f>
        <v>0</v>
      </c>
      <c r="K1188" s="64">
        <f>IF(B1188=0,0,IF(AND(H1172="ja",((U1188)&lt;R1197)),ROUND(((R1199*R1196+((R1197/(R1197-R1196))-(R1196/(R1197-R1196))*R1199)*((U1188)-R1196))*(K1180*2))-(((R1197/(R1197-R1196))*((U1188)-R1196))*K1180),2),ROUND(IF(V1187&lt;(SUM(R1181:R1187)),IF((V1188)&gt;(SUM(R1181:R1188)),(((SUM(R1181:R1188))-(V1188-C1187))*K1180)+((U1188-C1187)*K1180),U1188*K1180),IF(V1188&gt;(SUM(R1181:R1188)),R1188*K1180,U1188*K1180)),2)))</f>
        <v>0</v>
      </c>
      <c r="L1188" s="64">
        <f>IF(B1188=0,0,IF(AND(H1172="ja",((U1188-C1188)&lt;R1197)),ROUND(((R1199*R1196+((R1197/(R1197-R1196))-(R1196/(R1197-R1196))*R1199)*((U1188-C1188)-R1196))*(L1180)),2),ROUND(IF(SUM(B1181:F1187)&lt;(SUM(S1181:S1187)),IF((SUM(B1181:F1188))&gt;(SUM(S1181:S1188)),(((SUM(S1181:S1188))-(SUM(B1181:F1188)-C1188))*L1180)+((SUM(B1188:F1188)-C1188)*L1180),(SUM(B1188:F1188)-C1188)*L1180),IF(SUM(B1181:F1188)&gt;(SUM(S1181:S1188)),S1188*L1180,SUM(B1188:F1188)*L1180)),2)))</f>
        <v>0</v>
      </c>
      <c r="M1188" s="64">
        <f>IF(B1188=0,0,IF(AND(H1172="ja",((U1188-C1188)&lt;R1197)),ROUND(((R1199*R1196+((R1197/(R1197-R1196))-(R1196/(R1197-R1196))*R1199)*((U1188-C1188)-R1196))*(M1180)),2),ROUND(IF(SUM(B1181:F1187)&lt;(SUM(S1181:S1187)),IF((SUM(B1181:F1188))&gt;(SUM(S1181:S1188)),(((SUM(S1181:S1188))-(SUM(B1181:F1188)-C1188))*M1180)+((SUM(B1188:F1188)-C1188)*M1180),(SUM(B1188:F1188)-C1188)*M1180),IF(SUM(B1181:F1188)&gt;(SUM(S1181:S1188)),S1188*M1180,SUM(B1188:F1188)*M1180)),2)))</f>
        <v>0</v>
      </c>
      <c r="N1188" s="64">
        <f>IF(B1188=0,0,IF(AND(H1172="ja",((U1188)&lt;R1197)),ROUND(((R1199*R1196+((R1197/(R1197-R1196))-(R1196/(R1197-R1196))*R1199)*((U1188)-R1196))*(N1180)),2),ROUND(IF(SUM(B1181:F1187)&lt;(SUM(S1181:S1187)),IF((SUM(B1181:F1188))&gt;(SUM(S1181:S1188)),(((SUM(S1181:S1188))-(SUM(B1181:F1188)-C1187))*N1180)+((SUM(B1188:F1188)-C1187)*N1180),SUM(B1188:F1188)*N1180),IF(SUM(B1181:F1188)&gt;(SUM(S1181:S1188)),S1188*N1180,SUM(B1188:F1188)*N1180)),2)))</f>
        <v>0</v>
      </c>
      <c r="O1188" s="21">
        <f>ROUND(SUM(B1188+C1188+F1188)*O1180,2)</f>
        <v>0</v>
      </c>
      <c r="P1188" s="25">
        <f t="shared" si="195"/>
        <v>0</v>
      </c>
      <c r="Q1188" s="456"/>
      <c r="R1188" s="140">
        <f>ROUND(IF(M1159="",R1175,R1175/M1159*P1165),2)</f>
        <v>5175</v>
      </c>
      <c r="S1188" s="140">
        <f>ROUND(IF(M1159="",R1176,R1176/M1159*P1165),2)</f>
        <v>7450</v>
      </c>
      <c r="U1188" s="950">
        <f t="shared" si="196"/>
        <v>0</v>
      </c>
      <c r="V1188" s="950">
        <f>SUM(B1181:F1188)</f>
        <v>0</v>
      </c>
    </row>
    <row r="1189" spans="1:24" s="1" customFormat="1" x14ac:dyDescent="0.2">
      <c r="A1189" s="76" t="str">
        <f>CONCATENATE("Sep ",O1157)</f>
        <v>Sep 2025</v>
      </c>
      <c r="B1189" s="22">
        <f>ROUND(IF(P1166=0,0,IFERROR(((LOOKUP(2,1/(A1166:A1169=A1189),G1166:G1169))*P1166*4.348),B1188/P1165*P1166)),2)</f>
        <v>0</v>
      </c>
      <c r="C1189" s="21">
        <f>ROUND(IFERROR((LOOKUP(2,1/(A1172=A1189),E1172)),0)+IFERROR((LOOKUP(2,1/(A1173=A1189),E1173)),0),2)</f>
        <v>0</v>
      </c>
      <c r="D1189" s="21">
        <f>ROUND(IF(B1189=0,0,D1180/M1159*P1166),2)</f>
        <v>0</v>
      </c>
      <c r="E1189" s="21">
        <f>ROUND(IF(B1189=0,0,E1180/N1155*P1166),2)</f>
        <v>0</v>
      </c>
      <c r="F1189" s="22">
        <f>ROUND(IF(P1166=0,0,IFERROR(((LOOKUP(2,1/(A1166:A1169=A1189),I1166:I1169))/N1155*P1166),F1188/P1165*P1166)),2)</f>
        <v>0</v>
      </c>
      <c r="G1189" s="25">
        <f t="shared" si="194"/>
        <v>0</v>
      </c>
      <c r="H1189" s="64">
        <f>IF(B1189=0,0,IF(AND(H1172="ja",((U1189)&lt;R1197)),ROUND(((R1199*R1196+((R1197/(R1197-R1196))-(R1196/(R1197-R1196))*R1199)*((U1189)-R1196))*(H1180*2))-(((R1197/(R1197-R1196))*((U1189)-R1196))*H1180),2),ROUND(IF(V1188&lt;(SUM(R1181:R1188)),IF((V1189)&gt;(SUM(R1181:R1189)),(((SUM(R1181:R1189))-(V1189-C1188))*H1180)+((U1189-C1188)*H1180),U1189*H1180),IF(V1189&gt;(SUM(R1181:R1189)),R1189*H1180,U1189*H1180)),2)))</f>
        <v>0</v>
      </c>
      <c r="I1189" s="64">
        <f>IF(B1189=0,0,IF(AND(H1172="ja",((U1189)&lt;R1197)),ROUND(((R1199*R1196+((R1197/(R1197-R1196))-(R1196/(R1197-R1196))*R1199)*((U1189)-R1196))*(I1180*2))-(((R1197/(R1197-R1196))*((U1189)-R1196))*I1180),2),ROUND(IF(V1188&lt;(SUM(S1181:S1188)),IF((V1189)&gt;(SUM(S1181:S1189)),(((SUM(S1181:S1189))-(V1189-C1188))*I1180)+((U1189-C1188)*I1180),U1189*I1180),IF(V1189&gt;(SUM(S1181:S1189)),S1189*I1180,U1189*I1180)),2)))</f>
        <v>0</v>
      </c>
      <c r="J1189" s="64">
        <f>IF(B1189=0,0,IF(AND(H1172="ja",((U1189)&lt;R1197)),ROUND(((R1199*R1196+((R1197/(R1197-R1196))-(R1196/(R1197-R1196))*R1199)*((U1189)-R1196))*(J1180*2))-(((R1197/(R1197-R1196))*((U1189)-R1196))*J1180),2),ROUND(IF(V1188&lt;(SUM(S1181:S1188)),IF((V1189)&gt;(SUM(S1181:S1189)),(((SUM(S1181:S1189))-(V1189-C1188))*J1180)+((U1189-C1188)*J1180),U1189*J1180),IF(V1189&gt;(SUM(S1181:S1189)),S1189*J1180,U1189*J1180)),2)))</f>
        <v>0</v>
      </c>
      <c r="K1189" s="64">
        <f>IF(B1189=0,0,IF(AND(H1172="ja",((U1189)&lt;R1197)),ROUND(((R1199*R1196+((R1197/(R1197-R1196))-(R1196/(R1197-R1196))*R1199)*((U1189)-R1196))*(K1180*2))-(((R1197/(R1197-R1196))*((U1189)-R1196))*K1180),2),ROUND(IF(V1188&lt;(SUM(R1181:R1188)),IF((V1189)&gt;(SUM(R1181:R1189)),(((SUM(R1181:R1189))-(V1189-C1188))*K1180)+((U1189-C1188)*K1180),U1189*K1180),IF(V1189&gt;(SUM(R1181:R1189)),R1189*K1180,U1189*K1180)),2)))</f>
        <v>0</v>
      </c>
      <c r="L1189" s="64">
        <f>IF(B1189=0,0,IF(AND(H1172="ja",((U1189-C1189)&lt;R1197)),ROUND(((R1199*R1196+((R1197/(R1197-R1196))-(R1196/(R1197-R1196))*R1199)*((U1189-C1189)-R1196))*(L1180)),2),ROUND(IF(SUM(B1181:F1188)&lt;(SUM(S1181:S1188)),IF((SUM(B1181:F1189))&gt;(SUM(S1181:S1189)),(((SUM(S1181:S1189))-(SUM(B1181:F1189)-C1189))*L1180)+((SUM(B1189:F1189)-C1189)*L1180),(SUM(B1189:F1189)-C1189)*L1180),IF(SUM(B1181:F1189)&gt;(SUM(S1181:S1189)),S1189*L1180,SUM(B1189:F1189)*L1180)),2)))</f>
        <v>0</v>
      </c>
      <c r="M1189" s="64">
        <f>IF(B1189=0,0,IF(AND(H1172="ja",((U1189-C1189)&lt;R1197)),ROUND(((R1199*R1196+((R1197/(R1197-R1196))-(R1196/(R1197-R1196))*R1199)*((U1189-C1189)-R1196))*(M1180)),2),ROUND(IF(SUM(B1181:F1188)&lt;(SUM(S1181:S1188)),IF((SUM(B1181:F1189))&gt;(SUM(S1181:S1189)),(((SUM(S1181:S1189))-(SUM(B1181:F1189)-C1189))*M1180)+((SUM(B1189:F1189)-C1189)*M1180),(SUM(B1189:F1189)-C1189)*M1180),IF(SUM(B1181:F1189)&gt;(SUM(S1181:S1189)),S1189*M1180,SUM(B1189:F1189)*M1180)),2)))</f>
        <v>0</v>
      </c>
      <c r="N1189" s="64">
        <f>IF(B1189=0,0,IF(AND(H1172="ja",((U1189)&lt;R1197)),ROUND(((R1199*R1196+((R1197/(R1197-R1196))-(R1196/(R1197-R1196))*R1199)*((U1189)-R1196))*(N1180)),2),ROUND(IF(SUM(B1181:F1188)&lt;(SUM(S1181:S1188)),IF((SUM(B1181:F1189))&gt;(SUM(S1181:S1189)),(((SUM(S1181:S1189))-(SUM(B1181:F1189)-C1188))*N1180)+((SUM(B1189:F1189)-C1188)*N1180),SUM(B1189:F1189)*N1180),IF(SUM(B1181:F1189)&gt;(SUM(S1181:S1189)),S1189*N1180,SUM(B1189:F1189)*N1180)),2)))</f>
        <v>0</v>
      </c>
      <c r="O1189" s="21">
        <f>ROUND(SUM(B1189+C1189+F1189)*O1180,2)</f>
        <v>0</v>
      </c>
      <c r="P1189" s="25">
        <f t="shared" si="195"/>
        <v>0</v>
      </c>
      <c r="Q1189" s="456"/>
      <c r="R1189" s="140">
        <f>ROUND(IF(M1159="",R1175,R1175/M1159*P1166),2)</f>
        <v>5175</v>
      </c>
      <c r="S1189" s="140">
        <f>ROUND(IF(M1159="",R1176,R1176/M1159*P1166),2)</f>
        <v>7450</v>
      </c>
      <c r="U1189" s="950">
        <f t="shared" si="196"/>
        <v>0</v>
      </c>
      <c r="V1189" s="950">
        <f>SUM(B1181:F1189)</f>
        <v>0</v>
      </c>
    </row>
    <row r="1190" spans="1:24" s="12" customFormat="1" ht="15" x14ac:dyDescent="0.25">
      <c r="A1190" s="76" t="str">
        <f>CONCATENATE("Okt ",O1157)</f>
        <v>Okt 2025</v>
      </c>
      <c r="B1190" s="22">
        <f>ROUND(IF(P1167=0,0,IFERROR(((LOOKUP(2,1/(A1166:A1169=A1190),G1166:G1169))*P1167*4.348),B1189/P1166*P1167)),2)</f>
        <v>0</v>
      </c>
      <c r="C1190" s="21">
        <f>ROUND(IFERROR((LOOKUP(2,1/(A1172=A1190),E1172)),0)+IFERROR((LOOKUP(2,1/(A1173=A1190),E1173)),0),2)</f>
        <v>0</v>
      </c>
      <c r="D1190" s="21">
        <f>ROUND(IF(B1190=0,0,D1180/M1159*P1167),2)</f>
        <v>0</v>
      </c>
      <c r="E1190" s="21">
        <f>ROUND(IF(B1190=0,0,E1180/N1155*P1167),2)</f>
        <v>0</v>
      </c>
      <c r="F1190" s="22">
        <f>ROUND(IF(P1167=0,0,IFERROR(((LOOKUP(2,1/(A1166:A1169=A1190),I1166:I1169))/N1155*P1167),F1189/P1166*P1167)),2)</f>
        <v>0</v>
      </c>
      <c r="G1190" s="25">
        <f t="shared" si="194"/>
        <v>0</v>
      </c>
      <c r="H1190" s="64">
        <f>IF(B1190=0,0,IF(AND(H1172="ja",((U1190)&lt;R1197)),ROUND(((R1199*R1196+((R1197/(R1197-R1196))-(R1196/(R1197-R1196))*R1199)*((U1190)-R1196))*(H1180*2))-(((R1197/(R1197-R1196))*((U1190)-R1196))*H1180),2),ROUND(IF(V1189&lt;(SUM(R1181:R1189)),IF((V1190)&gt;(SUM(R1181:R1190)),(((SUM(R1181:R1190))-(V1190-C1189))*H1180)+((U1190-C1189)*H1180),U1190*H1180),IF(V1190&gt;(SUM(R1181:R1190)),R1190*H1180,U1190*H1180)),2)))</f>
        <v>0</v>
      </c>
      <c r="I1190" s="64">
        <f>IF(B1190=0,0,IF(AND(H1172="ja",((U1190)&lt;R1197)),ROUND(((R1199*R1196+((R1197/(R1197-R1196))-(R1196/(R1197-R1196))*R1199)*((U1190)-R1196))*(I1180*2))-(((R1197/(R1197-R1196))*((U1190)-R1196))*I1180),2),ROUND(IF(V1189&lt;(SUM(S1181:S1189)),IF((V1190)&gt;(SUM(S1181:S1190)),(((SUM(S1181:S1190))-(V1190-C1189))*I1180)+((U1190-C1189)*I1180),U1190*I1180),IF(V1190&gt;(SUM(S1181:S1190)),S1190*I1180,U1190*I1180)),2)))</f>
        <v>0</v>
      </c>
      <c r="J1190" s="64">
        <f>IF(B1190=0,0,IF(AND(H1172="ja",((U1190)&lt;R1197)),ROUND(((R1199*R1196+((R1197/(R1197-R1196))-(R1196/(R1197-R1196))*R1199)*((U1190)-R1196))*(J1180*2))-(((R1197/(R1197-R1196))*((U1190)-R1196))*J1180),2),ROUND(IF(V1189&lt;(SUM(S1181:S1189)),IF((V1190)&gt;(SUM(S1181:S1190)),(((SUM(S1181:S1190))-(V1190-C1189))*J1180)+((U1190-C1189)*J1180),U1190*J1180),IF(V1190&gt;(SUM(S1181:S1190)),S1190*J1180,U1190*J1180)),2)))</f>
        <v>0</v>
      </c>
      <c r="K1190" s="64">
        <f>IF(B1190=0,0,IF(AND(H1172="ja",((U1190)&lt;R1197)),ROUND(((R1199*R1196+((R1197/(R1197-R1196))-(R1196/(R1197-R1196))*R1199)*((U1190)-R1196))*(K1180*2))-(((R1197/(R1197-R1196))*((U1190)-R1196))*K1180),2),ROUND(IF(V1189&lt;(SUM(R1181:R1189)),IF((V1190)&gt;(SUM(R1181:R1190)),(((SUM(R1181:R1190))-(V1190-C1189))*K1180)+((U1190-C1189)*K1180),U1190*K1180),IF(V1190&gt;(SUM(R1181:R1190)),R1190*K1180,U1190*K1180)),2)))</f>
        <v>0</v>
      </c>
      <c r="L1190" s="64">
        <f>IF(B1190=0,0,IF(AND(H1172="ja",((U1190-C1190)&lt;R1197)),ROUND(((R1199*R1196+((R1197/(R1197-R1196))-(R1196/(R1197-R1196))*R1199)*((U1190-C1190)-R1196))*(L1180)),2),ROUND(IF(SUM(B1181:F1189)&lt;(SUM(S1181:S1189)),IF((SUM(B1181:F1190))&gt;(SUM(S1181:S1190)),(((SUM(S1181:S1190))-(SUM(B1181:F1190)-C1190))*L1180)+((SUM(B1190:F1190)-C1190)*L1180),(SUM(B1190:F1190)-C1190)*L1180),IF(SUM(B1181:F1190)&gt;(SUM(S1181:S1190)),S1190*L1180,SUM(B1190:F1190)*L1180)),2)))</f>
        <v>0</v>
      </c>
      <c r="M1190" s="64">
        <f>IF(B1190=0,0,IF(AND(H1172="ja",((U1190-C1190)&lt;R1197)),ROUND(((R1199*R1196+((R1197/(R1197-R1196))-(R1196/(R1197-R1196))*R1199)*((U1190-C1190)-R1196))*(M1180)),2),ROUND(IF(SUM(B1181:F1189)&lt;(SUM(S1181:S1189)),IF((SUM(B1181:F1190))&gt;(SUM(S1181:S1190)),(((SUM(S1181:S1190))-(SUM(B1181:F1190)-C1190))*M1180)+((SUM(B1190:F1190)-C1190)*M1180),(SUM(B1190:F1190)-C1190)*M1180),IF(SUM(B1181:F1190)&gt;(SUM(S1181:S1190)),S1190*M1180,SUM(B1190:F1190)*M1180)),2)))</f>
        <v>0</v>
      </c>
      <c r="N1190" s="64">
        <f>IF(B1190=0,0,IF(AND(H1172="ja",((U1190)&lt;R1197)),ROUND(((R1199*R1196+((R1197/(R1197-R1196))-(R1196/(R1197-R1196))*R1199)*((U1190)-R1196))*(N1180)),2),ROUND(IF(SUM(B1181:F1189)&lt;(SUM(S1181:S1189)),IF((SUM(B1181:F1190))&gt;(SUM(S1181:S1190)),(((SUM(S1181:S1190))-(SUM(B1181:F1190)-C1189))*N1180)+((SUM(B1190:F1190)-C1189)*N1180),SUM(B1190:F1190)*N1180),IF(SUM(B1181:F1190)&gt;(SUM(S1181:S1190)),S1190*N1180,SUM(B1190:F1190)*N1180)),2)))</f>
        <v>0</v>
      </c>
      <c r="O1190" s="21">
        <f>ROUND(SUM(B1190+C1190+F1190)*O1180,2)</f>
        <v>0</v>
      </c>
      <c r="P1190" s="25">
        <f t="shared" si="195"/>
        <v>0</v>
      </c>
      <c r="Q1190" s="936"/>
      <c r="R1190" s="140">
        <f>ROUND(IF(M1159="",R1175,R1175/M1159*P1167),2)</f>
        <v>5175</v>
      </c>
      <c r="S1190" s="140">
        <f>ROUND(IF(M1159="",R1176,R1176/M1159*P1167),2)</f>
        <v>7450</v>
      </c>
      <c r="U1190" s="950">
        <f t="shared" si="196"/>
        <v>0</v>
      </c>
      <c r="V1190" s="950">
        <f>SUM(B1181:F1190)</f>
        <v>0</v>
      </c>
      <c r="X1190" s="1"/>
    </row>
    <row r="1191" spans="1:24" s="11" customFormat="1" x14ac:dyDescent="0.2">
      <c r="A1191" s="76" t="str">
        <f>CONCATENATE("Nov ",O1157)</f>
        <v>Nov 2025</v>
      </c>
      <c r="B1191" s="22">
        <f>ROUND(IF(P1168=0,0,IFERROR(((LOOKUP(2,1/(A1166:A1169=A1191),G1166:G1169))*P1168*4.348),B1190/P1167*P1168)),2)</f>
        <v>0</v>
      </c>
      <c r="C1191" s="21">
        <f>ROUND(IFERROR((LOOKUP(2,1/(A1172=A1191),E1172)),0)+(IFERROR((LOOKUP(2,1/(A1173=A1191),E1173)),0)),2)</f>
        <v>0</v>
      </c>
      <c r="D1191" s="21">
        <f>ROUND(IF(B1191=0,0,D1180/M1159*P1168),2)</f>
        <v>0</v>
      </c>
      <c r="E1191" s="21">
        <f>ROUND(IF(B1191=0,0,E1180/N1155*P1168),2)</f>
        <v>0</v>
      </c>
      <c r="F1191" s="22">
        <f>ROUND(IF(P1168=0,0,IFERROR(((LOOKUP(2,1/(A1166:A1169=A1191),I1166:I1169))/N1155*P1168),F1190/P1167*P1168)),2)</f>
        <v>0</v>
      </c>
      <c r="G1191" s="25">
        <f t="shared" si="194"/>
        <v>0</v>
      </c>
      <c r="H1191" s="64">
        <f>IF(B1191=0,0,IF(AND(H1172="ja",((U1191)&lt;R1197)),ROUND(((R1199*R1196+((R1197/(R1197-R1196))-(R1196/(R1197-R1196))*R1199)*((U1191)-R1196))*(H1180*2))-(((R1197/(R1197-R1196))*((U1191)-R1196))*H1180),2),ROUND(IF(V1190&lt;(SUM(R1181:R1190)),IF((V1191)&gt;(SUM(R1181:R1191)),(((SUM(R1181:R1191))-(V1191-C1190))*H1180)+((U1191-C1190)*H1180),U1191*H1180),IF(V1191&gt;(SUM(R1181:R1191)),R1191*H1180,U1191*H1180)),2)))</f>
        <v>0</v>
      </c>
      <c r="I1191" s="64">
        <f>IF(B1191=0,0,IF(AND(H1172="ja",((U1191)&lt;R1197)),ROUND(((R1199*R1196+((R1197/(R1197-R1196))-(R1196/(R1197-R1196))*R1199)*((U1191)-R1196))*(I1180*2))-(((R1197/(R1197-R1196))*((U1191)-R1196))*I1180),2),ROUND(IF(V1190&lt;(SUM(S1181:S1190)),IF((V1191)&gt;(SUM(S1181:S1191)),(((SUM(S1181:S1191))-(V1191-C1190))*I1180)+((U1191-C1190)*I1180),U1191*I1180),IF(V1191&gt;(SUM(S1181:S1191)),S1191*I1180,U1191*I1180)),2)))</f>
        <v>0</v>
      </c>
      <c r="J1191" s="64">
        <f>IF(B1191=0,0,IF(AND(H1172="ja",((U1191)&lt;R1197)),ROUND(((R1199*R1196+((R1197/(R1197-R1196))-(R1196/(R1197-R1196))*R1199)*((U1191)-R1196))*(J1180*2))-(((R1197/(R1197-R1196))*((U1191)-R1196))*J1180),2),ROUND(IF(V1190&lt;(SUM(S1181:S1190)),IF((V1191)&gt;(SUM(S1181:S1191)),(((SUM(S1181:S1191))-(V1191-C1190))*J1180)+((U1191-C1190)*J1180),U1191*J1180),IF(V1191&gt;(SUM(S1181:S1191)),S1191*J1180,U1191*J1180)),2)))</f>
        <v>0</v>
      </c>
      <c r="K1191" s="64">
        <f>IF(B1191=0,0,IF(AND(H1172="ja",((U1191)&lt;R1197)),ROUND(((R1199*R1196+((R1197/(R1197-R1196))-(R1196/(R1197-R1196))*R1199)*((U1191)-R1196))*(K1180*2))-(((R1197/(R1197-R1196))*((U1191)-R1196))*K1180),2),ROUND(IF(V1190&lt;(SUM(R1181:R1190)),IF((V1191)&gt;(SUM(R1181:R1191)),(((SUM(R1181:R1191))-(V1191-C1190))*K1180)+((U1191-C1190)*K1180),U1191*K1180),IF(V1191&gt;(SUM(R1181:R1191)),R1191*K1180,U1191*K1180)),2)))</f>
        <v>0</v>
      </c>
      <c r="L1191" s="64">
        <f>IF(B1191=0,0,IF(AND(H1172="ja",((U1191-C1191)&lt;R1197)),ROUND(((R1199*R1196+((R1197/(R1197-R1196))-(R1196/(R1197-R1196))*R1199)*((U1191-C1191)-R1196))*(L1180)),2),ROUND(IF(SUM(B1181:F1190)&lt;(SUM(S1181:S1190)),IF((SUM(B1181:F1191))&gt;(SUM(S1181:S1191)),(((SUM(S1181:S1191))-(SUM(B1181:F1191)-C1191))*L1180)+((SUM(B1191:F1191)-C1191)*L1180),(SUM(B1191:F1191)-C1191)*L1180),IF(SUM(B1181:F1191)&gt;(SUM(S1181:S1191)),S1191*L1180,SUM(B1191:F1191)*L1180)),2)))</f>
        <v>0</v>
      </c>
      <c r="M1191" s="64">
        <f>IF(B1191=0,0,IF(AND(H1172="ja",((U1191-C1191)&lt;R1197)),ROUND(((R1199*R1196+((R1197/(R1197-R1196))-(R1196/(R1197-R1196))*R1199)*((U1191-C1191)-R1196))*(M1180)),2),ROUND(IF(SUM(B1181:F1190)&lt;(SUM(S1181:S1190)),IF((SUM(B1181:F1191))&gt;(SUM(S1181:S1191)),(((SUM(S1181:S1191))-(SUM(B1181:F1191)-C1191))*M1180)+((SUM(B1191:F1191)-C1191)*M1180),(SUM(B1191:F1191)-C1191)*M1180),IF(SUM(B1181:F1191)&gt;(SUM(S1181:S1191)),S1191*M1180,SUM(B1191:F1191)*M1180)),2)))</f>
        <v>0</v>
      </c>
      <c r="N1191" s="64">
        <f>IF(B1191=0,0,IF(AND(H1172="ja",((U1191)&lt;R1197)),ROUND(((R1199*R1196+((R1197/(R1197-R1196))-(R1196/(R1197-R1196))*R1199)*((U1191)-R1196))*(N1180)),2),ROUND(IF(SUM(B1181:F1190)&lt;(SUM(S1181:S1190)),IF((SUM(B1181:F1191))&gt;(SUM(S1181:S1191)),(((SUM(S1181:S1191))-(SUM(B1181:F1191)-C1190))*N1180)+((SUM(B1191:F1191)-C1190)*N1180),SUM(B1191:F1191)*N1180),IF(SUM(B1181:F1191)&gt;(SUM(S1181:S1191)),S1191*N1180,SUM(B1191:F1191)*N1180)),2)))</f>
        <v>0</v>
      </c>
      <c r="O1191" s="21">
        <f>ROUND(SUM(B1191+C1191+F1191)*O1180,2)</f>
        <v>0</v>
      </c>
      <c r="P1191" s="25">
        <f t="shared" si="195"/>
        <v>0</v>
      </c>
      <c r="R1191" s="140">
        <f>ROUND(IF(M1159="",R1175,R1175/M1159*P1168),2)</f>
        <v>5175</v>
      </c>
      <c r="S1191" s="140">
        <f>ROUND(IF(M1159="",R1176,R1176/M1159*P1168),2)</f>
        <v>7450</v>
      </c>
      <c r="U1191" s="950">
        <f t="shared" si="196"/>
        <v>0</v>
      </c>
      <c r="V1191" s="950">
        <f>SUM(B1181:F1191)</f>
        <v>0</v>
      </c>
      <c r="X1191" s="1"/>
    </row>
    <row r="1192" spans="1:24" s="1" customFormat="1" ht="14.25" customHeight="1" x14ac:dyDescent="0.2">
      <c r="A1192" s="76" t="str">
        <f>CONCATENATE("Dez ",O1157)</f>
        <v>Dez 2025</v>
      </c>
      <c r="B1192" s="22">
        <f>ROUND(IF(P1169=0,0,IFERROR(((LOOKUP(2,1/(A1166:A1169=A1192),G1166:G1169))*P1169*4.348),B1191/P1168*P1169)),2)</f>
        <v>0</v>
      </c>
      <c r="C1192" s="21">
        <f>ROUND(IFERROR((LOOKUP(2,1/(A1172=A1192),E1172)),0)+IFERROR((LOOKUP(2,1/(A1173=A1192),E1173)),0),2)</f>
        <v>0</v>
      </c>
      <c r="D1192" s="21">
        <f>ROUND(IF(B1192=0,0,D1180/M1159*P1169),2)</f>
        <v>0</v>
      </c>
      <c r="E1192" s="21">
        <f>ROUND(IF(B1192=0,0,E1180/N1155*P1169),2)</f>
        <v>0</v>
      </c>
      <c r="F1192" s="22">
        <f>ROUND(IF(P1169=0,0,IFERROR(((LOOKUP(2,1/(A1166:A1169=A1192),I1166:I1169))/N1155*P1169),F1191/P1168*P1169)),2)</f>
        <v>0</v>
      </c>
      <c r="G1192" s="25">
        <f t="shared" si="194"/>
        <v>0</v>
      </c>
      <c r="H1192" s="64">
        <f>IF(B1192=0,0,IF(AND(H1172="ja",((U1192)&lt;R1197)),ROUND(((R1199*R1196+((R1197/(R1197-R1196))-(R1196/(R1197-R1196))*R1199)*((U1192)-R1196))*(H1180*2))-(((R1197/(R1197-R1196))*((U1192)-R1196))*H1180),2),ROUND(IF(V1191&lt;(SUM(R1181:R1191)),IF((V1192)&gt;(SUM(R1181:R1192)),(((SUM(R1181:R1192))-(V1192-C1191))*H1180)+((U1192-C1191)*H1180),U1192*H1180),IF(V1192&gt;(SUM(R1181:R1192)),R1192*H1180,U1192*H1180)),2)))</f>
        <v>0</v>
      </c>
      <c r="I1192" s="64">
        <f>IF(B1192=0,0,IF(AND(H1172="ja",((U1192)&lt;R1197)),ROUND(((R1199*R1196+((R1197/(R1197-R1196))-(R1196/(R1197-R1196))*R1199)*((U1192)-R1196))*(I1180*2))-(((R1197/(R1197-R1196))*((U1192)-R1196))*I1180),2),ROUND(IF(V1191&lt;(SUM(S1181:S1191)),IF((V1192)&gt;(SUM(S1181:S1192)),(((SUM(S1181:S1192))-(V1192-C1191))*I1180)+((U1192-C1191)*I1180),U1192*I1180),IF(V1192&gt;(SUM(S1181:S1192)),S1192*I1180,U1192*I1180)),2)))</f>
        <v>0</v>
      </c>
      <c r="J1192" s="64">
        <f>IF(B1192=0,0,IF(AND(H1172="ja",((U1192)&lt;R1197)),ROUND(((R1199*R1196+((R1197/(R1197-R1196))-(R1196/(R1197-R1196))*R1199)*((U1192)-R1196))*(J1180*2))-(((R1197/(R1197-R1196))*((U1192)-R1196))*J1180),2),ROUND(IF(V1191&lt;(SUM(S1181:S1191)),IF((V1192)&gt;(SUM(S1181:S1192)),(((SUM(S1181:S1192))-(V1192-C1191))*J1180)+((U1192-C1191)*J1180),U1192*J1180),IF(V1192&gt;(SUM(S1181:S1192)),S1192*J1180,U1192*J1180)),2)))</f>
        <v>0</v>
      </c>
      <c r="K1192" s="64">
        <f>IF(B1192=0,0,IF(AND(H1172="ja",((U1192)&lt;R1197)),ROUND(((R1199*R1196+((R1197/(R1197-R1196))-(R1196/(R1197-R1196))*R1199)*((U1192)-R1196))*(K1180*2))-(((R1197/(R1197-R1196))*((U1192)-R1196))*K1180),2),ROUND(IF(V1191&lt;(SUM(R1181:R1191)),IF((V1192)&gt;(SUM(R1181:R1192)),(((SUM(R1181:R1192))-(V1192-C1191))*K1180)+((U1192-C1191)*K1180),U1192*K1180),IF(V1192&gt;(SUM(R1181:R1192)),R1192*K1180,U1192*K1180)),2)))</f>
        <v>0</v>
      </c>
      <c r="L1192" s="64">
        <f>IF(B1192=0,0,IF(AND(H1172="ja",((U1192-C1192)&lt;R1197)),ROUND(((R1199*R1196+((R1197/(R1197-R1196))-(R1196/(R1197-R1196))*R1199)*((U1192-C1192)-R1196))*(L1180)),2),ROUND(IF(SUM(B1181:F1191)&lt;(SUM(S1181:S1191)),IF((SUM(B1181:F1192))&gt;(SUM(S1181:S1192)),(((SUM(S1181:S1192))-(SUM(B1181:F1192)-C1192))*L1180)+((SUM(B1192:F1192)-C1192)*L1180),(SUM(B1192:F1192)-C1192)*L1180),IF(SUM(B1181:F1192)&gt;(SUM(S1181:S1192)),S1192*L1180,SUM(B1192:F1192)*L1180)),2)))</f>
        <v>0</v>
      </c>
      <c r="M1192" s="64">
        <f>IF(B1192=0,0,IF(AND(H1172="ja",((U1192-C1192)&lt;R1197)),ROUND(((R1199*R1196+((R1197/(R1197-R1196))-(R1196/(R1197-R1196))*R1199)*((U1192-C1192)-R1196))*(M1180)),2),ROUND(IF(SUM(B1181:F1191)&lt;(SUM(S1181:S1191)),IF((SUM(B1181:F1192))&gt;(SUM(S1181:S1192)),(((SUM(S1181:S1192))-(SUM(B1181:F1192)-C1192))*M1180)+((SUM(B1192:F1192)-C1192)*M1180),(SUM(B1192:F1192)-C1192)*M1180),IF(SUM(B1181:F1192)&gt;(SUM(S1181:S1192)),S1192*M1180,SUM(B1192:F1192)*M1180)),2)))</f>
        <v>0</v>
      </c>
      <c r="N1192" s="64">
        <f>IF(B1192=0,0,IF(AND(H1172="ja",((U1192)&lt;R1197)),ROUND(((R1199*R1196+((R1197/(R1197-R1196))-(R1196/(R1197-R1196))*R1199)*((U1192)-R1196))*(N1180)),2),ROUND(IF(SUM(B1181:F1191)&lt;(SUM(S1181:S1191)),IF((SUM(B1181:F1192))&gt;(SUM(S1181:S1192)),(((SUM(S1181:S1192))-(SUM(B1181:F1192)-C1191))*N1180)+((SUM(B1192:F1192)-C1191)*N1180),SUM(B1192:F1192)*N1180),IF(SUM(B1181:F1192)&gt;(SUM(S1181:S1192)),S1192*N1180,SUM(B1192:F1192)*N1180)),2)))</f>
        <v>0</v>
      </c>
      <c r="O1192" s="21">
        <f>ROUND(SUM(B1192+C1192+F1192)*O1180,2)</f>
        <v>0</v>
      </c>
      <c r="P1192" s="25">
        <f t="shared" si="195"/>
        <v>0</v>
      </c>
      <c r="Q1192" s="11"/>
      <c r="R1192" s="140">
        <f>ROUND(IF(M1159="",R1175,R1175/M1159*P1169),2)</f>
        <v>5175</v>
      </c>
      <c r="S1192" s="140">
        <f>ROUND(IF(M1159="",R1176,R1176/M1159*P1169),2)</f>
        <v>7450</v>
      </c>
      <c r="U1192" s="950">
        <f t="shared" si="196"/>
        <v>0</v>
      </c>
      <c r="V1192" s="950">
        <f>SUM(B1181:F1192)</f>
        <v>0</v>
      </c>
    </row>
    <row r="1193" spans="1:24" s="1" customFormat="1" ht="15" customHeight="1" x14ac:dyDescent="0.2">
      <c r="A1193" s="2" t="s">
        <v>1</v>
      </c>
      <c r="B1193" s="25">
        <f t="shared" ref="B1193:G1193" si="197">SUM(B1181:B1192)</f>
        <v>0</v>
      </c>
      <c r="C1193" s="25">
        <f t="shared" si="197"/>
        <v>0</v>
      </c>
      <c r="D1193" s="25">
        <f t="shared" si="197"/>
        <v>0</v>
      </c>
      <c r="E1193" s="25">
        <f t="shared" si="197"/>
        <v>0</v>
      </c>
      <c r="F1193" s="25">
        <f t="shared" si="197"/>
        <v>0</v>
      </c>
      <c r="G1193" s="25">
        <f t="shared" si="197"/>
        <v>0</v>
      </c>
      <c r="H1193" s="1309">
        <f>SUM(H1181:N1192)</f>
        <v>0</v>
      </c>
      <c r="I1193" s="1310"/>
      <c r="J1193" s="1310"/>
      <c r="K1193" s="1310"/>
      <c r="L1193" s="1310"/>
      <c r="M1193" s="1310"/>
      <c r="N1193" s="1311"/>
      <c r="O1193" s="25">
        <f>SUM(O1181:O1192)</f>
        <v>0</v>
      </c>
      <c r="P1193" s="25">
        <f>SUM(P1181:P1192)</f>
        <v>0</v>
      </c>
    </row>
    <row r="1194" spans="1:24" s="1" customFormat="1" ht="12" customHeight="1" x14ac:dyDescent="0.2"/>
    <row r="1195" spans="1:24" s="1" customFormat="1" ht="14.25" customHeight="1" x14ac:dyDescent="0.2">
      <c r="B1195" s="906"/>
      <c r="H1195" s="905"/>
      <c r="I1195" s="62"/>
      <c r="J1195" s="914" t="s">
        <v>123</v>
      </c>
      <c r="L1195" s="900" t="s">
        <v>124</v>
      </c>
      <c r="M1195" s="974" t="str">
        <f>IF(IF(G1193=0,"",'päd.Personal - Leitung'!$M$43)=0,"",IF(G1193=0,"",'päd.Personal - Leitung'!$M$43))</f>
        <v/>
      </c>
      <c r="N1195" s="902" t="s">
        <v>125</v>
      </c>
      <c r="O1195" s="963" t="str">
        <f>IF(IF(G1193=0,"",'päd.Personal - Leitung'!$O$43)=0,"",IF(G1193=0,"",'päd.Personal - Leitung'!$O$43))</f>
        <v/>
      </c>
      <c r="P1195" s="25">
        <f>ROUND(IF(M1195="",0,G1193*M1195*O1195/1000),2)</f>
        <v>0</v>
      </c>
      <c r="Q1195" s="937"/>
      <c r="R1195" s="938">
        <v>2025</v>
      </c>
      <c r="S1195" s="939"/>
    </row>
    <row r="1196" spans="1:24" s="1" customFormat="1" ht="14.25" customHeight="1" x14ac:dyDescent="0.2">
      <c r="H1196" s="907"/>
      <c r="I1196" s="42"/>
      <c r="M1196" s="915" t="s">
        <v>129</v>
      </c>
      <c r="N1196" s="80" t="s">
        <v>125</v>
      </c>
      <c r="O1196" s="75" t="str">
        <f>IF(IF(G1193=0,"",'päd.Personal - Leitung'!$O$44)=0,"",IF(G1193=0,"",'päd.Personal - Leitung'!$O$44))</f>
        <v/>
      </c>
      <c r="P1196" s="25">
        <f>ROUND(IF(O1196="",0,G1193*O1196/1000),2)</f>
        <v>0</v>
      </c>
      <c r="Q1196" s="942" t="s">
        <v>737</v>
      </c>
      <c r="R1196" s="141">
        <f>'päd.Personal - Leitung'!$R$44</f>
        <v>556</v>
      </c>
      <c r="S1196" s="955">
        <f>'päd.Personal - Leitung'!$S$44</f>
        <v>12.82</v>
      </c>
    </row>
    <row r="1197" spans="1:24" s="1" customFormat="1" ht="14.25" customHeight="1" x14ac:dyDescent="0.2">
      <c r="H1197" s="912" t="s">
        <v>126</v>
      </c>
      <c r="I1197" s="1013" t="s">
        <v>127</v>
      </c>
      <c r="J1197" s="975" t="str">
        <f>IF(IF(G1193=0,"",'päd.Personal - Leitung'!$J$45)=0,"",IF(G1193=0,"",'päd.Personal - Leitung'!$J$45))</f>
        <v/>
      </c>
      <c r="K1197" s="902" t="s">
        <v>128</v>
      </c>
      <c r="L1197" s="964" t="str">
        <f>IF(IF(G1193=0,"",'päd.Personal - Leitung'!$L$45)=0,"",IF(G1193=0,"",'päd.Personal - Leitung'!$L$45))</f>
        <v/>
      </c>
      <c r="M1197" s="16"/>
      <c r="N1197" s="900" t="s">
        <v>132</v>
      </c>
      <c r="O1197" s="965" t="str">
        <f>IF(IF(G1193=0,"",'päd.Personal - Leitung'!$O$45)=0,"",IF(G1193=0,"",'päd.Personal - Leitung'!$O$45))</f>
        <v/>
      </c>
      <c r="P1197" s="25">
        <f>ROUND(IF(J1197="",0,(J1197*L1197/O1197)/M1161*M1162),2)</f>
        <v>0</v>
      </c>
      <c r="Q1197" s="942" t="s">
        <v>738</v>
      </c>
      <c r="R1197" s="140">
        <f>'päd.Personal - Leitung'!$R$45</f>
        <v>2000</v>
      </c>
      <c r="S1197" s="939"/>
    </row>
    <row r="1198" spans="1:24" s="1" customFormat="1" ht="14.25" customHeight="1" x14ac:dyDescent="0.2">
      <c r="D1198" s="16"/>
      <c r="I1198" s="16"/>
      <c r="J1198" s="16"/>
      <c r="K1198" s="63"/>
      <c r="L1198" s="67"/>
      <c r="M1198" s="915" t="s">
        <v>130</v>
      </c>
      <c r="N1198" s="80" t="s">
        <v>131</v>
      </c>
      <c r="O1198" s="904">
        <f>IF(IF(G1193="",0,'päd.Personal - Leitung'!$O$94)=0,0,IF(G1193="",0,'päd.Personal - Leitung'!$O$94))</f>
        <v>0</v>
      </c>
      <c r="P1198" s="21">
        <f>ROUND(IF(G1193=0,0,O1198/M1159*M1160),2)</f>
        <v>0</v>
      </c>
      <c r="Q1198" s="942" t="s">
        <v>740</v>
      </c>
      <c r="R1198" s="956">
        <f>'päd.Personal - Leitung'!$R$46</f>
        <v>0.40900000000000003</v>
      </c>
    </row>
    <row r="1199" spans="1:24" s="1" customFormat="1" ht="14.25" customHeight="1" x14ac:dyDescent="0.2">
      <c r="A1199" s="16"/>
      <c r="B1199" s="16"/>
      <c r="I1199" s="905"/>
      <c r="J1199" s="961" t="s">
        <v>176</v>
      </c>
      <c r="K1199" s="1312" t="str">
        <f>IF($K$47="","",$K$47)</f>
        <v/>
      </c>
      <c r="L1199" s="1312"/>
      <c r="M1199" s="1312"/>
      <c r="N1199" s="80" t="s">
        <v>131</v>
      </c>
      <c r="O1199" s="904">
        <f>IF(IF(G1193="",0,'päd.Personal - Leitung'!$O$95)=0,0,IF(G1193="",0,'päd.Personal - Leitung'!$O$95))</f>
        <v>0</v>
      </c>
      <c r="P1199" s="21">
        <f>ROUND(IF(G1193=0,0,O1199/M1159*M1160),2)</f>
        <v>0</v>
      </c>
      <c r="Q1199" s="942" t="s">
        <v>739</v>
      </c>
      <c r="R1199" s="940">
        <f>'päd.Personal - Leitung'!$R$47</f>
        <v>0.68459999999999999</v>
      </c>
      <c r="S1199" s="957">
        <f>'päd.Personal - Leitung'!$S$47</f>
        <v>0.28000000000000003</v>
      </c>
    </row>
    <row r="1200" spans="1:24" s="1" customFormat="1" ht="14.25" customHeight="1" x14ac:dyDescent="0.2">
      <c r="A1200" s="908"/>
      <c r="B1200" s="908"/>
      <c r="C1200" s="1013"/>
      <c r="D1200" s="1013"/>
      <c r="I1200" s="913"/>
      <c r="J1200" s="913"/>
      <c r="K1200" s="916"/>
      <c r="L1200" s="27"/>
      <c r="M1200" s="27"/>
      <c r="N1200" s="27"/>
      <c r="O1200" s="26" t="s">
        <v>0</v>
      </c>
      <c r="P1200" s="25">
        <f>P1193+SUM(P1195:P1199)</f>
        <v>0</v>
      </c>
    </row>
    <row r="1201" spans="1:19" s="10" customFormat="1" ht="13.5" customHeight="1" x14ac:dyDescent="0.2">
      <c r="A1201" s="1321" t="s">
        <v>17</v>
      </c>
      <c r="B1201" s="1321"/>
      <c r="C1201" s="1321"/>
      <c r="D1201" s="1320" t="str">
        <f>IF('päd.Personal - Leitung'!$D$1="","",'päd.Personal - Leitung'!$D$1)</f>
        <v/>
      </c>
      <c r="E1201" s="1320"/>
      <c r="F1201" s="1320"/>
      <c r="G1201" s="1320"/>
      <c r="H1201" s="1320"/>
      <c r="I1201" s="1320"/>
      <c r="J1201" s="1320"/>
      <c r="K1201" s="1320"/>
      <c r="L1201" s="1320"/>
      <c r="M1201" s="1320"/>
      <c r="N1201" s="1320"/>
    </row>
    <row r="1202" spans="1:19" s="10" customFormat="1" ht="15" customHeight="1" x14ac:dyDescent="0.2">
      <c r="A1202" s="1321" t="s">
        <v>16</v>
      </c>
      <c r="B1202" s="1321"/>
      <c r="C1202" s="1321" t="s">
        <v>14</v>
      </c>
      <c r="D1202" s="1320" t="str">
        <f>IF('päd.Personal - Leitung'!$D$2="","",'päd.Personal - Leitung'!$D$2)</f>
        <v/>
      </c>
      <c r="E1202" s="1320"/>
      <c r="F1202" s="1320"/>
      <c r="G1202" s="1320"/>
      <c r="H1202" s="1320"/>
      <c r="I1202" s="1320"/>
      <c r="J1202" s="1320"/>
      <c r="K1202" s="1320"/>
      <c r="L1202" s="1320"/>
      <c r="M1202" s="1320"/>
      <c r="N1202" s="1320"/>
    </row>
    <row r="1203" spans="1:19" s="10" customFormat="1" ht="15" customHeight="1" x14ac:dyDescent="0.2">
      <c r="A1203" s="1321" t="s">
        <v>15</v>
      </c>
      <c r="B1203" s="1321"/>
      <c r="C1203" s="1321" t="s">
        <v>14</v>
      </c>
      <c r="D1203" s="1320" t="str">
        <f>IF('päd.Personal - Leitung'!$D$3="","",'päd.Personal - Leitung'!$D$3)</f>
        <v/>
      </c>
      <c r="E1203" s="1320"/>
      <c r="F1203" s="1320"/>
      <c r="G1203" s="1320"/>
      <c r="H1203" s="1320"/>
      <c r="I1203" s="1320"/>
      <c r="J1203" s="1320"/>
      <c r="K1203" s="1321" t="s">
        <v>100</v>
      </c>
      <c r="L1203" s="1321"/>
      <c r="M1203" s="1321"/>
      <c r="N1203" s="38" t="str">
        <f>IF('päd.Personal - Leitung'!$N$3="","",'päd.Personal - Leitung'!$N$3)</f>
        <v/>
      </c>
    </row>
    <row r="1204" spans="1:19" s="923" customFormat="1" ht="7.5" customHeight="1" x14ac:dyDescent="0.15">
      <c r="A1204" s="1353"/>
      <c r="B1204" s="1353"/>
      <c r="C1204" s="1353"/>
      <c r="D1204" s="1354"/>
      <c r="E1204" s="1354"/>
      <c r="F1204" s="1354"/>
      <c r="G1204" s="1354"/>
      <c r="H1204" s="1354"/>
      <c r="I1204" s="1354"/>
      <c r="J1204" s="1354"/>
      <c r="K1204" s="922"/>
      <c r="L1204" s="922"/>
      <c r="M1204" s="922"/>
      <c r="N1204" s="922"/>
      <c r="O1204" s="922"/>
      <c r="P1204" s="922"/>
    </row>
    <row r="1205" spans="1:19" s="13" customFormat="1" ht="13.5" customHeight="1" x14ac:dyDescent="0.2">
      <c r="A1205" s="1355" t="s">
        <v>151</v>
      </c>
      <c r="B1205" s="1355"/>
      <c r="C1205" s="1355"/>
      <c r="D1205" s="1355"/>
      <c r="E1205" s="1355"/>
      <c r="F1205" s="1355"/>
      <c r="G1205" s="1355"/>
      <c r="H1205" s="1355"/>
      <c r="I1205" s="1355"/>
      <c r="J1205" s="1355"/>
      <c r="K1205" s="7"/>
      <c r="L1205" s="7"/>
      <c r="M1205" s="7"/>
      <c r="N1205" s="52"/>
      <c r="O1205" s="138">
        <f>'päd.Personal - Leitung'!$O$5</f>
        <v>2025</v>
      </c>
      <c r="P1205" s="52" t="s">
        <v>140</v>
      </c>
    </row>
    <row r="1206" spans="1:19" s="8" customFormat="1" ht="13.5" customHeight="1" x14ac:dyDescent="0.25">
      <c r="B1206" s="29"/>
      <c r="C1206" s="29"/>
      <c r="D1206" s="3" t="s">
        <v>58</v>
      </c>
      <c r="E1206" s="28"/>
      <c r="F1206" s="28"/>
      <c r="G1206" s="28"/>
      <c r="H1206" s="28"/>
      <c r="I1206" s="24"/>
      <c r="K1206" s="1327" t="s">
        <v>13</v>
      </c>
      <c r="L1206" s="1327"/>
      <c r="M1206" s="131"/>
      <c r="O1206" s="928" t="str">
        <f>A1229</f>
        <v>Jan 2025</v>
      </c>
      <c r="P1206" s="1402">
        <f>IF(M1208="","",M1208)</f>
        <v>0</v>
      </c>
    </row>
    <row r="1207" spans="1:19" s="5" customFormat="1" ht="13.5" customHeight="1" x14ac:dyDescent="0.25">
      <c r="A1207" s="1328" t="s">
        <v>754</v>
      </c>
      <c r="B1207" s="1328"/>
      <c r="C1207" s="1328"/>
      <c r="D1207" s="1345"/>
      <c r="E1207" s="1345"/>
      <c r="F1207" s="1345"/>
      <c r="G1207" s="1345"/>
      <c r="H1207" s="1345"/>
      <c r="I1207" s="1345"/>
      <c r="K1207" s="1327" t="s">
        <v>101</v>
      </c>
      <c r="L1207" s="1327"/>
      <c r="M1207" s="101"/>
      <c r="O1207" s="928" t="str">
        <f t="shared" ref="O1207:O1217" si="198">A1230</f>
        <v>Feb 2025</v>
      </c>
      <c r="P1207" s="1403">
        <f t="shared" ref="P1207:P1217" si="199">IF(P1206="","",P1206)</f>
        <v>0</v>
      </c>
    </row>
    <row r="1208" spans="1:19" s="1" customFormat="1" ht="13.5" customHeight="1" x14ac:dyDescent="0.2">
      <c r="A1208" s="1328" t="s">
        <v>12</v>
      </c>
      <c r="B1208" s="1328"/>
      <c r="C1208" s="1328"/>
      <c r="D1208" s="1345"/>
      <c r="E1208" s="1345"/>
      <c r="F1208" s="1345"/>
      <c r="G1208" s="1345"/>
      <c r="H1208" s="1345"/>
      <c r="I1208" s="1345"/>
      <c r="K1208" s="1327" t="s">
        <v>149</v>
      </c>
      <c r="L1208" s="1327"/>
      <c r="M1208" s="101">
        <f>IF((M1209+M1210)&gt;M1207,0,M1207-M1209-M1210)</f>
        <v>0</v>
      </c>
      <c r="O1208" s="928" t="str">
        <f t="shared" si="198"/>
        <v>Mrz 2025</v>
      </c>
      <c r="P1208" s="1403">
        <f t="shared" si="199"/>
        <v>0</v>
      </c>
    </row>
    <row r="1209" spans="1:19" s="1" customFormat="1" ht="13.5" customHeight="1" x14ac:dyDescent="0.2">
      <c r="A1209" s="1328" t="s">
        <v>11</v>
      </c>
      <c r="B1209" s="1328"/>
      <c r="C1209" s="1328"/>
      <c r="D1209" s="1345"/>
      <c r="E1209" s="1345"/>
      <c r="F1209" s="1345"/>
      <c r="G1209" s="1345"/>
      <c r="H1209" s="1345"/>
      <c r="I1209" s="1345"/>
      <c r="K1209" s="1327" t="s">
        <v>150</v>
      </c>
      <c r="L1209" s="1327"/>
      <c r="M1209" s="101"/>
      <c r="O1209" s="928" t="str">
        <f t="shared" si="198"/>
        <v>Apr 2025</v>
      </c>
      <c r="P1209" s="1403">
        <f t="shared" si="199"/>
        <v>0</v>
      </c>
    </row>
    <row r="1210" spans="1:19" s="1" customFormat="1" ht="13.5" customHeight="1" x14ac:dyDescent="0.2">
      <c r="A1210" s="1328" t="s">
        <v>18</v>
      </c>
      <c r="B1210" s="1328"/>
      <c r="C1210" s="1328"/>
      <c r="D1210" s="1345"/>
      <c r="E1210" s="1345"/>
      <c r="F1210" s="1345"/>
      <c r="G1210" s="1345"/>
      <c r="H1210" s="1345"/>
      <c r="I1210" s="1345"/>
      <c r="K1210" s="1327" t="s">
        <v>222</v>
      </c>
      <c r="L1210" s="1327"/>
      <c r="M1210" s="101"/>
      <c r="O1210" s="928" t="str">
        <f t="shared" si="198"/>
        <v>Mai 2025</v>
      </c>
      <c r="P1210" s="1403">
        <f t="shared" si="199"/>
        <v>0</v>
      </c>
    </row>
    <row r="1211" spans="1:19" s="1" customFormat="1" ht="13.5" customHeight="1" x14ac:dyDescent="0.2">
      <c r="B1211" s="6"/>
      <c r="C1211" s="1029" t="s">
        <v>147</v>
      </c>
      <c r="D1211" s="1324"/>
      <c r="E1211" s="1324"/>
      <c r="F1211" s="1359" t="s">
        <v>103</v>
      </c>
      <c r="G1211" s="1359"/>
      <c r="H1211" s="1361"/>
      <c r="I1211" s="1361"/>
      <c r="K1211" s="1327" t="s">
        <v>94</v>
      </c>
      <c r="L1211" s="1327"/>
      <c r="M1211" s="15" t="str">
        <f>IF(IF((COUNTIF(B1229:B1240,"&gt;0"))=0,0,(COUNTIF(B1229:B1240,"&gt;0")))&gt;Grundlagen!$C$26,Grundlagen!$C$26,IF((COUNTIF(B1229:B1240,"&gt;0"))=0,"",(COUNTIF(B1229:B1240,"&gt;0"))))</f>
        <v/>
      </c>
      <c r="O1211" s="928" t="str">
        <f t="shared" si="198"/>
        <v>Jun 2025</v>
      </c>
      <c r="P1211" s="1403">
        <f t="shared" si="199"/>
        <v>0</v>
      </c>
    </row>
    <row r="1212" spans="1:19" s="1" customFormat="1" ht="13.5" customHeight="1" x14ac:dyDescent="0.2">
      <c r="I1212" s="4"/>
      <c r="M1212" s="102" t="str">
        <f>IF((SUM(F1214:F1217))=0,"",IF(P1218&gt;M1208,M1208,IF(M1208="","",IF(M1211="","",P1218))))</f>
        <v/>
      </c>
      <c r="O1212" s="928" t="str">
        <f t="shared" si="198"/>
        <v>Jul 2025</v>
      </c>
      <c r="P1212" s="1403">
        <f t="shared" si="199"/>
        <v>0</v>
      </c>
    </row>
    <row r="1213" spans="1:19" s="46" customFormat="1" ht="13.5" customHeight="1" x14ac:dyDescent="0.2">
      <c r="A1213" s="54" t="s">
        <v>134</v>
      </c>
      <c r="B1213" s="1356" t="s">
        <v>135</v>
      </c>
      <c r="C1213" s="1356"/>
      <c r="D1213" s="55" t="s">
        <v>136</v>
      </c>
      <c r="E1213" s="56" t="s">
        <v>137</v>
      </c>
      <c r="F1213" s="57" t="str">
        <f>CONCATENATE("Entg. ",N1203," h/Wo")</f>
        <v>Entg.  h/Wo</v>
      </c>
      <c r="G1213" s="58" t="s">
        <v>138</v>
      </c>
      <c r="I1213" s="58" t="s">
        <v>139</v>
      </c>
      <c r="K1213" s="970"/>
      <c r="L1213" s="970"/>
      <c r="M1213" s="59"/>
      <c r="N1213" s="968"/>
      <c r="O1213" s="928" t="str">
        <f t="shared" si="198"/>
        <v>Aug 2025</v>
      </c>
      <c r="P1213" s="1403">
        <f t="shared" si="199"/>
        <v>0</v>
      </c>
      <c r="Q1213" s="85"/>
      <c r="R1213" s="85"/>
      <c r="S1213" s="85"/>
    </row>
    <row r="1214" spans="1:19" s="46" customFormat="1" ht="13.5" customHeight="1" x14ac:dyDescent="0.25">
      <c r="A1214" s="48" t="str">
        <f>'päd.Personal - Leitung'!$A$14</f>
        <v>Jan 2025</v>
      </c>
      <c r="B1214" s="1357" t="str">
        <f>IF($D$3="","",$D$3)</f>
        <v/>
      </c>
      <c r="C1214" s="1358"/>
      <c r="D1214" s="132"/>
      <c r="E1214" s="132"/>
      <c r="F1214" s="71"/>
      <c r="G1214" s="50">
        <f>IF(N1203="",0,F1214/N1203/4.348)</f>
        <v>0</v>
      </c>
      <c r="I1214" s="125">
        <f>SUM(J1214:M1214)</f>
        <v>0</v>
      </c>
      <c r="J1214" s="124"/>
      <c r="K1214" s="124"/>
      <c r="L1214" s="124"/>
      <c r="M1214" s="124"/>
      <c r="N1214" s="969"/>
      <c r="O1214" s="928" t="str">
        <f t="shared" si="198"/>
        <v>Sep 2025</v>
      </c>
      <c r="P1214" s="1403">
        <f t="shared" si="199"/>
        <v>0</v>
      </c>
      <c r="Q1214" s="85"/>
      <c r="R1214" s="85"/>
      <c r="S1214" s="85"/>
    </row>
    <row r="1215" spans="1:19" s="46" customFormat="1" ht="13.5" customHeight="1" x14ac:dyDescent="0.25">
      <c r="A1215" s="49"/>
      <c r="B1215" s="1322" t="str">
        <f>IF(A1215="","",B1214)</f>
        <v/>
      </c>
      <c r="C1215" s="1323"/>
      <c r="D1215" s="132"/>
      <c r="E1215" s="132"/>
      <c r="F1215" s="71"/>
      <c r="G1215" s="50">
        <f>IF(N1203="",0,F1215/N1203/4.348)</f>
        <v>0</v>
      </c>
      <c r="I1215" s="125">
        <f t="shared" ref="I1215:I1217" si="200">SUM(J1215:M1215)</f>
        <v>0</v>
      </c>
      <c r="J1215" s="124"/>
      <c r="K1215" s="124"/>
      <c r="L1215" s="124"/>
      <c r="M1215" s="124"/>
      <c r="N1215" s="969"/>
      <c r="O1215" s="928" t="str">
        <f t="shared" si="198"/>
        <v>Okt 2025</v>
      </c>
      <c r="P1215" s="1403">
        <f t="shared" si="199"/>
        <v>0</v>
      </c>
      <c r="Q1215" s="85"/>
      <c r="R1215" s="85"/>
      <c r="S1215" s="85"/>
    </row>
    <row r="1216" spans="1:19" s="46" customFormat="1" ht="13.5" customHeight="1" x14ac:dyDescent="0.25">
      <c r="A1216" s="49"/>
      <c r="B1216" s="1322" t="str">
        <f>IF(A1216="","",B1215)</f>
        <v/>
      </c>
      <c r="C1216" s="1323"/>
      <c r="D1216" s="132"/>
      <c r="E1216" s="132"/>
      <c r="F1216" s="71"/>
      <c r="G1216" s="50">
        <f>IF(N1203="",0,F1216/N1203/4.348)</f>
        <v>0</v>
      </c>
      <c r="I1216" s="125">
        <f t="shared" si="200"/>
        <v>0</v>
      </c>
      <c r="J1216" s="124"/>
      <c r="K1216" s="124"/>
      <c r="L1216" s="124"/>
      <c r="M1216" s="124"/>
      <c r="N1216" s="969"/>
      <c r="O1216" s="928" t="str">
        <f t="shared" si="198"/>
        <v>Nov 2025</v>
      </c>
      <c r="P1216" s="1403">
        <f t="shared" si="199"/>
        <v>0</v>
      </c>
      <c r="Q1216" s="85"/>
      <c r="R1216" s="85"/>
      <c r="S1216" s="85"/>
    </row>
    <row r="1217" spans="1:22" s="46" customFormat="1" ht="13.5" customHeight="1" x14ac:dyDescent="0.25">
      <c r="A1217" s="49"/>
      <c r="B1217" s="1322" t="str">
        <f>IF(A1217="","",B1216)</f>
        <v/>
      </c>
      <c r="C1217" s="1323"/>
      <c r="D1217" s="132"/>
      <c r="E1217" s="132"/>
      <c r="F1217" s="71"/>
      <c r="G1217" s="50">
        <f>IF(N1203="",0,F1217/N1203/4.348)</f>
        <v>0</v>
      </c>
      <c r="I1217" s="125">
        <f t="shared" si="200"/>
        <v>0</v>
      </c>
      <c r="J1217" s="124"/>
      <c r="K1217" s="124"/>
      <c r="L1217" s="124"/>
      <c r="M1217" s="124"/>
      <c r="N1217" s="969"/>
      <c r="O1217" s="928" t="str">
        <f t="shared" si="198"/>
        <v>Dez 2025</v>
      </c>
      <c r="P1217" s="1403">
        <f t="shared" si="199"/>
        <v>0</v>
      </c>
      <c r="Q1217" s="85"/>
      <c r="R1217" s="85"/>
      <c r="S1217" s="85"/>
    </row>
    <row r="1218" spans="1:22" s="46" customFormat="1" ht="13.5" customHeight="1" x14ac:dyDescent="0.25">
      <c r="B1218" s="972"/>
      <c r="C1218" s="972"/>
      <c r="E1218" s="972"/>
      <c r="F1218" s="972"/>
      <c r="I1218" s="930" t="s">
        <v>730</v>
      </c>
      <c r="J1218" s="1060"/>
      <c r="K1218" s="1060"/>
      <c r="L1218" s="1060"/>
      <c r="M1218" s="1060"/>
      <c r="N1218" s="971"/>
      <c r="O1218" s="126" t="s">
        <v>221</v>
      </c>
      <c r="P1218" s="127">
        <f>IF(M1211="",0,((IF(SUMIF(B1229,"&gt;0"),P1206,0))+(IF(SUMIF(B1230,"&gt;0"),P1207,0))+(IF(SUMIF(B1231,"&gt;0"),P1208,0))+(IF(SUMIF(B1232,"&gt;0"),P1209,0))+(IF(SUMIF(B1233,"&gt;0"),P1210,0))+(IF(SUMIF(B1234,"&gt;0"),P1211,0))+(IF(SUMIF(B1235,"&gt;0"),P1212,0))+(IF(SUMIF(B1236,"&gt;0"),P1213,0))+(IF(SUMIF(B1237,"&gt;0"),P1214,0))+(IF(SUMIF(B1238,"&gt;0"),P1215,0))+(IF(SUMIF(B1239,"&gt;0"),P1216,0))+(IF(SUMIF(B1240,"&gt;0"),P1217,0)))/Grundlagen!$C$26)</f>
        <v>0</v>
      </c>
      <c r="Q1218" s="958" t="str">
        <f>CONCATENATE("BBG"," anteilig ",O1220)</f>
        <v>BBG anteilig 2025</v>
      </c>
      <c r="R1218" s="931" t="s">
        <v>659</v>
      </c>
      <c r="S1218" s="931" t="s">
        <v>398</v>
      </c>
      <c r="T1218" s="107"/>
    </row>
    <row r="1219" spans="1:22" s="46" customFormat="1" ht="13.5" customHeight="1" x14ac:dyDescent="0.2">
      <c r="A1219" s="924" t="s">
        <v>732</v>
      </c>
      <c r="D1219" s="55" t="s">
        <v>369</v>
      </c>
      <c r="E1219" s="56" t="s">
        <v>368</v>
      </c>
      <c r="F1219" s="58"/>
      <c r="J1219" s="61"/>
      <c r="Q1219" s="932" t="s">
        <v>144</v>
      </c>
      <c r="R1219" s="140">
        <f>IF(M1208=0,R1223,IF(M1207="",R1223,(SUM(R1229:R1240)/M1211)))</f>
        <v>5175</v>
      </c>
      <c r="S1219" s="933">
        <f>IF(M1208=0,S1223,IF(M1207="",S1223,SUM(R1229:R1240)))</f>
        <v>0</v>
      </c>
      <c r="T1219" s="107"/>
    </row>
    <row r="1220" spans="1:22" s="46" customFormat="1" ht="13.5" customHeight="1" x14ac:dyDescent="0.25">
      <c r="A1220" s="60"/>
      <c r="B1220" s="1314" t="str">
        <f>IF($B$20="","",$B$20)</f>
        <v>Jahressonderzahlung (JSZ)</v>
      </c>
      <c r="C1220" s="1315"/>
      <c r="D1220" s="926"/>
      <c r="E1220" s="929" t="str">
        <f>IF(A1220="","",ROUND((((SUM(B1235:B1237)+SUM(F1235:F1237))/3)*D1220)/Grundlagen!$C$26*M1211,2))</f>
        <v/>
      </c>
      <c r="G1220" s="941" t="s">
        <v>733</v>
      </c>
      <c r="H1220" s="943"/>
      <c r="I1220" s="1316" t="str">
        <f>CONCATENATE(R1243,":"," Übergangsbereich von ",R1244+0.01," €"," bis ",R1245," €")</f>
        <v>2025: Übergangsbereich von 556,01 € bis 2000 €</v>
      </c>
      <c r="J1220" s="1317"/>
      <c r="K1220" s="1317"/>
      <c r="L1220" s="1067"/>
      <c r="M1220" s="1067"/>
      <c r="N1220" s="1068" t="s">
        <v>736</v>
      </c>
      <c r="O1220" s="1069">
        <f>P1220+1</f>
        <v>2025</v>
      </c>
      <c r="P1220" s="1069" t="s">
        <v>721</v>
      </c>
      <c r="Q1220" s="932" t="s">
        <v>145</v>
      </c>
      <c r="R1220" s="140">
        <f>IF(M1208=0,R1224,IF(M1207="",R1224,(SUM(S1229:S1240)/M1211)))</f>
        <v>7450</v>
      </c>
      <c r="S1220" s="933">
        <f>IF(M1208=0,S1224,IF(M1207="",S1224,SUM(S1229:S1240)))</f>
        <v>0</v>
      </c>
      <c r="T1220" s="109"/>
    </row>
    <row r="1221" spans="1:22" s="1" customFormat="1" ht="14.25" customHeight="1" x14ac:dyDescent="0.2">
      <c r="A1221" s="60"/>
      <c r="B1221" s="1314" t="str">
        <f>IF($B$21="","",$B$21)</f>
        <v>Leistungsentgelt (LOB)</v>
      </c>
      <c r="C1221" s="1315"/>
      <c r="D1221" s="926"/>
      <c r="E1221" s="929" t="str">
        <f>IF(A1221="","",ROUND(((B1241+F1241)*D1221)/Grundlagen!$C$26*M1211,2))</f>
        <v/>
      </c>
      <c r="G1221" s="941" t="str">
        <f>IF(OR(H1220="",H1220="nein")=TRUE,"","Faktor (F):")</f>
        <v/>
      </c>
      <c r="H1221" s="949" t="str">
        <f>IF(OR(H1220="",H1220="nein")=TRUE,"",IF(H1220="","",R1247))</f>
        <v/>
      </c>
      <c r="I1221" s="1318" t="str">
        <f>IF(OR(H1220="",H1220="nein")=TRUE,"",IF(H1221="","",CONCATENATE(S1247*100,"%"," / ","(",R1246*100,"%"," Gesamt-SV-Beitragssatz 2024)")))</f>
        <v/>
      </c>
      <c r="J1221" s="1319"/>
      <c r="K1221" s="1319"/>
      <c r="L1221" s="1070"/>
      <c r="M1221" s="1070"/>
      <c r="N1221" s="1071" t="s">
        <v>144</v>
      </c>
      <c r="O1221" s="1072">
        <f>'päd.Personal - Leitung'!$O$21</f>
        <v>5175</v>
      </c>
      <c r="P1221" s="1072">
        <f>'päd.Personal - Leitung'!$P$21</f>
        <v>5175</v>
      </c>
      <c r="Q1221" s="11"/>
      <c r="R1221" s="11"/>
      <c r="S1221" s="11"/>
      <c r="T1221" s="109"/>
    </row>
    <row r="1222" spans="1:22" s="1" customFormat="1" ht="14.25" customHeight="1" x14ac:dyDescent="0.2">
      <c r="C1222" s="925" t="s">
        <v>731</v>
      </c>
      <c r="L1222" s="1070"/>
      <c r="M1222" s="1070"/>
      <c r="N1222" s="1071" t="s">
        <v>145</v>
      </c>
      <c r="O1222" s="1073">
        <f>'päd.Personal - Leitung'!$O$22</f>
        <v>7450</v>
      </c>
      <c r="P1222" s="1073">
        <f>'päd.Personal - Leitung'!$P$22</f>
        <v>7450</v>
      </c>
      <c r="Q1222" s="958" t="str">
        <f>CONCATENATE("BBG"," ",O1220)</f>
        <v>BBG 2025</v>
      </c>
      <c r="R1222" s="11"/>
      <c r="S1222" s="11"/>
      <c r="T1222" s="109"/>
    </row>
    <row r="1223" spans="1:22" s="1" customFormat="1" ht="14.25" customHeight="1" x14ac:dyDescent="0.2">
      <c r="A1223" s="53" t="s">
        <v>141</v>
      </c>
      <c r="B1223" s="46"/>
      <c r="C1223" s="46"/>
      <c r="D1223" s="46"/>
      <c r="E1223" s="46"/>
      <c r="F1223" s="46"/>
      <c r="G1223" s="46"/>
      <c r="H1223" s="46"/>
      <c r="I1223" s="46"/>
      <c r="J1223" s="46"/>
      <c r="K1223" s="46"/>
      <c r="L1223" s="46"/>
      <c r="M1223" s="46"/>
      <c r="N1223" s="46"/>
      <c r="O1223" s="46"/>
      <c r="P1223" s="46"/>
      <c r="Q1223" s="932" t="s">
        <v>144</v>
      </c>
      <c r="R1223" s="141">
        <f>IF($O$21="",0,$O$21)</f>
        <v>5175</v>
      </c>
      <c r="S1223" s="933">
        <f>R1223*IF(M1211="",0,M1211)</f>
        <v>0</v>
      </c>
      <c r="T1223" s="295"/>
    </row>
    <row r="1224" spans="1:22" s="1" customFormat="1" ht="14.25" customHeight="1" x14ac:dyDescent="0.2">
      <c r="A1224" s="1346"/>
      <c r="B1224" s="1348" t="s">
        <v>8</v>
      </c>
      <c r="C1224" s="1349"/>
      <c r="D1224" s="1349"/>
      <c r="E1224" s="1349"/>
      <c r="F1224" s="1349"/>
      <c r="G1224" s="1350"/>
      <c r="H1224" s="1351" t="s">
        <v>113</v>
      </c>
      <c r="I1224" s="1352"/>
      <c r="J1224" s="1352"/>
      <c r="K1224" s="1352"/>
      <c r="L1224" s="1352"/>
      <c r="M1224" s="1352"/>
      <c r="N1224" s="1352"/>
      <c r="O1224" s="30"/>
      <c r="P1224" s="1330" t="s">
        <v>0</v>
      </c>
      <c r="Q1224" s="932" t="s">
        <v>145</v>
      </c>
      <c r="R1224" s="141">
        <f>IF($O$22="",0,$O$22)</f>
        <v>7450</v>
      </c>
      <c r="S1224" s="933">
        <f>R1224*IF(M1211="",0,M1211)</f>
        <v>0</v>
      </c>
      <c r="T1224" s="830"/>
    </row>
    <row r="1225" spans="1:22" s="1" customFormat="1" ht="14.25" customHeight="1" x14ac:dyDescent="0.2">
      <c r="A1225" s="1347"/>
      <c r="B1225" s="1333" t="s">
        <v>111</v>
      </c>
      <c r="C1225" s="1335" t="s">
        <v>743</v>
      </c>
      <c r="D1225" s="1337" t="s">
        <v>226</v>
      </c>
      <c r="E1225" s="1339" t="s">
        <v>133</v>
      </c>
      <c r="F1225" s="1030" t="s">
        <v>6</v>
      </c>
      <c r="G1225" s="1340" t="s">
        <v>5</v>
      </c>
      <c r="H1225" s="1339" t="s">
        <v>119</v>
      </c>
      <c r="I1225" s="1339" t="s">
        <v>4</v>
      </c>
      <c r="J1225" s="1339" t="s">
        <v>3</v>
      </c>
      <c r="K1225" s="1339" t="s">
        <v>2</v>
      </c>
      <c r="L1225" s="1339" t="s">
        <v>114</v>
      </c>
      <c r="M1225" s="1339" t="s">
        <v>115</v>
      </c>
      <c r="N1225" s="1339" t="s">
        <v>116</v>
      </c>
      <c r="O1225" s="1338" t="s">
        <v>109</v>
      </c>
      <c r="P1225" s="1331"/>
      <c r="Q1225" s="456"/>
      <c r="R1225" s="11"/>
      <c r="S1225" s="11"/>
      <c r="T1225" s="621"/>
    </row>
    <row r="1226" spans="1:22" s="1" customFormat="1" ht="14.25" customHeight="1" x14ac:dyDescent="0.2">
      <c r="A1226" s="1347"/>
      <c r="B1226" s="1333"/>
      <c r="C1226" s="1335"/>
      <c r="D1226" s="1338"/>
      <c r="E1226" s="1339"/>
      <c r="F1226" s="1343" t="str">
        <f>I1218</f>
        <v>Zuschläge / Zulagen / o.ä.:</v>
      </c>
      <c r="G1226" s="1340"/>
      <c r="H1226" s="1342" t="s">
        <v>117</v>
      </c>
      <c r="I1226" s="1342"/>
      <c r="J1226" s="1342"/>
      <c r="K1226" s="1342"/>
      <c r="L1226" s="1342"/>
      <c r="M1226" s="1342"/>
      <c r="N1226" s="1342"/>
      <c r="O1226" s="1338"/>
      <c r="P1226" s="1331"/>
      <c r="Q1226" s="456"/>
      <c r="R1226" s="1306" t="str">
        <f>Q1218</f>
        <v>BBG anteilig 2025</v>
      </c>
      <c r="S1226" s="1306"/>
      <c r="T1226" s="829"/>
    </row>
    <row r="1227" spans="1:22" s="1" customFormat="1" ht="14.25" customHeight="1" x14ac:dyDescent="0.2">
      <c r="A1227" s="1347"/>
      <c r="B1227" s="1333"/>
      <c r="C1227" s="1335"/>
      <c r="D1227" s="1338"/>
      <c r="E1227" s="1339"/>
      <c r="F1227" s="1343"/>
      <c r="G1227" s="1340"/>
      <c r="H1227" s="39" t="str">
        <f>'päd.Personal - Leitung'!$H$27</f>
        <v>(7,30% + Zusatz)</v>
      </c>
      <c r="I1227" s="39" t="str">
        <f>'päd.Personal - Leitung'!$I$27</f>
        <v xml:space="preserve"> (2024: 9,30%)</v>
      </c>
      <c r="J1227" s="39" t="str">
        <f>'päd.Personal - Leitung'!$J$27</f>
        <v>(2024: 1,30%)</v>
      </c>
      <c r="K1227" s="39" t="str">
        <f>'päd.Personal - Leitung'!$K$27</f>
        <v>(2024: 1,700%)</v>
      </c>
      <c r="L1227" s="39"/>
      <c r="M1227" s="39"/>
      <c r="N1227" s="39" t="str">
        <f>'päd.Personal - Leitung'!$N$27</f>
        <v>(2024: 0,06%)</v>
      </c>
      <c r="O1227" s="1338"/>
      <c r="P1227" s="1331"/>
      <c r="Q1227" s="456"/>
      <c r="R1227" s="1307" t="s">
        <v>659</v>
      </c>
      <c r="S1227" s="1307"/>
      <c r="T1227" s="829"/>
      <c r="U1227" s="1308" t="s">
        <v>1</v>
      </c>
      <c r="V1227" s="1308" t="s">
        <v>741</v>
      </c>
    </row>
    <row r="1228" spans="1:22" s="1" customFormat="1" x14ac:dyDescent="0.2">
      <c r="A1228" s="1347"/>
      <c r="B1228" s="1334"/>
      <c r="C1228" s="1336"/>
      <c r="D1228" s="45"/>
      <c r="E1228" s="45"/>
      <c r="F1228" s="1344"/>
      <c r="G1228" s="1341"/>
      <c r="H1228" s="74"/>
      <c r="I1228" s="99">
        <f>'päd.Personal - Leitung'!$I$28</f>
        <v>0</v>
      </c>
      <c r="J1228" s="99">
        <f>'päd.Personal - Leitung'!$J$28</f>
        <v>0</v>
      </c>
      <c r="K1228" s="40">
        <f>'päd.Personal - Leitung'!$K$28</f>
        <v>0</v>
      </c>
      <c r="L1228" s="19"/>
      <c r="M1228" s="19"/>
      <c r="N1228" s="99">
        <f>'päd.Personal - Leitung'!$N$28</f>
        <v>0</v>
      </c>
      <c r="O1228" s="23"/>
      <c r="P1228" s="1332"/>
      <c r="Q1228" s="456"/>
      <c r="R1228" s="935" t="s">
        <v>144</v>
      </c>
      <c r="S1228" s="935" t="s">
        <v>145</v>
      </c>
      <c r="T1228" s="829"/>
      <c r="U1228" s="1308"/>
      <c r="V1228" s="1308"/>
    </row>
    <row r="1229" spans="1:22" s="1" customFormat="1" x14ac:dyDescent="0.2">
      <c r="A1229" s="76" t="str">
        <f>CONCATENATE("Jan ",O1205)</f>
        <v>Jan 2025</v>
      </c>
      <c r="B1229" s="22">
        <f>ROUND(IF(P1206=0,0,(LOOKUP(2,1/(A1214:A1217=A1229),G1214:G1217))*P1206*4.348),2)</f>
        <v>0</v>
      </c>
      <c r="C1229" s="21">
        <f>ROUND(IFERROR((LOOKUP(2,1/(A1220=A1229),E1220)),0)+IFERROR((LOOKUP(2,1/(A1221=A1229),E1221)),0),2)</f>
        <v>0</v>
      </c>
      <c r="D1229" s="21">
        <f>ROUND(IF(B1229=0,0,D1228/M1207*P1206),2)</f>
        <v>0</v>
      </c>
      <c r="E1229" s="21">
        <f>ROUND(IF(B1229=0,0,E1228/N1203*P1206),2)</f>
        <v>0</v>
      </c>
      <c r="F1229" s="22">
        <f>ROUND(IF(P1206=0,0,(LOOKUP(2,1/(A1214:A1217=A1229),I1214:I1217))/N1203*P1206),2)</f>
        <v>0</v>
      </c>
      <c r="G1229" s="25">
        <f t="shared" ref="G1229:G1240" si="201">SUM(B1229+C1229+E1229+F1229)</f>
        <v>0</v>
      </c>
      <c r="H1229" s="64">
        <f>IF(B1229=0,0,IF(AND(H1220="ja",((U1229)&lt;R1245)),ROUND(((R1247*R1244+((R1245/(R1245-R1244))-(R1244/(R1245-R1244))*R1247)*((U1229)-R1244))*(H1228*2))-(((R1245/(R1245-R1244))*((U1229)-R1244))*H1228),2),ROUND(IF((U1229)&gt;R1229,R1229*H1228,U1229*H1228),2)))</f>
        <v>0</v>
      </c>
      <c r="I1229" s="64">
        <f>IF(B1229=0,0,IF(AND(H1220="ja",((U1229)&lt;R1245)),ROUND(((R1247*R1244+((R1245/(R1245-R1244))-(R1244/(R1245-R1244))*R1247)*((U1229)-R1244))*(I1228*2))-(((R1245/(R1245-R1244))*((U1229)-R1244))*I1228),2),ROUND(IF((U1229)&gt;S1229,S1229*I1228,U1229*I1228),2)))</f>
        <v>0</v>
      </c>
      <c r="J1229" s="64">
        <f>IF(B1229=0,0,IF(AND(H1220="ja",((U1229)&lt;R1245)),ROUND(((R1247*R1244+((R1245/(R1245-R1244))-(R1244/(R1245-R1244))*R1247)*((U1229)-R1244))*(J1228*2))-(((R1245/(R1245-R1244))*((U1229)-R1244))*J1228),2),ROUND(IF((U1229)&gt;S1229,S1229*J1228,U1229*J1228),2)))</f>
        <v>0</v>
      </c>
      <c r="K1229" s="64">
        <f>IF(B1229=0,0,IF(AND(H1220="ja",((U1229)&lt;R1245)),ROUND(((R1247*R1244+((R1245/(R1245-R1244))-(R1244/(R1245-R1244))*R1247)*((U1229)-R1244))*(K1228*2))-(((R1245/(R1245-R1244))*((U1229)-R1244))*K1228),2),ROUND(IF((U1229)&gt;R1229,R1229*K1228,U1229*K1228),2)))</f>
        <v>0</v>
      </c>
      <c r="L1229" s="64">
        <f>IF(B1229=0,0,IF(AND(H1220="ja",((U1229-C1229)&lt;R1245)),ROUND(((R1247*R1244+((R1245/(R1245-R1244))-(R1244/(R1245-R1244))*R1247)*((U1229-C1229)-R1244))*(L1228)),2),ROUND(IF((SUM(B1229:F1229))&gt;S1229,S1229*L1228,(SUM(B1229:F1229)-C1229)*L1228),2)))</f>
        <v>0</v>
      </c>
      <c r="M1229" s="64">
        <f>IF(B1229=0,0,IF(AND(H1220="ja",((U1229-C1229)&lt;R1245)),ROUND(((R1247*R1244+((R1245/(R1245-R1244))-(R1244/(R1245-R1244))*R1247)*((U1229-C1229)-R1244))*(M1228)),2),ROUND(IF((SUM(B1229:F1229))&gt;S1229,S1229*M1228,(SUM(B1229:F1229)-C1229)*M1228),2)))</f>
        <v>0</v>
      </c>
      <c r="N1229" s="64">
        <f>IF(B1229=0,0,IF(AND(H1220="ja",((U1229)&lt;R1245)),ROUND(((R1247*R1244+((R1245/(R1245-R1244))-(R1244/(R1245-R1244))*R1247)*((U1229)-R1244))*(N1228)),2),ROUND(IF((SUM(B1229:F1229))&gt;S1229,S1229*N1228,SUM(B1229:F1229)*N1228),2)))</f>
        <v>0</v>
      </c>
      <c r="O1229" s="21">
        <f>ROUND(SUM(B1229+C1229+F1229)*O1228,2)</f>
        <v>0</v>
      </c>
      <c r="P1229" s="25">
        <f>SUM(G1229:O1229)</f>
        <v>0</v>
      </c>
      <c r="Q1229" s="456"/>
      <c r="R1229" s="140">
        <f>ROUND(IF(M1207="",R1223,R1223/M1207*P1206),2)</f>
        <v>5175</v>
      </c>
      <c r="S1229" s="140">
        <f>ROUND(IF(M1207="",R1224,R1224/M1207*P1206),2)</f>
        <v>7450</v>
      </c>
      <c r="U1229" s="950">
        <f>SUM(B1229:F1229)</f>
        <v>0</v>
      </c>
      <c r="V1229" s="950">
        <f>SUM(B1229:F1229)</f>
        <v>0</v>
      </c>
    </row>
    <row r="1230" spans="1:22" s="1" customFormat="1" x14ac:dyDescent="0.2">
      <c r="A1230" s="76" t="str">
        <f>CONCATENATE("Feb ",O1205)</f>
        <v>Feb 2025</v>
      </c>
      <c r="B1230" s="22">
        <f>ROUND(IF(P1207=0,0,IFERROR(((LOOKUP(2,1/(A1214:A1217=A1230),G1214:G1217))*P1207*4.348),B1229/P1206*P1207)),2)</f>
        <v>0</v>
      </c>
      <c r="C1230" s="21">
        <f>ROUND(IFERROR((LOOKUP(2,1/(A1220=A1230),E1220)),0)+IFERROR((LOOKUP(2,1/(A1221=A1230),E1221)),0),2)</f>
        <v>0</v>
      </c>
      <c r="D1230" s="21">
        <f>ROUND(IF(B1230=0,0,D1228/M1207*P1207),2)</f>
        <v>0</v>
      </c>
      <c r="E1230" s="21">
        <f>ROUND(IF(B1230=0,0,E1228/N1203*P1207),2)</f>
        <v>0</v>
      </c>
      <c r="F1230" s="22">
        <f>ROUND(IF(P1207=0,0,IFERROR(((LOOKUP(2,1/(A1214:A1217=A1230),I1214:I1217))/N1203*P1207),F1229/P1206*P1207)),2)</f>
        <v>0</v>
      </c>
      <c r="G1230" s="25">
        <f t="shared" si="201"/>
        <v>0</v>
      </c>
      <c r="H1230" s="64">
        <f>IF(B1230=0,0,IF(AND(H1220="ja",((U1230)&lt;R1245)),ROUND(((R1247*R1244+((R1245/(R1245-R1244))-(R1244/(R1245-R1244))*R1247)*((U1230)-R1244))*(H1228*2))-(((R1245/(R1245-R1244))*((U1230)-R1244))*H1228),2),ROUND(IF(U1229&lt;(R1229),IF((V1230)&gt;(SUM(R1229:R1230)),(((SUM(R1229:R1230))-(V1230-C1229))*H1228)+((U1230-C1229)*H1228),U1230*H1228),IF(V1230&gt;(SUM(R1229:R1230)),R1230*H1228,U1230*H1228)),2)))</f>
        <v>0</v>
      </c>
      <c r="I1230" s="64">
        <f>IF(B1230=0,0,IF(AND(H1220="ja",((U1230)&lt;R1245)),ROUND(((R1247*R1244+((R1245/(R1245-R1244))-(R1244/(R1245-R1244))*R1247)*((U1230)-R1244))*(I1228*2))-(((R1245/(R1245-R1244))*((U1230)-R1244))*I1228),2),ROUND(IF(U1229&lt;(S1229),IF((V1230)&gt;(SUM(S1229:S1230)),(((SUM(S1229:S1230))-(V1230-C1229))*I1228)+((U1230-C1229)*I1228),U1230*I1228),IF(V1230&gt;(SUM(S1229:S1230)),S1230*I1228,U1230*I1228)),2)))</f>
        <v>0</v>
      </c>
      <c r="J1230" s="64">
        <f>IF(B1230=0,0,IF(AND(H1220="ja",((U1230)&lt;R1245)),ROUND(((R1247*R1244+((R1245/(R1245-R1244))-(R1244/(R1245-R1244))*R1247)*((U1230)-R1244))*(J1228*2))-(((R1245/(R1245-R1244))*((U1230)-R1244))*J1228),2),ROUND(IF(U1229&lt;(S1229),IF((V1230)&gt;(SUM(S1229:S1230)),(((SUM(S1229:S1230))-(V1230-C1229))*J1228)+((U1230-C1229)*J1228),U1230*J1228),IF(V1230&gt;(SUM(S1229:S1230)),S1230*J1228,U1230*J1228)),2)))</f>
        <v>0</v>
      </c>
      <c r="K1230" s="64">
        <f>IF(B1230=0,0,IF(AND(H1220="ja",((U1230)&lt;R1245)),ROUND(((R1247*R1244+((R1245/(R1245-R1244))-(R1244/(R1245-R1244))*R1247)*((U1230)-R1244))*(K1228*2))-(((R1245/(R1245-R1244))*((U1230)-R1244))*K1228),2),ROUND(IF(U1229&lt;(R1229),IF((V1230)&gt;(SUM(R1229:R1230)),(((SUM(R1229:R1230))-(V1230-C1229))*K1228)+((U1230-C1229)*K1228),U1230*K1228),IF(V1230&gt;(SUM(R1229:R1230)),R1230*K1228,U1230*K1228)),2)))</f>
        <v>0</v>
      </c>
      <c r="L1230" s="64">
        <f>IF(B1230=0,0,IF(AND(H1220="ja",((U1230-C1230)&lt;R1245)),ROUND(((R1247*R1244+((R1245/(R1245-R1244))-(R1244/(R1245-R1244))*R1247)*((U1230-C1230)-R1244))*(L1228)),2),ROUND(IF(SUM(B1229:F1229)&lt;(S1229),IF((SUM(B1229:F1230))&gt;(SUM(S1229:S1230)),(((SUM(S1229:S1230))-(SUM(B1229:F1230)-C1230))*L1228)+((SUM(B1230:F1230)-C1230)*L1228),(SUM(B1230:F1230)-C1230)*L1228),IF(SUM(B1229:F1230)&gt;(SUM(S1229:S1230)),S1230*L1228,SUM(B1230:F1230)*L1228)),2)))</f>
        <v>0</v>
      </c>
      <c r="M1230" s="64">
        <f>IF(B1230=0,0,IF(AND(H1220="ja",((U1230-C1230)&lt;R1245)),ROUND(((R1247*R1244+((R1245/(R1245-R1244))-(R1244/(R1245-R1244))*R1247)*((U1230-C1230)-R1244))*(M1228)),2),ROUND(IF(SUM(B1229:F1229)&lt;(S1229),IF((SUM(B1229:F1230))&gt;(SUM(S1229:S1230)),(((SUM(S1229:S1230))-(SUM(B1229:F1230)-C1230))*M1228)+((SUM(B1230:F1230)-C1230)*M1228),(SUM(B1230:F1230)-C1230)*M1228),IF(SUM(B1229:F1230)&gt;(SUM(S1229:S1230)),S1230*M1228,SUM(B1230:F1230)*M1228)),2)))</f>
        <v>0</v>
      </c>
      <c r="N1230" s="64">
        <f>IF(B1230=0,0,IF(AND(H1220="ja",((U1230)&lt;R1245)),ROUND(((R1247*R1244+((R1245/(R1245-R1244))-(R1244/(R1245-R1244))*R1247)*((U1230)-R1244))*(N1228)),2),ROUND(IF(SUM(B1229:F1229)&lt;(S1229),IF((SUM(B1229:F1230))&gt;(SUM(S1229:S1230)),(((SUM(S1229:S1230))-(SUM(B1229:F1230)-C1229))*N1228)+((SUM(B1230:F1230)-C1229)*N1228),SUM(B1230:F1230)*N1228),IF(SUM(B1229:F1230)&gt;(SUM(S1229:S1230)),S1230*N1228,SUM(B1230:F1230)*N1228)),2)))</f>
        <v>0</v>
      </c>
      <c r="O1230" s="21">
        <f>ROUND(SUM(B1230+C1230+F1230)*O1228,2)</f>
        <v>0</v>
      </c>
      <c r="P1230" s="25">
        <f t="shared" ref="P1230:P1240" si="202">SUM(G1230:O1230)</f>
        <v>0</v>
      </c>
      <c r="Q1230" s="456"/>
      <c r="R1230" s="140">
        <f>ROUND(IF(M1207="",R1223,R1223/M1207*P1207),2)</f>
        <v>5175</v>
      </c>
      <c r="S1230" s="140">
        <f>ROUND(IF(M1207="",R1224,R1224/M1207*P1207),2)</f>
        <v>7450</v>
      </c>
      <c r="U1230" s="950">
        <f t="shared" ref="U1230:U1240" si="203">SUM(B1230:F1230)</f>
        <v>0</v>
      </c>
      <c r="V1230" s="950">
        <f>SUM(B1229:F1230)</f>
        <v>0</v>
      </c>
    </row>
    <row r="1231" spans="1:22" s="1" customFormat="1" x14ac:dyDescent="0.2">
      <c r="A1231" s="76" t="str">
        <f>CONCATENATE("Mrz ",O1205)</f>
        <v>Mrz 2025</v>
      </c>
      <c r="B1231" s="22">
        <f>ROUND(IF(P1208=0,0,IFERROR(((LOOKUP(2,1/(A1214:A1217=A1231),G1214:G1217))*P1208*4.348),B1230/P1207*P1208)),2)</f>
        <v>0</v>
      </c>
      <c r="C1231" s="21">
        <f>ROUND(IFERROR((LOOKUP(2,1/(A1220=A1231),E1220)),0)+IFERROR((LOOKUP(2,1/(A1221=A1231),E1221)),0),2)</f>
        <v>0</v>
      </c>
      <c r="D1231" s="21">
        <f>ROUND(IF(B1231=0,0,D1228/M1207*P1208),2)</f>
        <v>0</v>
      </c>
      <c r="E1231" s="21">
        <f>ROUND(IF(B1231=0,0,E1228/N1203*P1208),2)</f>
        <v>0</v>
      </c>
      <c r="F1231" s="22">
        <f>ROUND(IF(P1208=0,0,IFERROR(((LOOKUP(2,1/(A1214:A1217=A1231),I1214:I1217))/N1203*P1208),F1230/P1207*P1208)),2)</f>
        <v>0</v>
      </c>
      <c r="G1231" s="25">
        <f t="shared" si="201"/>
        <v>0</v>
      </c>
      <c r="H1231" s="64">
        <f>IF(B1231=0,0,IF(AND(H1220="ja",((U1231)&lt;R1245)),ROUND(((R1247*R1244+((R1245/(R1245-R1244))-(R1244/(R1245-R1244))*R1247)*((U1231)-R1244))*(H1228*2))-(((R1245/(R1245-R1244))*((U1231)-R1244))*H1228),2),ROUND(IF(V1230&lt;(SUM(R1229:R1230)),IF((V1231)&gt;(SUM(R1229:R1231)),(((SUM(R1229:R1231))-(V1231-C1230))*H1228)+((U1231-C1230)*H1228),U1231*H1228),IF(V1231&gt;(SUM(R1229:R1231)),R1231*H1228,U1231*H1228)),2)))</f>
        <v>0</v>
      </c>
      <c r="I1231" s="64">
        <f>IF(B1231=0,0,IF(AND(H1220="ja",((U1231)&lt;R1245)),ROUND(((R1247*R1244+((R1245/(R1245-R1244))-(R1244/(R1245-R1244))*R1247)*((U1231)-R1244))*(I1228*2))-(((R1245/(R1245-R1244))*((U1231)-R1244))*I1228),2),ROUND(IF(V1230&lt;(SUM(S1229:S1230)),IF((V1231)&gt;(SUM(S1229:S1231)),(((SUM(S1229:S1231))-(V1231-C1230))*I1228)+((U1231-C1230)*I1228),U1231*I1228),IF(V1231&gt;(SUM(S1229:S1231)),S1231*I1228,U1231*I1228)),2)))</f>
        <v>0</v>
      </c>
      <c r="J1231" s="64">
        <f>IF(B1231=0,0,IF(AND(H1220="ja",((U1231)&lt;R1245)),ROUND(((R1247*R1244+((R1245/(R1245-R1244))-(R1244/(R1245-R1244))*R1247)*((U1231)-R1244))*(J1228*2))-(((R1245/(R1245-R1244))*((U1231)-R1244))*J1228),2),ROUND(IF(V1230&lt;(SUM(S1229:S1230)),IF((V1231)&gt;(SUM(S1229:S1231)),(((SUM(S1229:S1231))-(V1231-C1230))*J1228)+((U1231-C1230)*J1228),U1231*J1228),IF(V1231&gt;(SUM(S1229:S1231)),S1231*J1228,U1231*J1228)),2)))</f>
        <v>0</v>
      </c>
      <c r="K1231" s="64">
        <f>IF(B1231=0,0,IF(AND(H1220="ja",((U1231)&lt;R1245)),ROUND(((R1247*R1244+((R1245/(R1245-R1244))-(R1244/(R1245-R1244))*R1247)*((U1231)-R1244))*(K1228*2))-(((R1245/(R1245-R1244))*((U1231)-R1244))*K1228),2),ROUND(IF(V1230&lt;(SUM(R1229:R1230)),IF((V1231)&gt;(SUM(R1229:R1231)),(((SUM(R1229:R1231))-(V1231-C1230))*K1228)+((U1231-C1230)*K1228),U1231*K1228),IF(V1231&gt;(SUM(R1229:R1231)),R1231*K1228,U1231*K1228)),2)))</f>
        <v>0</v>
      </c>
      <c r="L1231" s="64">
        <f>IF(B1231=0,0,IF(AND(H1220="ja",((U1231-C1231)&lt;R1245)),ROUND(((R1247*R1244+((R1245/(R1245-R1244))-(R1244/(R1245-R1244))*R1247)*((U1231-C1231)-R1244))*(L1228)),2),ROUND(IF(SUM(B1229:F1230)&lt;(SUM(S1229:S1230)),IF((SUM(B1229:F1231))&gt;(SUM(S1229:S1231)),(((SUM(S1229:S1231))-(SUM(B1229:F1231)-C1231))*L1228)+((SUM(B1231:F1231)-C1231)*L1228),(SUM(B1231:F1231)-C1231)*L1228),IF(SUM(B1229:F1231)&gt;(SUM(S1229:S1231)),S1231*L1228,SUM(B1231:F1231)*L1228)),2)))</f>
        <v>0</v>
      </c>
      <c r="M1231" s="64">
        <f>IF(B1231=0,0,IF(AND(H1220="ja",((U1231-C1231)&lt;R1245)),ROUND(((R1247*R1244+((R1245/(R1245-R1244))-(R1244/(R1245-R1244))*R1247)*((U1231-C1231)-R1244))*(M1228)),2),ROUND(IF(SUM(B1229:F1230)&lt;(SUM(S1229:S1230)),IF((SUM(B1229:F1231))&gt;(SUM(S1229:S1231)),(((SUM(S1229:S1231))-(SUM(B1229:F1231)-C1231))*M1228)+((SUM(B1231:F1231)-C1231)*M1228),(SUM(B1231:F1231)-C1231)*M1228),IF(SUM(B1229:F1231)&gt;(SUM(S1229:S1231)),S1231*M1228,SUM(B1231:F1231)*M1228)),2)))</f>
        <v>0</v>
      </c>
      <c r="N1231" s="64">
        <f>IF(B1231=0,0,IF(AND(H1220="ja",((U1231)&lt;R1245)),ROUND(((R1247*R1244+((R1245/(R1245-R1244))-(R1244/(R1245-R1244))*R1247)*((U1231)-R1244))*(N1228)),2),ROUND(IF(SUM(B1229:F1230)&lt;(SUM(S1229:S1230)),IF((SUM(B1229:F1231))&gt;(SUM(S1229:S1231)),(((SUM(S1229:S1231))-(SUM(B1229:F1231)-C1230))*N1228)+((SUM(B1231:F1231)-C1230)*N1228),SUM(B1231:F1231)*N1228),IF(SUM(B1229:F1231)&gt;(SUM(S1229:S1231)),S1231*N1228,SUM(B1231:F1231)*N1228)),2)))</f>
        <v>0</v>
      </c>
      <c r="O1231" s="21">
        <f>ROUND(SUM(B1231+C1231+F1231)*O1228,2)</f>
        <v>0</v>
      </c>
      <c r="P1231" s="25">
        <f t="shared" si="202"/>
        <v>0</v>
      </c>
      <c r="Q1231" s="456"/>
      <c r="R1231" s="140">
        <f>ROUND(IF(M1207="",R1223,R1223/M1207*P1208),2)</f>
        <v>5175</v>
      </c>
      <c r="S1231" s="140">
        <f>ROUND(IF(M1207="",R1224,R1224/M1207*P1208),2)</f>
        <v>7450</v>
      </c>
      <c r="U1231" s="950">
        <f t="shared" si="203"/>
        <v>0</v>
      </c>
      <c r="V1231" s="950">
        <f>SUM(B1229:F1231)</f>
        <v>0</v>
      </c>
    </row>
    <row r="1232" spans="1:22" s="1" customFormat="1" x14ac:dyDescent="0.2">
      <c r="A1232" s="76" t="str">
        <f>CONCATENATE("Apr ",O1205)</f>
        <v>Apr 2025</v>
      </c>
      <c r="B1232" s="22">
        <f>ROUND(IF(P1209=0,0,IFERROR(((LOOKUP(2,1/(A1214:A1217=A1232),G1214:G1217))*P1209*4.348),B1231/P1208*P1209)),2)</f>
        <v>0</v>
      </c>
      <c r="C1232" s="21">
        <f>ROUND(IFERROR((LOOKUP(2,1/(A1220=A1232),E1220)),0)+IFERROR((LOOKUP(2,1/(A1221=A1232),E1221)),0),2)</f>
        <v>0</v>
      </c>
      <c r="D1232" s="21">
        <f>ROUND(IF(B1232=0,0,D1228/M1207*P1209),2)</f>
        <v>0</v>
      </c>
      <c r="E1232" s="21">
        <f>ROUND(IF(B1232=0,0,E1228/N1203*P1209),2)</f>
        <v>0</v>
      </c>
      <c r="F1232" s="22">
        <f>ROUND(IF(P1209=0,0,IFERROR(((LOOKUP(2,1/(A1214:A1217=A1232),I1214:I1217))/N1203*P1209),F1231/P1208*P1209)),2)</f>
        <v>0</v>
      </c>
      <c r="G1232" s="25">
        <f t="shared" si="201"/>
        <v>0</v>
      </c>
      <c r="H1232" s="64">
        <f>IF(B1232=0,0,IF(AND(H1220="ja",((U1232)&lt;R1245)),ROUND(((R1247*R1244+((R1245/(R1245-R1244))-(R1244/(R1245-R1244))*R1247)*((U1232)-R1244))*(H1228*2))-(((R1245/(R1245-R1244))*((U1232)-R1244))*H1228),2),ROUND(IF(V1231&lt;(SUM(R1229:R1231)),IF((V1232)&gt;(SUM(R1229:R1232)),(((SUM(R1229:R1232))-(V1232-C1231))*H1228)+((U1232-C1231)*H1228),U1232*H1228),IF(V1232&gt;(SUM(R1229:R1232)),R1232*H1228,U1232*H1228)),2)))</f>
        <v>0</v>
      </c>
      <c r="I1232" s="64">
        <f>IF(B1232=0,0,IF(AND(H1220="ja",((U1232)&lt;R1245)),ROUND(((R1247*R1244+((R1245/(R1245-R1244))-(R1244/(R1245-R1244))*R1247)*((U1232)-R1244))*(I1228*2))-(((R1245/(R1245-R1244))*((U1232)-R1244))*I1228),2),ROUND(IF(V1231&lt;(SUM(S1229:S1231)),IF((V1232)&gt;(SUM(S1229:S1232)),(((SUM(S1229:S1232))-(V1232-C1231))*I1228)+((U1232-C1231)*I1228),U1232*I1228),IF(V1232&gt;(SUM(S1229:S1232)),S1232*I1228,U1232*I1228)),2)))</f>
        <v>0</v>
      </c>
      <c r="J1232" s="64">
        <f>IF(B1232=0,0,IF(AND(H1220="ja",((U1232)&lt;R1245)),ROUND(((R1247*R1244+((R1245/(R1245-R1244))-(R1244/(R1245-R1244))*R1247)*((U1232)-R1244))*(J1228*2))-(((R1245/(R1245-R1244))*((U1232)-R1244))*J1228),2),ROUND(IF(U1231&lt;(SUM(S1229:S1231)),IF((V1232)&gt;(SUM(S1229:S1232)),(((SUM(S1229:S1232))-(V1232-C1231))*J1228)+((U1232-C1231)*J1228),U1232*J1228),IF(V1232&gt;(SUM(S1229:S1232)),S1232*J1228,U1232*J1228)),2)))</f>
        <v>0</v>
      </c>
      <c r="K1232" s="64">
        <f>IF(B1232=0,0,IF(AND(H1220="ja",((U1232)&lt;R1245)),ROUND(((R1247*R1244+((R1245/(R1245-R1244))-(R1244/(R1245-R1244))*R1247)*((U1232)-R1244))*(K1228*2))-(((R1245/(R1245-R1244))*((U1232)-R1244))*K1228),2),ROUND(IF(V1231&lt;(SUM(R1229:R1231)),IF((V1232)&gt;(SUM(R1229:R1232)),(((SUM(R1229:R1232))-(V1232-C1231))*K1228)+((U1232-C1231)*K1228),U1232*K1228),IF(V1232&gt;(SUM(R1229:R1232)),R1232*K1228,U1232*K1228)),2)))</f>
        <v>0</v>
      </c>
      <c r="L1232" s="64">
        <f>IF(B1232=0,0,IF(AND(H1220="ja",((U1232-C1232)&lt;R1245)),ROUND(((R1247*R1244+((R1245/(R1245-R1244))-(R1244/(R1245-R1244))*R1247)*((U1232-C1232)-R1244))*(L1228)),2),ROUND(IF(SUM(B1229:F1231)&lt;(SUM(S1229:S1231)),IF((SUM(B1229:F1232))&gt;(SUM(S1229:S1232)),(((SUM(S1229:S1232))-(SUM(B1229:F1232)-C1232))*L1228)+((SUM(B1232:F1232)-C1232)*L1228),(SUM(B1232:F1232)-C1232)*L1228),IF(SUM(B1229:F1232)&gt;(SUM(S1229:S1232)),S1232*L1228,SUM(B1232:F1232)*L1228)),2)))</f>
        <v>0</v>
      </c>
      <c r="M1232" s="64">
        <f>IF(B1232=0,0,IF(AND(H1220="ja",((U1232-C1232)&lt;R1245)),ROUND(((R1247*R1244+((R1245/(R1245-R1244))-(R1244/(R1245-R1244))*R1247)*((U1232-C1232)-R1244))*(M1228)),2),ROUND(IF(SUM(B1229:F1231)&lt;(SUM(S1229:S1231)),IF((SUM(B1229:F1232))&gt;(SUM(S1229:S1232)),(((SUM(S1229:S1232))-(SUM(B1229:F1232)-C1232))*M1228)+((SUM(B1232:F1232)-C1232)*M1228),(SUM(B1232:F1232)-C1232)*M1228),IF(SUM(B1229:F1232)&gt;(SUM(S1229:S1232)),S1232*M1228,SUM(B1232:F1232)*M1228)),2)))</f>
        <v>0</v>
      </c>
      <c r="N1232" s="64">
        <f>IF(B1232=0,0,IF(AND(H1220="ja",((U1232)&lt;R1245)),ROUND(((R1247*R1244+((R1245/(R1245-R1244))-(R1244/(R1245-R1244))*R1247)*((U1232)-R1244))*(N1228)),2),ROUND(IF(SUM(B1229:F1231)&lt;(SUM(S1229:S1231)),IF((SUM(B1229:F1232))&gt;(SUM(S1229:S1232)),(((SUM(S1229:S1232))-(SUM(B1229:F1232)-C1231))*N1228)+((SUM(B1232:F1232)-C1231)*N1228),SUM(B1232:F1232)*N1228),IF(SUM(B1229:F1232)&gt;(SUM(S1229:S1232)),S1232*N1228,SUM(B1232:F1232)*N1228)),2)))</f>
        <v>0</v>
      </c>
      <c r="O1232" s="21">
        <f>ROUND(SUM(B1232+C1232+F1232)*O1228,2)</f>
        <v>0</v>
      </c>
      <c r="P1232" s="25">
        <f t="shared" si="202"/>
        <v>0</v>
      </c>
      <c r="Q1232" s="456"/>
      <c r="R1232" s="140">
        <f>ROUND(IF(M1207="",R1223,R1223/M1207*P1209),2)</f>
        <v>5175</v>
      </c>
      <c r="S1232" s="140">
        <f>ROUND(IF(M1207="",R1224,R1224/M1207*P1209),2)</f>
        <v>7450</v>
      </c>
      <c r="U1232" s="950">
        <f t="shared" si="203"/>
        <v>0</v>
      </c>
      <c r="V1232" s="950">
        <f>SUM(B1229:F1232)</f>
        <v>0</v>
      </c>
    </row>
    <row r="1233" spans="1:24" s="1" customFormat="1" x14ac:dyDescent="0.2">
      <c r="A1233" s="76" t="str">
        <f>CONCATENATE("Mai ",O1205)</f>
        <v>Mai 2025</v>
      </c>
      <c r="B1233" s="22">
        <f>ROUND(IF(P1210=0,0,IFERROR(((LOOKUP(2,1/(A1214:A1217=A1233),G1214:G1217))*P1210*4.348),B1232/P1209*P1210)),2)</f>
        <v>0</v>
      </c>
      <c r="C1233" s="21">
        <f>ROUND(IFERROR((LOOKUP(2,1/(A1220=A1233),E1220)),0)+IFERROR((LOOKUP(2,1/(A1221=A1233),E1221)),0),2)</f>
        <v>0</v>
      </c>
      <c r="D1233" s="21">
        <f>ROUND(IF(B1233=0,0,D1228/M1207*P1210),2)</f>
        <v>0</v>
      </c>
      <c r="E1233" s="21">
        <f>ROUND(IF(B1233=0,0,E1228/N1203*P1210),2)</f>
        <v>0</v>
      </c>
      <c r="F1233" s="22">
        <f>ROUND(IF(P1210=0,0,IFERROR(((LOOKUP(2,1/(A1214:A1217=A1233),I1214:I1217))/N1203*P1210),F1232/P1209*P1210)),2)</f>
        <v>0</v>
      </c>
      <c r="G1233" s="25">
        <f t="shared" si="201"/>
        <v>0</v>
      </c>
      <c r="H1233" s="64">
        <f>IF(B1233=0,0,IF(AND(H1220="ja",((U1233)&lt;R1245)),ROUND(((R1247*R1244+((R1245/(R1245-R1244))-(R1244/(R1245-R1244))*R1247)*((U1233)-R1244))*(H1228*2))-(((R1245/(R1245-R1244))*((U1233)-R1244))*H1228),2),ROUND(IF(V1232&lt;(SUM(R1229:R1232)),IF((V1233)&gt;(SUM(R1229:R1233)),(((SUM(R1229:R1233))-(V1233-C1232))*H1228)+((U1233-C1232)*H1228),U1233*H1228),IF(V1233&gt;(SUM(R1229:R1233)),R1233*H1228,U1233*H1228)),2)))</f>
        <v>0</v>
      </c>
      <c r="I1233" s="64">
        <f>IF(B1233=0,0,IF(AND(H1220="ja",((U1233)&lt;R1245)),ROUND(((R1247*R1244+((R1245/(R1245-R1244))-(R1244/(R1245-R1244))*R1247)*((U1233)-R1244))*(I1228*2))-(((R1245/(R1245-R1244))*((U1233)-R1244))*I1228),2),ROUND(IF(V1232&lt;(SUM(S1229:S1232)),IF((V1233)&gt;(SUM(S1229:S1233)),(((SUM(S1229:S1233))-(V1233-C1232))*I1228)+((U1233-C1232)*I1228),U1233*I1228),IF(V1233&gt;(SUM(S1229:S1233)),S1233*I1228,U1233*I1228)),2)))</f>
        <v>0</v>
      </c>
      <c r="J1233" s="64">
        <f>IF(B1233=0,0,IF(AND(H1220="ja",((U1233)&lt;R1245)),ROUND(((R1247*R1244+((R1245/(R1245-R1244))-(R1244/(R1245-R1244))*R1247)*((U1233)-R1244))*(J1228*2))-(((R1245/(R1245-R1244))*((U1233)-R1244))*J1228),2),ROUND(IF(V1232&lt;(SUM(S1229:S1232)),IF((V1233)&gt;(SUM(S1229:S1233)),(((SUM(S1229:S1233))-(V1233-C1232))*J1228)+((U1233-C1232)*J1228),U1233*J1228),IF(V1233&gt;(SUM(S1229:S1233)),S1233*J1228,U1233*J1228)),2)))</f>
        <v>0</v>
      </c>
      <c r="K1233" s="64">
        <f>IF(B1233=0,0,IF(AND(H1220="ja",((U1233)&lt;R1245)),ROUND(((R1247*R1244+((R1245/(R1245-R1244))-(R1244/(R1245-R1244))*R1247)*((U1233)-R1244))*(K1228*2))-(((R1245/(R1245-R1244))*((U1233)-R1244))*K1228),2),ROUND(IF(V1232&lt;(SUM(R1229:R1232)),IF((V1233)&gt;(SUM(R1229:R1233)),(((SUM(R1229:R1233))-(V1233-C1232))*K1228)+((U1233-C1232)*K1228),U1233*K1228),IF(V1233&gt;(SUM(R1229:R1233)),R1233*K1228,U1233*K1228)),2)))</f>
        <v>0</v>
      </c>
      <c r="L1233" s="64">
        <f>IF(B1233=0,0,IF(AND(H1220="ja",((U1233-C1233)&lt;R1245)),ROUND(((R1247*R1244+((R1245/(R1245-R1244))-(R1244/(R1245-R1244))*R1247)*((U1233-C1233)-R1244))*(L1228)),2),ROUND(IF(SUM(B1229:F1232)&lt;(SUM(S1229:S1232)),IF((SUM(B1229:F1233))&gt;(SUM(S1229:S1233)),(((SUM(S1229:S1233))-(SUM(B1229:F1233)-C1233))*L1228)+((SUM(B1233:F1233)-C1233)*L1228),(SUM(B1233:F1233)-C1233)*L1228),IF(SUM(B1229:F1233)&gt;(SUM(S1229:S1233)),S1233*L1228,SUM(B1233:F1233)*L1228)),2)))</f>
        <v>0</v>
      </c>
      <c r="M1233" s="64">
        <f>IF(B1233=0,0,IF(AND(H1220="ja",((U1233-C1233)&lt;R1245)),ROUND(((R1247*R1244+((R1245/(R1245-R1244))-(R1244/(R1245-R1244))*R1247)*((U1233-C1233)-R1244))*(M1228)),2),ROUND(IF(SUM(B1229:F1232)&lt;(SUM(S1229:S1232)),IF((SUM(B1229:F1233))&gt;(SUM(S1229:S1233)),(((SUM(S1229:S1233))-(SUM(B1229:F1233)-C1233))*M1228)+((SUM(B1233:F1233)-C1233)*M1228),(SUM(B1233:F1233)-C1233)*M1228),IF(SUM(B1229:F1233)&gt;(SUM(S1229:S1233)),S1233*M1228,SUM(B1233:F1233)*M1228)),2)))</f>
        <v>0</v>
      </c>
      <c r="N1233" s="64">
        <f>IF(B1233=0,0,IF(AND(H1220="ja",((U1233)&lt;R1245)),ROUND(((R1247*R1244+((R1245/(R1245-R1244))-(R1244/(R1245-R1244))*R1247)*((U1233)-R1244))*(N1228)),2),ROUND(IF(SUM(B1229:F1232)&lt;(SUM(S1229:S1232)),IF((SUM(B1229:F1233))&gt;(SUM(S1229:S1233)),(((SUM(S1229:S1233))-(SUM(B1229:F1233)-C1232))*N1228)+((SUM(B1233:F1233)-C1232)*N1228),SUM(B1233:F1233)*N1228),IF(SUM(B1229:F1233)&gt;(SUM(S1229:S1233)),S1233*N1228,SUM(B1233:F1233)*N1228)),2)))</f>
        <v>0</v>
      </c>
      <c r="O1233" s="21">
        <f>ROUND(SUM(B1233+C1233+F1233)*O1228,2)</f>
        <v>0</v>
      </c>
      <c r="P1233" s="25">
        <f t="shared" si="202"/>
        <v>0</v>
      </c>
      <c r="Q1233" s="456"/>
      <c r="R1233" s="140">
        <f>ROUND(IF(M1207="",R1223,R1223/M1207*P1210),2)</f>
        <v>5175</v>
      </c>
      <c r="S1233" s="140">
        <f>ROUND(IF(M1207="",R1224,R1224/M1207*P1210),2)</f>
        <v>7450</v>
      </c>
      <c r="U1233" s="950">
        <f t="shared" si="203"/>
        <v>0</v>
      </c>
      <c r="V1233" s="950">
        <f>SUM(B1229:F1233)</f>
        <v>0</v>
      </c>
    </row>
    <row r="1234" spans="1:24" s="1" customFormat="1" x14ac:dyDescent="0.2">
      <c r="A1234" s="76" t="str">
        <f>CONCATENATE("Jun ",O1205)</f>
        <v>Jun 2025</v>
      </c>
      <c r="B1234" s="22">
        <f>ROUND(IF(P1211=0,0,IFERROR(((LOOKUP(2,1/(A1214:A1217=A1234),G1214:G1217))*P1211*4.348),B1233/P1210*P1211)),2)</f>
        <v>0</v>
      </c>
      <c r="C1234" s="21">
        <f>ROUND(IFERROR((LOOKUP(2,1/(A1220=A1234),E1220)),0)+IFERROR((LOOKUP(2,1/(A1221=A1234),E1221)),0),2)</f>
        <v>0</v>
      </c>
      <c r="D1234" s="21">
        <f>ROUND(IF(B1234=0,0,D1228/M1207*P1211),2)</f>
        <v>0</v>
      </c>
      <c r="E1234" s="21">
        <f>ROUND(IF(B1234=0,0,E1228/N1203*P1211),2)</f>
        <v>0</v>
      </c>
      <c r="F1234" s="22">
        <f>ROUND(IF(P1211=0,0,IFERROR(((LOOKUP(2,1/(A1214:A1217=A1234),I1214:I1217))/N1203*P1211),F1233/P1210*P1211)),2)</f>
        <v>0</v>
      </c>
      <c r="G1234" s="25">
        <f t="shared" si="201"/>
        <v>0</v>
      </c>
      <c r="H1234" s="64">
        <f>IF(B1234=0,0,IF(AND(H1220="ja",((U1234)&lt;R1245)),ROUND(((R1247*R1244+((R1245/(R1245-R1244))-(R1244/(R1245-R1244))*R1247)*((U1234)-R1244))*(H1228*2))-(((R1245/(R1245-R1244))*((U1234)-R1244))*H1228),2),ROUND(IF(V1233&lt;(SUM(R1229:R1233)),IF((V1234)&gt;(SUM(R1229:R1234)),(((SUM(R1229:R1234))-(V1234-C1233))*H1228)+((U1234-C1233)*H1228),U1234*H1228),IF(V1234&gt;(SUM(R1229:R1234)),R1234*H1228,U1234*H1228)),2)))</f>
        <v>0</v>
      </c>
      <c r="I1234" s="64">
        <f>IF(B1234=0,0,IF(AND(H1220="ja",((U1234)&lt;R1245)),ROUND(((R1247*R1244+((R1245/(R1245-R1244))-(R1244/(R1245-R1244))*R1247)*((U1234)-R1244))*(I1228*2))-(((R1245/(R1245-R1244))*((U1234)-R1244))*I1228),2),ROUND(IF(V1233&lt;(SUM(S1229:S1233)),IF((V1234)&gt;(SUM(S1229:S1234)),(((SUM(S1229:S1234))-(V1234-C1233))*I1228)+((U1234-C1233)*I1228),U1234*I1228),IF(V1234&gt;(SUM(S1229:S1234)),S1234*I1228,U1234*I1228)),2)))</f>
        <v>0</v>
      </c>
      <c r="J1234" s="64">
        <f>IF(B1234=0,0,IF(AND(H1220="ja",((U1234)&lt;R1245)),ROUND(((R1247*R1244+((R1245/(R1245-R1244))-(R1244/(R1245-R1244))*R1247)*((U1234)-R1244))*(J1228*2))-(((R1245/(R1245-R1244))*((U1234)-R1244))*J1228),2),ROUND(IF(V1233&lt;(SUM(S1229:S1233)),IF((V1234)&gt;(SUM(S1229:S1234)),(((SUM(S1229:S1234))-(V1234-C1233))*J1228)+((U1234-C1233)*J1228),U1234*J1228),IF(V1234&gt;(SUM(S1229:S1234)),S1234*J1228,U1234*J1228)),2)))</f>
        <v>0</v>
      </c>
      <c r="K1234" s="64">
        <f>IF(B1234=0,0,IF(AND(H1220="ja",((U1234)&lt;R1245)),ROUND(((R1247*R1244+((R1245/(R1245-R1244))-(R1244/(R1245-R1244))*R1247)*((U1234)-R1244))*(K1228*2))-(((R1245/(R1245-R1244))*((U1234)-R1244))*K1228),2),ROUND(IF(V1233&lt;(SUM(R1229:R1233)),IF((V1234)&gt;(SUM(R1229:R1234)),(((SUM(R1229:R1234))-(V1234-C1233))*K1228)+((U1234-C1233)*K1228),U1234*K1228),IF(V1234&gt;(SUM(R1229:R1234)),R1234*K1228,U1234*K1228)),2)))</f>
        <v>0</v>
      </c>
      <c r="L1234" s="64">
        <f>IF(B1234=0,0,IF(AND(H1220="ja",((U1234-C1234)&lt;R1245)),ROUND(((R1247*R1244+((R1245/(R1245-R1244))-(R1244/(R1245-R1244))*R1247)*((U1234-C1234)-R1244))*(L1228)),2),ROUND(IF(SUM(B1229:F1233)&lt;(SUM(S1229:S1233)),IF((SUM(B1229:F1234))&gt;(SUM(S1229:S1234)),(((SUM(S1229:S1234))-(SUM(B1229:F1234)-C1234))*L1228)+((SUM(B1234:F1234)-C1234)*L1228),(SUM(B1234:F1234)-C1234)*L1228),IF(SUM(B1229:F1234)&gt;(SUM(S1229:S1234)),S1234*L1228,SUM(B1234:F1234)*L1228)),2)))</f>
        <v>0</v>
      </c>
      <c r="M1234" s="64">
        <f>IF(B1234=0,0,IF(AND(H1220="ja",((U1234-C1234)&lt;R1245)),ROUND(((R1247*R1244+((R1245/(R1245-R1244))-(R1244/(R1245-R1244))*R1247)*((U1234-C1234)-R1244))*(M1228)),2),ROUND(IF(SUM(B1229:F1233)&lt;(SUM(S1229:S1233)),IF((SUM(B1229:F1234))&gt;(SUM(S1229:S1234)),(((SUM(S1229:S1234))-(SUM(B1229:F1234)-C1234))*M1228)+((SUM(B1234:F1234)-C1234)*M1228),(SUM(B1234:F1234)-C1234)*M1228),IF(SUM(B1229:F1234)&gt;(SUM(S1229:S1234)),S1234*M1228,SUM(B1234:F1234)*M1228)),2)))</f>
        <v>0</v>
      </c>
      <c r="N1234" s="64">
        <f>IF(B1234=0,0,IF(AND(H1220="ja",((U1234)&lt;R1245)),ROUND(((R1247*R1244+((R1245/(R1245-R1244))-(R1244/(R1245-R1244))*R1247)*((U1234)-R1244))*(N1228)),2),ROUND(IF(SUM(B1229:F1233)&lt;(SUM(S1229:S1233)),IF((SUM(B1229:F1234))&gt;(SUM(S1229:S1234)),(((SUM(S1229:S1234))-(SUM(B1229:F1234)-C1233))*N1228)+((SUM(B1234:F1234)-C1233)*N1228),SUM(B1234:F1234)*N1228),IF(SUM(B1229:F1234)&gt;(SUM(S1229:S1234)),S1234*N1228,SUM(B1234:F1234)*N1228)),2)))</f>
        <v>0</v>
      </c>
      <c r="O1234" s="21">
        <f>ROUND(SUM(B1234+C1234+F1234)*O1228,2)</f>
        <v>0</v>
      </c>
      <c r="P1234" s="25">
        <f t="shared" si="202"/>
        <v>0</v>
      </c>
      <c r="Q1234" s="456"/>
      <c r="R1234" s="140">
        <f>ROUND(IF(M1207="",R1223,R1223/M1207*P1211),2)</f>
        <v>5175</v>
      </c>
      <c r="S1234" s="140">
        <f>ROUND(IF(M1207="",R1224,R1224/M1207*P1211),2)</f>
        <v>7450</v>
      </c>
      <c r="U1234" s="950">
        <f t="shared" si="203"/>
        <v>0</v>
      </c>
      <c r="V1234" s="950">
        <f>SUM(B1229:F1234)</f>
        <v>0</v>
      </c>
    </row>
    <row r="1235" spans="1:24" s="1" customFormat="1" x14ac:dyDescent="0.2">
      <c r="A1235" s="76" t="str">
        <f>CONCATENATE("Jul ",O1205)</f>
        <v>Jul 2025</v>
      </c>
      <c r="B1235" s="22">
        <f>ROUND(IF(P1212=0,0,IFERROR(((LOOKUP(2,1/(A1214:A1217=A1235),G1214:G1217))*P1212*4.348),B1234/P1211*P1212)),2)</f>
        <v>0</v>
      </c>
      <c r="C1235" s="21">
        <f>ROUND(IFERROR((LOOKUP(2,1/(A1220=A1235),E1220)),0)+IFERROR((LOOKUP(2,1/(A1221=A1235),E1221)),0),2)</f>
        <v>0</v>
      </c>
      <c r="D1235" s="21">
        <f>ROUND(IF(B1235=0,0,D1228/M1207*P1212),2)</f>
        <v>0</v>
      </c>
      <c r="E1235" s="21">
        <f>ROUND(IF(B1235=0,0,E1228/N1203*P1212),2)</f>
        <v>0</v>
      </c>
      <c r="F1235" s="22">
        <f>ROUND(IF(P1212=0,0,IFERROR(((LOOKUP(2,1/(A1214:A1217=A1235),I1214:I1217))/N1203*P1212),F1234/P1211*P1212)),2)</f>
        <v>0</v>
      </c>
      <c r="G1235" s="25">
        <f t="shared" si="201"/>
        <v>0</v>
      </c>
      <c r="H1235" s="64">
        <f>IF(B1235=0,0,IF(AND(H1220="ja",((U1235)&lt;R1245)),ROUND(((R1247*R1244+((R1245/(R1245-R1244))-(R1244/(R1245-R1244))*R1247)*((U1235)-R1244))*(H1228*2))-(((R1245/(R1245-R1244))*((U1235)-R1244))*H1228),2),ROUND(IF(V1234&lt;(SUM(R1229:R1234)),IF((V1235)&gt;(SUM(R1229:R1235)),(((SUM(R1229:R1235))-(V1235-C1234))*H1228)+((U1235-C1234)*H1228),U1235*H1228),IF(V1235&gt;(SUM(R1229:R1235)),R1235*H1228,U1235*H1228)),2)))</f>
        <v>0</v>
      </c>
      <c r="I1235" s="64">
        <f>IF(B1235=0,0,IF(AND(H1220="ja",((U1235)&lt;R1245)),ROUND(((R1247*R1244+((R1245/(R1245-R1244))-(R1244/(R1245-R1244))*R1247)*((U1235)-R1244))*(I1228*2))-(((R1245/(R1245-R1244))*((U1235)-R1244))*I1228),2),ROUND(IF(V1234&lt;(SUM(S1229:S1234)),IF((V1235)&gt;(SUM(S1229:S1235)),(((SUM(S1229:S1235))-(V1235-C1234))*I1228)+((U1235-C1234)*I1228),U1235*I1228),IF(V1235&gt;(SUM(S1229:S1235)),S1235*I1228,U1235*I1228)),2)))</f>
        <v>0</v>
      </c>
      <c r="J1235" s="64">
        <f>IF(B1235=0,0,IF(AND(H1220="ja",((U1235)&lt;R1245)),ROUND(((R1247*R1244+((R1245/(R1245-R1244))-(R1244/(R1245-R1244))*R1247)*((U1235)-R1244))*(J1228*2))-(((R1245/(R1245-R1244))*((U1235)-R1244))*J1228),2),ROUND(IF(V1234&lt;(SUM(S1229:S1234)),IF((V1235)&gt;(SUM(S1229:S1235)),(((SUM(S1229:S1235))-(V1235-C1234))*J1228)+((U1235-C1234)*J1228),U1235*J1228),IF(V1235&gt;(SUM(S1229:S1235)),S1235*J1228,U1235*J1228)),2)))</f>
        <v>0</v>
      </c>
      <c r="K1235" s="64">
        <f>IF(B1235=0,0,IF(AND(H1220="ja",((U1235)&lt;R1245)),ROUND(((R1247*R1244+((R1245/(R1245-R1244))-(R1244/(R1245-R1244))*R1247)*((U1235)-R1244))*(K1228*2))-(((R1245/(R1245-R1244))*((U1235)-R1244))*K1228),2),ROUND(IF(V1234&lt;(SUM(R1229:R1234)),IF((V1235)&gt;(SUM(R1229:R1235)),(((SUM(R1229:R1235))-(V1235-C1234))*K1228)+((U1235-C1234)*K1228),U1235*K1228),IF(V1235&gt;(SUM(R1229:R1235)),R1235*K1228,U1235*K1228)),2)))</f>
        <v>0</v>
      </c>
      <c r="L1235" s="64">
        <f>IF(B1235=0,0,IF(AND(H1220="ja",((U1235-C1235)&lt;R1245)),ROUND(((R1247*R1244+((R1245/(R1245-R1244))-(R1244/(R1245-R1244))*R1247)*((U1235-C1235)-R1244))*(L1228)),2),ROUND(IF(SUM(B1229:F1234)&lt;(SUM(S1229:S1234)),IF((SUM(B1229:F1235))&gt;(SUM(S1229:S1235)),(((SUM(S1229:S1235))-(SUM(B1229:F1235)-C1235))*L1228)+((SUM(B1235:F1235)-C1235)*L1228),(SUM(B1235:F1235)-C1235)*L1228),IF(SUM(B1229:F1235)&gt;(SUM(S1229:S1235)),S1235*L1228,SUM(B1235:F1235)*L1228)),2)))</f>
        <v>0</v>
      </c>
      <c r="M1235" s="64">
        <f>IF(B1235=0,0,IF(AND(H1220="ja",((U1235-C1235)&lt;R1245)),ROUND(((R1247*R1244+((R1245/(R1245-R1244))-(R1244/(R1245-R1244))*R1247)*((U1235-C1235)-R1244))*(M1228)),2),ROUND(IF(SUM(B1229:F1234)&lt;(SUM(S1229:S1234)),IF((SUM(B1229:F1235))&gt;(SUM(S1229:S1235)),(((SUM(S1229:S1235))-(SUM(B1229:F1235)-C1235))*M1228)+((SUM(B1235:F1235)-C1235)*M1228),(SUM(B1235:F1235)-C1235)*M1228),IF(SUM(B1229:F1235)&gt;(SUM(S1229:S1235)),S1235*M1228,SUM(B1235:F1235)*M1228)),2)))</f>
        <v>0</v>
      </c>
      <c r="N1235" s="64">
        <f>IF(B1235=0,0,IF(AND(H1220="ja",((U1235)&lt;R1245)),ROUND(((R1247*R1244+((R1245/(R1245-R1244))-(R1244/(R1245-R1244))*R1247)*((U1235)-R1244))*(N1228)),2),ROUND(IF(SUM(B1229:F1234)&lt;(SUM(S1229:S1234)),IF((SUM(B1229:F1235))&gt;(SUM(S1229:S1235)),(((SUM(S1229:S1235))-(SUM(B1229:F1235)-C1234))*N1228)+((SUM(B1235:F1235)-C1234)*N1228),SUM(B1235:F1235)*N1228),IF(SUM(B1229:F1235)&gt;(SUM(S1229:S1235)),S1235*N1228,SUM(B1235:F1235)*N1228)),2)))</f>
        <v>0</v>
      </c>
      <c r="O1235" s="21">
        <f>ROUND(SUM(B1235+C1235+F1235)*O1228,2)</f>
        <v>0</v>
      </c>
      <c r="P1235" s="25">
        <f t="shared" si="202"/>
        <v>0</v>
      </c>
      <c r="Q1235" s="456"/>
      <c r="R1235" s="140">
        <f>ROUND(IF(M1207="",R1223,R1223/M1207*P1212),2)</f>
        <v>5175</v>
      </c>
      <c r="S1235" s="140">
        <f>ROUND(IF(M1207="",R1224,R1224/M1207*P1212),2)</f>
        <v>7450</v>
      </c>
      <c r="U1235" s="950">
        <f t="shared" si="203"/>
        <v>0</v>
      </c>
      <c r="V1235" s="950">
        <f>SUM(B1229:F1235)</f>
        <v>0</v>
      </c>
    </row>
    <row r="1236" spans="1:24" s="1" customFormat="1" x14ac:dyDescent="0.2">
      <c r="A1236" s="76" t="str">
        <f>CONCATENATE("Aug ",O1205)</f>
        <v>Aug 2025</v>
      </c>
      <c r="B1236" s="22">
        <f>ROUND(IF(P1213=0,0,IFERROR(((LOOKUP(2,1/(A1214:A1217=A1236),G1214:G1217))*P1213*4.348),B1235/P1212*P1213)),2)</f>
        <v>0</v>
      </c>
      <c r="C1236" s="21">
        <f>ROUND(IFERROR((LOOKUP(2,1/(A1220=A1236),E1220)),0)+IFERROR((LOOKUP(2,1/(A1221=A1236),E1221)),0),2)</f>
        <v>0</v>
      </c>
      <c r="D1236" s="21">
        <f>ROUND(IF(B1236=0,0,D1228/M1207*P1213),2)</f>
        <v>0</v>
      </c>
      <c r="E1236" s="21">
        <f>ROUND(IF(B1236=0,0,E1228/N1203*P1213),2)</f>
        <v>0</v>
      </c>
      <c r="F1236" s="22">
        <f>ROUND(IF(P1213=0,0,IFERROR(((LOOKUP(2,1/(A1214:A1217=A1236),I1214:I1217))/N1203*P1213),F1235/P1212*P1213)),2)</f>
        <v>0</v>
      </c>
      <c r="G1236" s="25">
        <f t="shared" si="201"/>
        <v>0</v>
      </c>
      <c r="H1236" s="64">
        <f>IF(B1236=0,0,IF(AND(H1220="ja",((U1236)&lt;R1245)),ROUND(((R1247*R1244+((R1245/(R1245-R1244))-(R1244/(R1245-R1244))*R1247)*((U1236)-R1244))*(H1228*2))-(((R1245/(R1245-R1244))*((U1236)-R1244))*H1228),2),ROUND(IF(V1235&lt;(SUM(R1229:R1235)),IF((V1236)&gt;(SUM(R1229:R1236)),(((SUM(R1229:R1236))-(V1236-C1235))*H1228)+((U1236-C1235)*H1228),U1236*H1228),IF(V1236&gt;(SUM(R1229:R1236)),R1236*H1228,U1236*H1228)),2)))</f>
        <v>0</v>
      </c>
      <c r="I1236" s="64">
        <f>IF(B1236=0,0,IF(AND(H1220="ja",((U1236)&lt;R1245)),ROUND(((R1247*R1244+((R1245/(R1245-R1244))-(R1244/(R1245-R1244))*R1247)*((U1236)-R1244))*(I1228*2))-(((R1245/(R1245-R1244))*((U1236)-R1244))*I1228),2),ROUND(IF(V1235&lt;(SUM(S1229:S1235)),IF((V1236)&gt;(SUM(S1229:S1236)),(((SUM(S1229:S1236))-(V1236-C1235))*I1228)+((U1236-C1235)*I1228),U1236*I1228),IF(V1236&gt;(SUM(S1229:S1236)),S1236*I1228,U1236*I1228)),2)))</f>
        <v>0</v>
      </c>
      <c r="J1236" s="64">
        <f>IF(B1236=0,0,IF(AND(H1220="ja",((U1236)&lt;R1245)),ROUND(((R1247*R1244+((R1245/(R1245-R1244))-(R1244/(R1245-R1244))*R1247)*((U1236)-R1244))*(J1228*2))-(((R1245/(R1245-R1244))*((U1236)-R1244))*J1228),2),ROUND(IF(V1235&lt;(SUM(S1229:S1235)),IF((V1236)&gt;(SUM(S1229:S1236)),(((SUM(S1229:S1236))-(V1236-C1235))*J1228)+((U1236-C1235)*J1228),U1236*J1228),IF(V1236&gt;(SUM(S1229:S1236)),S1236*J1228,U1236*J1228)),2)))</f>
        <v>0</v>
      </c>
      <c r="K1236" s="64">
        <f>IF(B1236=0,0,IF(AND(H1220="ja",((U1236)&lt;R1245)),ROUND(((R1247*R1244+((R1245/(R1245-R1244))-(R1244/(R1245-R1244))*R1247)*((U1236)-R1244))*(K1228*2))-(((R1245/(R1245-R1244))*((U1236)-R1244))*K1228),2),ROUND(IF(V1235&lt;(SUM(R1229:R1235)),IF((V1236)&gt;(SUM(R1229:R1236)),(((SUM(R1229:R1236))-(V1236-C1235))*K1228)+((U1236-C1235)*K1228),U1236*K1228),IF(V1236&gt;(SUM(R1229:R1236)),R1236*K1228,U1236*K1228)),2)))</f>
        <v>0</v>
      </c>
      <c r="L1236" s="64">
        <f>IF(B1236=0,0,IF(AND(H1220="ja",((U1236-C1236)&lt;R1245)),ROUND(((R1247*R1244+((R1245/(R1245-R1244))-(R1244/(R1245-R1244))*R1247)*((U1236-C1236)-R1244))*(L1228)),2),ROUND(IF(SUM(B1229:F1235)&lt;(SUM(S1229:S1235)),IF((SUM(B1229:F1236))&gt;(SUM(S1229:S1236)),(((SUM(S1229:S1236))-(SUM(B1229:F1236)-C1236))*L1228)+((SUM(B1236:F1236)-C1236)*L1228),(SUM(B1236:F1236)-C1236)*L1228),IF(SUM(B1229:F1236)&gt;(SUM(S1229:S1236)),S1236*L1228,SUM(B1236:F1236)*L1228)),2)))</f>
        <v>0</v>
      </c>
      <c r="M1236" s="64">
        <f>IF(B1236=0,0,IF(AND(H1220="ja",((U1236-C1236)&lt;R1245)),ROUND(((R1247*R1244+((R1245/(R1245-R1244))-(R1244/(R1245-R1244))*R1247)*((U1236-C1236)-R1244))*(M1228)),2),ROUND(IF(SUM(B1229:F1235)&lt;(SUM(S1229:S1235)),IF((SUM(B1229:F1236))&gt;(SUM(S1229:S1236)),(((SUM(S1229:S1236))-(SUM(B1229:F1236)-C1236))*M1228)+((SUM(B1236:F1236)-C1236)*M1228),(SUM(B1236:F1236)-C1236)*M1228),IF(SUM(B1229:F1236)&gt;(SUM(S1229:S1236)),S1236*M1228,SUM(B1236:F1236)*M1228)),2)))</f>
        <v>0</v>
      </c>
      <c r="N1236" s="64">
        <f>IF(B1236=0,0,IF(AND(H1220="ja",((U1236)&lt;R1245)),ROUND(((R1247*R1244+((R1245/(R1245-R1244))-(R1244/(R1245-R1244))*R1247)*((U1236)-R1244))*(N1228)),2),ROUND(IF(SUM(B1229:F1235)&lt;(SUM(S1229:S1235)),IF((SUM(B1229:F1236))&gt;(SUM(S1229:S1236)),(((SUM(S1229:S1236))-(SUM(B1229:F1236)-C1235))*N1228)+((SUM(B1236:F1236)-C1235)*N1228),SUM(B1236:F1236)*N1228),IF(SUM(B1229:F1236)&gt;(SUM(S1229:S1236)),S1236*N1228,SUM(B1236:F1236)*N1228)),2)))</f>
        <v>0</v>
      </c>
      <c r="O1236" s="21">
        <f>ROUND(SUM(B1236+C1236+F1236)*O1228,2)</f>
        <v>0</v>
      </c>
      <c r="P1236" s="25">
        <f t="shared" si="202"/>
        <v>0</v>
      </c>
      <c r="Q1236" s="456"/>
      <c r="R1236" s="140">
        <f>ROUND(IF(M1207="",R1223,R1223/M1207*P1213),2)</f>
        <v>5175</v>
      </c>
      <c r="S1236" s="140">
        <f>ROUND(IF(M1207="",R1224,R1224/M1207*P1213),2)</f>
        <v>7450</v>
      </c>
      <c r="U1236" s="950">
        <f t="shared" si="203"/>
        <v>0</v>
      </c>
      <c r="V1236" s="950">
        <f>SUM(B1229:F1236)</f>
        <v>0</v>
      </c>
    </row>
    <row r="1237" spans="1:24" s="1" customFormat="1" x14ac:dyDescent="0.2">
      <c r="A1237" s="76" t="str">
        <f>CONCATENATE("Sep ",O1205)</f>
        <v>Sep 2025</v>
      </c>
      <c r="B1237" s="22">
        <f>ROUND(IF(P1214=0,0,IFERROR(((LOOKUP(2,1/(A1214:A1217=A1237),G1214:G1217))*P1214*4.348),B1236/P1213*P1214)),2)</f>
        <v>0</v>
      </c>
      <c r="C1237" s="21">
        <f>ROUND(IFERROR((LOOKUP(2,1/(A1220=A1237),E1220)),0)+IFERROR((LOOKUP(2,1/(A1221=A1237),E1221)),0),2)</f>
        <v>0</v>
      </c>
      <c r="D1237" s="21">
        <f>ROUND(IF(B1237=0,0,D1228/M1207*P1214),2)</f>
        <v>0</v>
      </c>
      <c r="E1237" s="21">
        <f>ROUND(IF(B1237=0,0,E1228/N1203*P1214),2)</f>
        <v>0</v>
      </c>
      <c r="F1237" s="22">
        <f>ROUND(IF(P1214=0,0,IFERROR(((LOOKUP(2,1/(A1214:A1217=A1237),I1214:I1217))/N1203*P1214),F1236/P1213*P1214)),2)</f>
        <v>0</v>
      </c>
      <c r="G1237" s="25">
        <f t="shared" si="201"/>
        <v>0</v>
      </c>
      <c r="H1237" s="64">
        <f>IF(B1237=0,0,IF(AND(H1220="ja",((U1237)&lt;R1245)),ROUND(((R1247*R1244+((R1245/(R1245-R1244))-(R1244/(R1245-R1244))*R1247)*((U1237)-R1244))*(H1228*2))-(((R1245/(R1245-R1244))*((U1237)-R1244))*H1228),2),ROUND(IF(V1236&lt;(SUM(R1229:R1236)),IF((V1237)&gt;(SUM(R1229:R1237)),(((SUM(R1229:R1237))-(V1237-C1236))*H1228)+((U1237-C1236)*H1228),U1237*H1228),IF(V1237&gt;(SUM(R1229:R1237)),R1237*H1228,U1237*H1228)),2)))</f>
        <v>0</v>
      </c>
      <c r="I1237" s="64">
        <f>IF(B1237=0,0,IF(AND(H1220="ja",((U1237)&lt;R1245)),ROUND(((R1247*R1244+((R1245/(R1245-R1244))-(R1244/(R1245-R1244))*R1247)*((U1237)-R1244))*(I1228*2))-(((R1245/(R1245-R1244))*((U1237)-R1244))*I1228),2),ROUND(IF(V1236&lt;(SUM(S1229:S1236)),IF((V1237)&gt;(SUM(S1229:S1237)),(((SUM(S1229:S1237))-(V1237-C1236))*I1228)+((U1237-C1236)*I1228),U1237*I1228),IF(V1237&gt;(SUM(S1229:S1237)),S1237*I1228,U1237*I1228)),2)))</f>
        <v>0</v>
      </c>
      <c r="J1237" s="64">
        <f>IF(B1237=0,0,IF(AND(H1220="ja",((U1237)&lt;R1245)),ROUND(((R1247*R1244+((R1245/(R1245-R1244))-(R1244/(R1245-R1244))*R1247)*((U1237)-R1244))*(J1228*2))-(((R1245/(R1245-R1244))*((U1237)-R1244))*J1228),2),ROUND(IF(V1236&lt;(SUM(S1229:S1236)),IF((V1237)&gt;(SUM(S1229:S1237)),(((SUM(S1229:S1237))-(V1237-C1236))*J1228)+((U1237-C1236)*J1228),U1237*J1228),IF(V1237&gt;(SUM(S1229:S1237)),S1237*J1228,U1237*J1228)),2)))</f>
        <v>0</v>
      </c>
      <c r="K1237" s="64">
        <f>IF(B1237=0,0,IF(AND(H1220="ja",((U1237)&lt;R1245)),ROUND(((R1247*R1244+((R1245/(R1245-R1244))-(R1244/(R1245-R1244))*R1247)*((U1237)-R1244))*(K1228*2))-(((R1245/(R1245-R1244))*((U1237)-R1244))*K1228),2),ROUND(IF(V1236&lt;(SUM(R1229:R1236)),IF((V1237)&gt;(SUM(R1229:R1237)),(((SUM(R1229:R1237))-(V1237-C1236))*K1228)+((U1237-C1236)*K1228),U1237*K1228),IF(V1237&gt;(SUM(R1229:R1237)),R1237*K1228,U1237*K1228)),2)))</f>
        <v>0</v>
      </c>
      <c r="L1237" s="64">
        <f>IF(B1237=0,0,IF(AND(H1220="ja",((U1237-C1237)&lt;R1245)),ROUND(((R1247*R1244+((R1245/(R1245-R1244))-(R1244/(R1245-R1244))*R1247)*((U1237-C1237)-R1244))*(L1228)),2),ROUND(IF(SUM(B1229:F1236)&lt;(SUM(S1229:S1236)),IF((SUM(B1229:F1237))&gt;(SUM(S1229:S1237)),(((SUM(S1229:S1237))-(SUM(B1229:F1237)-C1237))*L1228)+((SUM(B1237:F1237)-C1237)*L1228),(SUM(B1237:F1237)-C1237)*L1228),IF(SUM(B1229:F1237)&gt;(SUM(S1229:S1237)),S1237*L1228,SUM(B1237:F1237)*L1228)),2)))</f>
        <v>0</v>
      </c>
      <c r="M1237" s="64">
        <f>IF(B1237=0,0,IF(AND(H1220="ja",((U1237-C1237)&lt;R1245)),ROUND(((R1247*R1244+((R1245/(R1245-R1244))-(R1244/(R1245-R1244))*R1247)*((U1237-C1237)-R1244))*(M1228)),2),ROUND(IF(SUM(B1229:F1236)&lt;(SUM(S1229:S1236)),IF((SUM(B1229:F1237))&gt;(SUM(S1229:S1237)),(((SUM(S1229:S1237))-(SUM(B1229:F1237)-C1237))*M1228)+((SUM(B1237:F1237)-C1237)*M1228),(SUM(B1237:F1237)-C1237)*M1228),IF(SUM(B1229:F1237)&gt;(SUM(S1229:S1237)),S1237*M1228,SUM(B1237:F1237)*M1228)),2)))</f>
        <v>0</v>
      </c>
      <c r="N1237" s="64">
        <f>IF(B1237=0,0,IF(AND(H1220="ja",((U1237)&lt;R1245)),ROUND(((R1247*R1244+((R1245/(R1245-R1244))-(R1244/(R1245-R1244))*R1247)*((U1237)-R1244))*(N1228)),2),ROUND(IF(SUM(B1229:F1236)&lt;(SUM(S1229:S1236)),IF((SUM(B1229:F1237))&gt;(SUM(S1229:S1237)),(((SUM(S1229:S1237))-(SUM(B1229:F1237)-C1236))*N1228)+((SUM(B1237:F1237)-C1236)*N1228),SUM(B1237:F1237)*N1228),IF(SUM(B1229:F1237)&gt;(SUM(S1229:S1237)),S1237*N1228,SUM(B1237:F1237)*N1228)),2)))</f>
        <v>0</v>
      </c>
      <c r="O1237" s="21">
        <f>ROUND(SUM(B1237+C1237+F1237)*O1228,2)</f>
        <v>0</v>
      </c>
      <c r="P1237" s="25">
        <f t="shared" si="202"/>
        <v>0</v>
      </c>
      <c r="Q1237" s="456"/>
      <c r="R1237" s="140">
        <f>ROUND(IF(M1207="",R1223,R1223/M1207*P1214),2)</f>
        <v>5175</v>
      </c>
      <c r="S1237" s="140">
        <f>ROUND(IF(M1207="",R1224,R1224/M1207*P1214),2)</f>
        <v>7450</v>
      </c>
      <c r="U1237" s="950">
        <f t="shared" si="203"/>
        <v>0</v>
      </c>
      <c r="V1237" s="950">
        <f>SUM(B1229:F1237)</f>
        <v>0</v>
      </c>
    </row>
    <row r="1238" spans="1:24" s="12" customFormat="1" ht="15" x14ac:dyDescent="0.25">
      <c r="A1238" s="76" t="str">
        <f>CONCATENATE("Okt ",O1205)</f>
        <v>Okt 2025</v>
      </c>
      <c r="B1238" s="22">
        <f>ROUND(IF(P1215=0,0,IFERROR(((LOOKUP(2,1/(A1214:A1217=A1238),G1214:G1217))*P1215*4.348),B1237/P1214*P1215)),2)</f>
        <v>0</v>
      </c>
      <c r="C1238" s="21">
        <f>ROUND(IFERROR((LOOKUP(2,1/(A1220=A1238),E1220)),0)+IFERROR((LOOKUP(2,1/(A1221=A1238),E1221)),0),2)</f>
        <v>0</v>
      </c>
      <c r="D1238" s="21">
        <f>ROUND(IF(B1238=0,0,D1228/M1207*P1215),2)</f>
        <v>0</v>
      </c>
      <c r="E1238" s="21">
        <f>ROUND(IF(B1238=0,0,E1228/N1203*P1215),2)</f>
        <v>0</v>
      </c>
      <c r="F1238" s="22">
        <f>ROUND(IF(P1215=0,0,IFERROR(((LOOKUP(2,1/(A1214:A1217=A1238),I1214:I1217))/N1203*P1215),F1237/P1214*P1215)),2)</f>
        <v>0</v>
      </c>
      <c r="G1238" s="25">
        <f t="shared" si="201"/>
        <v>0</v>
      </c>
      <c r="H1238" s="64">
        <f>IF(B1238=0,0,IF(AND(H1220="ja",((U1238)&lt;R1245)),ROUND(((R1247*R1244+((R1245/(R1245-R1244))-(R1244/(R1245-R1244))*R1247)*((U1238)-R1244))*(H1228*2))-(((R1245/(R1245-R1244))*((U1238)-R1244))*H1228),2),ROUND(IF(V1237&lt;(SUM(R1229:R1237)),IF((V1238)&gt;(SUM(R1229:R1238)),(((SUM(R1229:R1238))-(V1238-C1237))*H1228)+((U1238-C1237)*H1228),U1238*H1228),IF(V1238&gt;(SUM(R1229:R1238)),R1238*H1228,U1238*H1228)),2)))</f>
        <v>0</v>
      </c>
      <c r="I1238" s="64">
        <f>IF(B1238=0,0,IF(AND(H1220="ja",((U1238)&lt;R1245)),ROUND(((R1247*R1244+((R1245/(R1245-R1244))-(R1244/(R1245-R1244))*R1247)*((U1238)-R1244))*(I1228*2))-(((R1245/(R1245-R1244))*((U1238)-R1244))*I1228),2),ROUND(IF(V1237&lt;(SUM(S1229:S1237)),IF((V1238)&gt;(SUM(S1229:S1238)),(((SUM(S1229:S1238))-(V1238-C1237))*I1228)+((U1238-C1237)*I1228),U1238*I1228),IF(V1238&gt;(SUM(S1229:S1238)),S1238*I1228,U1238*I1228)),2)))</f>
        <v>0</v>
      </c>
      <c r="J1238" s="64">
        <f>IF(B1238=0,0,IF(AND(H1220="ja",((U1238)&lt;R1245)),ROUND(((R1247*R1244+((R1245/(R1245-R1244))-(R1244/(R1245-R1244))*R1247)*((U1238)-R1244))*(J1228*2))-(((R1245/(R1245-R1244))*((U1238)-R1244))*J1228),2),ROUND(IF(V1237&lt;(SUM(S1229:S1237)),IF((V1238)&gt;(SUM(S1229:S1238)),(((SUM(S1229:S1238))-(V1238-C1237))*J1228)+((U1238-C1237)*J1228),U1238*J1228),IF(V1238&gt;(SUM(S1229:S1238)),S1238*J1228,U1238*J1228)),2)))</f>
        <v>0</v>
      </c>
      <c r="K1238" s="64">
        <f>IF(B1238=0,0,IF(AND(H1220="ja",((U1238)&lt;R1245)),ROUND(((R1247*R1244+((R1245/(R1245-R1244))-(R1244/(R1245-R1244))*R1247)*((U1238)-R1244))*(K1228*2))-(((R1245/(R1245-R1244))*((U1238)-R1244))*K1228),2),ROUND(IF(V1237&lt;(SUM(R1229:R1237)),IF((V1238)&gt;(SUM(R1229:R1238)),(((SUM(R1229:R1238))-(V1238-C1237))*K1228)+((U1238-C1237)*K1228),U1238*K1228),IF(V1238&gt;(SUM(R1229:R1238)),R1238*K1228,U1238*K1228)),2)))</f>
        <v>0</v>
      </c>
      <c r="L1238" s="64">
        <f>IF(B1238=0,0,IF(AND(H1220="ja",((U1238-C1238)&lt;R1245)),ROUND(((R1247*R1244+((R1245/(R1245-R1244))-(R1244/(R1245-R1244))*R1247)*((U1238-C1238)-R1244))*(L1228)),2),ROUND(IF(SUM(B1229:F1237)&lt;(SUM(S1229:S1237)),IF((SUM(B1229:F1238))&gt;(SUM(S1229:S1238)),(((SUM(S1229:S1238))-(SUM(B1229:F1238)-C1238))*L1228)+((SUM(B1238:F1238)-C1238)*L1228),(SUM(B1238:F1238)-C1238)*L1228),IF(SUM(B1229:F1238)&gt;(SUM(S1229:S1238)),S1238*L1228,SUM(B1238:F1238)*L1228)),2)))</f>
        <v>0</v>
      </c>
      <c r="M1238" s="64">
        <f>IF(B1238=0,0,IF(AND(H1220="ja",((U1238-C1238)&lt;R1245)),ROUND(((R1247*R1244+((R1245/(R1245-R1244))-(R1244/(R1245-R1244))*R1247)*((U1238-C1238)-R1244))*(M1228)),2),ROUND(IF(SUM(B1229:F1237)&lt;(SUM(S1229:S1237)),IF((SUM(B1229:F1238))&gt;(SUM(S1229:S1238)),(((SUM(S1229:S1238))-(SUM(B1229:F1238)-C1238))*M1228)+((SUM(B1238:F1238)-C1238)*M1228),(SUM(B1238:F1238)-C1238)*M1228),IF(SUM(B1229:F1238)&gt;(SUM(S1229:S1238)),S1238*M1228,SUM(B1238:F1238)*M1228)),2)))</f>
        <v>0</v>
      </c>
      <c r="N1238" s="64">
        <f>IF(B1238=0,0,IF(AND(H1220="ja",((U1238)&lt;R1245)),ROUND(((R1247*R1244+((R1245/(R1245-R1244))-(R1244/(R1245-R1244))*R1247)*((U1238)-R1244))*(N1228)),2),ROUND(IF(SUM(B1229:F1237)&lt;(SUM(S1229:S1237)),IF((SUM(B1229:F1238))&gt;(SUM(S1229:S1238)),(((SUM(S1229:S1238))-(SUM(B1229:F1238)-C1237))*N1228)+((SUM(B1238:F1238)-C1237)*N1228),SUM(B1238:F1238)*N1228),IF(SUM(B1229:F1238)&gt;(SUM(S1229:S1238)),S1238*N1228,SUM(B1238:F1238)*N1228)),2)))</f>
        <v>0</v>
      </c>
      <c r="O1238" s="21">
        <f>ROUND(SUM(B1238+C1238+F1238)*O1228,2)</f>
        <v>0</v>
      </c>
      <c r="P1238" s="25">
        <f t="shared" si="202"/>
        <v>0</v>
      </c>
      <c r="Q1238" s="936"/>
      <c r="R1238" s="140">
        <f>ROUND(IF(M1207="",R1223,R1223/M1207*P1215),2)</f>
        <v>5175</v>
      </c>
      <c r="S1238" s="140">
        <f>ROUND(IF(M1207="",R1224,R1224/M1207*P1215),2)</f>
        <v>7450</v>
      </c>
      <c r="U1238" s="950">
        <f t="shared" si="203"/>
        <v>0</v>
      </c>
      <c r="V1238" s="950">
        <f>SUM(B1229:F1238)</f>
        <v>0</v>
      </c>
      <c r="X1238" s="1"/>
    </row>
    <row r="1239" spans="1:24" s="11" customFormat="1" x14ac:dyDescent="0.2">
      <c r="A1239" s="76" t="str">
        <f>CONCATENATE("Nov ",O1205)</f>
        <v>Nov 2025</v>
      </c>
      <c r="B1239" s="22">
        <f>ROUND(IF(P1216=0,0,IFERROR(((LOOKUP(2,1/(A1214:A1217=A1239),G1214:G1217))*P1216*4.348),B1238/P1215*P1216)),2)</f>
        <v>0</v>
      </c>
      <c r="C1239" s="21">
        <f>ROUND(IFERROR((LOOKUP(2,1/(A1220=A1239),E1220)),0)+(IFERROR((LOOKUP(2,1/(A1221=A1239),E1221)),0)),2)</f>
        <v>0</v>
      </c>
      <c r="D1239" s="21">
        <f>ROUND(IF(B1239=0,0,D1228/M1207*P1216),2)</f>
        <v>0</v>
      </c>
      <c r="E1239" s="21">
        <f>ROUND(IF(B1239=0,0,E1228/N1203*P1216),2)</f>
        <v>0</v>
      </c>
      <c r="F1239" s="22">
        <f>ROUND(IF(P1216=0,0,IFERROR(((LOOKUP(2,1/(A1214:A1217=A1239),I1214:I1217))/N1203*P1216),F1238/P1215*P1216)),2)</f>
        <v>0</v>
      </c>
      <c r="G1239" s="25">
        <f t="shared" si="201"/>
        <v>0</v>
      </c>
      <c r="H1239" s="64">
        <f>IF(B1239=0,0,IF(AND(H1220="ja",((U1239)&lt;R1245)),ROUND(((R1247*R1244+((R1245/(R1245-R1244))-(R1244/(R1245-R1244))*R1247)*((U1239)-R1244))*(H1228*2))-(((R1245/(R1245-R1244))*((U1239)-R1244))*H1228),2),ROUND(IF(V1238&lt;(SUM(R1229:R1238)),IF((V1239)&gt;(SUM(R1229:R1239)),(((SUM(R1229:R1239))-(V1239-C1238))*H1228)+((U1239-C1238)*H1228),U1239*H1228),IF(V1239&gt;(SUM(R1229:R1239)),R1239*H1228,U1239*H1228)),2)))</f>
        <v>0</v>
      </c>
      <c r="I1239" s="64">
        <f>IF(B1239=0,0,IF(AND(H1220="ja",((U1239)&lt;R1245)),ROUND(((R1247*R1244+((R1245/(R1245-R1244))-(R1244/(R1245-R1244))*R1247)*((U1239)-R1244))*(I1228*2))-(((R1245/(R1245-R1244))*((U1239)-R1244))*I1228),2),ROUND(IF(V1238&lt;(SUM(S1229:S1238)),IF((V1239)&gt;(SUM(S1229:S1239)),(((SUM(S1229:S1239))-(V1239-C1238))*I1228)+((U1239-C1238)*I1228),U1239*I1228),IF(V1239&gt;(SUM(S1229:S1239)),S1239*I1228,U1239*I1228)),2)))</f>
        <v>0</v>
      </c>
      <c r="J1239" s="64">
        <f>IF(B1239=0,0,IF(AND(H1220="ja",((U1239)&lt;R1245)),ROUND(((R1247*R1244+((R1245/(R1245-R1244))-(R1244/(R1245-R1244))*R1247)*((U1239)-R1244))*(J1228*2))-(((R1245/(R1245-R1244))*((U1239)-R1244))*J1228),2),ROUND(IF(V1238&lt;(SUM(S1229:S1238)),IF((V1239)&gt;(SUM(S1229:S1239)),(((SUM(S1229:S1239))-(V1239-C1238))*J1228)+((U1239-C1238)*J1228),U1239*J1228),IF(V1239&gt;(SUM(S1229:S1239)),S1239*J1228,U1239*J1228)),2)))</f>
        <v>0</v>
      </c>
      <c r="K1239" s="64">
        <f>IF(B1239=0,0,IF(AND(H1220="ja",((U1239)&lt;R1245)),ROUND(((R1247*R1244+((R1245/(R1245-R1244))-(R1244/(R1245-R1244))*R1247)*((U1239)-R1244))*(K1228*2))-(((R1245/(R1245-R1244))*((U1239)-R1244))*K1228),2),ROUND(IF(V1238&lt;(SUM(R1229:R1238)),IF((V1239)&gt;(SUM(R1229:R1239)),(((SUM(R1229:R1239))-(V1239-C1238))*K1228)+((U1239-C1238)*K1228),U1239*K1228),IF(V1239&gt;(SUM(R1229:R1239)),R1239*K1228,U1239*K1228)),2)))</f>
        <v>0</v>
      </c>
      <c r="L1239" s="64">
        <f>IF(B1239=0,0,IF(AND(H1220="ja",((U1239-C1239)&lt;R1245)),ROUND(((R1247*R1244+((R1245/(R1245-R1244))-(R1244/(R1245-R1244))*R1247)*((U1239-C1239)-R1244))*(L1228)),2),ROUND(IF(SUM(B1229:F1238)&lt;(SUM(S1229:S1238)),IF((SUM(B1229:F1239))&gt;(SUM(S1229:S1239)),(((SUM(S1229:S1239))-(SUM(B1229:F1239)-C1239))*L1228)+((SUM(B1239:F1239)-C1239)*L1228),(SUM(B1239:F1239)-C1239)*L1228),IF(SUM(B1229:F1239)&gt;(SUM(S1229:S1239)),S1239*L1228,SUM(B1239:F1239)*L1228)),2)))</f>
        <v>0</v>
      </c>
      <c r="M1239" s="64">
        <f>IF(B1239=0,0,IF(AND(H1220="ja",((U1239-C1239)&lt;R1245)),ROUND(((R1247*R1244+((R1245/(R1245-R1244))-(R1244/(R1245-R1244))*R1247)*((U1239-C1239)-R1244))*(M1228)),2),ROUND(IF(SUM(B1229:F1238)&lt;(SUM(S1229:S1238)),IF((SUM(B1229:F1239))&gt;(SUM(S1229:S1239)),(((SUM(S1229:S1239))-(SUM(B1229:F1239)-C1239))*M1228)+((SUM(B1239:F1239)-C1239)*M1228),(SUM(B1239:F1239)-C1239)*M1228),IF(SUM(B1229:F1239)&gt;(SUM(S1229:S1239)),S1239*M1228,SUM(B1239:F1239)*M1228)),2)))</f>
        <v>0</v>
      </c>
      <c r="N1239" s="64">
        <f>IF(B1239=0,0,IF(AND(H1220="ja",((U1239)&lt;R1245)),ROUND(((R1247*R1244+((R1245/(R1245-R1244))-(R1244/(R1245-R1244))*R1247)*((U1239)-R1244))*(N1228)),2),ROUND(IF(SUM(B1229:F1238)&lt;(SUM(S1229:S1238)),IF((SUM(B1229:F1239))&gt;(SUM(S1229:S1239)),(((SUM(S1229:S1239))-(SUM(B1229:F1239)-C1238))*N1228)+((SUM(B1239:F1239)-C1238)*N1228),SUM(B1239:F1239)*N1228),IF(SUM(B1229:F1239)&gt;(SUM(S1229:S1239)),S1239*N1228,SUM(B1239:F1239)*N1228)),2)))</f>
        <v>0</v>
      </c>
      <c r="O1239" s="21">
        <f>ROUND(SUM(B1239+C1239+F1239)*O1228,2)</f>
        <v>0</v>
      </c>
      <c r="P1239" s="25">
        <f t="shared" si="202"/>
        <v>0</v>
      </c>
      <c r="R1239" s="140">
        <f>ROUND(IF(M1207="",R1223,R1223/M1207*P1216),2)</f>
        <v>5175</v>
      </c>
      <c r="S1239" s="140">
        <f>ROUND(IF(M1207="",R1224,R1224/M1207*P1216),2)</f>
        <v>7450</v>
      </c>
      <c r="U1239" s="950">
        <f t="shared" si="203"/>
        <v>0</v>
      </c>
      <c r="V1239" s="950">
        <f>SUM(B1229:F1239)</f>
        <v>0</v>
      </c>
      <c r="X1239" s="1"/>
    </row>
    <row r="1240" spans="1:24" s="1" customFormat="1" ht="14.25" customHeight="1" x14ac:dyDescent="0.2">
      <c r="A1240" s="76" t="str">
        <f>CONCATENATE("Dez ",O1205)</f>
        <v>Dez 2025</v>
      </c>
      <c r="B1240" s="22">
        <f>ROUND(IF(P1217=0,0,IFERROR(((LOOKUP(2,1/(A1214:A1217=A1240),G1214:G1217))*P1217*4.348),B1239/P1216*P1217)),2)</f>
        <v>0</v>
      </c>
      <c r="C1240" s="21">
        <f>ROUND(IFERROR((LOOKUP(2,1/(A1220=A1240),E1220)),0)+IFERROR((LOOKUP(2,1/(A1221=A1240),E1221)),0),2)</f>
        <v>0</v>
      </c>
      <c r="D1240" s="21">
        <f>ROUND(IF(B1240=0,0,D1228/M1207*P1217),2)</f>
        <v>0</v>
      </c>
      <c r="E1240" s="21">
        <f>ROUND(IF(B1240=0,0,E1228/N1203*P1217),2)</f>
        <v>0</v>
      </c>
      <c r="F1240" s="22">
        <f>ROUND(IF(P1217=0,0,IFERROR(((LOOKUP(2,1/(A1214:A1217=A1240),I1214:I1217))/N1203*P1217),F1239/P1216*P1217)),2)</f>
        <v>0</v>
      </c>
      <c r="G1240" s="25">
        <f t="shared" si="201"/>
        <v>0</v>
      </c>
      <c r="H1240" s="64">
        <f>IF(B1240=0,0,IF(AND(H1220="ja",((U1240)&lt;R1245)),ROUND(((R1247*R1244+((R1245/(R1245-R1244))-(R1244/(R1245-R1244))*R1247)*((U1240)-R1244))*(H1228*2))-(((R1245/(R1245-R1244))*((U1240)-R1244))*H1228),2),ROUND(IF(V1239&lt;(SUM(R1229:R1239)),IF((V1240)&gt;(SUM(R1229:R1240)),(((SUM(R1229:R1240))-(V1240-C1239))*H1228)+((U1240-C1239)*H1228),U1240*H1228),IF(V1240&gt;(SUM(R1229:R1240)),R1240*H1228,U1240*H1228)),2)))</f>
        <v>0</v>
      </c>
      <c r="I1240" s="64">
        <f>IF(B1240=0,0,IF(AND(H1220="ja",((U1240)&lt;R1245)),ROUND(((R1247*R1244+((R1245/(R1245-R1244))-(R1244/(R1245-R1244))*R1247)*((U1240)-R1244))*(I1228*2))-(((R1245/(R1245-R1244))*((U1240)-R1244))*I1228),2),ROUND(IF(V1239&lt;(SUM(S1229:S1239)),IF((V1240)&gt;(SUM(S1229:S1240)),(((SUM(S1229:S1240))-(V1240-C1239))*I1228)+((U1240-C1239)*I1228),U1240*I1228),IF(V1240&gt;(SUM(S1229:S1240)),S1240*I1228,U1240*I1228)),2)))</f>
        <v>0</v>
      </c>
      <c r="J1240" s="64">
        <f>IF(B1240=0,0,IF(AND(H1220="ja",((U1240)&lt;R1245)),ROUND(((R1247*R1244+((R1245/(R1245-R1244))-(R1244/(R1245-R1244))*R1247)*((U1240)-R1244))*(J1228*2))-(((R1245/(R1245-R1244))*((U1240)-R1244))*J1228),2),ROUND(IF(V1239&lt;(SUM(S1229:S1239)),IF((V1240)&gt;(SUM(S1229:S1240)),(((SUM(S1229:S1240))-(V1240-C1239))*J1228)+((U1240-C1239)*J1228),U1240*J1228),IF(V1240&gt;(SUM(S1229:S1240)),S1240*J1228,U1240*J1228)),2)))</f>
        <v>0</v>
      </c>
      <c r="K1240" s="64">
        <f>IF(B1240=0,0,IF(AND(H1220="ja",((U1240)&lt;R1245)),ROUND(((R1247*R1244+((R1245/(R1245-R1244))-(R1244/(R1245-R1244))*R1247)*((U1240)-R1244))*(K1228*2))-(((R1245/(R1245-R1244))*((U1240)-R1244))*K1228),2),ROUND(IF(V1239&lt;(SUM(R1229:R1239)),IF((V1240)&gt;(SUM(R1229:R1240)),(((SUM(R1229:R1240))-(V1240-C1239))*K1228)+((U1240-C1239)*K1228),U1240*K1228),IF(V1240&gt;(SUM(R1229:R1240)),R1240*K1228,U1240*K1228)),2)))</f>
        <v>0</v>
      </c>
      <c r="L1240" s="64">
        <f>IF(B1240=0,0,IF(AND(H1220="ja",((U1240-C1240)&lt;R1245)),ROUND(((R1247*R1244+((R1245/(R1245-R1244))-(R1244/(R1245-R1244))*R1247)*((U1240-C1240)-R1244))*(L1228)),2),ROUND(IF(SUM(B1229:F1239)&lt;(SUM(S1229:S1239)),IF((SUM(B1229:F1240))&gt;(SUM(S1229:S1240)),(((SUM(S1229:S1240))-(SUM(B1229:F1240)-C1240))*L1228)+((SUM(B1240:F1240)-C1240)*L1228),(SUM(B1240:F1240)-C1240)*L1228),IF(SUM(B1229:F1240)&gt;(SUM(S1229:S1240)),S1240*L1228,SUM(B1240:F1240)*L1228)),2)))</f>
        <v>0</v>
      </c>
      <c r="M1240" s="64">
        <f>IF(B1240=0,0,IF(AND(H1220="ja",((U1240-C1240)&lt;R1245)),ROUND(((R1247*R1244+((R1245/(R1245-R1244))-(R1244/(R1245-R1244))*R1247)*((U1240-C1240)-R1244))*(M1228)),2),ROUND(IF(SUM(B1229:F1239)&lt;(SUM(S1229:S1239)),IF((SUM(B1229:F1240))&gt;(SUM(S1229:S1240)),(((SUM(S1229:S1240))-(SUM(B1229:F1240)-C1240))*M1228)+((SUM(B1240:F1240)-C1240)*M1228),(SUM(B1240:F1240)-C1240)*M1228),IF(SUM(B1229:F1240)&gt;(SUM(S1229:S1240)),S1240*M1228,SUM(B1240:F1240)*M1228)),2)))</f>
        <v>0</v>
      </c>
      <c r="N1240" s="64">
        <f>IF(B1240=0,0,IF(AND(H1220="ja",((U1240)&lt;R1245)),ROUND(((R1247*R1244+((R1245/(R1245-R1244))-(R1244/(R1245-R1244))*R1247)*((U1240)-R1244))*(N1228)),2),ROUND(IF(SUM(B1229:F1239)&lt;(SUM(S1229:S1239)),IF((SUM(B1229:F1240))&gt;(SUM(S1229:S1240)),(((SUM(S1229:S1240))-(SUM(B1229:F1240)-C1239))*N1228)+((SUM(B1240:F1240)-C1239)*N1228),SUM(B1240:F1240)*N1228),IF(SUM(B1229:F1240)&gt;(SUM(S1229:S1240)),S1240*N1228,SUM(B1240:F1240)*N1228)),2)))</f>
        <v>0</v>
      </c>
      <c r="O1240" s="21">
        <f>ROUND(SUM(B1240+C1240+F1240)*O1228,2)</f>
        <v>0</v>
      </c>
      <c r="P1240" s="25">
        <f t="shared" si="202"/>
        <v>0</v>
      </c>
      <c r="Q1240" s="11"/>
      <c r="R1240" s="140">
        <f>ROUND(IF(M1207="",R1223,R1223/M1207*P1217),2)</f>
        <v>5175</v>
      </c>
      <c r="S1240" s="140">
        <f>ROUND(IF(M1207="",R1224,R1224/M1207*P1217),2)</f>
        <v>7450</v>
      </c>
      <c r="U1240" s="950">
        <f t="shared" si="203"/>
        <v>0</v>
      </c>
      <c r="V1240" s="950">
        <f>SUM(B1229:F1240)</f>
        <v>0</v>
      </c>
    </row>
    <row r="1241" spans="1:24" s="1" customFormat="1" ht="15" customHeight="1" x14ac:dyDescent="0.2">
      <c r="A1241" s="2" t="s">
        <v>1</v>
      </c>
      <c r="B1241" s="25">
        <f t="shared" ref="B1241:G1241" si="204">SUM(B1229:B1240)</f>
        <v>0</v>
      </c>
      <c r="C1241" s="25">
        <f t="shared" si="204"/>
        <v>0</v>
      </c>
      <c r="D1241" s="25">
        <f t="shared" si="204"/>
        <v>0</v>
      </c>
      <c r="E1241" s="25">
        <f t="shared" si="204"/>
        <v>0</v>
      </c>
      <c r="F1241" s="25">
        <f t="shared" si="204"/>
        <v>0</v>
      </c>
      <c r="G1241" s="25">
        <f t="shared" si="204"/>
        <v>0</v>
      </c>
      <c r="H1241" s="1309">
        <f>SUM(H1229:N1240)</f>
        <v>0</v>
      </c>
      <c r="I1241" s="1310"/>
      <c r="J1241" s="1310"/>
      <c r="K1241" s="1310"/>
      <c r="L1241" s="1310"/>
      <c r="M1241" s="1310"/>
      <c r="N1241" s="1311"/>
      <c r="O1241" s="25">
        <f>SUM(O1229:O1240)</f>
        <v>0</v>
      </c>
      <c r="P1241" s="25">
        <f>SUM(P1229:P1240)</f>
        <v>0</v>
      </c>
    </row>
    <row r="1242" spans="1:24" s="1" customFormat="1" ht="12" customHeight="1" x14ac:dyDescent="0.2"/>
    <row r="1243" spans="1:24" s="1" customFormat="1" ht="14.25" customHeight="1" x14ac:dyDescent="0.2">
      <c r="B1243" s="906"/>
      <c r="H1243" s="905"/>
      <c r="I1243" s="62"/>
      <c r="J1243" s="914" t="s">
        <v>123</v>
      </c>
      <c r="L1243" s="900" t="s">
        <v>124</v>
      </c>
      <c r="M1243" s="974" t="str">
        <f>IF(IF(G1241=0,"",'päd.Personal - Leitung'!$M$43)=0,"",IF(G1241=0,"",'päd.Personal - Leitung'!$M$43))</f>
        <v/>
      </c>
      <c r="N1243" s="902" t="s">
        <v>125</v>
      </c>
      <c r="O1243" s="963" t="str">
        <f>IF(IF(G1241=0,"",'päd.Personal - Leitung'!$O$43)=0,"",IF(G1241=0,"",'päd.Personal - Leitung'!$O$43))</f>
        <v/>
      </c>
      <c r="P1243" s="25">
        <f>ROUND(IF(M1243="",0,G1241*M1243*O1243/1000),2)</f>
        <v>0</v>
      </c>
      <c r="Q1243" s="937"/>
      <c r="R1243" s="938">
        <v>2025</v>
      </c>
      <c r="S1243" s="939"/>
    </row>
    <row r="1244" spans="1:24" s="1" customFormat="1" ht="14.25" customHeight="1" x14ac:dyDescent="0.2">
      <c r="H1244" s="907"/>
      <c r="I1244" s="42"/>
      <c r="M1244" s="915" t="s">
        <v>129</v>
      </c>
      <c r="N1244" s="80" t="s">
        <v>125</v>
      </c>
      <c r="O1244" s="75" t="str">
        <f>IF(IF(G1241=0,"",'päd.Personal - Leitung'!$O$44)=0,"",IF(G1241=0,"",'päd.Personal - Leitung'!$O$44))</f>
        <v/>
      </c>
      <c r="P1244" s="25">
        <f>ROUND(IF(O1244="",0,G1241*O1244/1000),2)</f>
        <v>0</v>
      </c>
      <c r="Q1244" s="942" t="s">
        <v>737</v>
      </c>
      <c r="R1244" s="141">
        <f>'päd.Personal - Leitung'!$R$44</f>
        <v>556</v>
      </c>
      <c r="S1244" s="955">
        <f>'päd.Personal - Leitung'!$S$44</f>
        <v>12.82</v>
      </c>
    </row>
    <row r="1245" spans="1:24" s="1" customFormat="1" ht="14.25" customHeight="1" x14ac:dyDescent="0.2">
      <c r="H1245" s="912" t="s">
        <v>126</v>
      </c>
      <c r="I1245" s="1013" t="s">
        <v>127</v>
      </c>
      <c r="J1245" s="975" t="str">
        <f>IF(IF(G1241=0,"",'päd.Personal - Leitung'!$J$45)=0,"",IF(G1241=0,"",'päd.Personal - Leitung'!$J$45))</f>
        <v/>
      </c>
      <c r="K1245" s="902" t="s">
        <v>128</v>
      </c>
      <c r="L1245" s="964" t="str">
        <f>IF(IF(G1241=0,"",'päd.Personal - Leitung'!$L$45)=0,"",IF(G1241=0,"",'päd.Personal - Leitung'!$L$45))</f>
        <v/>
      </c>
      <c r="M1245" s="16"/>
      <c r="N1245" s="900" t="s">
        <v>132</v>
      </c>
      <c r="O1245" s="965" t="str">
        <f>IF(IF(G1241=0,"",'päd.Personal - Leitung'!$O$45)=0,"",IF(G1241=0,"",'päd.Personal - Leitung'!$O$45))</f>
        <v/>
      </c>
      <c r="P1245" s="25">
        <f>ROUND(IF(J1245="",0,(J1245*L1245/O1245)/M1209*M1210),2)</f>
        <v>0</v>
      </c>
      <c r="Q1245" s="942" t="s">
        <v>738</v>
      </c>
      <c r="R1245" s="140">
        <f>'päd.Personal - Leitung'!$R$45</f>
        <v>2000</v>
      </c>
      <c r="S1245" s="939"/>
    </row>
    <row r="1246" spans="1:24" s="1" customFormat="1" ht="14.25" customHeight="1" x14ac:dyDescent="0.2">
      <c r="D1246" s="16"/>
      <c r="I1246" s="16"/>
      <c r="J1246" s="16"/>
      <c r="K1246" s="63"/>
      <c r="L1246" s="67"/>
      <c r="M1246" s="915" t="s">
        <v>130</v>
      </c>
      <c r="N1246" s="80" t="s">
        <v>131</v>
      </c>
      <c r="O1246" s="904">
        <f>IF(IF(G1241="",0,'päd.Personal - Leitung'!$O$94)=0,0,IF(G1241="",0,'päd.Personal - Leitung'!$O$94))</f>
        <v>0</v>
      </c>
      <c r="P1246" s="21">
        <f>ROUND(IF(G1241=0,0,O1246/M1207*M1208),2)</f>
        <v>0</v>
      </c>
      <c r="Q1246" s="942" t="s">
        <v>740</v>
      </c>
      <c r="R1246" s="956">
        <f>'päd.Personal - Leitung'!$R$46</f>
        <v>0.40900000000000003</v>
      </c>
    </row>
    <row r="1247" spans="1:24" s="1" customFormat="1" ht="14.25" customHeight="1" x14ac:dyDescent="0.2">
      <c r="A1247" s="16"/>
      <c r="B1247" s="16"/>
      <c r="I1247" s="905"/>
      <c r="J1247" s="961" t="s">
        <v>176</v>
      </c>
      <c r="K1247" s="1312" t="str">
        <f>IF($K$47="","",$K$47)</f>
        <v/>
      </c>
      <c r="L1247" s="1312"/>
      <c r="M1247" s="1312"/>
      <c r="N1247" s="80" t="s">
        <v>131</v>
      </c>
      <c r="O1247" s="904">
        <f>IF(IF(G1241="",0,'päd.Personal - Leitung'!$O$95)=0,0,IF(G1241="",0,'päd.Personal - Leitung'!$O$95))</f>
        <v>0</v>
      </c>
      <c r="P1247" s="21">
        <f>ROUND(IF(G1241=0,0,O1247/M1207*M1208),2)</f>
        <v>0</v>
      </c>
      <c r="Q1247" s="942" t="s">
        <v>739</v>
      </c>
      <c r="R1247" s="940">
        <f>'päd.Personal - Leitung'!$R$47</f>
        <v>0.68459999999999999</v>
      </c>
      <c r="S1247" s="957">
        <f>'päd.Personal - Leitung'!$S$47</f>
        <v>0.28000000000000003</v>
      </c>
    </row>
    <row r="1248" spans="1:24" s="1" customFormat="1" ht="14.25" customHeight="1" x14ac:dyDescent="0.2">
      <c r="A1248" s="908"/>
      <c r="B1248" s="908"/>
      <c r="C1248" s="1013"/>
      <c r="D1248" s="1013"/>
      <c r="I1248" s="913"/>
      <c r="J1248" s="913"/>
      <c r="K1248" s="916"/>
      <c r="L1248" s="27"/>
      <c r="M1248" s="27"/>
      <c r="N1248" s="27"/>
      <c r="O1248" s="26" t="s">
        <v>0</v>
      </c>
      <c r="P1248" s="25">
        <f>P1241+SUM(P1243:P1247)</f>
        <v>0</v>
      </c>
    </row>
    <row r="1249" spans="1:19" s="10" customFormat="1" ht="13.5" customHeight="1" x14ac:dyDescent="0.2">
      <c r="A1249" s="1321" t="s">
        <v>17</v>
      </c>
      <c r="B1249" s="1321"/>
      <c r="C1249" s="1321"/>
      <c r="D1249" s="1320" t="str">
        <f>IF('päd.Personal - Leitung'!$D$1="","",'päd.Personal - Leitung'!$D$1)</f>
        <v/>
      </c>
      <c r="E1249" s="1320"/>
      <c r="F1249" s="1320"/>
      <c r="G1249" s="1320"/>
      <c r="H1249" s="1320"/>
      <c r="I1249" s="1320"/>
      <c r="J1249" s="1320"/>
      <c r="K1249" s="1320"/>
      <c r="L1249" s="1320"/>
      <c r="M1249" s="1320"/>
      <c r="N1249" s="1320"/>
    </row>
    <row r="1250" spans="1:19" s="10" customFormat="1" ht="15" customHeight="1" x14ac:dyDescent="0.2">
      <c r="A1250" s="1321" t="s">
        <v>16</v>
      </c>
      <c r="B1250" s="1321"/>
      <c r="C1250" s="1321" t="s">
        <v>14</v>
      </c>
      <c r="D1250" s="1320" t="str">
        <f>IF('päd.Personal - Leitung'!$D$2="","",'päd.Personal - Leitung'!$D$2)</f>
        <v/>
      </c>
      <c r="E1250" s="1320"/>
      <c r="F1250" s="1320"/>
      <c r="G1250" s="1320"/>
      <c r="H1250" s="1320"/>
      <c r="I1250" s="1320"/>
      <c r="J1250" s="1320"/>
      <c r="K1250" s="1320"/>
      <c r="L1250" s="1320"/>
      <c r="M1250" s="1320"/>
      <c r="N1250" s="1320"/>
    </row>
    <row r="1251" spans="1:19" s="10" customFormat="1" ht="15" customHeight="1" x14ac:dyDescent="0.2">
      <c r="A1251" s="1321" t="s">
        <v>15</v>
      </c>
      <c r="B1251" s="1321"/>
      <c r="C1251" s="1321" t="s">
        <v>14</v>
      </c>
      <c r="D1251" s="1320" t="str">
        <f>IF('päd.Personal - Leitung'!$D$3="","",'päd.Personal - Leitung'!$D$3)</f>
        <v/>
      </c>
      <c r="E1251" s="1320"/>
      <c r="F1251" s="1320"/>
      <c r="G1251" s="1320"/>
      <c r="H1251" s="1320"/>
      <c r="I1251" s="1320"/>
      <c r="J1251" s="1320"/>
      <c r="K1251" s="1321" t="s">
        <v>100</v>
      </c>
      <c r="L1251" s="1321"/>
      <c r="M1251" s="1321"/>
      <c r="N1251" s="38" t="str">
        <f>IF('päd.Personal - Leitung'!$N$3="","",'päd.Personal - Leitung'!$N$3)</f>
        <v/>
      </c>
    </row>
    <row r="1252" spans="1:19" s="923" customFormat="1" ht="7.5" customHeight="1" x14ac:dyDescent="0.15">
      <c r="A1252" s="1353"/>
      <c r="B1252" s="1353"/>
      <c r="C1252" s="1353"/>
      <c r="D1252" s="1354"/>
      <c r="E1252" s="1354"/>
      <c r="F1252" s="1354"/>
      <c r="G1252" s="1354"/>
      <c r="H1252" s="1354"/>
      <c r="I1252" s="1354"/>
      <c r="J1252" s="1354"/>
      <c r="K1252" s="922"/>
      <c r="L1252" s="922"/>
      <c r="M1252" s="922"/>
      <c r="N1252" s="922"/>
      <c r="O1252" s="922"/>
      <c r="P1252" s="922"/>
    </row>
    <row r="1253" spans="1:19" s="13" customFormat="1" ht="13.5" customHeight="1" x14ac:dyDescent="0.2">
      <c r="A1253" s="1355" t="s">
        <v>151</v>
      </c>
      <c r="B1253" s="1355"/>
      <c r="C1253" s="1355"/>
      <c r="D1253" s="1355"/>
      <c r="E1253" s="1355"/>
      <c r="F1253" s="1355"/>
      <c r="G1253" s="1355"/>
      <c r="H1253" s="1355"/>
      <c r="I1253" s="1355"/>
      <c r="J1253" s="1355"/>
      <c r="K1253" s="7"/>
      <c r="L1253" s="7"/>
      <c r="M1253" s="7"/>
      <c r="N1253" s="52"/>
      <c r="O1253" s="138">
        <f>'päd.Personal - Leitung'!$O$5</f>
        <v>2025</v>
      </c>
      <c r="P1253" s="52" t="s">
        <v>140</v>
      </c>
    </row>
    <row r="1254" spans="1:19" s="8" customFormat="1" ht="13.5" customHeight="1" x14ac:dyDescent="0.25">
      <c r="B1254" s="29"/>
      <c r="C1254" s="29"/>
      <c r="D1254" s="3" t="s">
        <v>59</v>
      </c>
      <c r="E1254" s="28"/>
      <c r="F1254" s="28"/>
      <c r="G1254" s="28"/>
      <c r="H1254" s="28"/>
      <c r="I1254" s="24"/>
      <c r="K1254" s="1327" t="s">
        <v>13</v>
      </c>
      <c r="L1254" s="1327"/>
      <c r="M1254" s="131"/>
      <c r="O1254" s="928" t="str">
        <f>A1277</f>
        <v>Jan 2025</v>
      </c>
      <c r="P1254" s="1402">
        <f>IF(M1256="","",M1256)</f>
        <v>0</v>
      </c>
    </row>
    <row r="1255" spans="1:19" s="5" customFormat="1" ht="13.5" customHeight="1" x14ac:dyDescent="0.25">
      <c r="A1255" s="1328" t="s">
        <v>754</v>
      </c>
      <c r="B1255" s="1328"/>
      <c r="C1255" s="1328"/>
      <c r="D1255" s="1345"/>
      <c r="E1255" s="1345"/>
      <c r="F1255" s="1345"/>
      <c r="G1255" s="1345"/>
      <c r="H1255" s="1345"/>
      <c r="I1255" s="1345"/>
      <c r="K1255" s="1327" t="s">
        <v>101</v>
      </c>
      <c r="L1255" s="1327"/>
      <c r="M1255" s="101"/>
      <c r="O1255" s="928" t="str">
        <f t="shared" ref="O1255:O1265" si="205">A1278</f>
        <v>Feb 2025</v>
      </c>
      <c r="P1255" s="1403">
        <f t="shared" ref="P1255:P1265" si="206">IF(P1254="","",P1254)</f>
        <v>0</v>
      </c>
    </row>
    <row r="1256" spans="1:19" s="1" customFormat="1" ht="13.5" customHeight="1" x14ac:dyDescent="0.2">
      <c r="A1256" s="1328" t="s">
        <v>12</v>
      </c>
      <c r="B1256" s="1328"/>
      <c r="C1256" s="1328"/>
      <c r="D1256" s="1345"/>
      <c r="E1256" s="1345"/>
      <c r="F1256" s="1345"/>
      <c r="G1256" s="1345"/>
      <c r="H1256" s="1345"/>
      <c r="I1256" s="1345"/>
      <c r="K1256" s="1327" t="s">
        <v>149</v>
      </c>
      <c r="L1256" s="1327"/>
      <c r="M1256" s="101">
        <f>IF((M1257+M1258)&gt;M1255,0,M1255-M1257-M1258)</f>
        <v>0</v>
      </c>
      <c r="O1256" s="928" t="str">
        <f t="shared" si="205"/>
        <v>Mrz 2025</v>
      </c>
      <c r="P1256" s="1403">
        <f t="shared" si="206"/>
        <v>0</v>
      </c>
    </row>
    <row r="1257" spans="1:19" s="1" customFormat="1" ht="13.5" customHeight="1" x14ac:dyDescent="0.2">
      <c r="A1257" s="1328" t="s">
        <v>11</v>
      </c>
      <c r="B1257" s="1328"/>
      <c r="C1257" s="1328"/>
      <c r="D1257" s="1345"/>
      <c r="E1257" s="1345"/>
      <c r="F1257" s="1345"/>
      <c r="G1257" s="1345"/>
      <c r="H1257" s="1345"/>
      <c r="I1257" s="1345"/>
      <c r="K1257" s="1327" t="s">
        <v>150</v>
      </c>
      <c r="L1257" s="1327"/>
      <c r="M1257" s="101"/>
      <c r="O1257" s="928" t="str">
        <f t="shared" si="205"/>
        <v>Apr 2025</v>
      </c>
      <c r="P1257" s="1403">
        <f t="shared" si="206"/>
        <v>0</v>
      </c>
    </row>
    <row r="1258" spans="1:19" s="1" customFormat="1" ht="13.5" customHeight="1" x14ac:dyDescent="0.2">
      <c r="A1258" s="1328" t="s">
        <v>18</v>
      </c>
      <c r="B1258" s="1328"/>
      <c r="C1258" s="1328"/>
      <c r="D1258" s="1345"/>
      <c r="E1258" s="1345"/>
      <c r="F1258" s="1345"/>
      <c r="G1258" s="1345"/>
      <c r="H1258" s="1345"/>
      <c r="I1258" s="1345"/>
      <c r="K1258" s="1327" t="s">
        <v>222</v>
      </c>
      <c r="L1258" s="1327"/>
      <c r="M1258" s="101"/>
      <c r="O1258" s="928" t="str">
        <f t="shared" si="205"/>
        <v>Mai 2025</v>
      </c>
      <c r="P1258" s="1403">
        <f t="shared" si="206"/>
        <v>0</v>
      </c>
    </row>
    <row r="1259" spans="1:19" s="1" customFormat="1" ht="13.5" customHeight="1" x14ac:dyDescent="0.2">
      <c r="B1259" s="6"/>
      <c r="C1259" s="1029" t="s">
        <v>147</v>
      </c>
      <c r="D1259" s="1324"/>
      <c r="E1259" s="1324"/>
      <c r="F1259" s="1359" t="s">
        <v>103</v>
      </c>
      <c r="G1259" s="1359"/>
      <c r="H1259" s="1361"/>
      <c r="I1259" s="1361"/>
      <c r="K1259" s="1327" t="s">
        <v>94</v>
      </c>
      <c r="L1259" s="1327"/>
      <c r="M1259" s="15" t="str">
        <f>IF(IF((COUNTIF(B1277:B1288,"&gt;0"))=0,0,(COUNTIF(B1277:B1288,"&gt;0")))&gt;Grundlagen!$C$26,Grundlagen!$C$26,IF((COUNTIF(B1277:B1288,"&gt;0"))=0,"",(COUNTIF(B1277:B1288,"&gt;0"))))</f>
        <v/>
      </c>
      <c r="O1259" s="928" t="str">
        <f t="shared" si="205"/>
        <v>Jun 2025</v>
      </c>
      <c r="P1259" s="1403">
        <f t="shared" si="206"/>
        <v>0</v>
      </c>
    </row>
    <row r="1260" spans="1:19" s="1" customFormat="1" ht="13.5" customHeight="1" x14ac:dyDescent="0.2">
      <c r="I1260" s="4"/>
      <c r="M1260" s="102" t="str">
        <f>IF((SUM(F1262:F1265))=0,"",IF(P1266&gt;M1256,M1256,IF(M1256="","",IF(M1259="","",P1266))))</f>
        <v/>
      </c>
      <c r="O1260" s="928" t="str">
        <f t="shared" si="205"/>
        <v>Jul 2025</v>
      </c>
      <c r="P1260" s="1403">
        <f t="shared" si="206"/>
        <v>0</v>
      </c>
    </row>
    <row r="1261" spans="1:19" s="46" customFormat="1" ht="13.5" customHeight="1" x14ac:dyDescent="0.2">
      <c r="A1261" s="54" t="s">
        <v>134</v>
      </c>
      <c r="B1261" s="1356" t="s">
        <v>135</v>
      </c>
      <c r="C1261" s="1356"/>
      <c r="D1261" s="55" t="s">
        <v>136</v>
      </c>
      <c r="E1261" s="56" t="s">
        <v>137</v>
      </c>
      <c r="F1261" s="57" t="str">
        <f>CONCATENATE("Entg. ",N1251," h/Wo")</f>
        <v>Entg.  h/Wo</v>
      </c>
      <c r="G1261" s="58" t="s">
        <v>138</v>
      </c>
      <c r="I1261" s="58" t="s">
        <v>139</v>
      </c>
      <c r="K1261" s="970"/>
      <c r="L1261" s="970"/>
      <c r="M1261" s="59"/>
      <c r="N1261" s="968"/>
      <c r="O1261" s="928" t="str">
        <f t="shared" si="205"/>
        <v>Aug 2025</v>
      </c>
      <c r="P1261" s="1403">
        <f t="shared" si="206"/>
        <v>0</v>
      </c>
      <c r="Q1261" s="85"/>
      <c r="R1261" s="85"/>
      <c r="S1261" s="85"/>
    </row>
    <row r="1262" spans="1:19" s="46" customFormat="1" ht="13.5" customHeight="1" x14ac:dyDescent="0.25">
      <c r="A1262" s="48" t="str">
        <f>'päd.Personal - Leitung'!$A$14</f>
        <v>Jan 2025</v>
      </c>
      <c r="B1262" s="1357" t="str">
        <f>IF($D$3="","",$D$3)</f>
        <v/>
      </c>
      <c r="C1262" s="1358"/>
      <c r="D1262" s="132"/>
      <c r="E1262" s="132"/>
      <c r="F1262" s="71"/>
      <c r="G1262" s="50">
        <f>IF(N1251="",0,F1262/N1251/4.348)</f>
        <v>0</v>
      </c>
      <c r="I1262" s="125">
        <f>SUM(J1262:M1262)</f>
        <v>0</v>
      </c>
      <c r="J1262" s="124"/>
      <c r="K1262" s="124"/>
      <c r="L1262" s="124"/>
      <c r="M1262" s="124"/>
      <c r="N1262" s="969"/>
      <c r="O1262" s="928" t="str">
        <f t="shared" si="205"/>
        <v>Sep 2025</v>
      </c>
      <c r="P1262" s="1403">
        <f t="shared" si="206"/>
        <v>0</v>
      </c>
      <c r="Q1262" s="85"/>
      <c r="R1262" s="85"/>
      <c r="S1262" s="85"/>
    </row>
    <row r="1263" spans="1:19" s="46" customFormat="1" ht="13.5" customHeight="1" x14ac:dyDescent="0.25">
      <c r="A1263" s="49"/>
      <c r="B1263" s="1322" t="str">
        <f>IF(A1263="","",B1262)</f>
        <v/>
      </c>
      <c r="C1263" s="1323"/>
      <c r="D1263" s="132"/>
      <c r="E1263" s="132"/>
      <c r="F1263" s="71"/>
      <c r="G1263" s="50">
        <f>IF(N1251="",0,F1263/N1251/4.348)</f>
        <v>0</v>
      </c>
      <c r="I1263" s="125">
        <f t="shared" ref="I1263:I1265" si="207">SUM(J1263:M1263)</f>
        <v>0</v>
      </c>
      <c r="J1263" s="124"/>
      <c r="K1263" s="124"/>
      <c r="L1263" s="124"/>
      <c r="M1263" s="124"/>
      <c r="N1263" s="969"/>
      <c r="O1263" s="928" t="str">
        <f t="shared" si="205"/>
        <v>Okt 2025</v>
      </c>
      <c r="P1263" s="1403">
        <f t="shared" si="206"/>
        <v>0</v>
      </c>
      <c r="Q1263" s="85"/>
      <c r="R1263" s="85"/>
      <c r="S1263" s="85"/>
    </row>
    <row r="1264" spans="1:19" s="46" customFormat="1" ht="13.5" customHeight="1" x14ac:dyDescent="0.25">
      <c r="A1264" s="49"/>
      <c r="B1264" s="1322" t="str">
        <f>IF(A1264="","",B1263)</f>
        <v/>
      </c>
      <c r="C1264" s="1323"/>
      <c r="D1264" s="132"/>
      <c r="E1264" s="132"/>
      <c r="F1264" s="71"/>
      <c r="G1264" s="50">
        <f>IF(N1251="",0,F1264/N1251/4.348)</f>
        <v>0</v>
      </c>
      <c r="I1264" s="125">
        <f t="shared" si="207"/>
        <v>0</v>
      </c>
      <c r="J1264" s="124"/>
      <c r="K1264" s="124"/>
      <c r="L1264" s="124"/>
      <c r="M1264" s="124"/>
      <c r="N1264" s="969"/>
      <c r="O1264" s="928" t="str">
        <f t="shared" si="205"/>
        <v>Nov 2025</v>
      </c>
      <c r="P1264" s="1403">
        <f t="shared" si="206"/>
        <v>0</v>
      </c>
      <c r="Q1264" s="85"/>
      <c r="R1264" s="85"/>
      <c r="S1264" s="85"/>
    </row>
    <row r="1265" spans="1:22" s="46" customFormat="1" ht="13.5" customHeight="1" x14ac:dyDescent="0.25">
      <c r="A1265" s="49"/>
      <c r="B1265" s="1322" t="str">
        <f>IF(A1265="","",B1264)</f>
        <v/>
      </c>
      <c r="C1265" s="1323"/>
      <c r="D1265" s="132"/>
      <c r="E1265" s="132"/>
      <c r="F1265" s="71"/>
      <c r="G1265" s="50">
        <f>IF(N1251="",0,F1265/N1251/4.348)</f>
        <v>0</v>
      </c>
      <c r="I1265" s="125">
        <f t="shared" si="207"/>
        <v>0</v>
      </c>
      <c r="J1265" s="124"/>
      <c r="K1265" s="124"/>
      <c r="L1265" s="124"/>
      <c r="M1265" s="124"/>
      <c r="N1265" s="969"/>
      <c r="O1265" s="928" t="str">
        <f t="shared" si="205"/>
        <v>Dez 2025</v>
      </c>
      <c r="P1265" s="1403">
        <f t="shared" si="206"/>
        <v>0</v>
      </c>
      <c r="Q1265" s="85"/>
      <c r="R1265" s="85"/>
      <c r="S1265" s="85"/>
    </row>
    <row r="1266" spans="1:22" s="46" customFormat="1" ht="13.5" customHeight="1" x14ac:dyDescent="0.25">
      <c r="B1266" s="972"/>
      <c r="C1266" s="972"/>
      <c r="E1266" s="972"/>
      <c r="F1266" s="972"/>
      <c r="I1266" s="930" t="s">
        <v>730</v>
      </c>
      <c r="J1266" s="1060"/>
      <c r="K1266" s="1060"/>
      <c r="L1266" s="1060"/>
      <c r="M1266" s="1060"/>
      <c r="N1266" s="971"/>
      <c r="O1266" s="126" t="s">
        <v>221</v>
      </c>
      <c r="P1266" s="127">
        <f>IF(M1259="",0,((IF(SUMIF(B1277,"&gt;0"),P1254,0))+(IF(SUMIF(B1278,"&gt;0"),P1255,0))+(IF(SUMIF(B1279,"&gt;0"),P1256,0))+(IF(SUMIF(B1280,"&gt;0"),P1257,0))+(IF(SUMIF(B1281,"&gt;0"),P1258,0))+(IF(SUMIF(B1282,"&gt;0"),P1259,0))+(IF(SUMIF(B1283,"&gt;0"),P1260,0))+(IF(SUMIF(B1284,"&gt;0"),P1261,0))+(IF(SUMIF(B1285,"&gt;0"),P1262,0))+(IF(SUMIF(B1286,"&gt;0"),P1263,0))+(IF(SUMIF(B1287,"&gt;0"),P1264,0))+(IF(SUMIF(B1288,"&gt;0"),P1265,0)))/Grundlagen!$C$26)</f>
        <v>0</v>
      </c>
      <c r="Q1266" s="958" t="str">
        <f>CONCATENATE("BBG"," anteilig ",O1268)</f>
        <v>BBG anteilig 2025</v>
      </c>
      <c r="R1266" s="931" t="s">
        <v>659</v>
      </c>
      <c r="S1266" s="931" t="s">
        <v>398</v>
      </c>
      <c r="T1266" s="107"/>
    </row>
    <row r="1267" spans="1:22" s="46" customFormat="1" ht="13.5" customHeight="1" x14ac:dyDescent="0.2">
      <c r="A1267" s="924" t="s">
        <v>732</v>
      </c>
      <c r="D1267" s="55" t="s">
        <v>369</v>
      </c>
      <c r="E1267" s="56" t="s">
        <v>368</v>
      </c>
      <c r="F1267" s="58"/>
      <c r="J1267" s="61"/>
      <c r="Q1267" s="932" t="s">
        <v>144</v>
      </c>
      <c r="R1267" s="140">
        <f>IF(M1256=0,R1271,IF(M1255="",R1271,(SUM(R1277:R1288)/M1259)))</f>
        <v>5175</v>
      </c>
      <c r="S1267" s="933">
        <f>IF(M1256=0,S1271,IF(M1255="",S1271,SUM(R1277:R1288)))</f>
        <v>0</v>
      </c>
      <c r="T1267" s="107"/>
    </row>
    <row r="1268" spans="1:22" s="46" customFormat="1" ht="13.5" customHeight="1" x14ac:dyDescent="0.25">
      <c r="A1268" s="60"/>
      <c r="B1268" s="1314" t="str">
        <f>IF($B$20="","",$B$20)</f>
        <v>Jahressonderzahlung (JSZ)</v>
      </c>
      <c r="C1268" s="1315"/>
      <c r="D1268" s="926"/>
      <c r="E1268" s="929" t="str">
        <f>IF(A1268="","",ROUND((((SUM(B1283:B1285)+SUM(F1283:F1285))/3)*D1268)/Grundlagen!$C$26*M1259,2))</f>
        <v/>
      </c>
      <c r="G1268" s="941" t="s">
        <v>733</v>
      </c>
      <c r="H1268" s="943"/>
      <c r="I1268" s="1316" t="str">
        <f>CONCATENATE(R1291,":"," Übergangsbereich von ",R1292+0.01," €"," bis ",R1293," €")</f>
        <v>2025: Übergangsbereich von 556,01 € bis 2000 €</v>
      </c>
      <c r="J1268" s="1317"/>
      <c r="K1268" s="1317"/>
      <c r="L1268" s="1067"/>
      <c r="M1268" s="1067"/>
      <c r="N1268" s="1068" t="s">
        <v>736</v>
      </c>
      <c r="O1268" s="1069">
        <f>P1268+1</f>
        <v>2025</v>
      </c>
      <c r="P1268" s="1069" t="s">
        <v>721</v>
      </c>
      <c r="Q1268" s="932" t="s">
        <v>145</v>
      </c>
      <c r="R1268" s="140">
        <f>IF(M1256=0,R1272,IF(M1255="",R1272,(SUM(S1277:S1288)/M1259)))</f>
        <v>7450</v>
      </c>
      <c r="S1268" s="933">
        <f>IF(M1256=0,S1272,IF(M1255="",S1272,SUM(S1277:S1288)))</f>
        <v>0</v>
      </c>
      <c r="T1268" s="109"/>
    </row>
    <row r="1269" spans="1:22" s="1" customFormat="1" ht="14.25" customHeight="1" x14ac:dyDescent="0.2">
      <c r="A1269" s="60"/>
      <c r="B1269" s="1314" t="str">
        <f>IF($B$21="","",$B$21)</f>
        <v>Leistungsentgelt (LOB)</v>
      </c>
      <c r="C1269" s="1315"/>
      <c r="D1269" s="926"/>
      <c r="E1269" s="929" t="str">
        <f>IF(A1269="","",ROUND(((B1289+F1289)*D1269)/Grundlagen!$C$26*M1259,2))</f>
        <v/>
      </c>
      <c r="G1269" s="941" t="str">
        <f>IF(OR(H1268="",H1268="nein")=TRUE,"","Faktor (F):")</f>
        <v/>
      </c>
      <c r="H1269" s="949" t="str">
        <f>IF(OR(H1268="",H1268="nein")=TRUE,"",IF(H1268="","",R1295))</f>
        <v/>
      </c>
      <c r="I1269" s="1318" t="str">
        <f>IF(OR(H1268="",H1268="nein")=TRUE,"",IF(H1269="","",CONCATENATE(S1295*100,"%"," / ","(",R1294*100,"%"," Gesamt-SV-Beitragssatz 2024)")))</f>
        <v/>
      </c>
      <c r="J1269" s="1319"/>
      <c r="K1269" s="1319"/>
      <c r="L1269" s="1070"/>
      <c r="M1269" s="1070"/>
      <c r="N1269" s="1071" t="s">
        <v>144</v>
      </c>
      <c r="O1269" s="1072">
        <f>'päd.Personal - Leitung'!$O$21</f>
        <v>5175</v>
      </c>
      <c r="P1269" s="1072">
        <f>'päd.Personal - Leitung'!$P$21</f>
        <v>5175</v>
      </c>
      <c r="Q1269" s="11"/>
      <c r="R1269" s="11"/>
      <c r="S1269" s="11"/>
      <c r="T1269" s="109"/>
    </row>
    <row r="1270" spans="1:22" s="1" customFormat="1" ht="14.25" customHeight="1" x14ac:dyDescent="0.2">
      <c r="C1270" s="925" t="s">
        <v>731</v>
      </c>
      <c r="L1270" s="1070"/>
      <c r="M1270" s="1070"/>
      <c r="N1270" s="1071" t="s">
        <v>145</v>
      </c>
      <c r="O1270" s="1073">
        <f>'päd.Personal - Leitung'!$O$22</f>
        <v>7450</v>
      </c>
      <c r="P1270" s="1073">
        <f>'päd.Personal - Leitung'!$P$22</f>
        <v>7450</v>
      </c>
      <c r="Q1270" s="958" t="str">
        <f>CONCATENATE("BBG"," ",O1268)</f>
        <v>BBG 2025</v>
      </c>
      <c r="R1270" s="11"/>
      <c r="S1270" s="11"/>
      <c r="T1270" s="109"/>
    </row>
    <row r="1271" spans="1:22" s="1" customFormat="1" ht="14.25" customHeight="1" x14ac:dyDescent="0.2">
      <c r="A1271" s="53" t="s">
        <v>141</v>
      </c>
      <c r="B1271" s="46"/>
      <c r="C1271" s="46"/>
      <c r="D1271" s="46"/>
      <c r="E1271" s="46"/>
      <c r="F1271" s="46"/>
      <c r="G1271" s="46"/>
      <c r="H1271" s="46"/>
      <c r="I1271" s="46"/>
      <c r="J1271" s="46"/>
      <c r="K1271" s="46"/>
      <c r="L1271" s="46"/>
      <c r="M1271" s="46"/>
      <c r="N1271" s="46"/>
      <c r="O1271" s="46"/>
      <c r="P1271" s="46"/>
      <c r="Q1271" s="932" t="s">
        <v>144</v>
      </c>
      <c r="R1271" s="141">
        <f>IF($O$21="",0,$O$21)</f>
        <v>5175</v>
      </c>
      <c r="S1271" s="933">
        <f>R1271*IF(M1259="",0,M1259)</f>
        <v>0</v>
      </c>
      <c r="T1271" s="295"/>
    </row>
    <row r="1272" spans="1:22" s="1" customFormat="1" ht="14.25" customHeight="1" x14ac:dyDescent="0.2">
      <c r="A1272" s="1346"/>
      <c r="B1272" s="1348" t="s">
        <v>8</v>
      </c>
      <c r="C1272" s="1349"/>
      <c r="D1272" s="1349"/>
      <c r="E1272" s="1349"/>
      <c r="F1272" s="1349"/>
      <c r="G1272" s="1350"/>
      <c r="H1272" s="1351" t="s">
        <v>113</v>
      </c>
      <c r="I1272" s="1352"/>
      <c r="J1272" s="1352"/>
      <c r="K1272" s="1352"/>
      <c r="L1272" s="1352"/>
      <c r="M1272" s="1352"/>
      <c r="N1272" s="1352"/>
      <c r="O1272" s="30"/>
      <c r="P1272" s="1330" t="s">
        <v>0</v>
      </c>
      <c r="Q1272" s="932" t="s">
        <v>145</v>
      </c>
      <c r="R1272" s="141">
        <f>IF($O$22="",0,$O$22)</f>
        <v>7450</v>
      </c>
      <c r="S1272" s="933">
        <f>R1272*IF(M1259="",0,M1259)</f>
        <v>0</v>
      </c>
      <c r="T1272" s="830"/>
    </row>
    <row r="1273" spans="1:22" s="1" customFormat="1" ht="14.25" customHeight="1" x14ac:dyDescent="0.2">
      <c r="A1273" s="1347"/>
      <c r="B1273" s="1333" t="s">
        <v>111</v>
      </c>
      <c r="C1273" s="1335" t="s">
        <v>743</v>
      </c>
      <c r="D1273" s="1337" t="s">
        <v>226</v>
      </c>
      <c r="E1273" s="1339" t="s">
        <v>133</v>
      </c>
      <c r="F1273" s="1030" t="s">
        <v>6</v>
      </c>
      <c r="G1273" s="1340" t="s">
        <v>5</v>
      </c>
      <c r="H1273" s="1339" t="s">
        <v>119</v>
      </c>
      <c r="I1273" s="1339" t="s">
        <v>4</v>
      </c>
      <c r="J1273" s="1339" t="s">
        <v>3</v>
      </c>
      <c r="K1273" s="1339" t="s">
        <v>2</v>
      </c>
      <c r="L1273" s="1339" t="s">
        <v>114</v>
      </c>
      <c r="M1273" s="1339" t="s">
        <v>115</v>
      </c>
      <c r="N1273" s="1339" t="s">
        <v>116</v>
      </c>
      <c r="O1273" s="1338" t="s">
        <v>109</v>
      </c>
      <c r="P1273" s="1331"/>
      <c r="Q1273" s="456"/>
      <c r="R1273" s="11"/>
      <c r="S1273" s="11"/>
      <c r="T1273" s="621"/>
    </row>
    <row r="1274" spans="1:22" s="1" customFormat="1" ht="14.25" customHeight="1" x14ac:dyDescent="0.2">
      <c r="A1274" s="1347"/>
      <c r="B1274" s="1333"/>
      <c r="C1274" s="1335"/>
      <c r="D1274" s="1338"/>
      <c r="E1274" s="1339"/>
      <c r="F1274" s="1343" t="str">
        <f>I1266</f>
        <v>Zuschläge / Zulagen / o.ä.:</v>
      </c>
      <c r="G1274" s="1340"/>
      <c r="H1274" s="1342" t="s">
        <v>117</v>
      </c>
      <c r="I1274" s="1342"/>
      <c r="J1274" s="1342"/>
      <c r="K1274" s="1342"/>
      <c r="L1274" s="1342"/>
      <c r="M1274" s="1342"/>
      <c r="N1274" s="1342"/>
      <c r="O1274" s="1338"/>
      <c r="P1274" s="1331"/>
      <c r="Q1274" s="456"/>
      <c r="R1274" s="1306" t="str">
        <f>Q1266</f>
        <v>BBG anteilig 2025</v>
      </c>
      <c r="S1274" s="1306"/>
      <c r="T1274" s="829"/>
    </row>
    <row r="1275" spans="1:22" s="1" customFormat="1" ht="14.25" customHeight="1" x14ac:dyDescent="0.2">
      <c r="A1275" s="1347"/>
      <c r="B1275" s="1333"/>
      <c r="C1275" s="1335"/>
      <c r="D1275" s="1338"/>
      <c r="E1275" s="1339"/>
      <c r="F1275" s="1343"/>
      <c r="G1275" s="1340"/>
      <c r="H1275" s="39" t="str">
        <f>'päd.Personal - Leitung'!$H$27</f>
        <v>(7,30% + Zusatz)</v>
      </c>
      <c r="I1275" s="39" t="str">
        <f>'päd.Personal - Leitung'!$I$27</f>
        <v xml:space="preserve"> (2024: 9,30%)</v>
      </c>
      <c r="J1275" s="39" t="str">
        <f>'päd.Personal - Leitung'!$J$27</f>
        <v>(2024: 1,30%)</v>
      </c>
      <c r="K1275" s="39" t="str">
        <f>'päd.Personal - Leitung'!$K$27</f>
        <v>(2024: 1,700%)</v>
      </c>
      <c r="L1275" s="39"/>
      <c r="M1275" s="39"/>
      <c r="N1275" s="39" t="str">
        <f>'päd.Personal - Leitung'!$N$27</f>
        <v>(2024: 0,06%)</v>
      </c>
      <c r="O1275" s="1338"/>
      <c r="P1275" s="1331"/>
      <c r="Q1275" s="456"/>
      <c r="R1275" s="1307" t="s">
        <v>659</v>
      </c>
      <c r="S1275" s="1307"/>
      <c r="T1275" s="829"/>
      <c r="U1275" s="1308" t="s">
        <v>1</v>
      </c>
      <c r="V1275" s="1308" t="s">
        <v>741</v>
      </c>
    </row>
    <row r="1276" spans="1:22" s="1" customFormat="1" x14ac:dyDescent="0.2">
      <c r="A1276" s="1347"/>
      <c r="B1276" s="1334"/>
      <c r="C1276" s="1336"/>
      <c r="D1276" s="45"/>
      <c r="E1276" s="45"/>
      <c r="F1276" s="1344"/>
      <c r="G1276" s="1341"/>
      <c r="H1276" s="74"/>
      <c r="I1276" s="99">
        <f>'päd.Personal - Leitung'!$I$28</f>
        <v>0</v>
      </c>
      <c r="J1276" s="99">
        <f>'päd.Personal - Leitung'!$J$28</f>
        <v>0</v>
      </c>
      <c r="K1276" s="40">
        <f>'päd.Personal - Leitung'!$K$28</f>
        <v>0</v>
      </c>
      <c r="L1276" s="19"/>
      <c r="M1276" s="19"/>
      <c r="N1276" s="99">
        <f>'päd.Personal - Leitung'!$N$28</f>
        <v>0</v>
      </c>
      <c r="O1276" s="23"/>
      <c r="P1276" s="1332"/>
      <c r="Q1276" s="456"/>
      <c r="R1276" s="935" t="s">
        <v>144</v>
      </c>
      <c r="S1276" s="935" t="s">
        <v>145</v>
      </c>
      <c r="T1276" s="829"/>
      <c r="U1276" s="1308"/>
      <c r="V1276" s="1308"/>
    </row>
    <row r="1277" spans="1:22" s="1" customFormat="1" x14ac:dyDescent="0.2">
      <c r="A1277" s="76" t="str">
        <f>CONCATENATE("Jan ",O1253)</f>
        <v>Jan 2025</v>
      </c>
      <c r="B1277" s="22">
        <f>ROUND(IF(P1254=0,0,(LOOKUP(2,1/(A1262:A1265=A1277),G1262:G1265))*P1254*4.348),2)</f>
        <v>0</v>
      </c>
      <c r="C1277" s="21">
        <f>ROUND(IFERROR((LOOKUP(2,1/(A1268=A1277),E1268)),0)+IFERROR((LOOKUP(2,1/(A1269=A1277),E1269)),0),2)</f>
        <v>0</v>
      </c>
      <c r="D1277" s="21">
        <f>ROUND(IF(B1277=0,0,D1276/M1255*P1254),2)</f>
        <v>0</v>
      </c>
      <c r="E1277" s="21">
        <f>ROUND(IF(B1277=0,0,E1276/N1251*P1254),2)</f>
        <v>0</v>
      </c>
      <c r="F1277" s="22">
        <f>ROUND(IF(P1254=0,0,(LOOKUP(2,1/(A1262:A1265=A1277),I1262:I1265))/N1251*P1254),2)</f>
        <v>0</v>
      </c>
      <c r="G1277" s="25">
        <f t="shared" ref="G1277:G1288" si="208">SUM(B1277+C1277+E1277+F1277)</f>
        <v>0</v>
      </c>
      <c r="H1277" s="64">
        <f>IF(B1277=0,0,IF(AND(H1268="ja",((U1277)&lt;R1293)),ROUND(((R1295*R1292+((R1293/(R1293-R1292))-(R1292/(R1293-R1292))*R1295)*((U1277)-R1292))*(H1276*2))-(((R1293/(R1293-R1292))*((U1277)-R1292))*H1276),2),ROUND(IF((U1277)&gt;R1277,R1277*H1276,U1277*H1276),2)))</f>
        <v>0</v>
      </c>
      <c r="I1277" s="64">
        <f>IF(B1277=0,0,IF(AND(H1268="ja",((U1277)&lt;R1293)),ROUND(((R1295*R1292+((R1293/(R1293-R1292))-(R1292/(R1293-R1292))*R1295)*((U1277)-R1292))*(I1276*2))-(((R1293/(R1293-R1292))*((U1277)-R1292))*I1276),2),ROUND(IF((U1277)&gt;S1277,S1277*I1276,U1277*I1276),2)))</f>
        <v>0</v>
      </c>
      <c r="J1277" s="64">
        <f>IF(B1277=0,0,IF(AND(H1268="ja",((U1277)&lt;R1293)),ROUND(((R1295*R1292+((R1293/(R1293-R1292))-(R1292/(R1293-R1292))*R1295)*((U1277)-R1292))*(J1276*2))-(((R1293/(R1293-R1292))*((U1277)-R1292))*J1276),2),ROUND(IF((U1277)&gt;S1277,S1277*J1276,U1277*J1276),2)))</f>
        <v>0</v>
      </c>
      <c r="K1277" s="64">
        <f>IF(B1277=0,0,IF(AND(H1268="ja",((U1277)&lt;R1293)),ROUND(((R1295*R1292+((R1293/(R1293-R1292))-(R1292/(R1293-R1292))*R1295)*((U1277)-R1292))*(K1276*2))-(((R1293/(R1293-R1292))*((U1277)-R1292))*K1276),2),ROUND(IF((U1277)&gt;R1277,R1277*K1276,U1277*K1276),2)))</f>
        <v>0</v>
      </c>
      <c r="L1277" s="64">
        <f>IF(B1277=0,0,IF(AND(H1268="ja",((U1277-C1277)&lt;R1293)),ROUND(((R1295*R1292+((R1293/(R1293-R1292))-(R1292/(R1293-R1292))*R1295)*((U1277-C1277)-R1292))*(L1276)),2),ROUND(IF((SUM(B1277:F1277))&gt;S1277,S1277*L1276,(SUM(B1277:F1277)-C1277)*L1276),2)))</f>
        <v>0</v>
      </c>
      <c r="M1277" s="64">
        <f>IF(B1277=0,0,IF(AND(H1268="ja",((U1277-C1277)&lt;R1293)),ROUND(((R1295*R1292+((R1293/(R1293-R1292))-(R1292/(R1293-R1292))*R1295)*((U1277-C1277)-R1292))*(M1276)),2),ROUND(IF((SUM(B1277:F1277))&gt;S1277,S1277*M1276,(SUM(B1277:F1277)-C1277)*M1276),2)))</f>
        <v>0</v>
      </c>
      <c r="N1277" s="64">
        <f>IF(B1277=0,0,IF(AND(H1268="ja",((U1277)&lt;R1293)),ROUND(((R1295*R1292+((R1293/(R1293-R1292))-(R1292/(R1293-R1292))*R1295)*((U1277)-R1292))*(N1276)),2),ROUND(IF((SUM(B1277:F1277))&gt;S1277,S1277*N1276,SUM(B1277:F1277)*N1276),2)))</f>
        <v>0</v>
      </c>
      <c r="O1277" s="21">
        <f>ROUND(SUM(B1277+C1277+F1277)*O1276,2)</f>
        <v>0</v>
      </c>
      <c r="P1277" s="25">
        <f>SUM(G1277:O1277)</f>
        <v>0</v>
      </c>
      <c r="Q1277" s="456"/>
      <c r="R1277" s="140">
        <f>ROUND(IF(M1255="",R1271,R1271/M1255*P1254),2)</f>
        <v>5175</v>
      </c>
      <c r="S1277" s="140">
        <f>ROUND(IF(M1255="",R1272,R1272/M1255*P1254),2)</f>
        <v>7450</v>
      </c>
      <c r="U1277" s="950">
        <f>SUM(B1277:F1277)</f>
        <v>0</v>
      </c>
      <c r="V1277" s="950">
        <f>SUM(B1277:F1277)</f>
        <v>0</v>
      </c>
    </row>
    <row r="1278" spans="1:22" s="1" customFormat="1" x14ac:dyDescent="0.2">
      <c r="A1278" s="76" t="str">
        <f>CONCATENATE("Feb ",O1253)</f>
        <v>Feb 2025</v>
      </c>
      <c r="B1278" s="22">
        <f>ROUND(IF(P1255=0,0,IFERROR(((LOOKUP(2,1/(A1262:A1265=A1278),G1262:G1265))*P1255*4.348),B1277/P1254*P1255)),2)</f>
        <v>0</v>
      </c>
      <c r="C1278" s="21">
        <f>ROUND(IFERROR((LOOKUP(2,1/(A1268=A1278),E1268)),0)+IFERROR((LOOKUP(2,1/(A1269=A1278),E1269)),0),2)</f>
        <v>0</v>
      </c>
      <c r="D1278" s="21">
        <f>ROUND(IF(B1278=0,0,D1276/M1255*P1255),2)</f>
        <v>0</v>
      </c>
      <c r="E1278" s="21">
        <f>ROUND(IF(B1278=0,0,E1276/N1251*P1255),2)</f>
        <v>0</v>
      </c>
      <c r="F1278" s="22">
        <f>ROUND(IF(P1255=0,0,IFERROR(((LOOKUP(2,1/(A1262:A1265=A1278),I1262:I1265))/N1251*P1255),F1277/P1254*P1255)),2)</f>
        <v>0</v>
      </c>
      <c r="G1278" s="25">
        <f t="shared" si="208"/>
        <v>0</v>
      </c>
      <c r="H1278" s="64">
        <f>IF(B1278=0,0,IF(AND(H1268="ja",((U1278)&lt;R1293)),ROUND(((R1295*R1292+((R1293/(R1293-R1292))-(R1292/(R1293-R1292))*R1295)*((U1278)-R1292))*(H1276*2))-(((R1293/(R1293-R1292))*((U1278)-R1292))*H1276),2),ROUND(IF(U1277&lt;(R1277),IF((V1278)&gt;(SUM(R1277:R1278)),(((SUM(R1277:R1278))-(V1278-C1277))*H1276)+((U1278-C1277)*H1276),U1278*H1276),IF(V1278&gt;(SUM(R1277:R1278)),R1278*H1276,U1278*H1276)),2)))</f>
        <v>0</v>
      </c>
      <c r="I1278" s="64">
        <f>IF(B1278=0,0,IF(AND(H1268="ja",((U1278)&lt;R1293)),ROUND(((R1295*R1292+((R1293/(R1293-R1292))-(R1292/(R1293-R1292))*R1295)*((U1278)-R1292))*(I1276*2))-(((R1293/(R1293-R1292))*((U1278)-R1292))*I1276),2),ROUND(IF(U1277&lt;(S1277),IF((V1278)&gt;(SUM(S1277:S1278)),(((SUM(S1277:S1278))-(V1278-C1277))*I1276)+((U1278-C1277)*I1276),U1278*I1276),IF(V1278&gt;(SUM(S1277:S1278)),S1278*I1276,U1278*I1276)),2)))</f>
        <v>0</v>
      </c>
      <c r="J1278" s="64">
        <f>IF(B1278=0,0,IF(AND(H1268="ja",((U1278)&lt;R1293)),ROUND(((R1295*R1292+((R1293/(R1293-R1292))-(R1292/(R1293-R1292))*R1295)*((U1278)-R1292))*(J1276*2))-(((R1293/(R1293-R1292))*((U1278)-R1292))*J1276),2),ROUND(IF(U1277&lt;(S1277),IF((V1278)&gt;(SUM(S1277:S1278)),(((SUM(S1277:S1278))-(V1278-C1277))*J1276)+((U1278-C1277)*J1276),U1278*J1276),IF(V1278&gt;(SUM(S1277:S1278)),S1278*J1276,U1278*J1276)),2)))</f>
        <v>0</v>
      </c>
      <c r="K1278" s="64">
        <f>IF(B1278=0,0,IF(AND(H1268="ja",((U1278)&lt;R1293)),ROUND(((R1295*R1292+((R1293/(R1293-R1292))-(R1292/(R1293-R1292))*R1295)*((U1278)-R1292))*(K1276*2))-(((R1293/(R1293-R1292))*((U1278)-R1292))*K1276),2),ROUND(IF(U1277&lt;(R1277),IF((V1278)&gt;(SUM(R1277:R1278)),(((SUM(R1277:R1278))-(V1278-C1277))*K1276)+((U1278-C1277)*K1276),U1278*K1276),IF(V1278&gt;(SUM(R1277:R1278)),R1278*K1276,U1278*K1276)),2)))</f>
        <v>0</v>
      </c>
      <c r="L1278" s="64">
        <f>IF(B1278=0,0,IF(AND(H1268="ja",((U1278-C1278)&lt;R1293)),ROUND(((R1295*R1292+((R1293/(R1293-R1292))-(R1292/(R1293-R1292))*R1295)*((U1278-C1278)-R1292))*(L1276)),2),ROUND(IF(SUM(B1277:F1277)&lt;(S1277),IF((SUM(B1277:F1278))&gt;(SUM(S1277:S1278)),(((SUM(S1277:S1278))-(SUM(B1277:F1278)-C1278))*L1276)+((SUM(B1278:F1278)-C1278)*L1276),(SUM(B1278:F1278)-C1278)*L1276),IF(SUM(B1277:F1278)&gt;(SUM(S1277:S1278)),S1278*L1276,SUM(B1278:F1278)*L1276)),2)))</f>
        <v>0</v>
      </c>
      <c r="M1278" s="64">
        <f>IF(B1278=0,0,IF(AND(H1268="ja",((U1278-C1278)&lt;R1293)),ROUND(((R1295*R1292+((R1293/(R1293-R1292))-(R1292/(R1293-R1292))*R1295)*((U1278-C1278)-R1292))*(M1276)),2),ROUND(IF(SUM(B1277:F1277)&lt;(S1277),IF((SUM(B1277:F1278))&gt;(SUM(S1277:S1278)),(((SUM(S1277:S1278))-(SUM(B1277:F1278)-C1278))*M1276)+((SUM(B1278:F1278)-C1278)*M1276),(SUM(B1278:F1278)-C1278)*M1276),IF(SUM(B1277:F1278)&gt;(SUM(S1277:S1278)),S1278*M1276,SUM(B1278:F1278)*M1276)),2)))</f>
        <v>0</v>
      </c>
      <c r="N1278" s="64">
        <f>IF(B1278=0,0,IF(AND(H1268="ja",((U1278)&lt;R1293)),ROUND(((R1295*R1292+((R1293/(R1293-R1292))-(R1292/(R1293-R1292))*R1295)*((U1278)-R1292))*(N1276)),2),ROUND(IF(SUM(B1277:F1277)&lt;(S1277),IF((SUM(B1277:F1278))&gt;(SUM(S1277:S1278)),(((SUM(S1277:S1278))-(SUM(B1277:F1278)-C1277))*N1276)+((SUM(B1278:F1278)-C1277)*N1276),SUM(B1278:F1278)*N1276),IF(SUM(B1277:F1278)&gt;(SUM(S1277:S1278)),S1278*N1276,SUM(B1278:F1278)*N1276)),2)))</f>
        <v>0</v>
      </c>
      <c r="O1278" s="21">
        <f>ROUND(SUM(B1278+C1278+F1278)*O1276,2)</f>
        <v>0</v>
      </c>
      <c r="P1278" s="25">
        <f t="shared" ref="P1278:P1288" si="209">SUM(G1278:O1278)</f>
        <v>0</v>
      </c>
      <c r="Q1278" s="456"/>
      <c r="R1278" s="140">
        <f>ROUND(IF(M1255="",R1271,R1271/M1255*P1255),2)</f>
        <v>5175</v>
      </c>
      <c r="S1278" s="140">
        <f>ROUND(IF(M1255="",R1272,R1272/M1255*P1255),2)</f>
        <v>7450</v>
      </c>
      <c r="U1278" s="950">
        <f t="shared" ref="U1278:U1288" si="210">SUM(B1278:F1278)</f>
        <v>0</v>
      </c>
      <c r="V1278" s="950">
        <f>SUM(B1277:F1278)</f>
        <v>0</v>
      </c>
    </row>
    <row r="1279" spans="1:22" s="1" customFormat="1" x14ac:dyDescent="0.2">
      <c r="A1279" s="76" t="str">
        <f>CONCATENATE("Mrz ",O1253)</f>
        <v>Mrz 2025</v>
      </c>
      <c r="B1279" s="22">
        <f>ROUND(IF(P1256=0,0,IFERROR(((LOOKUP(2,1/(A1262:A1265=A1279),G1262:G1265))*P1256*4.348),B1278/P1255*P1256)),2)</f>
        <v>0</v>
      </c>
      <c r="C1279" s="21">
        <f>ROUND(IFERROR((LOOKUP(2,1/(A1268=A1279),E1268)),0)+IFERROR((LOOKUP(2,1/(A1269=A1279),E1269)),0),2)</f>
        <v>0</v>
      </c>
      <c r="D1279" s="21">
        <f>ROUND(IF(B1279=0,0,D1276/M1255*P1256),2)</f>
        <v>0</v>
      </c>
      <c r="E1279" s="21">
        <f>ROUND(IF(B1279=0,0,E1276/N1251*P1256),2)</f>
        <v>0</v>
      </c>
      <c r="F1279" s="22">
        <f>ROUND(IF(P1256=0,0,IFERROR(((LOOKUP(2,1/(A1262:A1265=A1279),I1262:I1265))/N1251*P1256),F1278/P1255*P1256)),2)</f>
        <v>0</v>
      </c>
      <c r="G1279" s="25">
        <f t="shared" si="208"/>
        <v>0</v>
      </c>
      <c r="H1279" s="64">
        <f>IF(B1279=0,0,IF(AND(H1268="ja",((U1279)&lt;R1293)),ROUND(((R1295*R1292+((R1293/(R1293-R1292))-(R1292/(R1293-R1292))*R1295)*((U1279)-R1292))*(H1276*2))-(((R1293/(R1293-R1292))*((U1279)-R1292))*H1276),2),ROUND(IF(V1278&lt;(SUM(R1277:R1278)),IF((V1279)&gt;(SUM(R1277:R1279)),(((SUM(R1277:R1279))-(V1279-C1278))*H1276)+((U1279-C1278)*H1276),U1279*H1276),IF(V1279&gt;(SUM(R1277:R1279)),R1279*H1276,U1279*H1276)),2)))</f>
        <v>0</v>
      </c>
      <c r="I1279" s="64">
        <f>IF(B1279=0,0,IF(AND(H1268="ja",((U1279)&lt;R1293)),ROUND(((R1295*R1292+((R1293/(R1293-R1292))-(R1292/(R1293-R1292))*R1295)*((U1279)-R1292))*(I1276*2))-(((R1293/(R1293-R1292))*((U1279)-R1292))*I1276),2),ROUND(IF(V1278&lt;(SUM(S1277:S1278)),IF((V1279)&gt;(SUM(S1277:S1279)),(((SUM(S1277:S1279))-(V1279-C1278))*I1276)+((U1279-C1278)*I1276),U1279*I1276),IF(V1279&gt;(SUM(S1277:S1279)),S1279*I1276,U1279*I1276)),2)))</f>
        <v>0</v>
      </c>
      <c r="J1279" s="64">
        <f>IF(B1279=0,0,IF(AND(H1268="ja",((U1279)&lt;R1293)),ROUND(((R1295*R1292+((R1293/(R1293-R1292))-(R1292/(R1293-R1292))*R1295)*((U1279)-R1292))*(J1276*2))-(((R1293/(R1293-R1292))*((U1279)-R1292))*J1276),2),ROUND(IF(V1278&lt;(SUM(S1277:S1278)),IF((V1279)&gt;(SUM(S1277:S1279)),(((SUM(S1277:S1279))-(V1279-C1278))*J1276)+((U1279-C1278)*J1276),U1279*J1276),IF(V1279&gt;(SUM(S1277:S1279)),S1279*J1276,U1279*J1276)),2)))</f>
        <v>0</v>
      </c>
      <c r="K1279" s="64">
        <f>IF(B1279=0,0,IF(AND(H1268="ja",((U1279)&lt;R1293)),ROUND(((R1295*R1292+((R1293/(R1293-R1292))-(R1292/(R1293-R1292))*R1295)*((U1279)-R1292))*(K1276*2))-(((R1293/(R1293-R1292))*((U1279)-R1292))*K1276),2),ROUND(IF(V1278&lt;(SUM(R1277:R1278)),IF((V1279)&gt;(SUM(R1277:R1279)),(((SUM(R1277:R1279))-(V1279-C1278))*K1276)+((U1279-C1278)*K1276),U1279*K1276),IF(V1279&gt;(SUM(R1277:R1279)),R1279*K1276,U1279*K1276)),2)))</f>
        <v>0</v>
      </c>
      <c r="L1279" s="64">
        <f>IF(B1279=0,0,IF(AND(H1268="ja",((U1279-C1279)&lt;R1293)),ROUND(((R1295*R1292+((R1293/(R1293-R1292))-(R1292/(R1293-R1292))*R1295)*((U1279-C1279)-R1292))*(L1276)),2),ROUND(IF(SUM(B1277:F1278)&lt;(SUM(S1277:S1278)),IF((SUM(B1277:F1279))&gt;(SUM(S1277:S1279)),(((SUM(S1277:S1279))-(SUM(B1277:F1279)-C1279))*L1276)+((SUM(B1279:F1279)-C1279)*L1276),(SUM(B1279:F1279)-C1279)*L1276),IF(SUM(B1277:F1279)&gt;(SUM(S1277:S1279)),S1279*L1276,SUM(B1279:F1279)*L1276)),2)))</f>
        <v>0</v>
      </c>
      <c r="M1279" s="64">
        <f>IF(B1279=0,0,IF(AND(H1268="ja",((U1279-C1279)&lt;R1293)),ROUND(((R1295*R1292+((R1293/(R1293-R1292))-(R1292/(R1293-R1292))*R1295)*((U1279-C1279)-R1292))*(M1276)),2),ROUND(IF(SUM(B1277:F1278)&lt;(SUM(S1277:S1278)),IF((SUM(B1277:F1279))&gt;(SUM(S1277:S1279)),(((SUM(S1277:S1279))-(SUM(B1277:F1279)-C1279))*M1276)+((SUM(B1279:F1279)-C1279)*M1276),(SUM(B1279:F1279)-C1279)*M1276),IF(SUM(B1277:F1279)&gt;(SUM(S1277:S1279)),S1279*M1276,SUM(B1279:F1279)*M1276)),2)))</f>
        <v>0</v>
      </c>
      <c r="N1279" s="64">
        <f>IF(B1279=0,0,IF(AND(H1268="ja",((U1279)&lt;R1293)),ROUND(((R1295*R1292+((R1293/(R1293-R1292))-(R1292/(R1293-R1292))*R1295)*((U1279)-R1292))*(N1276)),2),ROUND(IF(SUM(B1277:F1278)&lt;(SUM(S1277:S1278)),IF((SUM(B1277:F1279))&gt;(SUM(S1277:S1279)),(((SUM(S1277:S1279))-(SUM(B1277:F1279)-C1278))*N1276)+((SUM(B1279:F1279)-C1278)*N1276),SUM(B1279:F1279)*N1276),IF(SUM(B1277:F1279)&gt;(SUM(S1277:S1279)),S1279*N1276,SUM(B1279:F1279)*N1276)),2)))</f>
        <v>0</v>
      </c>
      <c r="O1279" s="21">
        <f>ROUND(SUM(B1279+C1279+F1279)*O1276,2)</f>
        <v>0</v>
      </c>
      <c r="P1279" s="25">
        <f t="shared" si="209"/>
        <v>0</v>
      </c>
      <c r="Q1279" s="456"/>
      <c r="R1279" s="140">
        <f>ROUND(IF(M1255="",R1271,R1271/M1255*P1256),2)</f>
        <v>5175</v>
      </c>
      <c r="S1279" s="140">
        <f>ROUND(IF(M1255="",R1272,R1272/M1255*P1256),2)</f>
        <v>7450</v>
      </c>
      <c r="U1279" s="950">
        <f t="shared" si="210"/>
        <v>0</v>
      </c>
      <c r="V1279" s="950">
        <f>SUM(B1277:F1279)</f>
        <v>0</v>
      </c>
    </row>
    <row r="1280" spans="1:22" s="1" customFormat="1" x14ac:dyDescent="0.2">
      <c r="A1280" s="76" t="str">
        <f>CONCATENATE("Apr ",O1253)</f>
        <v>Apr 2025</v>
      </c>
      <c r="B1280" s="22">
        <f>ROUND(IF(P1257=0,0,IFERROR(((LOOKUP(2,1/(A1262:A1265=A1280),G1262:G1265))*P1257*4.348),B1279/P1256*P1257)),2)</f>
        <v>0</v>
      </c>
      <c r="C1280" s="21">
        <f>ROUND(IFERROR((LOOKUP(2,1/(A1268=A1280),E1268)),0)+IFERROR((LOOKUP(2,1/(A1269=A1280),E1269)),0),2)</f>
        <v>0</v>
      </c>
      <c r="D1280" s="21">
        <f>ROUND(IF(B1280=0,0,D1276/M1255*P1257),2)</f>
        <v>0</v>
      </c>
      <c r="E1280" s="21">
        <f>ROUND(IF(B1280=0,0,E1276/N1251*P1257),2)</f>
        <v>0</v>
      </c>
      <c r="F1280" s="22">
        <f>ROUND(IF(P1257=0,0,IFERROR(((LOOKUP(2,1/(A1262:A1265=A1280),I1262:I1265))/N1251*P1257),F1279/P1256*P1257)),2)</f>
        <v>0</v>
      </c>
      <c r="G1280" s="25">
        <f t="shared" si="208"/>
        <v>0</v>
      </c>
      <c r="H1280" s="64">
        <f>IF(B1280=0,0,IF(AND(H1268="ja",((U1280)&lt;R1293)),ROUND(((R1295*R1292+((R1293/(R1293-R1292))-(R1292/(R1293-R1292))*R1295)*((U1280)-R1292))*(H1276*2))-(((R1293/(R1293-R1292))*((U1280)-R1292))*H1276),2),ROUND(IF(V1279&lt;(SUM(R1277:R1279)),IF((V1280)&gt;(SUM(R1277:R1280)),(((SUM(R1277:R1280))-(V1280-C1279))*H1276)+((U1280-C1279)*H1276),U1280*H1276),IF(V1280&gt;(SUM(R1277:R1280)),R1280*H1276,U1280*H1276)),2)))</f>
        <v>0</v>
      </c>
      <c r="I1280" s="64">
        <f>IF(B1280=0,0,IF(AND(H1268="ja",((U1280)&lt;R1293)),ROUND(((R1295*R1292+((R1293/(R1293-R1292))-(R1292/(R1293-R1292))*R1295)*((U1280)-R1292))*(I1276*2))-(((R1293/(R1293-R1292))*((U1280)-R1292))*I1276),2),ROUND(IF(V1279&lt;(SUM(S1277:S1279)),IF((V1280)&gt;(SUM(S1277:S1280)),(((SUM(S1277:S1280))-(V1280-C1279))*I1276)+((U1280-C1279)*I1276),U1280*I1276),IF(V1280&gt;(SUM(S1277:S1280)),S1280*I1276,U1280*I1276)),2)))</f>
        <v>0</v>
      </c>
      <c r="J1280" s="64">
        <f>IF(B1280=0,0,IF(AND(H1268="ja",((U1280)&lt;R1293)),ROUND(((R1295*R1292+((R1293/(R1293-R1292))-(R1292/(R1293-R1292))*R1295)*((U1280)-R1292))*(J1276*2))-(((R1293/(R1293-R1292))*((U1280)-R1292))*J1276),2),ROUND(IF(U1279&lt;(SUM(S1277:S1279)),IF((V1280)&gt;(SUM(S1277:S1280)),(((SUM(S1277:S1280))-(V1280-C1279))*J1276)+((U1280-C1279)*J1276),U1280*J1276),IF(V1280&gt;(SUM(S1277:S1280)),S1280*J1276,U1280*J1276)),2)))</f>
        <v>0</v>
      </c>
      <c r="K1280" s="64">
        <f>IF(B1280=0,0,IF(AND(H1268="ja",((U1280)&lt;R1293)),ROUND(((R1295*R1292+((R1293/(R1293-R1292))-(R1292/(R1293-R1292))*R1295)*((U1280)-R1292))*(K1276*2))-(((R1293/(R1293-R1292))*((U1280)-R1292))*K1276),2),ROUND(IF(V1279&lt;(SUM(R1277:R1279)),IF((V1280)&gt;(SUM(R1277:R1280)),(((SUM(R1277:R1280))-(V1280-C1279))*K1276)+((U1280-C1279)*K1276),U1280*K1276),IF(V1280&gt;(SUM(R1277:R1280)),R1280*K1276,U1280*K1276)),2)))</f>
        <v>0</v>
      </c>
      <c r="L1280" s="64">
        <f>IF(B1280=0,0,IF(AND(H1268="ja",((U1280-C1280)&lt;R1293)),ROUND(((R1295*R1292+((R1293/(R1293-R1292))-(R1292/(R1293-R1292))*R1295)*((U1280-C1280)-R1292))*(L1276)),2),ROUND(IF(SUM(B1277:F1279)&lt;(SUM(S1277:S1279)),IF((SUM(B1277:F1280))&gt;(SUM(S1277:S1280)),(((SUM(S1277:S1280))-(SUM(B1277:F1280)-C1280))*L1276)+((SUM(B1280:F1280)-C1280)*L1276),(SUM(B1280:F1280)-C1280)*L1276),IF(SUM(B1277:F1280)&gt;(SUM(S1277:S1280)),S1280*L1276,SUM(B1280:F1280)*L1276)),2)))</f>
        <v>0</v>
      </c>
      <c r="M1280" s="64">
        <f>IF(B1280=0,0,IF(AND(H1268="ja",((U1280-C1280)&lt;R1293)),ROUND(((R1295*R1292+((R1293/(R1293-R1292))-(R1292/(R1293-R1292))*R1295)*((U1280-C1280)-R1292))*(M1276)),2),ROUND(IF(SUM(B1277:F1279)&lt;(SUM(S1277:S1279)),IF((SUM(B1277:F1280))&gt;(SUM(S1277:S1280)),(((SUM(S1277:S1280))-(SUM(B1277:F1280)-C1280))*M1276)+((SUM(B1280:F1280)-C1280)*M1276),(SUM(B1280:F1280)-C1280)*M1276),IF(SUM(B1277:F1280)&gt;(SUM(S1277:S1280)),S1280*M1276,SUM(B1280:F1280)*M1276)),2)))</f>
        <v>0</v>
      </c>
      <c r="N1280" s="64">
        <f>IF(B1280=0,0,IF(AND(H1268="ja",((U1280)&lt;R1293)),ROUND(((R1295*R1292+((R1293/(R1293-R1292))-(R1292/(R1293-R1292))*R1295)*((U1280)-R1292))*(N1276)),2),ROUND(IF(SUM(B1277:F1279)&lt;(SUM(S1277:S1279)),IF((SUM(B1277:F1280))&gt;(SUM(S1277:S1280)),(((SUM(S1277:S1280))-(SUM(B1277:F1280)-C1279))*N1276)+((SUM(B1280:F1280)-C1279)*N1276),SUM(B1280:F1280)*N1276),IF(SUM(B1277:F1280)&gt;(SUM(S1277:S1280)),S1280*N1276,SUM(B1280:F1280)*N1276)),2)))</f>
        <v>0</v>
      </c>
      <c r="O1280" s="21">
        <f>ROUND(SUM(B1280+C1280+F1280)*O1276,2)</f>
        <v>0</v>
      </c>
      <c r="P1280" s="25">
        <f t="shared" si="209"/>
        <v>0</v>
      </c>
      <c r="Q1280" s="456"/>
      <c r="R1280" s="140">
        <f>ROUND(IF(M1255="",R1271,R1271/M1255*P1257),2)</f>
        <v>5175</v>
      </c>
      <c r="S1280" s="140">
        <f>ROUND(IF(M1255="",R1272,R1272/M1255*P1257),2)</f>
        <v>7450</v>
      </c>
      <c r="U1280" s="950">
        <f t="shared" si="210"/>
        <v>0</v>
      </c>
      <c r="V1280" s="950">
        <f>SUM(B1277:F1280)</f>
        <v>0</v>
      </c>
    </row>
    <row r="1281" spans="1:24" s="1" customFormat="1" x14ac:dyDescent="0.2">
      <c r="A1281" s="76" t="str">
        <f>CONCATENATE("Mai ",O1253)</f>
        <v>Mai 2025</v>
      </c>
      <c r="B1281" s="22">
        <f>ROUND(IF(P1258=0,0,IFERROR(((LOOKUP(2,1/(A1262:A1265=A1281),G1262:G1265))*P1258*4.348),B1280/P1257*P1258)),2)</f>
        <v>0</v>
      </c>
      <c r="C1281" s="21">
        <f>ROUND(IFERROR((LOOKUP(2,1/(A1268=A1281),E1268)),0)+IFERROR((LOOKUP(2,1/(A1269=A1281),E1269)),0),2)</f>
        <v>0</v>
      </c>
      <c r="D1281" s="21">
        <f>ROUND(IF(B1281=0,0,D1276/M1255*P1258),2)</f>
        <v>0</v>
      </c>
      <c r="E1281" s="21">
        <f>ROUND(IF(B1281=0,0,E1276/N1251*P1258),2)</f>
        <v>0</v>
      </c>
      <c r="F1281" s="22">
        <f>ROUND(IF(P1258=0,0,IFERROR(((LOOKUP(2,1/(A1262:A1265=A1281),I1262:I1265))/N1251*P1258),F1280/P1257*P1258)),2)</f>
        <v>0</v>
      </c>
      <c r="G1281" s="25">
        <f t="shared" si="208"/>
        <v>0</v>
      </c>
      <c r="H1281" s="64">
        <f>IF(B1281=0,0,IF(AND(H1268="ja",((U1281)&lt;R1293)),ROUND(((R1295*R1292+((R1293/(R1293-R1292))-(R1292/(R1293-R1292))*R1295)*((U1281)-R1292))*(H1276*2))-(((R1293/(R1293-R1292))*((U1281)-R1292))*H1276),2),ROUND(IF(V1280&lt;(SUM(R1277:R1280)),IF((V1281)&gt;(SUM(R1277:R1281)),(((SUM(R1277:R1281))-(V1281-C1280))*H1276)+((U1281-C1280)*H1276),U1281*H1276),IF(V1281&gt;(SUM(R1277:R1281)),R1281*H1276,U1281*H1276)),2)))</f>
        <v>0</v>
      </c>
      <c r="I1281" s="64">
        <f>IF(B1281=0,0,IF(AND(H1268="ja",((U1281)&lt;R1293)),ROUND(((R1295*R1292+((R1293/(R1293-R1292))-(R1292/(R1293-R1292))*R1295)*((U1281)-R1292))*(I1276*2))-(((R1293/(R1293-R1292))*((U1281)-R1292))*I1276),2),ROUND(IF(V1280&lt;(SUM(S1277:S1280)),IF((V1281)&gt;(SUM(S1277:S1281)),(((SUM(S1277:S1281))-(V1281-C1280))*I1276)+((U1281-C1280)*I1276),U1281*I1276),IF(V1281&gt;(SUM(S1277:S1281)),S1281*I1276,U1281*I1276)),2)))</f>
        <v>0</v>
      </c>
      <c r="J1281" s="64">
        <f>IF(B1281=0,0,IF(AND(H1268="ja",((U1281)&lt;R1293)),ROUND(((R1295*R1292+((R1293/(R1293-R1292))-(R1292/(R1293-R1292))*R1295)*((U1281)-R1292))*(J1276*2))-(((R1293/(R1293-R1292))*((U1281)-R1292))*J1276),2),ROUND(IF(V1280&lt;(SUM(S1277:S1280)),IF((V1281)&gt;(SUM(S1277:S1281)),(((SUM(S1277:S1281))-(V1281-C1280))*J1276)+((U1281-C1280)*J1276),U1281*J1276),IF(V1281&gt;(SUM(S1277:S1281)),S1281*J1276,U1281*J1276)),2)))</f>
        <v>0</v>
      </c>
      <c r="K1281" s="64">
        <f>IF(B1281=0,0,IF(AND(H1268="ja",((U1281)&lt;R1293)),ROUND(((R1295*R1292+((R1293/(R1293-R1292))-(R1292/(R1293-R1292))*R1295)*((U1281)-R1292))*(K1276*2))-(((R1293/(R1293-R1292))*((U1281)-R1292))*K1276),2),ROUND(IF(V1280&lt;(SUM(R1277:R1280)),IF((V1281)&gt;(SUM(R1277:R1281)),(((SUM(R1277:R1281))-(V1281-C1280))*K1276)+((U1281-C1280)*K1276),U1281*K1276),IF(V1281&gt;(SUM(R1277:R1281)),R1281*K1276,U1281*K1276)),2)))</f>
        <v>0</v>
      </c>
      <c r="L1281" s="64">
        <f>IF(B1281=0,0,IF(AND(H1268="ja",((U1281-C1281)&lt;R1293)),ROUND(((R1295*R1292+((R1293/(R1293-R1292))-(R1292/(R1293-R1292))*R1295)*((U1281-C1281)-R1292))*(L1276)),2),ROUND(IF(SUM(B1277:F1280)&lt;(SUM(S1277:S1280)),IF((SUM(B1277:F1281))&gt;(SUM(S1277:S1281)),(((SUM(S1277:S1281))-(SUM(B1277:F1281)-C1281))*L1276)+((SUM(B1281:F1281)-C1281)*L1276),(SUM(B1281:F1281)-C1281)*L1276),IF(SUM(B1277:F1281)&gt;(SUM(S1277:S1281)),S1281*L1276,SUM(B1281:F1281)*L1276)),2)))</f>
        <v>0</v>
      </c>
      <c r="M1281" s="64">
        <f>IF(B1281=0,0,IF(AND(H1268="ja",((U1281-C1281)&lt;R1293)),ROUND(((R1295*R1292+((R1293/(R1293-R1292))-(R1292/(R1293-R1292))*R1295)*((U1281-C1281)-R1292))*(M1276)),2),ROUND(IF(SUM(B1277:F1280)&lt;(SUM(S1277:S1280)),IF((SUM(B1277:F1281))&gt;(SUM(S1277:S1281)),(((SUM(S1277:S1281))-(SUM(B1277:F1281)-C1281))*M1276)+((SUM(B1281:F1281)-C1281)*M1276),(SUM(B1281:F1281)-C1281)*M1276),IF(SUM(B1277:F1281)&gt;(SUM(S1277:S1281)),S1281*M1276,SUM(B1281:F1281)*M1276)),2)))</f>
        <v>0</v>
      </c>
      <c r="N1281" s="64">
        <f>IF(B1281=0,0,IF(AND(H1268="ja",((U1281)&lt;R1293)),ROUND(((R1295*R1292+((R1293/(R1293-R1292))-(R1292/(R1293-R1292))*R1295)*((U1281)-R1292))*(N1276)),2),ROUND(IF(SUM(B1277:F1280)&lt;(SUM(S1277:S1280)),IF((SUM(B1277:F1281))&gt;(SUM(S1277:S1281)),(((SUM(S1277:S1281))-(SUM(B1277:F1281)-C1280))*N1276)+((SUM(B1281:F1281)-C1280)*N1276),SUM(B1281:F1281)*N1276),IF(SUM(B1277:F1281)&gt;(SUM(S1277:S1281)),S1281*N1276,SUM(B1281:F1281)*N1276)),2)))</f>
        <v>0</v>
      </c>
      <c r="O1281" s="21">
        <f>ROUND(SUM(B1281+C1281+F1281)*O1276,2)</f>
        <v>0</v>
      </c>
      <c r="P1281" s="25">
        <f t="shared" si="209"/>
        <v>0</v>
      </c>
      <c r="Q1281" s="456"/>
      <c r="R1281" s="140">
        <f>ROUND(IF(M1255="",R1271,R1271/M1255*P1258),2)</f>
        <v>5175</v>
      </c>
      <c r="S1281" s="140">
        <f>ROUND(IF(M1255="",R1272,R1272/M1255*P1258),2)</f>
        <v>7450</v>
      </c>
      <c r="U1281" s="950">
        <f t="shared" si="210"/>
        <v>0</v>
      </c>
      <c r="V1281" s="950">
        <f>SUM(B1277:F1281)</f>
        <v>0</v>
      </c>
    </row>
    <row r="1282" spans="1:24" s="1" customFormat="1" x14ac:dyDescent="0.2">
      <c r="A1282" s="76" t="str">
        <f>CONCATENATE("Jun ",O1253)</f>
        <v>Jun 2025</v>
      </c>
      <c r="B1282" s="22">
        <f>ROUND(IF(P1259=0,0,IFERROR(((LOOKUP(2,1/(A1262:A1265=A1282),G1262:G1265))*P1259*4.348),B1281/P1258*P1259)),2)</f>
        <v>0</v>
      </c>
      <c r="C1282" s="21">
        <f>ROUND(IFERROR((LOOKUP(2,1/(A1268=A1282),E1268)),0)+IFERROR((LOOKUP(2,1/(A1269=A1282),E1269)),0),2)</f>
        <v>0</v>
      </c>
      <c r="D1282" s="21">
        <f>ROUND(IF(B1282=0,0,D1276/M1255*P1259),2)</f>
        <v>0</v>
      </c>
      <c r="E1282" s="21">
        <f>ROUND(IF(B1282=0,0,E1276/N1251*P1259),2)</f>
        <v>0</v>
      </c>
      <c r="F1282" s="22">
        <f>ROUND(IF(P1259=0,0,IFERROR(((LOOKUP(2,1/(A1262:A1265=A1282),I1262:I1265))/N1251*P1259),F1281/P1258*P1259)),2)</f>
        <v>0</v>
      </c>
      <c r="G1282" s="25">
        <f t="shared" si="208"/>
        <v>0</v>
      </c>
      <c r="H1282" s="64">
        <f>IF(B1282=0,0,IF(AND(H1268="ja",((U1282)&lt;R1293)),ROUND(((R1295*R1292+((R1293/(R1293-R1292))-(R1292/(R1293-R1292))*R1295)*((U1282)-R1292))*(H1276*2))-(((R1293/(R1293-R1292))*((U1282)-R1292))*H1276),2),ROUND(IF(V1281&lt;(SUM(R1277:R1281)),IF((V1282)&gt;(SUM(R1277:R1282)),(((SUM(R1277:R1282))-(V1282-C1281))*H1276)+((U1282-C1281)*H1276),U1282*H1276),IF(V1282&gt;(SUM(R1277:R1282)),R1282*H1276,U1282*H1276)),2)))</f>
        <v>0</v>
      </c>
      <c r="I1282" s="64">
        <f>IF(B1282=0,0,IF(AND(H1268="ja",((U1282)&lt;R1293)),ROUND(((R1295*R1292+((R1293/(R1293-R1292))-(R1292/(R1293-R1292))*R1295)*((U1282)-R1292))*(I1276*2))-(((R1293/(R1293-R1292))*((U1282)-R1292))*I1276),2),ROUND(IF(V1281&lt;(SUM(S1277:S1281)),IF((V1282)&gt;(SUM(S1277:S1282)),(((SUM(S1277:S1282))-(V1282-C1281))*I1276)+((U1282-C1281)*I1276),U1282*I1276),IF(V1282&gt;(SUM(S1277:S1282)),S1282*I1276,U1282*I1276)),2)))</f>
        <v>0</v>
      </c>
      <c r="J1282" s="64">
        <f>IF(B1282=0,0,IF(AND(H1268="ja",((U1282)&lt;R1293)),ROUND(((R1295*R1292+((R1293/(R1293-R1292))-(R1292/(R1293-R1292))*R1295)*((U1282)-R1292))*(J1276*2))-(((R1293/(R1293-R1292))*((U1282)-R1292))*J1276),2),ROUND(IF(V1281&lt;(SUM(S1277:S1281)),IF((V1282)&gt;(SUM(S1277:S1282)),(((SUM(S1277:S1282))-(V1282-C1281))*J1276)+((U1282-C1281)*J1276),U1282*J1276),IF(V1282&gt;(SUM(S1277:S1282)),S1282*J1276,U1282*J1276)),2)))</f>
        <v>0</v>
      </c>
      <c r="K1282" s="64">
        <f>IF(B1282=0,0,IF(AND(H1268="ja",((U1282)&lt;R1293)),ROUND(((R1295*R1292+((R1293/(R1293-R1292))-(R1292/(R1293-R1292))*R1295)*((U1282)-R1292))*(K1276*2))-(((R1293/(R1293-R1292))*((U1282)-R1292))*K1276),2),ROUND(IF(V1281&lt;(SUM(R1277:R1281)),IF((V1282)&gt;(SUM(R1277:R1282)),(((SUM(R1277:R1282))-(V1282-C1281))*K1276)+((U1282-C1281)*K1276),U1282*K1276),IF(V1282&gt;(SUM(R1277:R1282)),R1282*K1276,U1282*K1276)),2)))</f>
        <v>0</v>
      </c>
      <c r="L1282" s="64">
        <f>IF(B1282=0,0,IF(AND(H1268="ja",((U1282-C1282)&lt;R1293)),ROUND(((R1295*R1292+((R1293/(R1293-R1292))-(R1292/(R1293-R1292))*R1295)*((U1282-C1282)-R1292))*(L1276)),2),ROUND(IF(SUM(B1277:F1281)&lt;(SUM(S1277:S1281)),IF((SUM(B1277:F1282))&gt;(SUM(S1277:S1282)),(((SUM(S1277:S1282))-(SUM(B1277:F1282)-C1282))*L1276)+((SUM(B1282:F1282)-C1282)*L1276),(SUM(B1282:F1282)-C1282)*L1276),IF(SUM(B1277:F1282)&gt;(SUM(S1277:S1282)),S1282*L1276,SUM(B1282:F1282)*L1276)),2)))</f>
        <v>0</v>
      </c>
      <c r="M1282" s="64">
        <f>IF(B1282=0,0,IF(AND(H1268="ja",((U1282-C1282)&lt;R1293)),ROUND(((R1295*R1292+((R1293/(R1293-R1292))-(R1292/(R1293-R1292))*R1295)*((U1282-C1282)-R1292))*(M1276)),2),ROUND(IF(SUM(B1277:F1281)&lt;(SUM(S1277:S1281)),IF((SUM(B1277:F1282))&gt;(SUM(S1277:S1282)),(((SUM(S1277:S1282))-(SUM(B1277:F1282)-C1282))*M1276)+((SUM(B1282:F1282)-C1282)*M1276),(SUM(B1282:F1282)-C1282)*M1276),IF(SUM(B1277:F1282)&gt;(SUM(S1277:S1282)),S1282*M1276,SUM(B1282:F1282)*M1276)),2)))</f>
        <v>0</v>
      </c>
      <c r="N1282" s="64">
        <f>IF(B1282=0,0,IF(AND(H1268="ja",((U1282)&lt;R1293)),ROUND(((R1295*R1292+((R1293/(R1293-R1292))-(R1292/(R1293-R1292))*R1295)*((U1282)-R1292))*(N1276)),2),ROUND(IF(SUM(B1277:F1281)&lt;(SUM(S1277:S1281)),IF((SUM(B1277:F1282))&gt;(SUM(S1277:S1282)),(((SUM(S1277:S1282))-(SUM(B1277:F1282)-C1281))*N1276)+((SUM(B1282:F1282)-C1281)*N1276),SUM(B1282:F1282)*N1276),IF(SUM(B1277:F1282)&gt;(SUM(S1277:S1282)),S1282*N1276,SUM(B1282:F1282)*N1276)),2)))</f>
        <v>0</v>
      </c>
      <c r="O1282" s="21">
        <f>ROUND(SUM(B1282+C1282+F1282)*O1276,2)</f>
        <v>0</v>
      </c>
      <c r="P1282" s="25">
        <f t="shared" si="209"/>
        <v>0</v>
      </c>
      <c r="Q1282" s="456"/>
      <c r="R1282" s="140">
        <f>ROUND(IF(M1255="",R1271,R1271/M1255*P1259),2)</f>
        <v>5175</v>
      </c>
      <c r="S1282" s="140">
        <f>ROUND(IF(M1255="",R1272,R1272/M1255*P1259),2)</f>
        <v>7450</v>
      </c>
      <c r="U1282" s="950">
        <f t="shared" si="210"/>
        <v>0</v>
      </c>
      <c r="V1282" s="950">
        <f>SUM(B1277:F1282)</f>
        <v>0</v>
      </c>
    </row>
    <row r="1283" spans="1:24" s="1" customFormat="1" x14ac:dyDescent="0.2">
      <c r="A1283" s="76" t="str">
        <f>CONCATENATE("Jul ",O1253)</f>
        <v>Jul 2025</v>
      </c>
      <c r="B1283" s="22">
        <f>ROUND(IF(P1260=0,0,IFERROR(((LOOKUP(2,1/(A1262:A1265=A1283),G1262:G1265))*P1260*4.348),B1282/P1259*P1260)),2)</f>
        <v>0</v>
      </c>
      <c r="C1283" s="21">
        <f>ROUND(IFERROR((LOOKUP(2,1/(A1268=A1283),E1268)),0)+IFERROR((LOOKUP(2,1/(A1269=A1283),E1269)),0),2)</f>
        <v>0</v>
      </c>
      <c r="D1283" s="21">
        <f>ROUND(IF(B1283=0,0,D1276/M1255*P1260),2)</f>
        <v>0</v>
      </c>
      <c r="E1283" s="21">
        <f>ROUND(IF(B1283=0,0,E1276/N1251*P1260),2)</f>
        <v>0</v>
      </c>
      <c r="F1283" s="22">
        <f>ROUND(IF(P1260=0,0,IFERROR(((LOOKUP(2,1/(A1262:A1265=A1283),I1262:I1265))/N1251*P1260),F1282/P1259*P1260)),2)</f>
        <v>0</v>
      </c>
      <c r="G1283" s="25">
        <f t="shared" si="208"/>
        <v>0</v>
      </c>
      <c r="H1283" s="64">
        <f>IF(B1283=0,0,IF(AND(H1268="ja",((U1283)&lt;R1293)),ROUND(((R1295*R1292+((R1293/(R1293-R1292))-(R1292/(R1293-R1292))*R1295)*((U1283)-R1292))*(H1276*2))-(((R1293/(R1293-R1292))*((U1283)-R1292))*H1276),2),ROUND(IF(V1282&lt;(SUM(R1277:R1282)),IF((V1283)&gt;(SUM(R1277:R1283)),(((SUM(R1277:R1283))-(V1283-C1282))*H1276)+((U1283-C1282)*H1276),U1283*H1276),IF(V1283&gt;(SUM(R1277:R1283)),R1283*H1276,U1283*H1276)),2)))</f>
        <v>0</v>
      </c>
      <c r="I1283" s="64">
        <f>IF(B1283=0,0,IF(AND(H1268="ja",((U1283)&lt;R1293)),ROUND(((R1295*R1292+((R1293/(R1293-R1292))-(R1292/(R1293-R1292))*R1295)*((U1283)-R1292))*(I1276*2))-(((R1293/(R1293-R1292))*((U1283)-R1292))*I1276),2),ROUND(IF(V1282&lt;(SUM(S1277:S1282)),IF((V1283)&gt;(SUM(S1277:S1283)),(((SUM(S1277:S1283))-(V1283-C1282))*I1276)+((U1283-C1282)*I1276),U1283*I1276),IF(V1283&gt;(SUM(S1277:S1283)),S1283*I1276,U1283*I1276)),2)))</f>
        <v>0</v>
      </c>
      <c r="J1283" s="64">
        <f>IF(B1283=0,0,IF(AND(H1268="ja",((U1283)&lt;R1293)),ROUND(((R1295*R1292+((R1293/(R1293-R1292))-(R1292/(R1293-R1292))*R1295)*((U1283)-R1292))*(J1276*2))-(((R1293/(R1293-R1292))*((U1283)-R1292))*J1276),2),ROUND(IF(V1282&lt;(SUM(S1277:S1282)),IF((V1283)&gt;(SUM(S1277:S1283)),(((SUM(S1277:S1283))-(V1283-C1282))*J1276)+((U1283-C1282)*J1276),U1283*J1276),IF(V1283&gt;(SUM(S1277:S1283)),S1283*J1276,U1283*J1276)),2)))</f>
        <v>0</v>
      </c>
      <c r="K1283" s="64">
        <f>IF(B1283=0,0,IF(AND(H1268="ja",((U1283)&lt;R1293)),ROUND(((R1295*R1292+((R1293/(R1293-R1292))-(R1292/(R1293-R1292))*R1295)*((U1283)-R1292))*(K1276*2))-(((R1293/(R1293-R1292))*((U1283)-R1292))*K1276),2),ROUND(IF(V1282&lt;(SUM(R1277:R1282)),IF((V1283)&gt;(SUM(R1277:R1283)),(((SUM(R1277:R1283))-(V1283-C1282))*K1276)+((U1283-C1282)*K1276),U1283*K1276),IF(V1283&gt;(SUM(R1277:R1283)),R1283*K1276,U1283*K1276)),2)))</f>
        <v>0</v>
      </c>
      <c r="L1283" s="64">
        <f>IF(B1283=0,0,IF(AND(H1268="ja",((U1283-C1283)&lt;R1293)),ROUND(((R1295*R1292+((R1293/(R1293-R1292))-(R1292/(R1293-R1292))*R1295)*((U1283-C1283)-R1292))*(L1276)),2),ROUND(IF(SUM(B1277:F1282)&lt;(SUM(S1277:S1282)),IF((SUM(B1277:F1283))&gt;(SUM(S1277:S1283)),(((SUM(S1277:S1283))-(SUM(B1277:F1283)-C1283))*L1276)+((SUM(B1283:F1283)-C1283)*L1276),(SUM(B1283:F1283)-C1283)*L1276),IF(SUM(B1277:F1283)&gt;(SUM(S1277:S1283)),S1283*L1276,SUM(B1283:F1283)*L1276)),2)))</f>
        <v>0</v>
      </c>
      <c r="M1283" s="64">
        <f>IF(B1283=0,0,IF(AND(H1268="ja",((U1283-C1283)&lt;R1293)),ROUND(((R1295*R1292+((R1293/(R1293-R1292))-(R1292/(R1293-R1292))*R1295)*((U1283-C1283)-R1292))*(M1276)),2),ROUND(IF(SUM(B1277:F1282)&lt;(SUM(S1277:S1282)),IF((SUM(B1277:F1283))&gt;(SUM(S1277:S1283)),(((SUM(S1277:S1283))-(SUM(B1277:F1283)-C1283))*M1276)+((SUM(B1283:F1283)-C1283)*M1276),(SUM(B1283:F1283)-C1283)*M1276),IF(SUM(B1277:F1283)&gt;(SUM(S1277:S1283)),S1283*M1276,SUM(B1283:F1283)*M1276)),2)))</f>
        <v>0</v>
      </c>
      <c r="N1283" s="64">
        <f>IF(B1283=0,0,IF(AND(H1268="ja",((U1283)&lt;R1293)),ROUND(((R1295*R1292+((R1293/(R1293-R1292))-(R1292/(R1293-R1292))*R1295)*((U1283)-R1292))*(N1276)),2),ROUND(IF(SUM(B1277:F1282)&lt;(SUM(S1277:S1282)),IF((SUM(B1277:F1283))&gt;(SUM(S1277:S1283)),(((SUM(S1277:S1283))-(SUM(B1277:F1283)-C1282))*N1276)+((SUM(B1283:F1283)-C1282)*N1276),SUM(B1283:F1283)*N1276),IF(SUM(B1277:F1283)&gt;(SUM(S1277:S1283)),S1283*N1276,SUM(B1283:F1283)*N1276)),2)))</f>
        <v>0</v>
      </c>
      <c r="O1283" s="21">
        <f>ROUND(SUM(B1283+C1283+F1283)*O1276,2)</f>
        <v>0</v>
      </c>
      <c r="P1283" s="25">
        <f t="shared" si="209"/>
        <v>0</v>
      </c>
      <c r="Q1283" s="456"/>
      <c r="R1283" s="140">
        <f>ROUND(IF(M1255="",R1271,R1271/M1255*P1260),2)</f>
        <v>5175</v>
      </c>
      <c r="S1283" s="140">
        <f>ROUND(IF(M1255="",R1272,R1272/M1255*P1260),2)</f>
        <v>7450</v>
      </c>
      <c r="U1283" s="950">
        <f t="shared" si="210"/>
        <v>0</v>
      </c>
      <c r="V1283" s="950">
        <f>SUM(B1277:F1283)</f>
        <v>0</v>
      </c>
    </row>
    <row r="1284" spans="1:24" s="1" customFormat="1" x14ac:dyDescent="0.2">
      <c r="A1284" s="76" t="str">
        <f>CONCATENATE("Aug ",O1253)</f>
        <v>Aug 2025</v>
      </c>
      <c r="B1284" s="22">
        <f>ROUND(IF(P1261=0,0,IFERROR(((LOOKUP(2,1/(A1262:A1265=A1284),G1262:G1265))*P1261*4.348),B1283/P1260*P1261)),2)</f>
        <v>0</v>
      </c>
      <c r="C1284" s="21">
        <f>ROUND(IFERROR((LOOKUP(2,1/(A1268=A1284),E1268)),0)+IFERROR((LOOKUP(2,1/(A1269=A1284),E1269)),0),2)</f>
        <v>0</v>
      </c>
      <c r="D1284" s="21">
        <f>ROUND(IF(B1284=0,0,D1276/M1255*P1261),2)</f>
        <v>0</v>
      </c>
      <c r="E1284" s="21">
        <f>ROUND(IF(B1284=0,0,E1276/N1251*P1261),2)</f>
        <v>0</v>
      </c>
      <c r="F1284" s="22">
        <f>ROUND(IF(P1261=0,0,IFERROR(((LOOKUP(2,1/(A1262:A1265=A1284),I1262:I1265))/N1251*P1261),F1283/P1260*P1261)),2)</f>
        <v>0</v>
      </c>
      <c r="G1284" s="25">
        <f t="shared" si="208"/>
        <v>0</v>
      </c>
      <c r="H1284" s="64">
        <f>IF(B1284=0,0,IF(AND(H1268="ja",((U1284)&lt;R1293)),ROUND(((R1295*R1292+((R1293/(R1293-R1292))-(R1292/(R1293-R1292))*R1295)*((U1284)-R1292))*(H1276*2))-(((R1293/(R1293-R1292))*((U1284)-R1292))*H1276),2),ROUND(IF(V1283&lt;(SUM(R1277:R1283)),IF((V1284)&gt;(SUM(R1277:R1284)),(((SUM(R1277:R1284))-(V1284-C1283))*H1276)+((U1284-C1283)*H1276),U1284*H1276),IF(V1284&gt;(SUM(R1277:R1284)),R1284*H1276,U1284*H1276)),2)))</f>
        <v>0</v>
      </c>
      <c r="I1284" s="64">
        <f>IF(B1284=0,0,IF(AND(H1268="ja",((U1284)&lt;R1293)),ROUND(((R1295*R1292+((R1293/(R1293-R1292))-(R1292/(R1293-R1292))*R1295)*((U1284)-R1292))*(I1276*2))-(((R1293/(R1293-R1292))*((U1284)-R1292))*I1276),2),ROUND(IF(V1283&lt;(SUM(S1277:S1283)),IF((V1284)&gt;(SUM(S1277:S1284)),(((SUM(S1277:S1284))-(V1284-C1283))*I1276)+((U1284-C1283)*I1276),U1284*I1276),IF(V1284&gt;(SUM(S1277:S1284)),S1284*I1276,U1284*I1276)),2)))</f>
        <v>0</v>
      </c>
      <c r="J1284" s="64">
        <f>IF(B1284=0,0,IF(AND(H1268="ja",((U1284)&lt;R1293)),ROUND(((R1295*R1292+((R1293/(R1293-R1292))-(R1292/(R1293-R1292))*R1295)*((U1284)-R1292))*(J1276*2))-(((R1293/(R1293-R1292))*((U1284)-R1292))*J1276),2),ROUND(IF(V1283&lt;(SUM(S1277:S1283)),IF((V1284)&gt;(SUM(S1277:S1284)),(((SUM(S1277:S1284))-(V1284-C1283))*J1276)+((U1284-C1283)*J1276),U1284*J1276),IF(V1284&gt;(SUM(S1277:S1284)),S1284*J1276,U1284*J1276)),2)))</f>
        <v>0</v>
      </c>
      <c r="K1284" s="64">
        <f>IF(B1284=0,0,IF(AND(H1268="ja",((U1284)&lt;R1293)),ROUND(((R1295*R1292+((R1293/(R1293-R1292))-(R1292/(R1293-R1292))*R1295)*((U1284)-R1292))*(K1276*2))-(((R1293/(R1293-R1292))*((U1284)-R1292))*K1276),2),ROUND(IF(V1283&lt;(SUM(R1277:R1283)),IF((V1284)&gt;(SUM(R1277:R1284)),(((SUM(R1277:R1284))-(V1284-C1283))*K1276)+((U1284-C1283)*K1276),U1284*K1276),IF(V1284&gt;(SUM(R1277:R1284)),R1284*K1276,U1284*K1276)),2)))</f>
        <v>0</v>
      </c>
      <c r="L1284" s="64">
        <f>IF(B1284=0,0,IF(AND(H1268="ja",((U1284-C1284)&lt;R1293)),ROUND(((R1295*R1292+((R1293/(R1293-R1292))-(R1292/(R1293-R1292))*R1295)*((U1284-C1284)-R1292))*(L1276)),2),ROUND(IF(SUM(B1277:F1283)&lt;(SUM(S1277:S1283)),IF((SUM(B1277:F1284))&gt;(SUM(S1277:S1284)),(((SUM(S1277:S1284))-(SUM(B1277:F1284)-C1284))*L1276)+((SUM(B1284:F1284)-C1284)*L1276),(SUM(B1284:F1284)-C1284)*L1276),IF(SUM(B1277:F1284)&gt;(SUM(S1277:S1284)),S1284*L1276,SUM(B1284:F1284)*L1276)),2)))</f>
        <v>0</v>
      </c>
      <c r="M1284" s="64">
        <f>IF(B1284=0,0,IF(AND(H1268="ja",((U1284-C1284)&lt;R1293)),ROUND(((R1295*R1292+((R1293/(R1293-R1292))-(R1292/(R1293-R1292))*R1295)*((U1284-C1284)-R1292))*(M1276)),2),ROUND(IF(SUM(B1277:F1283)&lt;(SUM(S1277:S1283)),IF((SUM(B1277:F1284))&gt;(SUM(S1277:S1284)),(((SUM(S1277:S1284))-(SUM(B1277:F1284)-C1284))*M1276)+((SUM(B1284:F1284)-C1284)*M1276),(SUM(B1284:F1284)-C1284)*M1276),IF(SUM(B1277:F1284)&gt;(SUM(S1277:S1284)),S1284*M1276,SUM(B1284:F1284)*M1276)),2)))</f>
        <v>0</v>
      </c>
      <c r="N1284" s="64">
        <f>IF(B1284=0,0,IF(AND(H1268="ja",((U1284)&lt;R1293)),ROUND(((R1295*R1292+((R1293/(R1293-R1292))-(R1292/(R1293-R1292))*R1295)*((U1284)-R1292))*(N1276)),2),ROUND(IF(SUM(B1277:F1283)&lt;(SUM(S1277:S1283)),IF((SUM(B1277:F1284))&gt;(SUM(S1277:S1284)),(((SUM(S1277:S1284))-(SUM(B1277:F1284)-C1283))*N1276)+((SUM(B1284:F1284)-C1283)*N1276),SUM(B1284:F1284)*N1276),IF(SUM(B1277:F1284)&gt;(SUM(S1277:S1284)),S1284*N1276,SUM(B1284:F1284)*N1276)),2)))</f>
        <v>0</v>
      </c>
      <c r="O1284" s="21">
        <f>ROUND(SUM(B1284+C1284+F1284)*O1276,2)</f>
        <v>0</v>
      </c>
      <c r="P1284" s="25">
        <f t="shared" si="209"/>
        <v>0</v>
      </c>
      <c r="Q1284" s="456"/>
      <c r="R1284" s="140">
        <f>ROUND(IF(M1255="",R1271,R1271/M1255*P1261),2)</f>
        <v>5175</v>
      </c>
      <c r="S1284" s="140">
        <f>ROUND(IF(M1255="",R1272,R1272/M1255*P1261),2)</f>
        <v>7450</v>
      </c>
      <c r="U1284" s="950">
        <f t="shared" si="210"/>
        <v>0</v>
      </c>
      <c r="V1284" s="950">
        <f>SUM(B1277:F1284)</f>
        <v>0</v>
      </c>
    </row>
    <row r="1285" spans="1:24" s="1" customFormat="1" x14ac:dyDescent="0.2">
      <c r="A1285" s="76" t="str">
        <f>CONCATENATE("Sep ",O1253)</f>
        <v>Sep 2025</v>
      </c>
      <c r="B1285" s="22">
        <f>ROUND(IF(P1262=0,0,IFERROR(((LOOKUP(2,1/(A1262:A1265=A1285),G1262:G1265))*P1262*4.348),B1284/P1261*P1262)),2)</f>
        <v>0</v>
      </c>
      <c r="C1285" s="21">
        <f>ROUND(IFERROR((LOOKUP(2,1/(A1268=A1285),E1268)),0)+IFERROR((LOOKUP(2,1/(A1269=A1285),E1269)),0),2)</f>
        <v>0</v>
      </c>
      <c r="D1285" s="21">
        <f>ROUND(IF(B1285=0,0,D1276/M1255*P1262),2)</f>
        <v>0</v>
      </c>
      <c r="E1285" s="21">
        <f>ROUND(IF(B1285=0,0,E1276/N1251*P1262),2)</f>
        <v>0</v>
      </c>
      <c r="F1285" s="22">
        <f>ROUND(IF(P1262=0,0,IFERROR(((LOOKUP(2,1/(A1262:A1265=A1285),I1262:I1265))/N1251*P1262),F1284/P1261*P1262)),2)</f>
        <v>0</v>
      </c>
      <c r="G1285" s="25">
        <f t="shared" si="208"/>
        <v>0</v>
      </c>
      <c r="H1285" s="64">
        <f>IF(B1285=0,0,IF(AND(H1268="ja",((U1285)&lt;R1293)),ROUND(((R1295*R1292+((R1293/(R1293-R1292))-(R1292/(R1293-R1292))*R1295)*((U1285)-R1292))*(H1276*2))-(((R1293/(R1293-R1292))*((U1285)-R1292))*H1276),2),ROUND(IF(V1284&lt;(SUM(R1277:R1284)),IF((V1285)&gt;(SUM(R1277:R1285)),(((SUM(R1277:R1285))-(V1285-C1284))*H1276)+((U1285-C1284)*H1276),U1285*H1276),IF(V1285&gt;(SUM(R1277:R1285)),R1285*H1276,U1285*H1276)),2)))</f>
        <v>0</v>
      </c>
      <c r="I1285" s="64">
        <f>IF(B1285=0,0,IF(AND(H1268="ja",((U1285)&lt;R1293)),ROUND(((R1295*R1292+((R1293/(R1293-R1292))-(R1292/(R1293-R1292))*R1295)*((U1285)-R1292))*(I1276*2))-(((R1293/(R1293-R1292))*((U1285)-R1292))*I1276),2),ROUND(IF(V1284&lt;(SUM(S1277:S1284)),IF((V1285)&gt;(SUM(S1277:S1285)),(((SUM(S1277:S1285))-(V1285-C1284))*I1276)+((U1285-C1284)*I1276),U1285*I1276),IF(V1285&gt;(SUM(S1277:S1285)),S1285*I1276,U1285*I1276)),2)))</f>
        <v>0</v>
      </c>
      <c r="J1285" s="64">
        <f>IF(B1285=0,0,IF(AND(H1268="ja",((U1285)&lt;R1293)),ROUND(((R1295*R1292+((R1293/(R1293-R1292))-(R1292/(R1293-R1292))*R1295)*((U1285)-R1292))*(J1276*2))-(((R1293/(R1293-R1292))*((U1285)-R1292))*J1276),2),ROUND(IF(V1284&lt;(SUM(S1277:S1284)),IF((V1285)&gt;(SUM(S1277:S1285)),(((SUM(S1277:S1285))-(V1285-C1284))*J1276)+((U1285-C1284)*J1276),U1285*J1276),IF(V1285&gt;(SUM(S1277:S1285)),S1285*J1276,U1285*J1276)),2)))</f>
        <v>0</v>
      </c>
      <c r="K1285" s="64">
        <f>IF(B1285=0,0,IF(AND(H1268="ja",((U1285)&lt;R1293)),ROUND(((R1295*R1292+((R1293/(R1293-R1292))-(R1292/(R1293-R1292))*R1295)*((U1285)-R1292))*(K1276*2))-(((R1293/(R1293-R1292))*((U1285)-R1292))*K1276),2),ROUND(IF(V1284&lt;(SUM(R1277:R1284)),IF((V1285)&gt;(SUM(R1277:R1285)),(((SUM(R1277:R1285))-(V1285-C1284))*K1276)+((U1285-C1284)*K1276),U1285*K1276),IF(V1285&gt;(SUM(R1277:R1285)),R1285*K1276,U1285*K1276)),2)))</f>
        <v>0</v>
      </c>
      <c r="L1285" s="64">
        <f>IF(B1285=0,0,IF(AND(H1268="ja",((U1285-C1285)&lt;R1293)),ROUND(((R1295*R1292+((R1293/(R1293-R1292))-(R1292/(R1293-R1292))*R1295)*((U1285-C1285)-R1292))*(L1276)),2),ROUND(IF(SUM(B1277:F1284)&lt;(SUM(S1277:S1284)),IF((SUM(B1277:F1285))&gt;(SUM(S1277:S1285)),(((SUM(S1277:S1285))-(SUM(B1277:F1285)-C1285))*L1276)+((SUM(B1285:F1285)-C1285)*L1276),(SUM(B1285:F1285)-C1285)*L1276),IF(SUM(B1277:F1285)&gt;(SUM(S1277:S1285)),S1285*L1276,SUM(B1285:F1285)*L1276)),2)))</f>
        <v>0</v>
      </c>
      <c r="M1285" s="64">
        <f>IF(B1285=0,0,IF(AND(H1268="ja",((U1285-C1285)&lt;R1293)),ROUND(((R1295*R1292+((R1293/(R1293-R1292))-(R1292/(R1293-R1292))*R1295)*((U1285-C1285)-R1292))*(M1276)),2),ROUND(IF(SUM(B1277:F1284)&lt;(SUM(S1277:S1284)),IF((SUM(B1277:F1285))&gt;(SUM(S1277:S1285)),(((SUM(S1277:S1285))-(SUM(B1277:F1285)-C1285))*M1276)+((SUM(B1285:F1285)-C1285)*M1276),(SUM(B1285:F1285)-C1285)*M1276),IF(SUM(B1277:F1285)&gt;(SUM(S1277:S1285)),S1285*M1276,SUM(B1285:F1285)*M1276)),2)))</f>
        <v>0</v>
      </c>
      <c r="N1285" s="64">
        <f>IF(B1285=0,0,IF(AND(H1268="ja",((U1285)&lt;R1293)),ROUND(((R1295*R1292+((R1293/(R1293-R1292))-(R1292/(R1293-R1292))*R1295)*((U1285)-R1292))*(N1276)),2),ROUND(IF(SUM(B1277:F1284)&lt;(SUM(S1277:S1284)),IF((SUM(B1277:F1285))&gt;(SUM(S1277:S1285)),(((SUM(S1277:S1285))-(SUM(B1277:F1285)-C1284))*N1276)+((SUM(B1285:F1285)-C1284)*N1276),SUM(B1285:F1285)*N1276),IF(SUM(B1277:F1285)&gt;(SUM(S1277:S1285)),S1285*N1276,SUM(B1285:F1285)*N1276)),2)))</f>
        <v>0</v>
      </c>
      <c r="O1285" s="21">
        <f>ROUND(SUM(B1285+C1285+F1285)*O1276,2)</f>
        <v>0</v>
      </c>
      <c r="P1285" s="25">
        <f t="shared" si="209"/>
        <v>0</v>
      </c>
      <c r="Q1285" s="456"/>
      <c r="R1285" s="140">
        <f>ROUND(IF(M1255="",R1271,R1271/M1255*P1262),2)</f>
        <v>5175</v>
      </c>
      <c r="S1285" s="140">
        <f>ROUND(IF(M1255="",R1272,R1272/M1255*P1262),2)</f>
        <v>7450</v>
      </c>
      <c r="U1285" s="950">
        <f t="shared" si="210"/>
        <v>0</v>
      </c>
      <c r="V1285" s="950">
        <f>SUM(B1277:F1285)</f>
        <v>0</v>
      </c>
    </row>
    <row r="1286" spans="1:24" s="12" customFormat="1" ht="15" x14ac:dyDescent="0.25">
      <c r="A1286" s="76" t="str">
        <f>CONCATENATE("Okt ",O1253)</f>
        <v>Okt 2025</v>
      </c>
      <c r="B1286" s="22">
        <f>ROUND(IF(P1263=0,0,IFERROR(((LOOKUP(2,1/(A1262:A1265=A1286),G1262:G1265))*P1263*4.348),B1285/P1262*P1263)),2)</f>
        <v>0</v>
      </c>
      <c r="C1286" s="21">
        <f>ROUND(IFERROR((LOOKUP(2,1/(A1268=A1286),E1268)),0)+IFERROR((LOOKUP(2,1/(A1269=A1286),E1269)),0),2)</f>
        <v>0</v>
      </c>
      <c r="D1286" s="21">
        <f>ROUND(IF(B1286=0,0,D1276/M1255*P1263),2)</f>
        <v>0</v>
      </c>
      <c r="E1286" s="21">
        <f>ROUND(IF(B1286=0,0,E1276/N1251*P1263),2)</f>
        <v>0</v>
      </c>
      <c r="F1286" s="22">
        <f>ROUND(IF(P1263=0,0,IFERROR(((LOOKUP(2,1/(A1262:A1265=A1286),I1262:I1265))/N1251*P1263),F1285/P1262*P1263)),2)</f>
        <v>0</v>
      </c>
      <c r="G1286" s="25">
        <f t="shared" si="208"/>
        <v>0</v>
      </c>
      <c r="H1286" s="64">
        <f>IF(B1286=0,0,IF(AND(H1268="ja",((U1286)&lt;R1293)),ROUND(((R1295*R1292+((R1293/(R1293-R1292))-(R1292/(R1293-R1292))*R1295)*((U1286)-R1292))*(H1276*2))-(((R1293/(R1293-R1292))*((U1286)-R1292))*H1276),2),ROUND(IF(V1285&lt;(SUM(R1277:R1285)),IF((V1286)&gt;(SUM(R1277:R1286)),(((SUM(R1277:R1286))-(V1286-C1285))*H1276)+((U1286-C1285)*H1276),U1286*H1276),IF(V1286&gt;(SUM(R1277:R1286)),R1286*H1276,U1286*H1276)),2)))</f>
        <v>0</v>
      </c>
      <c r="I1286" s="64">
        <f>IF(B1286=0,0,IF(AND(H1268="ja",((U1286)&lt;R1293)),ROUND(((R1295*R1292+((R1293/(R1293-R1292))-(R1292/(R1293-R1292))*R1295)*((U1286)-R1292))*(I1276*2))-(((R1293/(R1293-R1292))*((U1286)-R1292))*I1276),2),ROUND(IF(V1285&lt;(SUM(S1277:S1285)),IF((V1286)&gt;(SUM(S1277:S1286)),(((SUM(S1277:S1286))-(V1286-C1285))*I1276)+((U1286-C1285)*I1276),U1286*I1276),IF(V1286&gt;(SUM(S1277:S1286)),S1286*I1276,U1286*I1276)),2)))</f>
        <v>0</v>
      </c>
      <c r="J1286" s="64">
        <f>IF(B1286=0,0,IF(AND(H1268="ja",((U1286)&lt;R1293)),ROUND(((R1295*R1292+((R1293/(R1293-R1292))-(R1292/(R1293-R1292))*R1295)*((U1286)-R1292))*(J1276*2))-(((R1293/(R1293-R1292))*((U1286)-R1292))*J1276),2),ROUND(IF(V1285&lt;(SUM(S1277:S1285)),IF((V1286)&gt;(SUM(S1277:S1286)),(((SUM(S1277:S1286))-(V1286-C1285))*J1276)+((U1286-C1285)*J1276),U1286*J1276),IF(V1286&gt;(SUM(S1277:S1286)),S1286*J1276,U1286*J1276)),2)))</f>
        <v>0</v>
      </c>
      <c r="K1286" s="64">
        <f>IF(B1286=0,0,IF(AND(H1268="ja",((U1286)&lt;R1293)),ROUND(((R1295*R1292+((R1293/(R1293-R1292))-(R1292/(R1293-R1292))*R1295)*((U1286)-R1292))*(K1276*2))-(((R1293/(R1293-R1292))*((U1286)-R1292))*K1276),2),ROUND(IF(V1285&lt;(SUM(R1277:R1285)),IF((V1286)&gt;(SUM(R1277:R1286)),(((SUM(R1277:R1286))-(V1286-C1285))*K1276)+((U1286-C1285)*K1276),U1286*K1276),IF(V1286&gt;(SUM(R1277:R1286)),R1286*K1276,U1286*K1276)),2)))</f>
        <v>0</v>
      </c>
      <c r="L1286" s="64">
        <f>IF(B1286=0,0,IF(AND(H1268="ja",((U1286-C1286)&lt;R1293)),ROUND(((R1295*R1292+((R1293/(R1293-R1292))-(R1292/(R1293-R1292))*R1295)*((U1286-C1286)-R1292))*(L1276)),2),ROUND(IF(SUM(B1277:F1285)&lt;(SUM(S1277:S1285)),IF((SUM(B1277:F1286))&gt;(SUM(S1277:S1286)),(((SUM(S1277:S1286))-(SUM(B1277:F1286)-C1286))*L1276)+((SUM(B1286:F1286)-C1286)*L1276),(SUM(B1286:F1286)-C1286)*L1276),IF(SUM(B1277:F1286)&gt;(SUM(S1277:S1286)),S1286*L1276,SUM(B1286:F1286)*L1276)),2)))</f>
        <v>0</v>
      </c>
      <c r="M1286" s="64">
        <f>IF(B1286=0,0,IF(AND(H1268="ja",((U1286-C1286)&lt;R1293)),ROUND(((R1295*R1292+((R1293/(R1293-R1292))-(R1292/(R1293-R1292))*R1295)*((U1286-C1286)-R1292))*(M1276)),2),ROUND(IF(SUM(B1277:F1285)&lt;(SUM(S1277:S1285)),IF((SUM(B1277:F1286))&gt;(SUM(S1277:S1286)),(((SUM(S1277:S1286))-(SUM(B1277:F1286)-C1286))*M1276)+((SUM(B1286:F1286)-C1286)*M1276),(SUM(B1286:F1286)-C1286)*M1276),IF(SUM(B1277:F1286)&gt;(SUM(S1277:S1286)),S1286*M1276,SUM(B1286:F1286)*M1276)),2)))</f>
        <v>0</v>
      </c>
      <c r="N1286" s="64">
        <f>IF(B1286=0,0,IF(AND(H1268="ja",((U1286)&lt;R1293)),ROUND(((R1295*R1292+((R1293/(R1293-R1292))-(R1292/(R1293-R1292))*R1295)*((U1286)-R1292))*(N1276)),2),ROUND(IF(SUM(B1277:F1285)&lt;(SUM(S1277:S1285)),IF((SUM(B1277:F1286))&gt;(SUM(S1277:S1286)),(((SUM(S1277:S1286))-(SUM(B1277:F1286)-C1285))*N1276)+((SUM(B1286:F1286)-C1285)*N1276),SUM(B1286:F1286)*N1276),IF(SUM(B1277:F1286)&gt;(SUM(S1277:S1286)),S1286*N1276,SUM(B1286:F1286)*N1276)),2)))</f>
        <v>0</v>
      </c>
      <c r="O1286" s="21">
        <f>ROUND(SUM(B1286+C1286+F1286)*O1276,2)</f>
        <v>0</v>
      </c>
      <c r="P1286" s="25">
        <f t="shared" si="209"/>
        <v>0</v>
      </c>
      <c r="Q1286" s="936"/>
      <c r="R1286" s="140">
        <f>ROUND(IF(M1255="",R1271,R1271/M1255*P1263),2)</f>
        <v>5175</v>
      </c>
      <c r="S1286" s="140">
        <f>ROUND(IF(M1255="",R1272,R1272/M1255*P1263),2)</f>
        <v>7450</v>
      </c>
      <c r="U1286" s="950">
        <f t="shared" si="210"/>
        <v>0</v>
      </c>
      <c r="V1286" s="950">
        <f>SUM(B1277:F1286)</f>
        <v>0</v>
      </c>
      <c r="X1286" s="1"/>
    </row>
    <row r="1287" spans="1:24" s="11" customFormat="1" x14ac:dyDescent="0.2">
      <c r="A1287" s="76" t="str">
        <f>CONCATENATE("Nov ",O1253)</f>
        <v>Nov 2025</v>
      </c>
      <c r="B1287" s="22">
        <f>ROUND(IF(P1264=0,0,IFERROR(((LOOKUP(2,1/(A1262:A1265=A1287),G1262:G1265))*P1264*4.348),B1286/P1263*P1264)),2)</f>
        <v>0</v>
      </c>
      <c r="C1287" s="21">
        <f>ROUND(IFERROR((LOOKUP(2,1/(A1268=A1287),E1268)),0)+(IFERROR((LOOKUP(2,1/(A1269=A1287),E1269)),0)),2)</f>
        <v>0</v>
      </c>
      <c r="D1287" s="21">
        <f>ROUND(IF(B1287=0,0,D1276/M1255*P1264),2)</f>
        <v>0</v>
      </c>
      <c r="E1287" s="21">
        <f>ROUND(IF(B1287=0,0,E1276/N1251*P1264),2)</f>
        <v>0</v>
      </c>
      <c r="F1287" s="22">
        <f>ROUND(IF(P1264=0,0,IFERROR(((LOOKUP(2,1/(A1262:A1265=A1287),I1262:I1265))/N1251*P1264),F1286/P1263*P1264)),2)</f>
        <v>0</v>
      </c>
      <c r="G1287" s="25">
        <f t="shared" si="208"/>
        <v>0</v>
      </c>
      <c r="H1287" s="64">
        <f>IF(B1287=0,0,IF(AND(H1268="ja",((U1287)&lt;R1293)),ROUND(((R1295*R1292+((R1293/(R1293-R1292))-(R1292/(R1293-R1292))*R1295)*((U1287)-R1292))*(H1276*2))-(((R1293/(R1293-R1292))*((U1287)-R1292))*H1276),2),ROUND(IF(V1286&lt;(SUM(R1277:R1286)),IF((V1287)&gt;(SUM(R1277:R1287)),(((SUM(R1277:R1287))-(V1287-C1286))*H1276)+((U1287-C1286)*H1276),U1287*H1276),IF(V1287&gt;(SUM(R1277:R1287)),R1287*H1276,U1287*H1276)),2)))</f>
        <v>0</v>
      </c>
      <c r="I1287" s="64">
        <f>IF(B1287=0,0,IF(AND(H1268="ja",((U1287)&lt;R1293)),ROUND(((R1295*R1292+((R1293/(R1293-R1292))-(R1292/(R1293-R1292))*R1295)*((U1287)-R1292))*(I1276*2))-(((R1293/(R1293-R1292))*((U1287)-R1292))*I1276),2),ROUND(IF(V1286&lt;(SUM(S1277:S1286)),IF((V1287)&gt;(SUM(S1277:S1287)),(((SUM(S1277:S1287))-(V1287-C1286))*I1276)+((U1287-C1286)*I1276),U1287*I1276),IF(V1287&gt;(SUM(S1277:S1287)),S1287*I1276,U1287*I1276)),2)))</f>
        <v>0</v>
      </c>
      <c r="J1287" s="64">
        <f>IF(B1287=0,0,IF(AND(H1268="ja",((U1287)&lt;R1293)),ROUND(((R1295*R1292+((R1293/(R1293-R1292))-(R1292/(R1293-R1292))*R1295)*((U1287)-R1292))*(J1276*2))-(((R1293/(R1293-R1292))*((U1287)-R1292))*J1276),2),ROUND(IF(V1286&lt;(SUM(S1277:S1286)),IF((V1287)&gt;(SUM(S1277:S1287)),(((SUM(S1277:S1287))-(V1287-C1286))*J1276)+((U1287-C1286)*J1276),U1287*J1276),IF(V1287&gt;(SUM(S1277:S1287)),S1287*J1276,U1287*J1276)),2)))</f>
        <v>0</v>
      </c>
      <c r="K1287" s="64">
        <f>IF(B1287=0,0,IF(AND(H1268="ja",((U1287)&lt;R1293)),ROUND(((R1295*R1292+((R1293/(R1293-R1292))-(R1292/(R1293-R1292))*R1295)*((U1287)-R1292))*(K1276*2))-(((R1293/(R1293-R1292))*((U1287)-R1292))*K1276),2),ROUND(IF(V1286&lt;(SUM(R1277:R1286)),IF((V1287)&gt;(SUM(R1277:R1287)),(((SUM(R1277:R1287))-(V1287-C1286))*K1276)+((U1287-C1286)*K1276),U1287*K1276),IF(V1287&gt;(SUM(R1277:R1287)),R1287*K1276,U1287*K1276)),2)))</f>
        <v>0</v>
      </c>
      <c r="L1287" s="64">
        <f>IF(B1287=0,0,IF(AND(H1268="ja",((U1287-C1287)&lt;R1293)),ROUND(((R1295*R1292+((R1293/(R1293-R1292))-(R1292/(R1293-R1292))*R1295)*((U1287-C1287)-R1292))*(L1276)),2),ROUND(IF(SUM(B1277:F1286)&lt;(SUM(S1277:S1286)),IF((SUM(B1277:F1287))&gt;(SUM(S1277:S1287)),(((SUM(S1277:S1287))-(SUM(B1277:F1287)-C1287))*L1276)+((SUM(B1287:F1287)-C1287)*L1276),(SUM(B1287:F1287)-C1287)*L1276),IF(SUM(B1277:F1287)&gt;(SUM(S1277:S1287)),S1287*L1276,SUM(B1287:F1287)*L1276)),2)))</f>
        <v>0</v>
      </c>
      <c r="M1287" s="64">
        <f>IF(B1287=0,0,IF(AND(H1268="ja",((U1287-C1287)&lt;R1293)),ROUND(((R1295*R1292+((R1293/(R1293-R1292))-(R1292/(R1293-R1292))*R1295)*((U1287-C1287)-R1292))*(M1276)),2),ROUND(IF(SUM(B1277:F1286)&lt;(SUM(S1277:S1286)),IF((SUM(B1277:F1287))&gt;(SUM(S1277:S1287)),(((SUM(S1277:S1287))-(SUM(B1277:F1287)-C1287))*M1276)+((SUM(B1287:F1287)-C1287)*M1276),(SUM(B1287:F1287)-C1287)*M1276),IF(SUM(B1277:F1287)&gt;(SUM(S1277:S1287)),S1287*M1276,SUM(B1287:F1287)*M1276)),2)))</f>
        <v>0</v>
      </c>
      <c r="N1287" s="64">
        <f>IF(B1287=0,0,IF(AND(H1268="ja",((U1287)&lt;R1293)),ROUND(((R1295*R1292+((R1293/(R1293-R1292))-(R1292/(R1293-R1292))*R1295)*((U1287)-R1292))*(N1276)),2),ROUND(IF(SUM(B1277:F1286)&lt;(SUM(S1277:S1286)),IF((SUM(B1277:F1287))&gt;(SUM(S1277:S1287)),(((SUM(S1277:S1287))-(SUM(B1277:F1287)-C1286))*N1276)+((SUM(B1287:F1287)-C1286)*N1276),SUM(B1287:F1287)*N1276),IF(SUM(B1277:F1287)&gt;(SUM(S1277:S1287)),S1287*N1276,SUM(B1287:F1287)*N1276)),2)))</f>
        <v>0</v>
      </c>
      <c r="O1287" s="21">
        <f>ROUND(SUM(B1287+C1287+F1287)*O1276,2)</f>
        <v>0</v>
      </c>
      <c r="P1287" s="25">
        <f t="shared" si="209"/>
        <v>0</v>
      </c>
      <c r="R1287" s="140">
        <f>ROUND(IF(M1255="",R1271,R1271/M1255*P1264),2)</f>
        <v>5175</v>
      </c>
      <c r="S1287" s="140">
        <f>ROUND(IF(M1255="",R1272,R1272/M1255*P1264),2)</f>
        <v>7450</v>
      </c>
      <c r="U1287" s="950">
        <f t="shared" si="210"/>
        <v>0</v>
      </c>
      <c r="V1287" s="950">
        <f>SUM(B1277:F1287)</f>
        <v>0</v>
      </c>
      <c r="X1287" s="1"/>
    </row>
    <row r="1288" spans="1:24" s="1" customFormat="1" ht="14.25" customHeight="1" x14ac:dyDescent="0.2">
      <c r="A1288" s="76" t="str">
        <f>CONCATENATE("Dez ",O1253)</f>
        <v>Dez 2025</v>
      </c>
      <c r="B1288" s="22">
        <f>ROUND(IF(P1265=0,0,IFERROR(((LOOKUP(2,1/(A1262:A1265=A1288),G1262:G1265))*P1265*4.348),B1287/P1264*P1265)),2)</f>
        <v>0</v>
      </c>
      <c r="C1288" s="21">
        <f>ROUND(IFERROR((LOOKUP(2,1/(A1268=A1288),E1268)),0)+IFERROR((LOOKUP(2,1/(A1269=A1288),E1269)),0),2)</f>
        <v>0</v>
      </c>
      <c r="D1288" s="21">
        <f>ROUND(IF(B1288=0,0,D1276/M1255*P1265),2)</f>
        <v>0</v>
      </c>
      <c r="E1288" s="21">
        <f>ROUND(IF(B1288=0,0,E1276/N1251*P1265),2)</f>
        <v>0</v>
      </c>
      <c r="F1288" s="22">
        <f>ROUND(IF(P1265=0,0,IFERROR(((LOOKUP(2,1/(A1262:A1265=A1288),I1262:I1265))/N1251*P1265),F1287/P1264*P1265)),2)</f>
        <v>0</v>
      </c>
      <c r="G1288" s="25">
        <f t="shared" si="208"/>
        <v>0</v>
      </c>
      <c r="H1288" s="64">
        <f>IF(B1288=0,0,IF(AND(H1268="ja",((U1288)&lt;R1293)),ROUND(((R1295*R1292+((R1293/(R1293-R1292))-(R1292/(R1293-R1292))*R1295)*((U1288)-R1292))*(H1276*2))-(((R1293/(R1293-R1292))*((U1288)-R1292))*H1276),2),ROUND(IF(V1287&lt;(SUM(R1277:R1287)),IF((V1288)&gt;(SUM(R1277:R1288)),(((SUM(R1277:R1288))-(V1288-C1287))*H1276)+((U1288-C1287)*H1276),U1288*H1276),IF(V1288&gt;(SUM(R1277:R1288)),R1288*H1276,U1288*H1276)),2)))</f>
        <v>0</v>
      </c>
      <c r="I1288" s="64">
        <f>IF(B1288=0,0,IF(AND(H1268="ja",((U1288)&lt;R1293)),ROUND(((R1295*R1292+((R1293/(R1293-R1292))-(R1292/(R1293-R1292))*R1295)*((U1288)-R1292))*(I1276*2))-(((R1293/(R1293-R1292))*((U1288)-R1292))*I1276),2),ROUND(IF(V1287&lt;(SUM(S1277:S1287)),IF((V1288)&gt;(SUM(S1277:S1288)),(((SUM(S1277:S1288))-(V1288-C1287))*I1276)+((U1288-C1287)*I1276),U1288*I1276),IF(V1288&gt;(SUM(S1277:S1288)),S1288*I1276,U1288*I1276)),2)))</f>
        <v>0</v>
      </c>
      <c r="J1288" s="64">
        <f>IF(B1288=0,0,IF(AND(H1268="ja",((U1288)&lt;R1293)),ROUND(((R1295*R1292+((R1293/(R1293-R1292))-(R1292/(R1293-R1292))*R1295)*((U1288)-R1292))*(J1276*2))-(((R1293/(R1293-R1292))*((U1288)-R1292))*J1276),2),ROUND(IF(V1287&lt;(SUM(S1277:S1287)),IF((V1288)&gt;(SUM(S1277:S1288)),(((SUM(S1277:S1288))-(V1288-C1287))*J1276)+((U1288-C1287)*J1276),U1288*J1276),IF(V1288&gt;(SUM(S1277:S1288)),S1288*J1276,U1288*J1276)),2)))</f>
        <v>0</v>
      </c>
      <c r="K1288" s="64">
        <f>IF(B1288=0,0,IF(AND(H1268="ja",((U1288)&lt;R1293)),ROUND(((R1295*R1292+((R1293/(R1293-R1292))-(R1292/(R1293-R1292))*R1295)*((U1288)-R1292))*(K1276*2))-(((R1293/(R1293-R1292))*((U1288)-R1292))*K1276),2),ROUND(IF(V1287&lt;(SUM(R1277:R1287)),IF((V1288)&gt;(SUM(R1277:R1288)),(((SUM(R1277:R1288))-(V1288-C1287))*K1276)+((U1288-C1287)*K1276),U1288*K1276),IF(V1288&gt;(SUM(R1277:R1288)),R1288*K1276,U1288*K1276)),2)))</f>
        <v>0</v>
      </c>
      <c r="L1288" s="64">
        <f>IF(B1288=0,0,IF(AND(H1268="ja",((U1288-C1288)&lt;R1293)),ROUND(((R1295*R1292+((R1293/(R1293-R1292))-(R1292/(R1293-R1292))*R1295)*((U1288-C1288)-R1292))*(L1276)),2),ROUND(IF(SUM(B1277:F1287)&lt;(SUM(S1277:S1287)),IF((SUM(B1277:F1288))&gt;(SUM(S1277:S1288)),(((SUM(S1277:S1288))-(SUM(B1277:F1288)-C1288))*L1276)+((SUM(B1288:F1288)-C1288)*L1276),(SUM(B1288:F1288)-C1288)*L1276),IF(SUM(B1277:F1288)&gt;(SUM(S1277:S1288)),S1288*L1276,SUM(B1288:F1288)*L1276)),2)))</f>
        <v>0</v>
      </c>
      <c r="M1288" s="64">
        <f>IF(B1288=0,0,IF(AND(H1268="ja",((U1288-C1288)&lt;R1293)),ROUND(((R1295*R1292+((R1293/(R1293-R1292))-(R1292/(R1293-R1292))*R1295)*((U1288-C1288)-R1292))*(M1276)),2),ROUND(IF(SUM(B1277:F1287)&lt;(SUM(S1277:S1287)),IF((SUM(B1277:F1288))&gt;(SUM(S1277:S1288)),(((SUM(S1277:S1288))-(SUM(B1277:F1288)-C1288))*M1276)+((SUM(B1288:F1288)-C1288)*M1276),(SUM(B1288:F1288)-C1288)*M1276),IF(SUM(B1277:F1288)&gt;(SUM(S1277:S1288)),S1288*M1276,SUM(B1288:F1288)*M1276)),2)))</f>
        <v>0</v>
      </c>
      <c r="N1288" s="64">
        <f>IF(B1288=0,0,IF(AND(H1268="ja",((U1288)&lt;R1293)),ROUND(((R1295*R1292+((R1293/(R1293-R1292))-(R1292/(R1293-R1292))*R1295)*((U1288)-R1292))*(N1276)),2),ROUND(IF(SUM(B1277:F1287)&lt;(SUM(S1277:S1287)),IF((SUM(B1277:F1288))&gt;(SUM(S1277:S1288)),(((SUM(S1277:S1288))-(SUM(B1277:F1288)-C1287))*N1276)+((SUM(B1288:F1288)-C1287)*N1276),SUM(B1288:F1288)*N1276),IF(SUM(B1277:F1288)&gt;(SUM(S1277:S1288)),S1288*N1276,SUM(B1288:F1288)*N1276)),2)))</f>
        <v>0</v>
      </c>
      <c r="O1288" s="21">
        <f>ROUND(SUM(B1288+C1288+F1288)*O1276,2)</f>
        <v>0</v>
      </c>
      <c r="P1288" s="25">
        <f t="shared" si="209"/>
        <v>0</v>
      </c>
      <c r="Q1288" s="11"/>
      <c r="R1288" s="140">
        <f>ROUND(IF(M1255="",R1271,R1271/M1255*P1265),2)</f>
        <v>5175</v>
      </c>
      <c r="S1288" s="140">
        <f>ROUND(IF(M1255="",R1272,R1272/M1255*P1265),2)</f>
        <v>7450</v>
      </c>
      <c r="U1288" s="950">
        <f t="shared" si="210"/>
        <v>0</v>
      </c>
      <c r="V1288" s="950">
        <f>SUM(B1277:F1288)</f>
        <v>0</v>
      </c>
    </row>
    <row r="1289" spans="1:24" s="1" customFormat="1" ht="15" customHeight="1" x14ac:dyDescent="0.2">
      <c r="A1289" s="2" t="s">
        <v>1</v>
      </c>
      <c r="B1289" s="25">
        <f t="shared" ref="B1289:G1289" si="211">SUM(B1277:B1288)</f>
        <v>0</v>
      </c>
      <c r="C1289" s="25">
        <f t="shared" si="211"/>
        <v>0</v>
      </c>
      <c r="D1289" s="25">
        <f t="shared" si="211"/>
        <v>0</v>
      </c>
      <c r="E1289" s="25">
        <f t="shared" si="211"/>
        <v>0</v>
      </c>
      <c r="F1289" s="25">
        <f t="shared" si="211"/>
        <v>0</v>
      </c>
      <c r="G1289" s="25">
        <f t="shared" si="211"/>
        <v>0</v>
      </c>
      <c r="H1289" s="1309">
        <f>SUM(H1277:N1288)</f>
        <v>0</v>
      </c>
      <c r="I1289" s="1310"/>
      <c r="J1289" s="1310"/>
      <c r="K1289" s="1310"/>
      <c r="L1289" s="1310"/>
      <c r="M1289" s="1310"/>
      <c r="N1289" s="1311"/>
      <c r="O1289" s="25">
        <f>SUM(O1277:O1288)</f>
        <v>0</v>
      </c>
      <c r="P1289" s="25">
        <f>SUM(P1277:P1288)</f>
        <v>0</v>
      </c>
    </row>
    <row r="1290" spans="1:24" s="1" customFormat="1" ht="12" customHeight="1" x14ac:dyDescent="0.2"/>
    <row r="1291" spans="1:24" s="1" customFormat="1" ht="14.25" customHeight="1" x14ac:dyDescent="0.2">
      <c r="B1291" s="906"/>
      <c r="H1291" s="905"/>
      <c r="I1291" s="62"/>
      <c r="J1291" s="914" t="s">
        <v>123</v>
      </c>
      <c r="L1291" s="900" t="s">
        <v>124</v>
      </c>
      <c r="M1291" s="974" t="str">
        <f>IF(IF(G1289=0,"",'päd.Personal - Leitung'!$M$43)=0,"",IF(G1289=0,"",'päd.Personal - Leitung'!$M$43))</f>
        <v/>
      </c>
      <c r="N1291" s="902" t="s">
        <v>125</v>
      </c>
      <c r="O1291" s="963" t="str">
        <f>IF(IF(G1289=0,"",'päd.Personal - Leitung'!$O$43)=0,"",IF(G1289=0,"",'päd.Personal - Leitung'!$O$43))</f>
        <v/>
      </c>
      <c r="P1291" s="25">
        <f>ROUND(IF(M1291="",0,G1289*M1291*O1291/1000),2)</f>
        <v>0</v>
      </c>
      <c r="Q1291" s="937"/>
      <c r="R1291" s="938">
        <v>2025</v>
      </c>
      <c r="S1291" s="939"/>
    </row>
    <row r="1292" spans="1:24" s="1" customFormat="1" ht="14.25" customHeight="1" x14ac:dyDescent="0.2">
      <c r="H1292" s="907"/>
      <c r="I1292" s="42"/>
      <c r="M1292" s="915" t="s">
        <v>129</v>
      </c>
      <c r="N1292" s="80" t="s">
        <v>125</v>
      </c>
      <c r="O1292" s="75" t="str">
        <f>IF(IF(G1289=0,"",'päd.Personal - Leitung'!$O$44)=0,"",IF(G1289=0,"",'päd.Personal - Leitung'!$O$44))</f>
        <v/>
      </c>
      <c r="P1292" s="25">
        <f>ROUND(IF(O1292="",0,G1289*O1292/1000),2)</f>
        <v>0</v>
      </c>
      <c r="Q1292" s="942" t="s">
        <v>737</v>
      </c>
      <c r="R1292" s="141">
        <f>'päd.Personal - Leitung'!$R$44</f>
        <v>556</v>
      </c>
      <c r="S1292" s="955">
        <f>'päd.Personal - Leitung'!$S$44</f>
        <v>12.82</v>
      </c>
    </row>
    <row r="1293" spans="1:24" s="1" customFormat="1" ht="14.25" customHeight="1" x14ac:dyDescent="0.2">
      <c r="H1293" s="912" t="s">
        <v>126</v>
      </c>
      <c r="I1293" s="1013" t="s">
        <v>127</v>
      </c>
      <c r="J1293" s="975" t="str">
        <f>IF(IF(G1289=0,"",'päd.Personal - Leitung'!$J$45)=0,"",IF(G1289=0,"",'päd.Personal - Leitung'!$J$45))</f>
        <v/>
      </c>
      <c r="K1293" s="902" t="s">
        <v>128</v>
      </c>
      <c r="L1293" s="964" t="str">
        <f>IF(IF(G1289=0,"",'päd.Personal - Leitung'!$L$45)=0,"",IF(G1289=0,"",'päd.Personal - Leitung'!$L$45))</f>
        <v/>
      </c>
      <c r="M1293" s="16"/>
      <c r="N1293" s="900" t="s">
        <v>132</v>
      </c>
      <c r="O1293" s="965" t="str">
        <f>IF(IF(G1289=0,"",'päd.Personal - Leitung'!$O$45)=0,"",IF(G1289=0,"",'päd.Personal - Leitung'!$O$45))</f>
        <v/>
      </c>
      <c r="P1293" s="25">
        <f>ROUND(IF(J1293="",0,(J1293*L1293/O1293)/M1257*M1258),2)</f>
        <v>0</v>
      </c>
      <c r="Q1293" s="942" t="s">
        <v>738</v>
      </c>
      <c r="R1293" s="140">
        <f>'päd.Personal - Leitung'!$R$45</f>
        <v>2000</v>
      </c>
      <c r="S1293" s="939"/>
    </row>
    <row r="1294" spans="1:24" s="1" customFormat="1" ht="14.25" customHeight="1" x14ac:dyDescent="0.2">
      <c r="D1294" s="16"/>
      <c r="I1294" s="16"/>
      <c r="J1294" s="16"/>
      <c r="K1294" s="63"/>
      <c r="L1294" s="67"/>
      <c r="M1294" s="915" t="s">
        <v>130</v>
      </c>
      <c r="N1294" s="80" t="s">
        <v>131</v>
      </c>
      <c r="O1294" s="904">
        <f>IF(IF(G1289="",0,'päd.Personal - Leitung'!$O$94)=0,0,IF(G1289="",0,'päd.Personal - Leitung'!$O$94))</f>
        <v>0</v>
      </c>
      <c r="P1294" s="21">
        <f>ROUND(IF(G1289=0,0,O1294/M1255*M1256),2)</f>
        <v>0</v>
      </c>
      <c r="Q1294" s="942" t="s">
        <v>740</v>
      </c>
      <c r="R1294" s="956">
        <f>'päd.Personal - Leitung'!$R$46</f>
        <v>0.40900000000000003</v>
      </c>
    </row>
    <row r="1295" spans="1:24" s="1" customFormat="1" ht="14.25" customHeight="1" x14ac:dyDescent="0.2">
      <c r="A1295" s="16"/>
      <c r="B1295" s="16"/>
      <c r="I1295" s="905"/>
      <c r="J1295" s="961" t="s">
        <v>176</v>
      </c>
      <c r="K1295" s="1312" t="str">
        <f>IF($K$47="","",$K$47)</f>
        <v/>
      </c>
      <c r="L1295" s="1312"/>
      <c r="M1295" s="1312"/>
      <c r="N1295" s="80" t="s">
        <v>131</v>
      </c>
      <c r="O1295" s="904">
        <f>IF(IF(G1289="",0,'päd.Personal - Leitung'!$O$95)=0,0,IF(G1289="",0,'päd.Personal - Leitung'!$O$95))</f>
        <v>0</v>
      </c>
      <c r="P1295" s="21">
        <f>ROUND(IF(G1289=0,0,O1295/M1255*M1256),2)</f>
        <v>0</v>
      </c>
      <c r="Q1295" s="942" t="s">
        <v>739</v>
      </c>
      <c r="R1295" s="940">
        <f>'päd.Personal - Leitung'!$R$47</f>
        <v>0.68459999999999999</v>
      </c>
      <c r="S1295" s="957">
        <f>'päd.Personal - Leitung'!$S$47</f>
        <v>0.28000000000000003</v>
      </c>
    </row>
    <row r="1296" spans="1:24" s="1" customFormat="1" ht="14.25" customHeight="1" x14ac:dyDescent="0.2">
      <c r="A1296" s="908"/>
      <c r="B1296" s="908"/>
      <c r="C1296" s="1013"/>
      <c r="D1296" s="1013"/>
      <c r="I1296" s="913"/>
      <c r="J1296" s="913"/>
      <c r="K1296" s="916"/>
      <c r="L1296" s="27"/>
      <c r="M1296" s="27"/>
      <c r="N1296" s="27"/>
      <c r="O1296" s="26" t="s">
        <v>0</v>
      </c>
      <c r="P1296" s="25">
        <f>P1289+SUM(P1291:P1295)</f>
        <v>0</v>
      </c>
    </row>
    <row r="1297" spans="1:19" s="10" customFormat="1" ht="13.5" customHeight="1" x14ac:dyDescent="0.2">
      <c r="A1297" s="1321" t="s">
        <v>17</v>
      </c>
      <c r="B1297" s="1321"/>
      <c r="C1297" s="1321"/>
      <c r="D1297" s="1320" t="str">
        <f>IF('päd.Personal - Leitung'!$D$1="","",'päd.Personal - Leitung'!$D$1)</f>
        <v/>
      </c>
      <c r="E1297" s="1320"/>
      <c r="F1297" s="1320"/>
      <c r="G1297" s="1320"/>
      <c r="H1297" s="1320"/>
      <c r="I1297" s="1320"/>
      <c r="J1297" s="1320"/>
      <c r="K1297" s="1320"/>
      <c r="L1297" s="1320"/>
      <c r="M1297" s="1320"/>
      <c r="N1297" s="1320"/>
    </row>
    <row r="1298" spans="1:19" s="10" customFormat="1" ht="15" customHeight="1" x14ac:dyDescent="0.2">
      <c r="A1298" s="1321" t="s">
        <v>16</v>
      </c>
      <c r="B1298" s="1321"/>
      <c r="C1298" s="1321" t="s">
        <v>14</v>
      </c>
      <c r="D1298" s="1320" t="str">
        <f>IF('päd.Personal - Leitung'!$D$2="","",'päd.Personal - Leitung'!$D$2)</f>
        <v/>
      </c>
      <c r="E1298" s="1320"/>
      <c r="F1298" s="1320"/>
      <c r="G1298" s="1320"/>
      <c r="H1298" s="1320"/>
      <c r="I1298" s="1320"/>
      <c r="J1298" s="1320"/>
      <c r="K1298" s="1320"/>
      <c r="L1298" s="1320"/>
      <c r="M1298" s="1320"/>
      <c r="N1298" s="1320"/>
    </row>
    <row r="1299" spans="1:19" s="10" customFormat="1" ht="15" customHeight="1" x14ac:dyDescent="0.2">
      <c r="A1299" s="1321" t="s">
        <v>15</v>
      </c>
      <c r="B1299" s="1321"/>
      <c r="C1299" s="1321" t="s">
        <v>14</v>
      </c>
      <c r="D1299" s="1320" t="str">
        <f>IF('päd.Personal - Leitung'!$D$3="","",'päd.Personal - Leitung'!$D$3)</f>
        <v/>
      </c>
      <c r="E1299" s="1320"/>
      <c r="F1299" s="1320"/>
      <c r="G1299" s="1320"/>
      <c r="H1299" s="1320"/>
      <c r="I1299" s="1320"/>
      <c r="J1299" s="1320"/>
      <c r="K1299" s="1321" t="s">
        <v>100</v>
      </c>
      <c r="L1299" s="1321"/>
      <c r="M1299" s="1321"/>
      <c r="N1299" s="38" t="str">
        <f>IF('päd.Personal - Leitung'!$N$3="","",'päd.Personal - Leitung'!$N$3)</f>
        <v/>
      </c>
    </row>
    <row r="1300" spans="1:19" s="923" customFormat="1" ht="7.5" customHeight="1" x14ac:dyDescent="0.15">
      <c r="A1300" s="1353"/>
      <c r="B1300" s="1353"/>
      <c r="C1300" s="1353"/>
      <c r="D1300" s="1354"/>
      <c r="E1300" s="1354"/>
      <c r="F1300" s="1354"/>
      <c r="G1300" s="1354"/>
      <c r="H1300" s="1354"/>
      <c r="I1300" s="1354"/>
      <c r="J1300" s="1354"/>
      <c r="K1300" s="922"/>
      <c r="L1300" s="922"/>
      <c r="M1300" s="922"/>
      <c r="N1300" s="922"/>
      <c r="O1300" s="922"/>
      <c r="P1300" s="922"/>
    </row>
    <row r="1301" spans="1:19" s="13" customFormat="1" ht="13.5" customHeight="1" x14ac:dyDescent="0.2">
      <c r="A1301" s="1355" t="s">
        <v>151</v>
      </c>
      <c r="B1301" s="1355"/>
      <c r="C1301" s="1355"/>
      <c r="D1301" s="1355"/>
      <c r="E1301" s="1355"/>
      <c r="F1301" s="1355"/>
      <c r="G1301" s="1355"/>
      <c r="H1301" s="1355"/>
      <c r="I1301" s="1355"/>
      <c r="J1301" s="1355"/>
      <c r="K1301" s="7"/>
      <c r="L1301" s="7"/>
      <c r="M1301" s="7"/>
      <c r="N1301" s="52"/>
      <c r="O1301" s="138">
        <f>'päd.Personal - Leitung'!$O$5</f>
        <v>2025</v>
      </c>
      <c r="P1301" s="52" t="s">
        <v>140</v>
      </c>
    </row>
    <row r="1302" spans="1:19" s="8" customFormat="1" ht="13.5" customHeight="1" x14ac:dyDescent="0.25">
      <c r="B1302" s="29"/>
      <c r="C1302" s="29"/>
      <c r="D1302" s="3" t="s">
        <v>60</v>
      </c>
      <c r="E1302" s="28"/>
      <c r="F1302" s="28"/>
      <c r="G1302" s="28"/>
      <c r="H1302" s="28"/>
      <c r="I1302" s="24"/>
      <c r="K1302" s="1327" t="s">
        <v>13</v>
      </c>
      <c r="L1302" s="1327"/>
      <c r="M1302" s="131"/>
      <c r="O1302" s="928" t="str">
        <f>A1325</f>
        <v>Jan 2025</v>
      </c>
      <c r="P1302" s="1402">
        <f>IF(M1304="","",M1304)</f>
        <v>0</v>
      </c>
    </row>
    <row r="1303" spans="1:19" s="5" customFormat="1" ht="13.5" customHeight="1" x14ac:dyDescent="0.25">
      <c r="A1303" s="1328" t="s">
        <v>754</v>
      </c>
      <c r="B1303" s="1328"/>
      <c r="C1303" s="1328"/>
      <c r="D1303" s="1345"/>
      <c r="E1303" s="1345"/>
      <c r="F1303" s="1345"/>
      <c r="G1303" s="1345"/>
      <c r="H1303" s="1345"/>
      <c r="I1303" s="1345"/>
      <c r="K1303" s="1327" t="s">
        <v>101</v>
      </c>
      <c r="L1303" s="1327"/>
      <c r="M1303" s="101"/>
      <c r="O1303" s="928" t="str">
        <f t="shared" ref="O1303:O1313" si="212">A1326</f>
        <v>Feb 2025</v>
      </c>
      <c r="P1303" s="1403">
        <f t="shared" ref="P1303:P1313" si="213">IF(P1302="","",P1302)</f>
        <v>0</v>
      </c>
    </row>
    <row r="1304" spans="1:19" s="1" customFormat="1" ht="13.5" customHeight="1" x14ac:dyDescent="0.2">
      <c r="A1304" s="1328" t="s">
        <v>12</v>
      </c>
      <c r="B1304" s="1328"/>
      <c r="C1304" s="1328"/>
      <c r="D1304" s="1345"/>
      <c r="E1304" s="1345"/>
      <c r="F1304" s="1345"/>
      <c r="G1304" s="1345"/>
      <c r="H1304" s="1345"/>
      <c r="I1304" s="1345"/>
      <c r="K1304" s="1327" t="s">
        <v>149</v>
      </c>
      <c r="L1304" s="1327"/>
      <c r="M1304" s="101">
        <f>IF((M1305+M1306)&gt;M1303,0,M1303-M1305-M1306)</f>
        <v>0</v>
      </c>
      <c r="O1304" s="928" t="str">
        <f t="shared" si="212"/>
        <v>Mrz 2025</v>
      </c>
      <c r="P1304" s="1403">
        <f t="shared" si="213"/>
        <v>0</v>
      </c>
    </row>
    <row r="1305" spans="1:19" s="1" customFormat="1" ht="13.5" customHeight="1" x14ac:dyDescent="0.2">
      <c r="A1305" s="1328" t="s">
        <v>11</v>
      </c>
      <c r="B1305" s="1328"/>
      <c r="C1305" s="1328"/>
      <c r="D1305" s="1345"/>
      <c r="E1305" s="1345"/>
      <c r="F1305" s="1345"/>
      <c r="G1305" s="1345"/>
      <c r="H1305" s="1345"/>
      <c r="I1305" s="1345"/>
      <c r="K1305" s="1327" t="s">
        <v>150</v>
      </c>
      <c r="L1305" s="1327"/>
      <c r="M1305" s="101"/>
      <c r="O1305" s="928" t="str">
        <f t="shared" si="212"/>
        <v>Apr 2025</v>
      </c>
      <c r="P1305" s="1403">
        <f t="shared" si="213"/>
        <v>0</v>
      </c>
    </row>
    <row r="1306" spans="1:19" s="1" customFormat="1" ht="13.5" customHeight="1" x14ac:dyDescent="0.2">
      <c r="A1306" s="1328" t="s">
        <v>18</v>
      </c>
      <c r="B1306" s="1328"/>
      <c r="C1306" s="1328"/>
      <c r="D1306" s="1345"/>
      <c r="E1306" s="1345"/>
      <c r="F1306" s="1345"/>
      <c r="G1306" s="1345"/>
      <c r="H1306" s="1345"/>
      <c r="I1306" s="1345"/>
      <c r="K1306" s="1327" t="s">
        <v>222</v>
      </c>
      <c r="L1306" s="1327"/>
      <c r="M1306" s="101"/>
      <c r="O1306" s="928" t="str">
        <f t="shared" si="212"/>
        <v>Mai 2025</v>
      </c>
      <c r="P1306" s="1403">
        <f t="shared" si="213"/>
        <v>0</v>
      </c>
    </row>
    <row r="1307" spans="1:19" s="1" customFormat="1" ht="13.5" customHeight="1" x14ac:dyDescent="0.2">
      <c r="B1307" s="6"/>
      <c r="C1307" s="1029" t="s">
        <v>147</v>
      </c>
      <c r="D1307" s="1324"/>
      <c r="E1307" s="1324"/>
      <c r="F1307" s="1359" t="s">
        <v>103</v>
      </c>
      <c r="G1307" s="1359"/>
      <c r="H1307" s="1361"/>
      <c r="I1307" s="1361"/>
      <c r="K1307" s="1327" t="s">
        <v>94</v>
      </c>
      <c r="L1307" s="1327"/>
      <c r="M1307" s="15" t="str">
        <f>IF(IF((COUNTIF(B1325:B1336,"&gt;0"))=0,0,(COUNTIF(B1325:B1336,"&gt;0")))&gt;Grundlagen!$C$26,Grundlagen!$C$26,IF((COUNTIF(B1325:B1336,"&gt;0"))=0,"",(COUNTIF(B1325:B1336,"&gt;0"))))</f>
        <v/>
      </c>
      <c r="O1307" s="928" t="str">
        <f t="shared" si="212"/>
        <v>Jun 2025</v>
      </c>
      <c r="P1307" s="1403">
        <f t="shared" si="213"/>
        <v>0</v>
      </c>
    </row>
    <row r="1308" spans="1:19" s="1" customFormat="1" ht="13.5" customHeight="1" x14ac:dyDescent="0.2">
      <c r="I1308" s="4"/>
      <c r="M1308" s="102" t="str">
        <f>IF((SUM(F1310:F1313))=0,"",IF(P1314&gt;M1304,M1304,IF(M1304="","",IF(M1307="","",P1314))))</f>
        <v/>
      </c>
      <c r="O1308" s="928" t="str">
        <f t="shared" si="212"/>
        <v>Jul 2025</v>
      </c>
      <c r="P1308" s="1403">
        <f t="shared" si="213"/>
        <v>0</v>
      </c>
    </row>
    <row r="1309" spans="1:19" s="46" customFormat="1" ht="13.5" customHeight="1" x14ac:dyDescent="0.2">
      <c r="A1309" s="54" t="s">
        <v>134</v>
      </c>
      <c r="B1309" s="1356" t="s">
        <v>135</v>
      </c>
      <c r="C1309" s="1356"/>
      <c r="D1309" s="55" t="s">
        <v>136</v>
      </c>
      <c r="E1309" s="56" t="s">
        <v>137</v>
      </c>
      <c r="F1309" s="57" t="str">
        <f>CONCATENATE("Entg. ",N1299," h/Wo")</f>
        <v>Entg.  h/Wo</v>
      </c>
      <c r="G1309" s="58" t="s">
        <v>138</v>
      </c>
      <c r="I1309" s="58" t="s">
        <v>139</v>
      </c>
      <c r="K1309" s="970"/>
      <c r="L1309" s="970"/>
      <c r="M1309" s="59"/>
      <c r="N1309" s="968"/>
      <c r="O1309" s="928" t="str">
        <f t="shared" si="212"/>
        <v>Aug 2025</v>
      </c>
      <c r="P1309" s="1403">
        <f t="shared" si="213"/>
        <v>0</v>
      </c>
      <c r="Q1309" s="85"/>
      <c r="R1309" s="85"/>
      <c r="S1309" s="85"/>
    </row>
    <row r="1310" spans="1:19" s="46" customFormat="1" ht="13.5" customHeight="1" x14ac:dyDescent="0.25">
      <c r="A1310" s="48" t="str">
        <f>'päd.Personal - Leitung'!$A$14</f>
        <v>Jan 2025</v>
      </c>
      <c r="B1310" s="1357" t="str">
        <f>IF($D$3="","",$D$3)</f>
        <v/>
      </c>
      <c r="C1310" s="1358"/>
      <c r="D1310" s="132"/>
      <c r="E1310" s="132"/>
      <c r="F1310" s="71"/>
      <c r="G1310" s="50">
        <f>IF(N1299="",0,F1310/N1299/4.348)</f>
        <v>0</v>
      </c>
      <c r="I1310" s="125">
        <f>SUM(J1310:M1310)</f>
        <v>0</v>
      </c>
      <c r="J1310" s="124"/>
      <c r="K1310" s="124"/>
      <c r="L1310" s="124"/>
      <c r="M1310" s="124"/>
      <c r="N1310" s="969"/>
      <c r="O1310" s="928" t="str">
        <f t="shared" si="212"/>
        <v>Sep 2025</v>
      </c>
      <c r="P1310" s="1403">
        <f t="shared" si="213"/>
        <v>0</v>
      </c>
      <c r="Q1310" s="85"/>
      <c r="R1310" s="85"/>
      <c r="S1310" s="85"/>
    </row>
    <row r="1311" spans="1:19" s="46" customFormat="1" ht="13.5" customHeight="1" x14ac:dyDescent="0.25">
      <c r="A1311" s="49"/>
      <c r="B1311" s="1322" t="str">
        <f>IF(A1311="","",B1310)</f>
        <v/>
      </c>
      <c r="C1311" s="1323"/>
      <c r="D1311" s="132"/>
      <c r="E1311" s="132"/>
      <c r="F1311" s="71"/>
      <c r="G1311" s="50">
        <f>IF(N1299="",0,F1311/N1299/4.348)</f>
        <v>0</v>
      </c>
      <c r="I1311" s="125">
        <f t="shared" ref="I1311:I1313" si="214">SUM(J1311:M1311)</f>
        <v>0</v>
      </c>
      <c r="J1311" s="124"/>
      <c r="K1311" s="124"/>
      <c r="L1311" s="124"/>
      <c r="M1311" s="124"/>
      <c r="N1311" s="969"/>
      <c r="O1311" s="928" t="str">
        <f t="shared" si="212"/>
        <v>Okt 2025</v>
      </c>
      <c r="P1311" s="1403">
        <f t="shared" si="213"/>
        <v>0</v>
      </c>
      <c r="Q1311" s="85"/>
      <c r="R1311" s="85"/>
      <c r="S1311" s="85"/>
    </row>
    <row r="1312" spans="1:19" s="46" customFormat="1" ht="13.5" customHeight="1" x14ac:dyDescent="0.25">
      <c r="A1312" s="49"/>
      <c r="B1312" s="1322" t="str">
        <f>IF(A1312="","",B1311)</f>
        <v/>
      </c>
      <c r="C1312" s="1323"/>
      <c r="D1312" s="132"/>
      <c r="E1312" s="132"/>
      <c r="F1312" s="71"/>
      <c r="G1312" s="50">
        <f>IF(N1299="",0,F1312/N1299/4.348)</f>
        <v>0</v>
      </c>
      <c r="I1312" s="125">
        <f t="shared" si="214"/>
        <v>0</v>
      </c>
      <c r="J1312" s="124"/>
      <c r="K1312" s="124"/>
      <c r="L1312" s="124"/>
      <c r="M1312" s="124"/>
      <c r="N1312" s="969"/>
      <c r="O1312" s="928" t="str">
        <f t="shared" si="212"/>
        <v>Nov 2025</v>
      </c>
      <c r="P1312" s="1403">
        <f t="shared" si="213"/>
        <v>0</v>
      </c>
      <c r="Q1312" s="85"/>
      <c r="R1312" s="85"/>
      <c r="S1312" s="85"/>
    </row>
    <row r="1313" spans="1:22" s="46" customFormat="1" ht="13.5" customHeight="1" x14ac:dyDescent="0.25">
      <c r="A1313" s="49"/>
      <c r="B1313" s="1322" t="str">
        <f>IF(A1313="","",B1312)</f>
        <v/>
      </c>
      <c r="C1313" s="1323"/>
      <c r="D1313" s="132"/>
      <c r="E1313" s="132"/>
      <c r="F1313" s="71"/>
      <c r="G1313" s="50">
        <f>IF(N1299="",0,F1313/N1299/4.348)</f>
        <v>0</v>
      </c>
      <c r="I1313" s="125">
        <f t="shared" si="214"/>
        <v>0</v>
      </c>
      <c r="J1313" s="124"/>
      <c r="K1313" s="124"/>
      <c r="L1313" s="124"/>
      <c r="M1313" s="124"/>
      <c r="N1313" s="969"/>
      <c r="O1313" s="928" t="str">
        <f t="shared" si="212"/>
        <v>Dez 2025</v>
      </c>
      <c r="P1313" s="1403">
        <f t="shared" si="213"/>
        <v>0</v>
      </c>
      <c r="Q1313" s="85"/>
      <c r="R1313" s="85"/>
      <c r="S1313" s="85"/>
    </row>
    <row r="1314" spans="1:22" s="46" customFormat="1" ht="13.5" customHeight="1" x14ac:dyDescent="0.25">
      <c r="B1314" s="972"/>
      <c r="C1314" s="972"/>
      <c r="E1314" s="972"/>
      <c r="F1314" s="972"/>
      <c r="I1314" s="930" t="s">
        <v>730</v>
      </c>
      <c r="J1314" s="1060"/>
      <c r="K1314" s="1060"/>
      <c r="L1314" s="1060"/>
      <c r="M1314" s="1060"/>
      <c r="N1314" s="971"/>
      <c r="O1314" s="126" t="s">
        <v>221</v>
      </c>
      <c r="P1314" s="127">
        <f>IF(M1307="",0,((IF(SUMIF(B1325,"&gt;0"),P1302,0))+(IF(SUMIF(B1326,"&gt;0"),P1303,0))+(IF(SUMIF(B1327,"&gt;0"),P1304,0))+(IF(SUMIF(B1328,"&gt;0"),P1305,0))+(IF(SUMIF(B1329,"&gt;0"),P1306,0))+(IF(SUMIF(B1330,"&gt;0"),P1307,0))+(IF(SUMIF(B1331,"&gt;0"),P1308,0))+(IF(SUMIF(B1332,"&gt;0"),P1309,0))+(IF(SUMIF(B1333,"&gt;0"),P1310,0))+(IF(SUMIF(B1334,"&gt;0"),P1311,0))+(IF(SUMIF(B1335,"&gt;0"),P1312,0))+(IF(SUMIF(B1336,"&gt;0"),P1313,0)))/Grundlagen!$C$26)</f>
        <v>0</v>
      </c>
      <c r="Q1314" s="958" t="str">
        <f>CONCATENATE("BBG"," anteilig ",O1316)</f>
        <v>BBG anteilig 2025</v>
      </c>
      <c r="R1314" s="931" t="s">
        <v>659</v>
      </c>
      <c r="S1314" s="931" t="s">
        <v>398</v>
      </c>
      <c r="T1314" s="107"/>
    </row>
    <row r="1315" spans="1:22" s="46" customFormat="1" ht="13.5" customHeight="1" x14ac:dyDescent="0.2">
      <c r="A1315" s="924" t="s">
        <v>732</v>
      </c>
      <c r="D1315" s="55" t="s">
        <v>369</v>
      </c>
      <c r="E1315" s="56" t="s">
        <v>368</v>
      </c>
      <c r="F1315" s="58"/>
      <c r="J1315" s="61"/>
      <c r="Q1315" s="932" t="s">
        <v>144</v>
      </c>
      <c r="R1315" s="140">
        <f>IF(M1304=0,R1319,IF(M1303="",R1319,(SUM(R1325:R1336)/M1307)))</f>
        <v>5175</v>
      </c>
      <c r="S1315" s="933">
        <f>IF(M1304=0,S1319,IF(M1303="",S1319,SUM(R1325:R1336)))</f>
        <v>0</v>
      </c>
      <c r="T1315" s="107"/>
    </row>
    <row r="1316" spans="1:22" s="46" customFormat="1" ht="13.5" customHeight="1" x14ac:dyDescent="0.25">
      <c r="A1316" s="60"/>
      <c r="B1316" s="1314" t="str">
        <f>IF($B$20="","",$B$20)</f>
        <v>Jahressonderzahlung (JSZ)</v>
      </c>
      <c r="C1316" s="1315"/>
      <c r="D1316" s="926"/>
      <c r="E1316" s="929" t="str">
        <f>IF(A1316="","",ROUND((((SUM(B1331:B1333)+SUM(F1331:F1333))/3)*D1316)/Grundlagen!$C$26*M1307,2))</f>
        <v/>
      </c>
      <c r="G1316" s="941" t="s">
        <v>733</v>
      </c>
      <c r="H1316" s="943"/>
      <c r="I1316" s="1316" t="str">
        <f>CONCATENATE(R1339,":"," Übergangsbereich von ",R1340+0.01," €"," bis ",R1341," €")</f>
        <v>2025: Übergangsbereich von 556,01 € bis 2000 €</v>
      </c>
      <c r="J1316" s="1317"/>
      <c r="K1316" s="1317"/>
      <c r="L1316" s="1067"/>
      <c r="M1316" s="1067"/>
      <c r="N1316" s="1068" t="s">
        <v>736</v>
      </c>
      <c r="O1316" s="1069">
        <f>P1316+1</f>
        <v>2025</v>
      </c>
      <c r="P1316" s="1069" t="s">
        <v>721</v>
      </c>
      <c r="Q1316" s="932" t="s">
        <v>145</v>
      </c>
      <c r="R1316" s="140">
        <f>IF(M1304=0,R1320,IF(M1303="",R1320,(SUM(S1325:S1336)/M1307)))</f>
        <v>7450</v>
      </c>
      <c r="S1316" s="933">
        <f>IF(M1304=0,S1320,IF(M1303="",S1320,SUM(S1325:S1336)))</f>
        <v>0</v>
      </c>
      <c r="T1316" s="109"/>
    </row>
    <row r="1317" spans="1:22" s="1" customFormat="1" ht="14.25" customHeight="1" x14ac:dyDescent="0.2">
      <c r="A1317" s="60"/>
      <c r="B1317" s="1314" t="str">
        <f>IF($B$21="","",$B$21)</f>
        <v>Leistungsentgelt (LOB)</v>
      </c>
      <c r="C1317" s="1315"/>
      <c r="D1317" s="926"/>
      <c r="E1317" s="929" t="str">
        <f>IF(A1317="","",ROUND(((B1337+F1337)*D1317)/Grundlagen!$C$26*M1307,2))</f>
        <v/>
      </c>
      <c r="G1317" s="941" t="str">
        <f>IF(OR(H1316="",H1316="nein")=TRUE,"","Faktor (F):")</f>
        <v/>
      </c>
      <c r="H1317" s="949" t="str">
        <f>IF(OR(H1316="",H1316="nein")=TRUE,"",IF(H1316="","",R1343))</f>
        <v/>
      </c>
      <c r="I1317" s="1318" t="str">
        <f>IF(OR(H1316="",H1316="nein")=TRUE,"",IF(H1317="","",CONCATENATE(S1343*100,"%"," / ","(",R1342*100,"%"," Gesamt-SV-Beitragssatz 2024)")))</f>
        <v/>
      </c>
      <c r="J1317" s="1319"/>
      <c r="K1317" s="1319"/>
      <c r="L1317" s="1070"/>
      <c r="M1317" s="1070"/>
      <c r="N1317" s="1071" t="s">
        <v>144</v>
      </c>
      <c r="O1317" s="1072">
        <f>'päd.Personal - Leitung'!$O$21</f>
        <v>5175</v>
      </c>
      <c r="P1317" s="1072">
        <f>'päd.Personal - Leitung'!$P$21</f>
        <v>5175</v>
      </c>
      <c r="Q1317" s="11"/>
      <c r="R1317" s="11"/>
      <c r="S1317" s="11"/>
      <c r="T1317" s="109"/>
    </row>
    <row r="1318" spans="1:22" s="1" customFormat="1" ht="14.25" customHeight="1" x14ac:dyDescent="0.2">
      <c r="C1318" s="925" t="s">
        <v>731</v>
      </c>
      <c r="L1318" s="1070"/>
      <c r="M1318" s="1070"/>
      <c r="N1318" s="1071" t="s">
        <v>145</v>
      </c>
      <c r="O1318" s="1073">
        <f>'päd.Personal - Leitung'!$O$22</f>
        <v>7450</v>
      </c>
      <c r="P1318" s="1073">
        <f>'päd.Personal - Leitung'!$P$22</f>
        <v>7450</v>
      </c>
      <c r="Q1318" s="958" t="str">
        <f>CONCATENATE("BBG"," ",O1316)</f>
        <v>BBG 2025</v>
      </c>
      <c r="R1318" s="11"/>
      <c r="S1318" s="11"/>
      <c r="T1318" s="109"/>
    </row>
    <row r="1319" spans="1:22" s="1" customFormat="1" ht="14.25" customHeight="1" x14ac:dyDescent="0.2">
      <c r="A1319" s="53" t="s">
        <v>141</v>
      </c>
      <c r="B1319" s="46"/>
      <c r="C1319" s="46"/>
      <c r="D1319" s="46"/>
      <c r="E1319" s="46"/>
      <c r="F1319" s="46"/>
      <c r="G1319" s="46"/>
      <c r="H1319" s="46"/>
      <c r="I1319" s="46"/>
      <c r="J1319" s="46"/>
      <c r="K1319" s="46"/>
      <c r="L1319" s="46"/>
      <c r="M1319" s="46"/>
      <c r="N1319" s="46"/>
      <c r="O1319" s="46"/>
      <c r="P1319" s="46"/>
      <c r="Q1319" s="932" t="s">
        <v>144</v>
      </c>
      <c r="R1319" s="141">
        <f>IF($O$21="",0,$O$21)</f>
        <v>5175</v>
      </c>
      <c r="S1319" s="933">
        <f>R1319*IF(M1307="",0,M1307)</f>
        <v>0</v>
      </c>
      <c r="T1319" s="295"/>
    </row>
    <row r="1320" spans="1:22" s="1" customFormat="1" ht="14.25" customHeight="1" x14ac:dyDescent="0.2">
      <c r="A1320" s="1346"/>
      <c r="B1320" s="1348" t="s">
        <v>8</v>
      </c>
      <c r="C1320" s="1349"/>
      <c r="D1320" s="1349"/>
      <c r="E1320" s="1349"/>
      <c r="F1320" s="1349"/>
      <c r="G1320" s="1350"/>
      <c r="H1320" s="1351" t="s">
        <v>113</v>
      </c>
      <c r="I1320" s="1352"/>
      <c r="J1320" s="1352"/>
      <c r="K1320" s="1352"/>
      <c r="L1320" s="1352"/>
      <c r="M1320" s="1352"/>
      <c r="N1320" s="1352"/>
      <c r="O1320" s="30"/>
      <c r="P1320" s="1330" t="s">
        <v>0</v>
      </c>
      <c r="Q1320" s="932" t="s">
        <v>145</v>
      </c>
      <c r="R1320" s="141">
        <f>IF($O$22="",0,$O$22)</f>
        <v>7450</v>
      </c>
      <c r="S1320" s="933">
        <f>R1320*IF(M1307="",0,M1307)</f>
        <v>0</v>
      </c>
      <c r="T1320" s="830"/>
    </row>
    <row r="1321" spans="1:22" s="1" customFormat="1" ht="14.25" customHeight="1" x14ac:dyDescent="0.2">
      <c r="A1321" s="1347"/>
      <c r="B1321" s="1333" t="s">
        <v>111</v>
      </c>
      <c r="C1321" s="1335" t="s">
        <v>743</v>
      </c>
      <c r="D1321" s="1337" t="s">
        <v>226</v>
      </c>
      <c r="E1321" s="1339" t="s">
        <v>133</v>
      </c>
      <c r="F1321" s="1030" t="s">
        <v>6</v>
      </c>
      <c r="G1321" s="1340" t="s">
        <v>5</v>
      </c>
      <c r="H1321" s="1339" t="s">
        <v>119</v>
      </c>
      <c r="I1321" s="1339" t="s">
        <v>4</v>
      </c>
      <c r="J1321" s="1339" t="s">
        <v>3</v>
      </c>
      <c r="K1321" s="1339" t="s">
        <v>2</v>
      </c>
      <c r="L1321" s="1339" t="s">
        <v>114</v>
      </c>
      <c r="M1321" s="1339" t="s">
        <v>115</v>
      </c>
      <c r="N1321" s="1339" t="s">
        <v>116</v>
      </c>
      <c r="O1321" s="1338" t="s">
        <v>109</v>
      </c>
      <c r="P1321" s="1331"/>
      <c r="Q1321" s="456"/>
      <c r="R1321" s="11"/>
      <c r="S1321" s="11"/>
      <c r="T1321" s="621"/>
    </row>
    <row r="1322" spans="1:22" s="1" customFormat="1" ht="14.25" customHeight="1" x14ac:dyDescent="0.2">
      <c r="A1322" s="1347"/>
      <c r="B1322" s="1333"/>
      <c r="C1322" s="1335"/>
      <c r="D1322" s="1338"/>
      <c r="E1322" s="1339"/>
      <c r="F1322" s="1343" t="str">
        <f>I1314</f>
        <v>Zuschläge / Zulagen / o.ä.:</v>
      </c>
      <c r="G1322" s="1340"/>
      <c r="H1322" s="1342" t="s">
        <v>117</v>
      </c>
      <c r="I1322" s="1342"/>
      <c r="J1322" s="1342"/>
      <c r="K1322" s="1342"/>
      <c r="L1322" s="1342"/>
      <c r="M1322" s="1342"/>
      <c r="N1322" s="1342"/>
      <c r="O1322" s="1338"/>
      <c r="P1322" s="1331"/>
      <c r="Q1322" s="456"/>
      <c r="R1322" s="1306" t="str">
        <f>Q1314</f>
        <v>BBG anteilig 2025</v>
      </c>
      <c r="S1322" s="1306"/>
      <c r="T1322" s="829"/>
    </row>
    <row r="1323" spans="1:22" s="1" customFormat="1" ht="14.25" customHeight="1" x14ac:dyDescent="0.2">
      <c r="A1323" s="1347"/>
      <c r="B1323" s="1333"/>
      <c r="C1323" s="1335"/>
      <c r="D1323" s="1338"/>
      <c r="E1323" s="1339"/>
      <c r="F1323" s="1343"/>
      <c r="G1323" s="1340"/>
      <c r="H1323" s="39" t="str">
        <f>'päd.Personal - Leitung'!$H$27</f>
        <v>(7,30% + Zusatz)</v>
      </c>
      <c r="I1323" s="39" t="str">
        <f>'päd.Personal - Leitung'!$I$27</f>
        <v xml:space="preserve"> (2024: 9,30%)</v>
      </c>
      <c r="J1323" s="39" t="str">
        <f>'päd.Personal - Leitung'!$J$27</f>
        <v>(2024: 1,30%)</v>
      </c>
      <c r="K1323" s="39" t="str">
        <f>'päd.Personal - Leitung'!$K$27</f>
        <v>(2024: 1,700%)</v>
      </c>
      <c r="L1323" s="39"/>
      <c r="M1323" s="39"/>
      <c r="N1323" s="39" t="str">
        <f>'päd.Personal - Leitung'!$N$27</f>
        <v>(2024: 0,06%)</v>
      </c>
      <c r="O1323" s="1338"/>
      <c r="P1323" s="1331"/>
      <c r="Q1323" s="456"/>
      <c r="R1323" s="1307" t="s">
        <v>659</v>
      </c>
      <c r="S1323" s="1307"/>
      <c r="T1323" s="829"/>
      <c r="U1323" s="1308" t="s">
        <v>1</v>
      </c>
      <c r="V1323" s="1308" t="s">
        <v>741</v>
      </c>
    </row>
    <row r="1324" spans="1:22" s="1" customFormat="1" x14ac:dyDescent="0.2">
      <c r="A1324" s="1347"/>
      <c r="B1324" s="1334"/>
      <c r="C1324" s="1336"/>
      <c r="D1324" s="45"/>
      <c r="E1324" s="45"/>
      <c r="F1324" s="1344"/>
      <c r="G1324" s="1341"/>
      <c r="H1324" s="74"/>
      <c r="I1324" s="99">
        <f>'päd.Personal - Leitung'!$I$28</f>
        <v>0</v>
      </c>
      <c r="J1324" s="99">
        <f>'päd.Personal - Leitung'!$J$28</f>
        <v>0</v>
      </c>
      <c r="K1324" s="40">
        <f>'päd.Personal - Leitung'!$K$28</f>
        <v>0</v>
      </c>
      <c r="L1324" s="19"/>
      <c r="M1324" s="19"/>
      <c r="N1324" s="99">
        <f>'päd.Personal - Leitung'!$N$28</f>
        <v>0</v>
      </c>
      <c r="O1324" s="23"/>
      <c r="P1324" s="1332"/>
      <c r="Q1324" s="456"/>
      <c r="R1324" s="935" t="s">
        <v>144</v>
      </c>
      <c r="S1324" s="935" t="s">
        <v>145</v>
      </c>
      <c r="T1324" s="829"/>
      <c r="U1324" s="1308"/>
      <c r="V1324" s="1308"/>
    </row>
    <row r="1325" spans="1:22" s="1" customFormat="1" x14ac:dyDescent="0.2">
      <c r="A1325" s="76" t="str">
        <f>CONCATENATE("Jan ",O1301)</f>
        <v>Jan 2025</v>
      </c>
      <c r="B1325" s="22">
        <f>ROUND(IF(P1302=0,0,(LOOKUP(2,1/(A1310:A1313=A1325),G1310:G1313))*P1302*4.348),2)</f>
        <v>0</v>
      </c>
      <c r="C1325" s="21">
        <f>ROUND(IFERROR((LOOKUP(2,1/(A1316=A1325),E1316)),0)+IFERROR((LOOKUP(2,1/(A1317=A1325),E1317)),0),2)</f>
        <v>0</v>
      </c>
      <c r="D1325" s="21">
        <f>ROUND(IF(B1325=0,0,D1324/M1303*P1302),2)</f>
        <v>0</v>
      </c>
      <c r="E1325" s="21">
        <f>ROUND(IF(B1325=0,0,E1324/N1299*P1302),2)</f>
        <v>0</v>
      </c>
      <c r="F1325" s="22">
        <f>ROUND(IF(P1302=0,0,(LOOKUP(2,1/(A1310:A1313=A1325),I1310:I1313))/N1299*P1302),2)</f>
        <v>0</v>
      </c>
      <c r="G1325" s="25">
        <f t="shared" ref="G1325:G1336" si="215">SUM(B1325+C1325+E1325+F1325)</f>
        <v>0</v>
      </c>
      <c r="H1325" s="64">
        <f>IF(B1325=0,0,IF(AND(H1316="ja",((U1325)&lt;R1341)),ROUND(((R1343*R1340+((R1341/(R1341-R1340))-(R1340/(R1341-R1340))*R1343)*((U1325)-R1340))*(H1324*2))-(((R1341/(R1341-R1340))*((U1325)-R1340))*H1324),2),ROUND(IF((U1325)&gt;R1325,R1325*H1324,U1325*H1324),2)))</f>
        <v>0</v>
      </c>
      <c r="I1325" s="64">
        <f>IF(B1325=0,0,IF(AND(H1316="ja",((U1325)&lt;R1341)),ROUND(((R1343*R1340+((R1341/(R1341-R1340))-(R1340/(R1341-R1340))*R1343)*((U1325)-R1340))*(I1324*2))-(((R1341/(R1341-R1340))*((U1325)-R1340))*I1324),2),ROUND(IF((U1325)&gt;S1325,S1325*I1324,U1325*I1324),2)))</f>
        <v>0</v>
      </c>
      <c r="J1325" s="64">
        <f>IF(B1325=0,0,IF(AND(H1316="ja",((U1325)&lt;R1341)),ROUND(((R1343*R1340+((R1341/(R1341-R1340))-(R1340/(R1341-R1340))*R1343)*((U1325)-R1340))*(J1324*2))-(((R1341/(R1341-R1340))*((U1325)-R1340))*J1324),2),ROUND(IF((U1325)&gt;S1325,S1325*J1324,U1325*J1324),2)))</f>
        <v>0</v>
      </c>
      <c r="K1325" s="64">
        <f>IF(B1325=0,0,IF(AND(H1316="ja",((U1325)&lt;R1341)),ROUND(((R1343*R1340+((R1341/(R1341-R1340))-(R1340/(R1341-R1340))*R1343)*((U1325)-R1340))*(K1324*2))-(((R1341/(R1341-R1340))*((U1325)-R1340))*K1324),2),ROUND(IF((U1325)&gt;R1325,R1325*K1324,U1325*K1324),2)))</f>
        <v>0</v>
      </c>
      <c r="L1325" s="64">
        <f>IF(B1325=0,0,IF(AND(H1316="ja",((U1325-C1325)&lt;R1341)),ROUND(((R1343*R1340+((R1341/(R1341-R1340))-(R1340/(R1341-R1340))*R1343)*((U1325-C1325)-R1340))*(L1324)),2),ROUND(IF((SUM(B1325:F1325))&gt;S1325,S1325*L1324,(SUM(B1325:F1325)-C1325)*L1324),2)))</f>
        <v>0</v>
      </c>
      <c r="M1325" s="64">
        <f>IF(B1325=0,0,IF(AND(H1316="ja",((U1325-C1325)&lt;R1341)),ROUND(((R1343*R1340+((R1341/(R1341-R1340))-(R1340/(R1341-R1340))*R1343)*((U1325-C1325)-R1340))*(M1324)),2),ROUND(IF((SUM(B1325:F1325))&gt;S1325,S1325*M1324,(SUM(B1325:F1325)-C1325)*M1324),2)))</f>
        <v>0</v>
      </c>
      <c r="N1325" s="64">
        <f>IF(B1325=0,0,IF(AND(H1316="ja",((U1325)&lt;R1341)),ROUND(((R1343*R1340+((R1341/(R1341-R1340))-(R1340/(R1341-R1340))*R1343)*((U1325)-R1340))*(N1324)),2),ROUND(IF((SUM(B1325:F1325))&gt;S1325,S1325*N1324,SUM(B1325:F1325)*N1324),2)))</f>
        <v>0</v>
      </c>
      <c r="O1325" s="21">
        <f>ROUND(SUM(B1325+C1325+F1325)*O1324,2)</f>
        <v>0</v>
      </c>
      <c r="P1325" s="25">
        <f>SUM(G1325:O1325)</f>
        <v>0</v>
      </c>
      <c r="Q1325" s="456"/>
      <c r="R1325" s="140">
        <f>ROUND(IF(M1303="",R1319,R1319/M1303*P1302),2)</f>
        <v>5175</v>
      </c>
      <c r="S1325" s="140">
        <f>ROUND(IF(M1303="",R1320,R1320/M1303*P1302),2)</f>
        <v>7450</v>
      </c>
      <c r="U1325" s="950">
        <f>SUM(B1325:F1325)</f>
        <v>0</v>
      </c>
      <c r="V1325" s="950">
        <f>SUM(B1325:F1325)</f>
        <v>0</v>
      </c>
    </row>
    <row r="1326" spans="1:22" s="1" customFormat="1" x14ac:dyDescent="0.2">
      <c r="A1326" s="76" t="str">
        <f>CONCATENATE("Feb ",O1301)</f>
        <v>Feb 2025</v>
      </c>
      <c r="B1326" s="22">
        <f>ROUND(IF(P1303=0,0,IFERROR(((LOOKUP(2,1/(A1310:A1313=A1326),G1310:G1313))*P1303*4.348),B1325/P1302*P1303)),2)</f>
        <v>0</v>
      </c>
      <c r="C1326" s="21">
        <f>ROUND(IFERROR((LOOKUP(2,1/(A1316=A1326),E1316)),0)+IFERROR((LOOKUP(2,1/(A1317=A1326),E1317)),0),2)</f>
        <v>0</v>
      </c>
      <c r="D1326" s="21">
        <f>ROUND(IF(B1326=0,0,D1324/M1303*P1303),2)</f>
        <v>0</v>
      </c>
      <c r="E1326" s="21">
        <f>ROUND(IF(B1326=0,0,E1324/N1299*P1303),2)</f>
        <v>0</v>
      </c>
      <c r="F1326" s="22">
        <f>ROUND(IF(P1303=0,0,IFERROR(((LOOKUP(2,1/(A1310:A1313=A1326),I1310:I1313))/N1299*P1303),F1325/P1302*P1303)),2)</f>
        <v>0</v>
      </c>
      <c r="G1326" s="25">
        <f t="shared" si="215"/>
        <v>0</v>
      </c>
      <c r="H1326" s="64">
        <f>IF(B1326=0,0,IF(AND(H1316="ja",((U1326)&lt;R1341)),ROUND(((R1343*R1340+((R1341/(R1341-R1340))-(R1340/(R1341-R1340))*R1343)*((U1326)-R1340))*(H1324*2))-(((R1341/(R1341-R1340))*((U1326)-R1340))*H1324),2),ROUND(IF(U1325&lt;(R1325),IF((V1326)&gt;(SUM(R1325:R1326)),(((SUM(R1325:R1326))-(V1326-C1325))*H1324)+((U1326-C1325)*H1324),U1326*H1324),IF(V1326&gt;(SUM(R1325:R1326)),R1326*H1324,U1326*H1324)),2)))</f>
        <v>0</v>
      </c>
      <c r="I1326" s="64">
        <f>IF(B1326=0,0,IF(AND(H1316="ja",((U1326)&lt;R1341)),ROUND(((R1343*R1340+((R1341/(R1341-R1340))-(R1340/(R1341-R1340))*R1343)*((U1326)-R1340))*(I1324*2))-(((R1341/(R1341-R1340))*((U1326)-R1340))*I1324),2),ROUND(IF(U1325&lt;(S1325),IF((V1326)&gt;(SUM(S1325:S1326)),(((SUM(S1325:S1326))-(V1326-C1325))*I1324)+((U1326-C1325)*I1324),U1326*I1324),IF(V1326&gt;(SUM(S1325:S1326)),S1326*I1324,U1326*I1324)),2)))</f>
        <v>0</v>
      </c>
      <c r="J1326" s="64">
        <f>IF(B1326=0,0,IF(AND(H1316="ja",((U1326)&lt;R1341)),ROUND(((R1343*R1340+((R1341/(R1341-R1340))-(R1340/(R1341-R1340))*R1343)*((U1326)-R1340))*(J1324*2))-(((R1341/(R1341-R1340))*((U1326)-R1340))*J1324),2),ROUND(IF(U1325&lt;(S1325),IF((V1326)&gt;(SUM(S1325:S1326)),(((SUM(S1325:S1326))-(V1326-C1325))*J1324)+((U1326-C1325)*J1324),U1326*J1324),IF(V1326&gt;(SUM(S1325:S1326)),S1326*J1324,U1326*J1324)),2)))</f>
        <v>0</v>
      </c>
      <c r="K1326" s="64">
        <f>IF(B1326=0,0,IF(AND(H1316="ja",((U1326)&lt;R1341)),ROUND(((R1343*R1340+((R1341/(R1341-R1340))-(R1340/(R1341-R1340))*R1343)*((U1326)-R1340))*(K1324*2))-(((R1341/(R1341-R1340))*((U1326)-R1340))*K1324),2),ROUND(IF(U1325&lt;(R1325),IF((V1326)&gt;(SUM(R1325:R1326)),(((SUM(R1325:R1326))-(V1326-C1325))*K1324)+((U1326-C1325)*K1324),U1326*K1324),IF(V1326&gt;(SUM(R1325:R1326)),R1326*K1324,U1326*K1324)),2)))</f>
        <v>0</v>
      </c>
      <c r="L1326" s="64">
        <f>IF(B1326=0,0,IF(AND(H1316="ja",((U1326-C1326)&lt;R1341)),ROUND(((R1343*R1340+((R1341/(R1341-R1340))-(R1340/(R1341-R1340))*R1343)*((U1326-C1326)-R1340))*(L1324)),2),ROUND(IF(SUM(B1325:F1325)&lt;(S1325),IF((SUM(B1325:F1326))&gt;(SUM(S1325:S1326)),(((SUM(S1325:S1326))-(SUM(B1325:F1326)-C1326))*L1324)+((SUM(B1326:F1326)-C1326)*L1324),(SUM(B1326:F1326)-C1326)*L1324),IF(SUM(B1325:F1326)&gt;(SUM(S1325:S1326)),S1326*L1324,SUM(B1326:F1326)*L1324)),2)))</f>
        <v>0</v>
      </c>
      <c r="M1326" s="64">
        <f>IF(B1326=0,0,IF(AND(H1316="ja",((U1326-C1326)&lt;R1341)),ROUND(((R1343*R1340+((R1341/(R1341-R1340))-(R1340/(R1341-R1340))*R1343)*((U1326-C1326)-R1340))*(M1324)),2),ROUND(IF(SUM(B1325:F1325)&lt;(S1325),IF((SUM(B1325:F1326))&gt;(SUM(S1325:S1326)),(((SUM(S1325:S1326))-(SUM(B1325:F1326)-C1326))*M1324)+((SUM(B1326:F1326)-C1326)*M1324),(SUM(B1326:F1326)-C1326)*M1324),IF(SUM(B1325:F1326)&gt;(SUM(S1325:S1326)),S1326*M1324,SUM(B1326:F1326)*M1324)),2)))</f>
        <v>0</v>
      </c>
      <c r="N1326" s="64">
        <f>IF(B1326=0,0,IF(AND(H1316="ja",((U1326)&lt;R1341)),ROUND(((R1343*R1340+((R1341/(R1341-R1340))-(R1340/(R1341-R1340))*R1343)*((U1326)-R1340))*(N1324)),2),ROUND(IF(SUM(B1325:F1325)&lt;(S1325),IF((SUM(B1325:F1326))&gt;(SUM(S1325:S1326)),(((SUM(S1325:S1326))-(SUM(B1325:F1326)-C1325))*N1324)+((SUM(B1326:F1326)-C1325)*N1324),SUM(B1326:F1326)*N1324),IF(SUM(B1325:F1326)&gt;(SUM(S1325:S1326)),S1326*N1324,SUM(B1326:F1326)*N1324)),2)))</f>
        <v>0</v>
      </c>
      <c r="O1326" s="21">
        <f>ROUND(SUM(B1326+C1326+F1326)*O1324,2)</f>
        <v>0</v>
      </c>
      <c r="P1326" s="25">
        <f t="shared" ref="P1326:P1336" si="216">SUM(G1326:O1326)</f>
        <v>0</v>
      </c>
      <c r="Q1326" s="456"/>
      <c r="R1326" s="140">
        <f>ROUND(IF(M1303="",R1319,R1319/M1303*P1303),2)</f>
        <v>5175</v>
      </c>
      <c r="S1326" s="140">
        <f>ROUND(IF(M1303="",R1320,R1320/M1303*P1303),2)</f>
        <v>7450</v>
      </c>
      <c r="U1326" s="950">
        <f t="shared" ref="U1326:U1336" si="217">SUM(B1326:F1326)</f>
        <v>0</v>
      </c>
      <c r="V1326" s="950">
        <f>SUM(B1325:F1326)</f>
        <v>0</v>
      </c>
    </row>
    <row r="1327" spans="1:22" s="1" customFormat="1" x14ac:dyDescent="0.2">
      <c r="A1327" s="76" t="str">
        <f>CONCATENATE("Mrz ",O1301)</f>
        <v>Mrz 2025</v>
      </c>
      <c r="B1327" s="22">
        <f>ROUND(IF(P1304=0,0,IFERROR(((LOOKUP(2,1/(A1310:A1313=A1327),G1310:G1313))*P1304*4.348),B1326/P1303*P1304)),2)</f>
        <v>0</v>
      </c>
      <c r="C1327" s="21">
        <f>ROUND(IFERROR((LOOKUP(2,1/(A1316=A1327),E1316)),0)+IFERROR((LOOKUP(2,1/(A1317=A1327),E1317)),0),2)</f>
        <v>0</v>
      </c>
      <c r="D1327" s="21">
        <f>ROUND(IF(B1327=0,0,D1324/M1303*P1304),2)</f>
        <v>0</v>
      </c>
      <c r="E1327" s="21">
        <f>ROUND(IF(B1327=0,0,E1324/N1299*P1304),2)</f>
        <v>0</v>
      </c>
      <c r="F1327" s="22">
        <f>ROUND(IF(P1304=0,0,IFERROR(((LOOKUP(2,1/(A1310:A1313=A1327),I1310:I1313))/N1299*P1304),F1326/P1303*P1304)),2)</f>
        <v>0</v>
      </c>
      <c r="G1327" s="25">
        <f t="shared" si="215"/>
        <v>0</v>
      </c>
      <c r="H1327" s="64">
        <f>IF(B1327=0,0,IF(AND(H1316="ja",((U1327)&lt;R1341)),ROUND(((R1343*R1340+((R1341/(R1341-R1340))-(R1340/(R1341-R1340))*R1343)*((U1327)-R1340))*(H1324*2))-(((R1341/(R1341-R1340))*((U1327)-R1340))*H1324),2),ROUND(IF(V1326&lt;(SUM(R1325:R1326)),IF((V1327)&gt;(SUM(R1325:R1327)),(((SUM(R1325:R1327))-(V1327-C1326))*H1324)+((U1327-C1326)*H1324),U1327*H1324),IF(V1327&gt;(SUM(R1325:R1327)),R1327*H1324,U1327*H1324)),2)))</f>
        <v>0</v>
      </c>
      <c r="I1327" s="64">
        <f>IF(B1327=0,0,IF(AND(H1316="ja",((U1327)&lt;R1341)),ROUND(((R1343*R1340+((R1341/(R1341-R1340))-(R1340/(R1341-R1340))*R1343)*((U1327)-R1340))*(I1324*2))-(((R1341/(R1341-R1340))*((U1327)-R1340))*I1324),2),ROUND(IF(V1326&lt;(SUM(S1325:S1326)),IF((V1327)&gt;(SUM(S1325:S1327)),(((SUM(S1325:S1327))-(V1327-C1326))*I1324)+((U1327-C1326)*I1324),U1327*I1324),IF(V1327&gt;(SUM(S1325:S1327)),S1327*I1324,U1327*I1324)),2)))</f>
        <v>0</v>
      </c>
      <c r="J1327" s="64">
        <f>IF(B1327=0,0,IF(AND(H1316="ja",((U1327)&lt;R1341)),ROUND(((R1343*R1340+((R1341/(R1341-R1340))-(R1340/(R1341-R1340))*R1343)*((U1327)-R1340))*(J1324*2))-(((R1341/(R1341-R1340))*((U1327)-R1340))*J1324),2),ROUND(IF(V1326&lt;(SUM(S1325:S1326)),IF((V1327)&gt;(SUM(S1325:S1327)),(((SUM(S1325:S1327))-(V1327-C1326))*J1324)+((U1327-C1326)*J1324),U1327*J1324),IF(V1327&gt;(SUM(S1325:S1327)),S1327*J1324,U1327*J1324)),2)))</f>
        <v>0</v>
      </c>
      <c r="K1327" s="64">
        <f>IF(B1327=0,0,IF(AND(H1316="ja",((U1327)&lt;R1341)),ROUND(((R1343*R1340+((R1341/(R1341-R1340))-(R1340/(R1341-R1340))*R1343)*((U1327)-R1340))*(K1324*2))-(((R1341/(R1341-R1340))*((U1327)-R1340))*K1324),2),ROUND(IF(V1326&lt;(SUM(R1325:R1326)),IF((V1327)&gt;(SUM(R1325:R1327)),(((SUM(R1325:R1327))-(V1327-C1326))*K1324)+((U1327-C1326)*K1324),U1327*K1324),IF(V1327&gt;(SUM(R1325:R1327)),R1327*K1324,U1327*K1324)),2)))</f>
        <v>0</v>
      </c>
      <c r="L1327" s="64">
        <f>IF(B1327=0,0,IF(AND(H1316="ja",((U1327-C1327)&lt;R1341)),ROUND(((R1343*R1340+((R1341/(R1341-R1340))-(R1340/(R1341-R1340))*R1343)*((U1327-C1327)-R1340))*(L1324)),2),ROUND(IF(SUM(B1325:F1326)&lt;(SUM(S1325:S1326)),IF((SUM(B1325:F1327))&gt;(SUM(S1325:S1327)),(((SUM(S1325:S1327))-(SUM(B1325:F1327)-C1327))*L1324)+((SUM(B1327:F1327)-C1327)*L1324),(SUM(B1327:F1327)-C1327)*L1324),IF(SUM(B1325:F1327)&gt;(SUM(S1325:S1327)),S1327*L1324,SUM(B1327:F1327)*L1324)),2)))</f>
        <v>0</v>
      </c>
      <c r="M1327" s="64">
        <f>IF(B1327=0,0,IF(AND(H1316="ja",((U1327-C1327)&lt;R1341)),ROUND(((R1343*R1340+((R1341/(R1341-R1340))-(R1340/(R1341-R1340))*R1343)*((U1327-C1327)-R1340))*(M1324)),2),ROUND(IF(SUM(B1325:F1326)&lt;(SUM(S1325:S1326)),IF((SUM(B1325:F1327))&gt;(SUM(S1325:S1327)),(((SUM(S1325:S1327))-(SUM(B1325:F1327)-C1327))*M1324)+((SUM(B1327:F1327)-C1327)*M1324),(SUM(B1327:F1327)-C1327)*M1324),IF(SUM(B1325:F1327)&gt;(SUM(S1325:S1327)),S1327*M1324,SUM(B1327:F1327)*M1324)),2)))</f>
        <v>0</v>
      </c>
      <c r="N1327" s="64">
        <f>IF(B1327=0,0,IF(AND(H1316="ja",((U1327)&lt;R1341)),ROUND(((R1343*R1340+((R1341/(R1341-R1340))-(R1340/(R1341-R1340))*R1343)*((U1327)-R1340))*(N1324)),2),ROUND(IF(SUM(B1325:F1326)&lt;(SUM(S1325:S1326)),IF((SUM(B1325:F1327))&gt;(SUM(S1325:S1327)),(((SUM(S1325:S1327))-(SUM(B1325:F1327)-C1326))*N1324)+((SUM(B1327:F1327)-C1326)*N1324),SUM(B1327:F1327)*N1324),IF(SUM(B1325:F1327)&gt;(SUM(S1325:S1327)),S1327*N1324,SUM(B1327:F1327)*N1324)),2)))</f>
        <v>0</v>
      </c>
      <c r="O1327" s="21">
        <f>ROUND(SUM(B1327+C1327+F1327)*O1324,2)</f>
        <v>0</v>
      </c>
      <c r="P1327" s="25">
        <f t="shared" si="216"/>
        <v>0</v>
      </c>
      <c r="Q1327" s="456"/>
      <c r="R1327" s="140">
        <f>ROUND(IF(M1303="",R1319,R1319/M1303*P1304),2)</f>
        <v>5175</v>
      </c>
      <c r="S1327" s="140">
        <f>ROUND(IF(M1303="",R1320,R1320/M1303*P1304),2)</f>
        <v>7450</v>
      </c>
      <c r="U1327" s="950">
        <f t="shared" si="217"/>
        <v>0</v>
      </c>
      <c r="V1327" s="950">
        <f>SUM(B1325:F1327)</f>
        <v>0</v>
      </c>
    </row>
    <row r="1328" spans="1:22" s="1" customFormat="1" x14ac:dyDescent="0.2">
      <c r="A1328" s="76" t="str">
        <f>CONCATENATE("Apr ",O1301)</f>
        <v>Apr 2025</v>
      </c>
      <c r="B1328" s="22">
        <f>ROUND(IF(P1305=0,0,IFERROR(((LOOKUP(2,1/(A1310:A1313=A1328),G1310:G1313))*P1305*4.348),B1327/P1304*P1305)),2)</f>
        <v>0</v>
      </c>
      <c r="C1328" s="21">
        <f>ROUND(IFERROR((LOOKUP(2,1/(A1316=A1328),E1316)),0)+IFERROR((LOOKUP(2,1/(A1317=A1328),E1317)),0),2)</f>
        <v>0</v>
      </c>
      <c r="D1328" s="21">
        <f>ROUND(IF(B1328=0,0,D1324/M1303*P1305),2)</f>
        <v>0</v>
      </c>
      <c r="E1328" s="21">
        <f>ROUND(IF(B1328=0,0,E1324/N1299*P1305),2)</f>
        <v>0</v>
      </c>
      <c r="F1328" s="22">
        <f>ROUND(IF(P1305=0,0,IFERROR(((LOOKUP(2,1/(A1310:A1313=A1328),I1310:I1313))/N1299*P1305),F1327/P1304*P1305)),2)</f>
        <v>0</v>
      </c>
      <c r="G1328" s="25">
        <f t="shared" si="215"/>
        <v>0</v>
      </c>
      <c r="H1328" s="64">
        <f>IF(B1328=0,0,IF(AND(H1316="ja",((U1328)&lt;R1341)),ROUND(((R1343*R1340+((R1341/(R1341-R1340))-(R1340/(R1341-R1340))*R1343)*((U1328)-R1340))*(H1324*2))-(((R1341/(R1341-R1340))*((U1328)-R1340))*H1324),2),ROUND(IF(V1327&lt;(SUM(R1325:R1327)),IF((V1328)&gt;(SUM(R1325:R1328)),(((SUM(R1325:R1328))-(V1328-C1327))*H1324)+((U1328-C1327)*H1324),U1328*H1324),IF(V1328&gt;(SUM(R1325:R1328)),R1328*H1324,U1328*H1324)),2)))</f>
        <v>0</v>
      </c>
      <c r="I1328" s="64">
        <f>IF(B1328=0,0,IF(AND(H1316="ja",((U1328)&lt;R1341)),ROUND(((R1343*R1340+((R1341/(R1341-R1340))-(R1340/(R1341-R1340))*R1343)*((U1328)-R1340))*(I1324*2))-(((R1341/(R1341-R1340))*((U1328)-R1340))*I1324),2),ROUND(IF(V1327&lt;(SUM(S1325:S1327)),IF((V1328)&gt;(SUM(S1325:S1328)),(((SUM(S1325:S1328))-(V1328-C1327))*I1324)+((U1328-C1327)*I1324),U1328*I1324),IF(V1328&gt;(SUM(S1325:S1328)),S1328*I1324,U1328*I1324)),2)))</f>
        <v>0</v>
      </c>
      <c r="J1328" s="64">
        <f>IF(B1328=0,0,IF(AND(H1316="ja",((U1328)&lt;R1341)),ROUND(((R1343*R1340+((R1341/(R1341-R1340))-(R1340/(R1341-R1340))*R1343)*((U1328)-R1340))*(J1324*2))-(((R1341/(R1341-R1340))*((U1328)-R1340))*J1324),2),ROUND(IF(U1327&lt;(SUM(S1325:S1327)),IF((V1328)&gt;(SUM(S1325:S1328)),(((SUM(S1325:S1328))-(V1328-C1327))*J1324)+((U1328-C1327)*J1324),U1328*J1324),IF(V1328&gt;(SUM(S1325:S1328)),S1328*J1324,U1328*J1324)),2)))</f>
        <v>0</v>
      </c>
      <c r="K1328" s="64">
        <f>IF(B1328=0,0,IF(AND(H1316="ja",((U1328)&lt;R1341)),ROUND(((R1343*R1340+((R1341/(R1341-R1340))-(R1340/(R1341-R1340))*R1343)*((U1328)-R1340))*(K1324*2))-(((R1341/(R1341-R1340))*((U1328)-R1340))*K1324),2),ROUND(IF(V1327&lt;(SUM(R1325:R1327)),IF((V1328)&gt;(SUM(R1325:R1328)),(((SUM(R1325:R1328))-(V1328-C1327))*K1324)+((U1328-C1327)*K1324),U1328*K1324),IF(V1328&gt;(SUM(R1325:R1328)),R1328*K1324,U1328*K1324)),2)))</f>
        <v>0</v>
      </c>
      <c r="L1328" s="64">
        <f>IF(B1328=0,0,IF(AND(H1316="ja",((U1328-C1328)&lt;R1341)),ROUND(((R1343*R1340+((R1341/(R1341-R1340))-(R1340/(R1341-R1340))*R1343)*((U1328-C1328)-R1340))*(L1324)),2),ROUND(IF(SUM(B1325:F1327)&lt;(SUM(S1325:S1327)),IF((SUM(B1325:F1328))&gt;(SUM(S1325:S1328)),(((SUM(S1325:S1328))-(SUM(B1325:F1328)-C1328))*L1324)+((SUM(B1328:F1328)-C1328)*L1324),(SUM(B1328:F1328)-C1328)*L1324),IF(SUM(B1325:F1328)&gt;(SUM(S1325:S1328)),S1328*L1324,SUM(B1328:F1328)*L1324)),2)))</f>
        <v>0</v>
      </c>
      <c r="M1328" s="64">
        <f>IF(B1328=0,0,IF(AND(H1316="ja",((U1328-C1328)&lt;R1341)),ROUND(((R1343*R1340+((R1341/(R1341-R1340))-(R1340/(R1341-R1340))*R1343)*((U1328-C1328)-R1340))*(M1324)),2),ROUND(IF(SUM(B1325:F1327)&lt;(SUM(S1325:S1327)),IF((SUM(B1325:F1328))&gt;(SUM(S1325:S1328)),(((SUM(S1325:S1328))-(SUM(B1325:F1328)-C1328))*M1324)+((SUM(B1328:F1328)-C1328)*M1324),(SUM(B1328:F1328)-C1328)*M1324),IF(SUM(B1325:F1328)&gt;(SUM(S1325:S1328)),S1328*M1324,SUM(B1328:F1328)*M1324)),2)))</f>
        <v>0</v>
      </c>
      <c r="N1328" s="64">
        <f>IF(B1328=0,0,IF(AND(H1316="ja",((U1328)&lt;R1341)),ROUND(((R1343*R1340+((R1341/(R1341-R1340))-(R1340/(R1341-R1340))*R1343)*((U1328)-R1340))*(N1324)),2),ROUND(IF(SUM(B1325:F1327)&lt;(SUM(S1325:S1327)),IF((SUM(B1325:F1328))&gt;(SUM(S1325:S1328)),(((SUM(S1325:S1328))-(SUM(B1325:F1328)-C1327))*N1324)+((SUM(B1328:F1328)-C1327)*N1324),SUM(B1328:F1328)*N1324),IF(SUM(B1325:F1328)&gt;(SUM(S1325:S1328)),S1328*N1324,SUM(B1328:F1328)*N1324)),2)))</f>
        <v>0</v>
      </c>
      <c r="O1328" s="21">
        <f>ROUND(SUM(B1328+C1328+F1328)*O1324,2)</f>
        <v>0</v>
      </c>
      <c r="P1328" s="25">
        <f t="shared" si="216"/>
        <v>0</v>
      </c>
      <c r="Q1328" s="456"/>
      <c r="R1328" s="140">
        <f>ROUND(IF(M1303="",R1319,R1319/M1303*P1305),2)</f>
        <v>5175</v>
      </c>
      <c r="S1328" s="140">
        <f>ROUND(IF(M1303="",R1320,R1320/M1303*P1305),2)</f>
        <v>7450</v>
      </c>
      <c r="U1328" s="950">
        <f t="shared" si="217"/>
        <v>0</v>
      </c>
      <c r="V1328" s="950">
        <f>SUM(B1325:F1328)</f>
        <v>0</v>
      </c>
    </row>
    <row r="1329" spans="1:24" s="1" customFormat="1" x14ac:dyDescent="0.2">
      <c r="A1329" s="76" t="str">
        <f>CONCATENATE("Mai ",O1301)</f>
        <v>Mai 2025</v>
      </c>
      <c r="B1329" s="22">
        <f>ROUND(IF(P1306=0,0,IFERROR(((LOOKUP(2,1/(A1310:A1313=A1329),G1310:G1313))*P1306*4.348),B1328/P1305*P1306)),2)</f>
        <v>0</v>
      </c>
      <c r="C1329" s="21">
        <f>ROUND(IFERROR((LOOKUP(2,1/(A1316=A1329),E1316)),0)+IFERROR((LOOKUP(2,1/(A1317=A1329),E1317)),0),2)</f>
        <v>0</v>
      </c>
      <c r="D1329" s="21">
        <f>ROUND(IF(B1329=0,0,D1324/M1303*P1306),2)</f>
        <v>0</v>
      </c>
      <c r="E1329" s="21">
        <f>ROUND(IF(B1329=0,0,E1324/N1299*P1306),2)</f>
        <v>0</v>
      </c>
      <c r="F1329" s="22">
        <f>ROUND(IF(P1306=0,0,IFERROR(((LOOKUP(2,1/(A1310:A1313=A1329),I1310:I1313))/N1299*P1306),F1328/P1305*P1306)),2)</f>
        <v>0</v>
      </c>
      <c r="G1329" s="25">
        <f t="shared" si="215"/>
        <v>0</v>
      </c>
      <c r="H1329" s="64">
        <f>IF(B1329=0,0,IF(AND(H1316="ja",((U1329)&lt;R1341)),ROUND(((R1343*R1340+((R1341/(R1341-R1340))-(R1340/(R1341-R1340))*R1343)*((U1329)-R1340))*(H1324*2))-(((R1341/(R1341-R1340))*((U1329)-R1340))*H1324),2),ROUND(IF(V1328&lt;(SUM(R1325:R1328)),IF((V1329)&gt;(SUM(R1325:R1329)),(((SUM(R1325:R1329))-(V1329-C1328))*H1324)+((U1329-C1328)*H1324),U1329*H1324),IF(V1329&gt;(SUM(R1325:R1329)),R1329*H1324,U1329*H1324)),2)))</f>
        <v>0</v>
      </c>
      <c r="I1329" s="64">
        <f>IF(B1329=0,0,IF(AND(H1316="ja",((U1329)&lt;R1341)),ROUND(((R1343*R1340+((R1341/(R1341-R1340))-(R1340/(R1341-R1340))*R1343)*((U1329)-R1340))*(I1324*2))-(((R1341/(R1341-R1340))*((U1329)-R1340))*I1324),2),ROUND(IF(V1328&lt;(SUM(S1325:S1328)),IF((V1329)&gt;(SUM(S1325:S1329)),(((SUM(S1325:S1329))-(V1329-C1328))*I1324)+((U1329-C1328)*I1324),U1329*I1324),IF(V1329&gt;(SUM(S1325:S1329)),S1329*I1324,U1329*I1324)),2)))</f>
        <v>0</v>
      </c>
      <c r="J1329" s="64">
        <f>IF(B1329=0,0,IF(AND(H1316="ja",((U1329)&lt;R1341)),ROUND(((R1343*R1340+((R1341/(R1341-R1340))-(R1340/(R1341-R1340))*R1343)*((U1329)-R1340))*(J1324*2))-(((R1341/(R1341-R1340))*((U1329)-R1340))*J1324),2),ROUND(IF(V1328&lt;(SUM(S1325:S1328)),IF((V1329)&gt;(SUM(S1325:S1329)),(((SUM(S1325:S1329))-(V1329-C1328))*J1324)+((U1329-C1328)*J1324),U1329*J1324),IF(V1329&gt;(SUM(S1325:S1329)),S1329*J1324,U1329*J1324)),2)))</f>
        <v>0</v>
      </c>
      <c r="K1329" s="64">
        <f>IF(B1329=0,0,IF(AND(H1316="ja",((U1329)&lt;R1341)),ROUND(((R1343*R1340+((R1341/(R1341-R1340))-(R1340/(R1341-R1340))*R1343)*((U1329)-R1340))*(K1324*2))-(((R1341/(R1341-R1340))*((U1329)-R1340))*K1324),2),ROUND(IF(V1328&lt;(SUM(R1325:R1328)),IF((V1329)&gt;(SUM(R1325:R1329)),(((SUM(R1325:R1329))-(V1329-C1328))*K1324)+((U1329-C1328)*K1324),U1329*K1324),IF(V1329&gt;(SUM(R1325:R1329)),R1329*K1324,U1329*K1324)),2)))</f>
        <v>0</v>
      </c>
      <c r="L1329" s="64">
        <f>IF(B1329=0,0,IF(AND(H1316="ja",((U1329-C1329)&lt;R1341)),ROUND(((R1343*R1340+((R1341/(R1341-R1340))-(R1340/(R1341-R1340))*R1343)*((U1329-C1329)-R1340))*(L1324)),2),ROUND(IF(SUM(B1325:F1328)&lt;(SUM(S1325:S1328)),IF((SUM(B1325:F1329))&gt;(SUM(S1325:S1329)),(((SUM(S1325:S1329))-(SUM(B1325:F1329)-C1329))*L1324)+((SUM(B1329:F1329)-C1329)*L1324),(SUM(B1329:F1329)-C1329)*L1324),IF(SUM(B1325:F1329)&gt;(SUM(S1325:S1329)),S1329*L1324,SUM(B1329:F1329)*L1324)),2)))</f>
        <v>0</v>
      </c>
      <c r="M1329" s="64">
        <f>IF(B1329=0,0,IF(AND(H1316="ja",((U1329-C1329)&lt;R1341)),ROUND(((R1343*R1340+((R1341/(R1341-R1340))-(R1340/(R1341-R1340))*R1343)*((U1329-C1329)-R1340))*(M1324)),2),ROUND(IF(SUM(B1325:F1328)&lt;(SUM(S1325:S1328)),IF((SUM(B1325:F1329))&gt;(SUM(S1325:S1329)),(((SUM(S1325:S1329))-(SUM(B1325:F1329)-C1329))*M1324)+((SUM(B1329:F1329)-C1329)*M1324),(SUM(B1329:F1329)-C1329)*M1324),IF(SUM(B1325:F1329)&gt;(SUM(S1325:S1329)),S1329*M1324,SUM(B1329:F1329)*M1324)),2)))</f>
        <v>0</v>
      </c>
      <c r="N1329" s="64">
        <f>IF(B1329=0,0,IF(AND(H1316="ja",((U1329)&lt;R1341)),ROUND(((R1343*R1340+((R1341/(R1341-R1340))-(R1340/(R1341-R1340))*R1343)*((U1329)-R1340))*(N1324)),2),ROUND(IF(SUM(B1325:F1328)&lt;(SUM(S1325:S1328)),IF((SUM(B1325:F1329))&gt;(SUM(S1325:S1329)),(((SUM(S1325:S1329))-(SUM(B1325:F1329)-C1328))*N1324)+((SUM(B1329:F1329)-C1328)*N1324),SUM(B1329:F1329)*N1324),IF(SUM(B1325:F1329)&gt;(SUM(S1325:S1329)),S1329*N1324,SUM(B1329:F1329)*N1324)),2)))</f>
        <v>0</v>
      </c>
      <c r="O1329" s="21">
        <f>ROUND(SUM(B1329+C1329+F1329)*O1324,2)</f>
        <v>0</v>
      </c>
      <c r="P1329" s="25">
        <f t="shared" si="216"/>
        <v>0</v>
      </c>
      <c r="Q1329" s="456"/>
      <c r="R1329" s="140">
        <f>ROUND(IF(M1303="",R1319,R1319/M1303*P1306),2)</f>
        <v>5175</v>
      </c>
      <c r="S1329" s="140">
        <f>ROUND(IF(M1303="",R1320,R1320/M1303*P1306),2)</f>
        <v>7450</v>
      </c>
      <c r="U1329" s="950">
        <f t="shared" si="217"/>
        <v>0</v>
      </c>
      <c r="V1329" s="950">
        <f>SUM(B1325:F1329)</f>
        <v>0</v>
      </c>
    </row>
    <row r="1330" spans="1:24" s="1" customFormat="1" x14ac:dyDescent="0.2">
      <c r="A1330" s="76" t="str">
        <f>CONCATENATE("Jun ",O1301)</f>
        <v>Jun 2025</v>
      </c>
      <c r="B1330" s="22">
        <f>ROUND(IF(P1307=0,0,IFERROR(((LOOKUP(2,1/(A1310:A1313=A1330),G1310:G1313))*P1307*4.348),B1329/P1306*P1307)),2)</f>
        <v>0</v>
      </c>
      <c r="C1330" s="21">
        <f>ROUND(IFERROR((LOOKUP(2,1/(A1316=A1330),E1316)),0)+IFERROR((LOOKUP(2,1/(A1317=A1330),E1317)),0),2)</f>
        <v>0</v>
      </c>
      <c r="D1330" s="21">
        <f>ROUND(IF(B1330=0,0,D1324/M1303*P1307),2)</f>
        <v>0</v>
      </c>
      <c r="E1330" s="21">
        <f>ROUND(IF(B1330=0,0,E1324/N1299*P1307),2)</f>
        <v>0</v>
      </c>
      <c r="F1330" s="22">
        <f>ROUND(IF(P1307=0,0,IFERROR(((LOOKUP(2,1/(A1310:A1313=A1330),I1310:I1313))/N1299*P1307),F1329/P1306*P1307)),2)</f>
        <v>0</v>
      </c>
      <c r="G1330" s="25">
        <f t="shared" si="215"/>
        <v>0</v>
      </c>
      <c r="H1330" s="64">
        <f>IF(B1330=0,0,IF(AND(H1316="ja",((U1330)&lt;R1341)),ROUND(((R1343*R1340+((R1341/(R1341-R1340))-(R1340/(R1341-R1340))*R1343)*((U1330)-R1340))*(H1324*2))-(((R1341/(R1341-R1340))*((U1330)-R1340))*H1324),2),ROUND(IF(V1329&lt;(SUM(R1325:R1329)),IF((V1330)&gt;(SUM(R1325:R1330)),(((SUM(R1325:R1330))-(V1330-C1329))*H1324)+((U1330-C1329)*H1324),U1330*H1324),IF(V1330&gt;(SUM(R1325:R1330)),R1330*H1324,U1330*H1324)),2)))</f>
        <v>0</v>
      </c>
      <c r="I1330" s="64">
        <f>IF(B1330=0,0,IF(AND(H1316="ja",((U1330)&lt;R1341)),ROUND(((R1343*R1340+((R1341/(R1341-R1340))-(R1340/(R1341-R1340))*R1343)*((U1330)-R1340))*(I1324*2))-(((R1341/(R1341-R1340))*((U1330)-R1340))*I1324),2),ROUND(IF(V1329&lt;(SUM(S1325:S1329)),IF((V1330)&gt;(SUM(S1325:S1330)),(((SUM(S1325:S1330))-(V1330-C1329))*I1324)+((U1330-C1329)*I1324),U1330*I1324),IF(V1330&gt;(SUM(S1325:S1330)),S1330*I1324,U1330*I1324)),2)))</f>
        <v>0</v>
      </c>
      <c r="J1330" s="64">
        <f>IF(B1330=0,0,IF(AND(H1316="ja",((U1330)&lt;R1341)),ROUND(((R1343*R1340+((R1341/(R1341-R1340))-(R1340/(R1341-R1340))*R1343)*((U1330)-R1340))*(J1324*2))-(((R1341/(R1341-R1340))*((U1330)-R1340))*J1324),2),ROUND(IF(V1329&lt;(SUM(S1325:S1329)),IF((V1330)&gt;(SUM(S1325:S1330)),(((SUM(S1325:S1330))-(V1330-C1329))*J1324)+((U1330-C1329)*J1324),U1330*J1324),IF(V1330&gt;(SUM(S1325:S1330)),S1330*J1324,U1330*J1324)),2)))</f>
        <v>0</v>
      </c>
      <c r="K1330" s="64">
        <f>IF(B1330=0,0,IF(AND(H1316="ja",((U1330)&lt;R1341)),ROUND(((R1343*R1340+((R1341/(R1341-R1340))-(R1340/(R1341-R1340))*R1343)*((U1330)-R1340))*(K1324*2))-(((R1341/(R1341-R1340))*((U1330)-R1340))*K1324),2),ROUND(IF(V1329&lt;(SUM(R1325:R1329)),IF((V1330)&gt;(SUM(R1325:R1330)),(((SUM(R1325:R1330))-(V1330-C1329))*K1324)+((U1330-C1329)*K1324),U1330*K1324),IF(V1330&gt;(SUM(R1325:R1330)),R1330*K1324,U1330*K1324)),2)))</f>
        <v>0</v>
      </c>
      <c r="L1330" s="64">
        <f>IF(B1330=0,0,IF(AND(H1316="ja",((U1330-C1330)&lt;R1341)),ROUND(((R1343*R1340+((R1341/(R1341-R1340))-(R1340/(R1341-R1340))*R1343)*((U1330-C1330)-R1340))*(L1324)),2),ROUND(IF(SUM(B1325:F1329)&lt;(SUM(S1325:S1329)),IF((SUM(B1325:F1330))&gt;(SUM(S1325:S1330)),(((SUM(S1325:S1330))-(SUM(B1325:F1330)-C1330))*L1324)+((SUM(B1330:F1330)-C1330)*L1324),(SUM(B1330:F1330)-C1330)*L1324),IF(SUM(B1325:F1330)&gt;(SUM(S1325:S1330)),S1330*L1324,SUM(B1330:F1330)*L1324)),2)))</f>
        <v>0</v>
      </c>
      <c r="M1330" s="64">
        <f>IF(B1330=0,0,IF(AND(H1316="ja",((U1330-C1330)&lt;R1341)),ROUND(((R1343*R1340+((R1341/(R1341-R1340))-(R1340/(R1341-R1340))*R1343)*((U1330-C1330)-R1340))*(M1324)),2),ROUND(IF(SUM(B1325:F1329)&lt;(SUM(S1325:S1329)),IF((SUM(B1325:F1330))&gt;(SUM(S1325:S1330)),(((SUM(S1325:S1330))-(SUM(B1325:F1330)-C1330))*M1324)+((SUM(B1330:F1330)-C1330)*M1324),(SUM(B1330:F1330)-C1330)*M1324),IF(SUM(B1325:F1330)&gt;(SUM(S1325:S1330)),S1330*M1324,SUM(B1330:F1330)*M1324)),2)))</f>
        <v>0</v>
      </c>
      <c r="N1330" s="64">
        <f>IF(B1330=0,0,IF(AND(H1316="ja",((U1330)&lt;R1341)),ROUND(((R1343*R1340+((R1341/(R1341-R1340))-(R1340/(R1341-R1340))*R1343)*((U1330)-R1340))*(N1324)),2),ROUND(IF(SUM(B1325:F1329)&lt;(SUM(S1325:S1329)),IF((SUM(B1325:F1330))&gt;(SUM(S1325:S1330)),(((SUM(S1325:S1330))-(SUM(B1325:F1330)-C1329))*N1324)+((SUM(B1330:F1330)-C1329)*N1324),SUM(B1330:F1330)*N1324),IF(SUM(B1325:F1330)&gt;(SUM(S1325:S1330)),S1330*N1324,SUM(B1330:F1330)*N1324)),2)))</f>
        <v>0</v>
      </c>
      <c r="O1330" s="21">
        <f>ROUND(SUM(B1330+C1330+F1330)*O1324,2)</f>
        <v>0</v>
      </c>
      <c r="P1330" s="25">
        <f t="shared" si="216"/>
        <v>0</v>
      </c>
      <c r="Q1330" s="456"/>
      <c r="R1330" s="140">
        <f>ROUND(IF(M1303="",R1319,R1319/M1303*P1307),2)</f>
        <v>5175</v>
      </c>
      <c r="S1330" s="140">
        <f>ROUND(IF(M1303="",R1320,R1320/M1303*P1307),2)</f>
        <v>7450</v>
      </c>
      <c r="U1330" s="950">
        <f t="shared" si="217"/>
        <v>0</v>
      </c>
      <c r="V1330" s="950">
        <f>SUM(B1325:F1330)</f>
        <v>0</v>
      </c>
    </row>
    <row r="1331" spans="1:24" s="1" customFormat="1" x14ac:dyDescent="0.2">
      <c r="A1331" s="76" t="str">
        <f>CONCATENATE("Jul ",O1301)</f>
        <v>Jul 2025</v>
      </c>
      <c r="B1331" s="22">
        <f>ROUND(IF(P1308=0,0,IFERROR(((LOOKUP(2,1/(A1310:A1313=A1331),G1310:G1313))*P1308*4.348),B1330/P1307*P1308)),2)</f>
        <v>0</v>
      </c>
      <c r="C1331" s="21">
        <f>ROUND(IFERROR((LOOKUP(2,1/(A1316=A1331),E1316)),0)+IFERROR((LOOKUP(2,1/(A1317=A1331),E1317)),0),2)</f>
        <v>0</v>
      </c>
      <c r="D1331" s="21">
        <f>ROUND(IF(B1331=0,0,D1324/M1303*P1308),2)</f>
        <v>0</v>
      </c>
      <c r="E1331" s="21">
        <f>ROUND(IF(B1331=0,0,E1324/N1299*P1308),2)</f>
        <v>0</v>
      </c>
      <c r="F1331" s="22">
        <f>ROUND(IF(P1308=0,0,IFERROR(((LOOKUP(2,1/(A1310:A1313=A1331),I1310:I1313))/N1299*P1308),F1330/P1307*P1308)),2)</f>
        <v>0</v>
      </c>
      <c r="G1331" s="25">
        <f t="shared" si="215"/>
        <v>0</v>
      </c>
      <c r="H1331" s="64">
        <f>IF(B1331=0,0,IF(AND(H1316="ja",((U1331)&lt;R1341)),ROUND(((R1343*R1340+((R1341/(R1341-R1340))-(R1340/(R1341-R1340))*R1343)*((U1331)-R1340))*(H1324*2))-(((R1341/(R1341-R1340))*((U1331)-R1340))*H1324),2),ROUND(IF(V1330&lt;(SUM(R1325:R1330)),IF((V1331)&gt;(SUM(R1325:R1331)),(((SUM(R1325:R1331))-(V1331-C1330))*H1324)+((U1331-C1330)*H1324),U1331*H1324),IF(V1331&gt;(SUM(R1325:R1331)),R1331*H1324,U1331*H1324)),2)))</f>
        <v>0</v>
      </c>
      <c r="I1331" s="64">
        <f>IF(B1331=0,0,IF(AND(H1316="ja",((U1331)&lt;R1341)),ROUND(((R1343*R1340+((R1341/(R1341-R1340))-(R1340/(R1341-R1340))*R1343)*((U1331)-R1340))*(I1324*2))-(((R1341/(R1341-R1340))*((U1331)-R1340))*I1324),2),ROUND(IF(V1330&lt;(SUM(S1325:S1330)),IF((V1331)&gt;(SUM(S1325:S1331)),(((SUM(S1325:S1331))-(V1331-C1330))*I1324)+((U1331-C1330)*I1324),U1331*I1324),IF(V1331&gt;(SUM(S1325:S1331)),S1331*I1324,U1331*I1324)),2)))</f>
        <v>0</v>
      </c>
      <c r="J1331" s="64">
        <f>IF(B1331=0,0,IF(AND(H1316="ja",((U1331)&lt;R1341)),ROUND(((R1343*R1340+((R1341/(R1341-R1340))-(R1340/(R1341-R1340))*R1343)*((U1331)-R1340))*(J1324*2))-(((R1341/(R1341-R1340))*((U1331)-R1340))*J1324),2),ROUND(IF(V1330&lt;(SUM(S1325:S1330)),IF((V1331)&gt;(SUM(S1325:S1331)),(((SUM(S1325:S1331))-(V1331-C1330))*J1324)+((U1331-C1330)*J1324),U1331*J1324),IF(V1331&gt;(SUM(S1325:S1331)),S1331*J1324,U1331*J1324)),2)))</f>
        <v>0</v>
      </c>
      <c r="K1331" s="64">
        <f>IF(B1331=0,0,IF(AND(H1316="ja",((U1331)&lt;R1341)),ROUND(((R1343*R1340+((R1341/(R1341-R1340))-(R1340/(R1341-R1340))*R1343)*((U1331)-R1340))*(K1324*2))-(((R1341/(R1341-R1340))*((U1331)-R1340))*K1324),2),ROUND(IF(V1330&lt;(SUM(R1325:R1330)),IF((V1331)&gt;(SUM(R1325:R1331)),(((SUM(R1325:R1331))-(V1331-C1330))*K1324)+((U1331-C1330)*K1324),U1331*K1324),IF(V1331&gt;(SUM(R1325:R1331)),R1331*K1324,U1331*K1324)),2)))</f>
        <v>0</v>
      </c>
      <c r="L1331" s="64">
        <f>IF(B1331=0,0,IF(AND(H1316="ja",((U1331-C1331)&lt;R1341)),ROUND(((R1343*R1340+((R1341/(R1341-R1340))-(R1340/(R1341-R1340))*R1343)*((U1331-C1331)-R1340))*(L1324)),2),ROUND(IF(SUM(B1325:F1330)&lt;(SUM(S1325:S1330)),IF((SUM(B1325:F1331))&gt;(SUM(S1325:S1331)),(((SUM(S1325:S1331))-(SUM(B1325:F1331)-C1331))*L1324)+((SUM(B1331:F1331)-C1331)*L1324),(SUM(B1331:F1331)-C1331)*L1324),IF(SUM(B1325:F1331)&gt;(SUM(S1325:S1331)),S1331*L1324,SUM(B1331:F1331)*L1324)),2)))</f>
        <v>0</v>
      </c>
      <c r="M1331" s="64">
        <f>IF(B1331=0,0,IF(AND(H1316="ja",((U1331-C1331)&lt;R1341)),ROUND(((R1343*R1340+((R1341/(R1341-R1340))-(R1340/(R1341-R1340))*R1343)*((U1331-C1331)-R1340))*(M1324)),2),ROUND(IF(SUM(B1325:F1330)&lt;(SUM(S1325:S1330)),IF((SUM(B1325:F1331))&gt;(SUM(S1325:S1331)),(((SUM(S1325:S1331))-(SUM(B1325:F1331)-C1331))*M1324)+((SUM(B1331:F1331)-C1331)*M1324),(SUM(B1331:F1331)-C1331)*M1324),IF(SUM(B1325:F1331)&gt;(SUM(S1325:S1331)),S1331*M1324,SUM(B1331:F1331)*M1324)),2)))</f>
        <v>0</v>
      </c>
      <c r="N1331" s="64">
        <f>IF(B1331=0,0,IF(AND(H1316="ja",((U1331)&lt;R1341)),ROUND(((R1343*R1340+((R1341/(R1341-R1340))-(R1340/(R1341-R1340))*R1343)*((U1331)-R1340))*(N1324)),2),ROUND(IF(SUM(B1325:F1330)&lt;(SUM(S1325:S1330)),IF((SUM(B1325:F1331))&gt;(SUM(S1325:S1331)),(((SUM(S1325:S1331))-(SUM(B1325:F1331)-C1330))*N1324)+((SUM(B1331:F1331)-C1330)*N1324),SUM(B1331:F1331)*N1324),IF(SUM(B1325:F1331)&gt;(SUM(S1325:S1331)),S1331*N1324,SUM(B1331:F1331)*N1324)),2)))</f>
        <v>0</v>
      </c>
      <c r="O1331" s="21">
        <f>ROUND(SUM(B1331+C1331+F1331)*O1324,2)</f>
        <v>0</v>
      </c>
      <c r="P1331" s="25">
        <f t="shared" si="216"/>
        <v>0</v>
      </c>
      <c r="Q1331" s="456"/>
      <c r="R1331" s="140">
        <f>ROUND(IF(M1303="",R1319,R1319/M1303*P1308),2)</f>
        <v>5175</v>
      </c>
      <c r="S1331" s="140">
        <f>ROUND(IF(M1303="",R1320,R1320/M1303*P1308),2)</f>
        <v>7450</v>
      </c>
      <c r="U1331" s="950">
        <f t="shared" si="217"/>
        <v>0</v>
      </c>
      <c r="V1331" s="950">
        <f>SUM(B1325:F1331)</f>
        <v>0</v>
      </c>
    </row>
    <row r="1332" spans="1:24" s="1" customFormat="1" x14ac:dyDescent="0.2">
      <c r="A1332" s="76" t="str">
        <f>CONCATENATE("Aug ",O1301)</f>
        <v>Aug 2025</v>
      </c>
      <c r="B1332" s="22">
        <f>ROUND(IF(P1309=0,0,IFERROR(((LOOKUP(2,1/(A1310:A1313=A1332),G1310:G1313))*P1309*4.348),B1331/P1308*P1309)),2)</f>
        <v>0</v>
      </c>
      <c r="C1332" s="21">
        <f>ROUND(IFERROR((LOOKUP(2,1/(A1316=A1332),E1316)),0)+IFERROR((LOOKUP(2,1/(A1317=A1332),E1317)),0),2)</f>
        <v>0</v>
      </c>
      <c r="D1332" s="21">
        <f>ROUND(IF(B1332=0,0,D1324/M1303*P1309),2)</f>
        <v>0</v>
      </c>
      <c r="E1332" s="21">
        <f>ROUND(IF(B1332=0,0,E1324/N1299*P1309),2)</f>
        <v>0</v>
      </c>
      <c r="F1332" s="22">
        <f>ROUND(IF(P1309=0,0,IFERROR(((LOOKUP(2,1/(A1310:A1313=A1332),I1310:I1313))/N1299*P1309),F1331/P1308*P1309)),2)</f>
        <v>0</v>
      </c>
      <c r="G1332" s="25">
        <f t="shared" si="215"/>
        <v>0</v>
      </c>
      <c r="H1332" s="64">
        <f>IF(B1332=0,0,IF(AND(H1316="ja",((U1332)&lt;R1341)),ROUND(((R1343*R1340+((R1341/(R1341-R1340))-(R1340/(R1341-R1340))*R1343)*((U1332)-R1340))*(H1324*2))-(((R1341/(R1341-R1340))*((U1332)-R1340))*H1324),2),ROUND(IF(V1331&lt;(SUM(R1325:R1331)),IF((V1332)&gt;(SUM(R1325:R1332)),(((SUM(R1325:R1332))-(V1332-C1331))*H1324)+((U1332-C1331)*H1324),U1332*H1324),IF(V1332&gt;(SUM(R1325:R1332)),R1332*H1324,U1332*H1324)),2)))</f>
        <v>0</v>
      </c>
      <c r="I1332" s="64">
        <f>IF(B1332=0,0,IF(AND(H1316="ja",((U1332)&lt;R1341)),ROUND(((R1343*R1340+((R1341/(R1341-R1340))-(R1340/(R1341-R1340))*R1343)*((U1332)-R1340))*(I1324*2))-(((R1341/(R1341-R1340))*((U1332)-R1340))*I1324),2),ROUND(IF(V1331&lt;(SUM(S1325:S1331)),IF((V1332)&gt;(SUM(S1325:S1332)),(((SUM(S1325:S1332))-(V1332-C1331))*I1324)+((U1332-C1331)*I1324),U1332*I1324),IF(V1332&gt;(SUM(S1325:S1332)),S1332*I1324,U1332*I1324)),2)))</f>
        <v>0</v>
      </c>
      <c r="J1332" s="64">
        <f>IF(B1332=0,0,IF(AND(H1316="ja",((U1332)&lt;R1341)),ROUND(((R1343*R1340+((R1341/(R1341-R1340))-(R1340/(R1341-R1340))*R1343)*((U1332)-R1340))*(J1324*2))-(((R1341/(R1341-R1340))*((U1332)-R1340))*J1324),2),ROUND(IF(V1331&lt;(SUM(S1325:S1331)),IF((V1332)&gt;(SUM(S1325:S1332)),(((SUM(S1325:S1332))-(V1332-C1331))*J1324)+((U1332-C1331)*J1324),U1332*J1324),IF(V1332&gt;(SUM(S1325:S1332)),S1332*J1324,U1332*J1324)),2)))</f>
        <v>0</v>
      </c>
      <c r="K1332" s="64">
        <f>IF(B1332=0,0,IF(AND(H1316="ja",((U1332)&lt;R1341)),ROUND(((R1343*R1340+((R1341/(R1341-R1340))-(R1340/(R1341-R1340))*R1343)*((U1332)-R1340))*(K1324*2))-(((R1341/(R1341-R1340))*((U1332)-R1340))*K1324),2),ROUND(IF(V1331&lt;(SUM(R1325:R1331)),IF((V1332)&gt;(SUM(R1325:R1332)),(((SUM(R1325:R1332))-(V1332-C1331))*K1324)+((U1332-C1331)*K1324),U1332*K1324),IF(V1332&gt;(SUM(R1325:R1332)),R1332*K1324,U1332*K1324)),2)))</f>
        <v>0</v>
      </c>
      <c r="L1332" s="64">
        <f>IF(B1332=0,0,IF(AND(H1316="ja",((U1332-C1332)&lt;R1341)),ROUND(((R1343*R1340+((R1341/(R1341-R1340))-(R1340/(R1341-R1340))*R1343)*((U1332-C1332)-R1340))*(L1324)),2),ROUND(IF(SUM(B1325:F1331)&lt;(SUM(S1325:S1331)),IF((SUM(B1325:F1332))&gt;(SUM(S1325:S1332)),(((SUM(S1325:S1332))-(SUM(B1325:F1332)-C1332))*L1324)+((SUM(B1332:F1332)-C1332)*L1324),(SUM(B1332:F1332)-C1332)*L1324),IF(SUM(B1325:F1332)&gt;(SUM(S1325:S1332)),S1332*L1324,SUM(B1332:F1332)*L1324)),2)))</f>
        <v>0</v>
      </c>
      <c r="M1332" s="64">
        <f>IF(B1332=0,0,IF(AND(H1316="ja",((U1332-C1332)&lt;R1341)),ROUND(((R1343*R1340+((R1341/(R1341-R1340))-(R1340/(R1341-R1340))*R1343)*((U1332-C1332)-R1340))*(M1324)),2),ROUND(IF(SUM(B1325:F1331)&lt;(SUM(S1325:S1331)),IF((SUM(B1325:F1332))&gt;(SUM(S1325:S1332)),(((SUM(S1325:S1332))-(SUM(B1325:F1332)-C1332))*M1324)+((SUM(B1332:F1332)-C1332)*M1324),(SUM(B1332:F1332)-C1332)*M1324),IF(SUM(B1325:F1332)&gt;(SUM(S1325:S1332)),S1332*M1324,SUM(B1332:F1332)*M1324)),2)))</f>
        <v>0</v>
      </c>
      <c r="N1332" s="64">
        <f>IF(B1332=0,0,IF(AND(H1316="ja",((U1332)&lt;R1341)),ROUND(((R1343*R1340+((R1341/(R1341-R1340))-(R1340/(R1341-R1340))*R1343)*((U1332)-R1340))*(N1324)),2),ROUND(IF(SUM(B1325:F1331)&lt;(SUM(S1325:S1331)),IF((SUM(B1325:F1332))&gt;(SUM(S1325:S1332)),(((SUM(S1325:S1332))-(SUM(B1325:F1332)-C1331))*N1324)+((SUM(B1332:F1332)-C1331)*N1324),SUM(B1332:F1332)*N1324),IF(SUM(B1325:F1332)&gt;(SUM(S1325:S1332)),S1332*N1324,SUM(B1332:F1332)*N1324)),2)))</f>
        <v>0</v>
      </c>
      <c r="O1332" s="21">
        <f>ROUND(SUM(B1332+C1332+F1332)*O1324,2)</f>
        <v>0</v>
      </c>
      <c r="P1332" s="25">
        <f t="shared" si="216"/>
        <v>0</v>
      </c>
      <c r="Q1332" s="456"/>
      <c r="R1332" s="140">
        <f>ROUND(IF(M1303="",R1319,R1319/M1303*P1309),2)</f>
        <v>5175</v>
      </c>
      <c r="S1332" s="140">
        <f>ROUND(IF(M1303="",R1320,R1320/M1303*P1309),2)</f>
        <v>7450</v>
      </c>
      <c r="U1332" s="950">
        <f t="shared" si="217"/>
        <v>0</v>
      </c>
      <c r="V1332" s="950">
        <f>SUM(B1325:F1332)</f>
        <v>0</v>
      </c>
    </row>
    <row r="1333" spans="1:24" s="1" customFormat="1" x14ac:dyDescent="0.2">
      <c r="A1333" s="76" t="str">
        <f>CONCATENATE("Sep ",O1301)</f>
        <v>Sep 2025</v>
      </c>
      <c r="B1333" s="22">
        <f>ROUND(IF(P1310=0,0,IFERROR(((LOOKUP(2,1/(A1310:A1313=A1333),G1310:G1313))*P1310*4.348),B1332/P1309*P1310)),2)</f>
        <v>0</v>
      </c>
      <c r="C1333" s="21">
        <f>ROUND(IFERROR((LOOKUP(2,1/(A1316=A1333),E1316)),0)+IFERROR((LOOKUP(2,1/(A1317=A1333),E1317)),0),2)</f>
        <v>0</v>
      </c>
      <c r="D1333" s="21">
        <f>ROUND(IF(B1333=0,0,D1324/M1303*P1310),2)</f>
        <v>0</v>
      </c>
      <c r="E1333" s="21">
        <f>ROUND(IF(B1333=0,0,E1324/N1299*P1310),2)</f>
        <v>0</v>
      </c>
      <c r="F1333" s="22">
        <f>ROUND(IF(P1310=0,0,IFERROR(((LOOKUP(2,1/(A1310:A1313=A1333),I1310:I1313))/N1299*P1310),F1332/P1309*P1310)),2)</f>
        <v>0</v>
      </c>
      <c r="G1333" s="25">
        <f t="shared" si="215"/>
        <v>0</v>
      </c>
      <c r="H1333" s="64">
        <f>IF(B1333=0,0,IF(AND(H1316="ja",((U1333)&lt;R1341)),ROUND(((R1343*R1340+((R1341/(R1341-R1340))-(R1340/(R1341-R1340))*R1343)*((U1333)-R1340))*(H1324*2))-(((R1341/(R1341-R1340))*((U1333)-R1340))*H1324),2),ROUND(IF(V1332&lt;(SUM(R1325:R1332)),IF((V1333)&gt;(SUM(R1325:R1333)),(((SUM(R1325:R1333))-(V1333-C1332))*H1324)+((U1333-C1332)*H1324),U1333*H1324),IF(V1333&gt;(SUM(R1325:R1333)),R1333*H1324,U1333*H1324)),2)))</f>
        <v>0</v>
      </c>
      <c r="I1333" s="64">
        <f>IF(B1333=0,0,IF(AND(H1316="ja",((U1333)&lt;R1341)),ROUND(((R1343*R1340+((R1341/(R1341-R1340))-(R1340/(R1341-R1340))*R1343)*((U1333)-R1340))*(I1324*2))-(((R1341/(R1341-R1340))*((U1333)-R1340))*I1324),2),ROUND(IF(V1332&lt;(SUM(S1325:S1332)),IF((V1333)&gt;(SUM(S1325:S1333)),(((SUM(S1325:S1333))-(V1333-C1332))*I1324)+((U1333-C1332)*I1324),U1333*I1324),IF(V1333&gt;(SUM(S1325:S1333)),S1333*I1324,U1333*I1324)),2)))</f>
        <v>0</v>
      </c>
      <c r="J1333" s="64">
        <f>IF(B1333=0,0,IF(AND(H1316="ja",((U1333)&lt;R1341)),ROUND(((R1343*R1340+((R1341/(R1341-R1340))-(R1340/(R1341-R1340))*R1343)*((U1333)-R1340))*(J1324*2))-(((R1341/(R1341-R1340))*((U1333)-R1340))*J1324),2),ROUND(IF(V1332&lt;(SUM(S1325:S1332)),IF((V1333)&gt;(SUM(S1325:S1333)),(((SUM(S1325:S1333))-(V1333-C1332))*J1324)+((U1333-C1332)*J1324),U1333*J1324),IF(V1333&gt;(SUM(S1325:S1333)),S1333*J1324,U1333*J1324)),2)))</f>
        <v>0</v>
      </c>
      <c r="K1333" s="64">
        <f>IF(B1333=0,0,IF(AND(H1316="ja",((U1333)&lt;R1341)),ROUND(((R1343*R1340+((R1341/(R1341-R1340))-(R1340/(R1341-R1340))*R1343)*((U1333)-R1340))*(K1324*2))-(((R1341/(R1341-R1340))*((U1333)-R1340))*K1324),2),ROUND(IF(V1332&lt;(SUM(R1325:R1332)),IF((V1333)&gt;(SUM(R1325:R1333)),(((SUM(R1325:R1333))-(V1333-C1332))*K1324)+((U1333-C1332)*K1324),U1333*K1324),IF(V1333&gt;(SUM(R1325:R1333)),R1333*K1324,U1333*K1324)),2)))</f>
        <v>0</v>
      </c>
      <c r="L1333" s="64">
        <f>IF(B1333=0,0,IF(AND(H1316="ja",((U1333-C1333)&lt;R1341)),ROUND(((R1343*R1340+((R1341/(R1341-R1340))-(R1340/(R1341-R1340))*R1343)*((U1333-C1333)-R1340))*(L1324)),2),ROUND(IF(SUM(B1325:F1332)&lt;(SUM(S1325:S1332)),IF((SUM(B1325:F1333))&gt;(SUM(S1325:S1333)),(((SUM(S1325:S1333))-(SUM(B1325:F1333)-C1333))*L1324)+((SUM(B1333:F1333)-C1333)*L1324),(SUM(B1333:F1333)-C1333)*L1324),IF(SUM(B1325:F1333)&gt;(SUM(S1325:S1333)),S1333*L1324,SUM(B1333:F1333)*L1324)),2)))</f>
        <v>0</v>
      </c>
      <c r="M1333" s="64">
        <f>IF(B1333=0,0,IF(AND(H1316="ja",((U1333-C1333)&lt;R1341)),ROUND(((R1343*R1340+((R1341/(R1341-R1340))-(R1340/(R1341-R1340))*R1343)*((U1333-C1333)-R1340))*(M1324)),2),ROUND(IF(SUM(B1325:F1332)&lt;(SUM(S1325:S1332)),IF((SUM(B1325:F1333))&gt;(SUM(S1325:S1333)),(((SUM(S1325:S1333))-(SUM(B1325:F1333)-C1333))*M1324)+((SUM(B1333:F1333)-C1333)*M1324),(SUM(B1333:F1333)-C1333)*M1324),IF(SUM(B1325:F1333)&gt;(SUM(S1325:S1333)),S1333*M1324,SUM(B1333:F1333)*M1324)),2)))</f>
        <v>0</v>
      </c>
      <c r="N1333" s="64">
        <f>IF(B1333=0,0,IF(AND(H1316="ja",((U1333)&lt;R1341)),ROUND(((R1343*R1340+((R1341/(R1341-R1340))-(R1340/(R1341-R1340))*R1343)*((U1333)-R1340))*(N1324)),2),ROUND(IF(SUM(B1325:F1332)&lt;(SUM(S1325:S1332)),IF((SUM(B1325:F1333))&gt;(SUM(S1325:S1333)),(((SUM(S1325:S1333))-(SUM(B1325:F1333)-C1332))*N1324)+((SUM(B1333:F1333)-C1332)*N1324),SUM(B1333:F1333)*N1324),IF(SUM(B1325:F1333)&gt;(SUM(S1325:S1333)),S1333*N1324,SUM(B1333:F1333)*N1324)),2)))</f>
        <v>0</v>
      </c>
      <c r="O1333" s="21">
        <f>ROUND(SUM(B1333+C1333+F1333)*O1324,2)</f>
        <v>0</v>
      </c>
      <c r="P1333" s="25">
        <f t="shared" si="216"/>
        <v>0</v>
      </c>
      <c r="Q1333" s="456"/>
      <c r="R1333" s="140">
        <f>ROUND(IF(M1303="",R1319,R1319/M1303*P1310),2)</f>
        <v>5175</v>
      </c>
      <c r="S1333" s="140">
        <f>ROUND(IF(M1303="",R1320,R1320/M1303*P1310),2)</f>
        <v>7450</v>
      </c>
      <c r="U1333" s="950">
        <f t="shared" si="217"/>
        <v>0</v>
      </c>
      <c r="V1333" s="950">
        <f>SUM(B1325:F1333)</f>
        <v>0</v>
      </c>
    </row>
    <row r="1334" spans="1:24" s="12" customFormat="1" ht="15" x14ac:dyDescent="0.25">
      <c r="A1334" s="76" t="str">
        <f>CONCATENATE("Okt ",O1301)</f>
        <v>Okt 2025</v>
      </c>
      <c r="B1334" s="22">
        <f>ROUND(IF(P1311=0,0,IFERROR(((LOOKUP(2,1/(A1310:A1313=A1334),G1310:G1313))*P1311*4.348),B1333/P1310*P1311)),2)</f>
        <v>0</v>
      </c>
      <c r="C1334" s="21">
        <f>ROUND(IFERROR((LOOKUP(2,1/(A1316=A1334),E1316)),0)+IFERROR((LOOKUP(2,1/(A1317=A1334),E1317)),0),2)</f>
        <v>0</v>
      </c>
      <c r="D1334" s="21">
        <f>ROUND(IF(B1334=0,0,D1324/M1303*P1311),2)</f>
        <v>0</v>
      </c>
      <c r="E1334" s="21">
        <f>ROUND(IF(B1334=0,0,E1324/N1299*P1311),2)</f>
        <v>0</v>
      </c>
      <c r="F1334" s="22">
        <f>ROUND(IF(P1311=0,0,IFERROR(((LOOKUP(2,1/(A1310:A1313=A1334),I1310:I1313))/N1299*P1311),F1333/P1310*P1311)),2)</f>
        <v>0</v>
      </c>
      <c r="G1334" s="25">
        <f t="shared" si="215"/>
        <v>0</v>
      </c>
      <c r="H1334" s="64">
        <f>IF(B1334=0,0,IF(AND(H1316="ja",((U1334)&lt;R1341)),ROUND(((R1343*R1340+((R1341/(R1341-R1340))-(R1340/(R1341-R1340))*R1343)*((U1334)-R1340))*(H1324*2))-(((R1341/(R1341-R1340))*((U1334)-R1340))*H1324),2),ROUND(IF(V1333&lt;(SUM(R1325:R1333)),IF((V1334)&gt;(SUM(R1325:R1334)),(((SUM(R1325:R1334))-(V1334-C1333))*H1324)+((U1334-C1333)*H1324),U1334*H1324),IF(V1334&gt;(SUM(R1325:R1334)),R1334*H1324,U1334*H1324)),2)))</f>
        <v>0</v>
      </c>
      <c r="I1334" s="64">
        <f>IF(B1334=0,0,IF(AND(H1316="ja",((U1334)&lt;R1341)),ROUND(((R1343*R1340+((R1341/(R1341-R1340))-(R1340/(R1341-R1340))*R1343)*((U1334)-R1340))*(I1324*2))-(((R1341/(R1341-R1340))*((U1334)-R1340))*I1324),2),ROUND(IF(V1333&lt;(SUM(S1325:S1333)),IF((V1334)&gt;(SUM(S1325:S1334)),(((SUM(S1325:S1334))-(V1334-C1333))*I1324)+((U1334-C1333)*I1324),U1334*I1324),IF(V1334&gt;(SUM(S1325:S1334)),S1334*I1324,U1334*I1324)),2)))</f>
        <v>0</v>
      </c>
      <c r="J1334" s="64">
        <f>IF(B1334=0,0,IF(AND(H1316="ja",((U1334)&lt;R1341)),ROUND(((R1343*R1340+((R1341/(R1341-R1340))-(R1340/(R1341-R1340))*R1343)*((U1334)-R1340))*(J1324*2))-(((R1341/(R1341-R1340))*((U1334)-R1340))*J1324),2),ROUND(IF(V1333&lt;(SUM(S1325:S1333)),IF((V1334)&gt;(SUM(S1325:S1334)),(((SUM(S1325:S1334))-(V1334-C1333))*J1324)+((U1334-C1333)*J1324),U1334*J1324),IF(V1334&gt;(SUM(S1325:S1334)),S1334*J1324,U1334*J1324)),2)))</f>
        <v>0</v>
      </c>
      <c r="K1334" s="64">
        <f>IF(B1334=0,0,IF(AND(H1316="ja",((U1334)&lt;R1341)),ROUND(((R1343*R1340+((R1341/(R1341-R1340))-(R1340/(R1341-R1340))*R1343)*((U1334)-R1340))*(K1324*2))-(((R1341/(R1341-R1340))*((U1334)-R1340))*K1324),2),ROUND(IF(V1333&lt;(SUM(R1325:R1333)),IF((V1334)&gt;(SUM(R1325:R1334)),(((SUM(R1325:R1334))-(V1334-C1333))*K1324)+((U1334-C1333)*K1324),U1334*K1324),IF(V1334&gt;(SUM(R1325:R1334)),R1334*K1324,U1334*K1324)),2)))</f>
        <v>0</v>
      </c>
      <c r="L1334" s="64">
        <f>IF(B1334=0,0,IF(AND(H1316="ja",((U1334-C1334)&lt;R1341)),ROUND(((R1343*R1340+((R1341/(R1341-R1340))-(R1340/(R1341-R1340))*R1343)*((U1334-C1334)-R1340))*(L1324)),2),ROUND(IF(SUM(B1325:F1333)&lt;(SUM(S1325:S1333)),IF((SUM(B1325:F1334))&gt;(SUM(S1325:S1334)),(((SUM(S1325:S1334))-(SUM(B1325:F1334)-C1334))*L1324)+((SUM(B1334:F1334)-C1334)*L1324),(SUM(B1334:F1334)-C1334)*L1324),IF(SUM(B1325:F1334)&gt;(SUM(S1325:S1334)),S1334*L1324,SUM(B1334:F1334)*L1324)),2)))</f>
        <v>0</v>
      </c>
      <c r="M1334" s="64">
        <f>IF(B1334=0,0,IF(AND(H1316="ja",((U1334-C1334)&lt;R1341)),ROUND(((R1343*R1340+((R1341/(R1341-R1340))-(R1340/(R1341-R1340))*R1343)*((U1334-C1334)-R1340))*(M1324)),2),ROUND(IF(SUM(B1325:F1333)&lt;(SUM(S1325:S1333)),IF((SUM(B1325:F1334))&gt;(SUM(S1325:S1334)),(((SUM(S1325:S1334))-(SUM(B1325:F1334)-C1334))*M1324)+((SUM(B1334:F1334)-C1334)*M1324),(SUM(B1334:F1334)-C1334)*M1324),IF(SUM(B1325:F1334)&gt;(SUM(S1325:S1334)),S1334*M1324,SUM(B1334:F1334)*M1324)),2)))</f>
        <v>0</v>
      </c>
      <c r="N1334" s="64">
        <f>IF(B1334=0,0,IF(AND(H1316="ja",((U1334)&lt;R1341)),ROUND(((R1343*R1340+((R1341/(R1341-R1340))-(R1340/(R1341-R1340))*R1343)*((U1334)-R1340))*(N1324)),2),ROUND(IF(SUM(B1325:F1333)&lt;(SUM(S1325:S1333)),IF((SUM(B1325:F1334))&gt;(SUM(S1325:S1334)),(((SUM(S1325:S1334))-(SUM(B1325:F1334)-C1333))*N1324)+((SUM(B1334:F1334)-C1333)*N1324),SUM(B1334:F1334)*N1324),IF(SUM(B1325:F1334)&gt;(SUM(S1325:S1334)),S1334*N1324,SUM(B1334:F1334)*N1324)),2)))</f>
        <v>0</v>
      </c>
      <c r="O1334" s="21">
        <f>ROUND(SUM(B1334+C1334+F1334)*O1324,2)</f>
        <v>0</v>
      </c>
      <c r="P1334" s="25">
        <f t="shared" si="216"/>
        <v>0</v>
      </c>
      <c r="Q1334" s="936"/>
      <c r="R1334" s="140">
        <f>ROUND(IF(M1303="",R1319,R1319/M1303*P1311),2)</f>
        <v>5175</v>
      </c>
      <c r="S1334" s="140">
        <f>ROUND(IF(M1303="",R1320,R1320/M1303*P1311),2)</f>
        <v>7450</v>
      </c>
      <c r="U1334" s="950">
        <f t="shared" si="217"/>
        <v>0</v>
      </c>
      <c r="V1334" s="950">
        <f>SUM(B1325:F1334)</f>
        <v>0</v>
      </c>
      <c r="X1334" s="1"/>
    </row>
    <row r="1335" spans="1:24" s="11" customFormat="1" x14ac:dyDescent="0.2">
      <c r="A1335" s="76" t="str">
        <f>CONCATENATE("Nov ",O1301)</f>
        <v>Nov 2025</v>
      </c>
      <c r="B1335" s="22">
        <f>ROUND(IF(P1312=0,0,IFERROR(((LOOKUP(2,1/(A1310:A1313=A1335),G1310:G1313))*P1312*4.348),B1334/P1311*P1312)),2)</f>
        <v>0</v>
      </c>
      <c r="C1335" s="21">
        <f>ROUND(IFERROR((LOOKUP(2,1/(A1316=A1335),E1316)),0)+(IFERROR((LOOKUP(2,1/(A1317=A1335),E1317)),0)),2)</f>
        <v>0</v>
      </c>
      <c r="D1335" s="21">
        <f>ROUND(IF(B1335=0,0,D1324/M1303*P1312),2)</f>
        <v>0</v>
      </c>
      <c r="E1335" s="21">
        <f>ROUND(IF(B1335=0,0,E1324/N1299*P1312),2)</f>
        <v>0</v>
      </c>
      <c r="F1335" s="22">
        <f>ROUND(IF(P1312=0,0,IFERROR(((LOOKUP(2,1/(A1310:A1313=A1335),I1310:I1313))/N1299*P1312),F1334/P1311*P1312)),2)</f>
        <v>0</v>
      </c>
      <c r="G1335" s="25">
        <f t="shared" si="215"/>
        <v>0</v>
      </c>
      <c r="H1335" s="64">
        <f>IF(B1335=0,0,IF(AND(H1316="ja",((U1335)&lt;R1341)),ROUND(((R1343*R1340+((R1341/(R1341-R1340))-(R1340/(R1341-R1340))*R1343)*((U1335)-R1340))*(H1324*2))-(((R1341/(R1341-R1340))*((U1335)-R1340))*H1324),2),ROUND(IF(V1334&lt;(SUM(R1325:R1334)),IF((V1335)&gt;(SUM(R1325:R1335)),(((SUM(R1325:R1335))-(V1335-C1334))*H1324)+((U1335-C1334)*H1324),U1335*H1324),IF(V1335&gt;(SUM(R1325:R1335)),R1335*H1324,U1335*H1324)),2)))</f>
        <v>0</v>
      </c>
      <c r="I1335" s="64">
        <f>IF(B1335=0,0,IF(AND(H1316="ja",((U1335)&lt;R1341)),ROUND(((R1343*R1340+((R1341/(R1341-R1340))-(R1340/(R1341-R1340))*R1343)*((U1335)-R1340))*(I1324*2))-(((R1341/(R1341-R1340))*((U1335)-R1340))*I1324),2),ROUND(IF(V1334&lt;(SUM(S1325:S1334)),IF((V1335)&gt;(SUM(S1325:S1335)),(((SUM(S1325:S1335))-(V1335-C1334))*I1324)+((U1335-C1334)*I1324),U1335*I1324),IF(V1335&gt;(SUM(S1325:S1335)),S1335*I1324,U1335*I1324)),2)))</f>
        <v>0</v>
      </c>
      <c r="J1335" s="64">
        <f>IF(B1335=0,0,IF(AND(H1316="ja",((U1335)&lt;R1341)),ROUND(((R1343*R1340+((R1341/(R1341-R1340))-(R1340/(R1341-R1340))*R1343)*((U1335)-R1340))*(J1324*2))-(((R1341/(R1341-R1340))*((U1335)-R1340))*J1324),2),ROUND(IF(V1334&lt;(SUM(S1325:S1334)),IF((V1335)&gt;(SUM(S1325:S1335)),(((SUM(S1325:S1335))-(V1335-C1334))*J1324)+((U1335-C1334)*J1324),U1335*J1324),IF(V1335&gt;(SUM(S1325:S1335)),S1335*J1324,U1335*J1324)),2)))</f>
        <v>0</v>
      </c>
      <c r="K1335" s="64">
        <f>IF(B1335=0,0,IF(AND(H1316="ja",((U1335)&lt;R1341)),ROUND(((R1343*R1340+((R1341/(R1341-R1340))-(R1340/(R1341-R1340))*R1343)*((U1335)-R1340))*(K1324*2))-(((R1341/(R1341-R1340))*((U1335)-R1340))*K1324),2),ROUND(IF(V1334&lt;(SUM(R1325:R1334)),IF((V1335)&gt;(SUM(R1325:R1335)),(((SUM(R1325:R1335))-(V1335-C1334))*K1324)+((U1335-C1334)*K1324),U1335*K1324),IF(V1335&gt;(SUM(R1325:R1335)),R1335*K1324,U1335*K1324)),2)))</f>
        <v>0</v>
      </c>
      <c r="L1335" s="64">
        <f>IF(B1335=0,0,IF(AND(H1316="ja",((U1335-C1335)&lt;R1341)),ROUND(((R1343*R1340+((R1341/(R1341-R1340))-(R1340/(R1341-R1340))*R1343)*((U1335-C1335)-R1340))*(L1324)),2),ROUND(IF(SUM(B1325:F1334)&lt;(SUM(S1325:S1334)),IF((SUM(B1325:F1335))&gt;(SUM(S1325:S1335)),(((SUM(S1325:S1335))-(SUM(B1325:F1335)-C1335))*L1324)+((SUM(B1335:F1335)-C1335)*L1324),(SUM(B1335:F1335)-C1335)*L1324),IF(SUM(B1325:F1335)&gt;(SUM(S1325:S1335)),S1335*L1324,SUM(B1335:F1335)*L1324)),2)))</f>
        <v>0</v>
      </c>
      <c r="M1335" s="64">
        <f>IF(B1335=0,0,IF(AND(H1316="ja",((U1335-C1335)&lt;R1341)),ROUND(((R1343*R1340+((R1341/(R1341-R1340))-(R1340/(R1341-R1340))*R1343)*((U1335-C1335)-R1340))*(M1324)),2),ROUND(IF(SUM(B1325:F1334)&lt;(SUM(S1325:S1334)),IF((SUM(B1325:F1335))&gt;(SUM(S1325:S1335)),(((SUM(S1325:S1335))-(SUM(B1325:F1335)-C1335))*M1324)+((SUM(B1335:F1335)-C1335)*M1324),(SUM(B1335:F1335)-C1335)*M1324),IF(SUM(B1325:F1335)&gt;(SUM(S1325:S1335)),S1335*M1324,SUM(B1335:F1335)*M1324)),2)))</f>
        <v>0</v>
      </c>
      <c r="N1335" s="64">
        <f>IF(B1335=0,0,IF(AND(H1316="ja",((U1335)&lt;R1341)),ROUND(((R1343*R1340+((R1341/(R1341-R1340))-(R1340/(R1341-R1340))*R1343)*((U1335)-R1340))*(N1324)),2),ROUND(IF(SUM(B1325:F1334)&lt;(SUM(S1325:S1334)),IF((SUM(B1325:F1335))&gt;(SUM(S1325:S1335)),(((SUM(S1325:S1335))-(SUM(B1325:F1335)-C1334))*N1324)+((SUM(B1335:F1335)-C1334)*N1324),SUM(B1335:F1335)*N1324),IF(SUM(B1325:F1335)&gt;(SUM(S1325:S1335)),S1335*N1324,SUM(B1335:F1335)*N1324)),2)))</f>
        <v>0</v>
      </c>
      <c r="O1335" s="21">
        <f>ROUND(SUM(B1335+C1335+F1335)*O1324,2)</f>
        <v>0</v>
      </c>
      <c r="P1335" s="25">
        <f t="shared" si="216"/>
        <v>0</v>
      </c>
      <c r="R1335" s="140">
        <f>ROUND(IF(M1303="",R1319,R1319/M1303*P1312),2)</f>
        <v>5175</v>
      </c>
      <c r="S1335" s="140">
        <f>ROUND(IF(M1303="",R1320,R1320/M1303*P1312),2)</f>
        <v>7450</v>
      </c>
      <c r="U1335" s="950">
        <f t="shared" si="217"/>
        <v>0</v>
      </c>
      <c r="V1335" s="950">
        <f>SUM(B1325:F1335)</f>
        <v>0</v>
      </c>
      <c r="X1335" s="1"/>
    </row>
    <row r="1336" spans="1:24" s="1" customFormat="1" ht="14.25" customHeight="1" x14ac:dyDescent="0.2">
      <c r="A1336" s="76" t="str">
        <f>CONCATENATE("Dez ",O1301)</f>
        <v>Dez 2025</v>
      </c>
      <c r="B1336" s="22">
        <f>ROUND(IF(P1313=0,0,IFERROR(((LOOKUP(2,1/(A1310:A1313=A1336),G1310:G1313))*P1313*4.348),B1335/P1312*P1313)),2)</f>
        <v>0</v>
      </c>
      <c r="C1336" s="21">
        <f>ROUND(IFERROR((LOOKUP(2,1/(A1316=A1336),E1316)),0)+IFERROR((LOOKUP(2,1/(A1317=A1336),E1317)),0),2)</f>
        <v>0</v>
      </c>
      <c r="D1336" s="21">
        <f>ROUND(IF(B1336=0,0,D1324/M1303*P1313),2)</f>
        <v>0</v>
      </c>
      <c r="E1336" s="21">
        <f>ROUND(IF(B1336=0,0,E1324/N1299*P1313),2)</f>
        <v>0</v>
      </c>
      <c r="F1336" s="22">
        <f>ROUND(IF(P1313=0,0,IFERROR(((LOOKUP(2,1/(A1310:A1313=A1336),I1310:I1313))/N1299*P1313),F1335/P1312*P1313)),2)</f>
        <v>0</v>
      </c>
      <c r="G1336" s="25">
        <f t="shared" si="215"/>
        <v>0</v>
      </c>
      <c r="H1336" s="64">
        <f>IF(B1336=0,0,IF(AND(H1316="ja",((U1336)&lt;R1341)),ROUND(((R1343*R1340+((R1341/(R1341-R1340))-(R1340/(R1341-R1340))*R1343)*((U1336)-R1340))*(H1324*2))-(((R1341/(R1341-R1340))*((U1336)-R1340))*H1324),2),ROUND(IF(V1335&lt;(SUM(R1325:R1335)),IF((V1336)&gt;(SUM(R1325:R1336)),(((SUM(R1325:R1336))-(V1336-C1335))*H1324)+((U1336-C1335)*H1324),U1336*H1324),IF(V1336&gt;(SUM(R1325:R1336)),R1336*H1324,U1336*H1324)),2)))</f>
        <v>0</v>
      </c>
      <c r="I1336" s="64">
        <f>IF(B1336=0,0,IF(AND(H1316="ja",((U1336)&lt;R1341)),ROUND(((R1343*R1340+((R1341/(R1341-R1340))-(R1340/(R1341-R1340))*R1343)*((U1336)-R1340))*(I1324*2))-(((R1341/(R1341-R1340))*((U1336)-R1340))*I1324),2),ROUND(IF(V1335&lt;(SUM(S1325:S1335)),IF((V1336)&gt;(SUM(S1325:S1336)),(((SUM(S1325:S1336))-(V1336-C1335))*I1324)+((U1336-C1335)*I1324),U1336*I1324),IF(V1336&gt;(SUM(S1325:S1336)),S1336*I1324,U1336*I1324)),2)))</f>
        <v>0</v>
      </c>
      <c r="J1336" s="64">
        <f>IF(B1336=0,0,IF(AND(H1316="ja",((U1336)&lt;R1341)),ROUND(((R1343*R1340+((R1341/(R1341-R1340))-(R1340/(R1341-R1340))*R1343)*((U1336)-R1340))*(J1324*2))-(((R1341/(R1341-R1340))*((U1336)-R1340))*J1324),2),ROUND(IF(V1335&lt;(SUM(S1325:S1335)),IF((V1336)&gt;(SUM(S1325:S1336)),(((SUM(S1325:S1336))-(V1336-C1335))*J1324)+((U1336-C1335)*J1324),U1336*J1324),IF(V1336&gt;(SUM(S1325:S1336)),S1336*J1324,U1336*J1324)),2)))</f>
        <v>0</v>
      </c>
      <c r="K1336" s="64">
        <f>IF(B1336=0,0,IF(AND(H1316="ja",((U1336)&lt;R1341)),ROUND(((R1343*R1340+((R1341/(R1341-R1340))-(R1340/(R1341-R1340))*R1343)*((U1336)-R1340))*(K1324*2))-(((R1341/(R1341-R1340))*((U1336)-R1340))*K1324),2),ROUND(IF(V1335&lt;(SUM(R1325:R1335)),IF((V1336)&gt;(SUM(R1325:R1336)),(((SUM(R1325:R1336))-(V1336-C1335))*K1324)+((U1336-C1335)*K1324),U1336*K1324),IF(V1336&gt;(SUM(R1325:R1336)),R1336*K1324,U1336*K1324)),2)))</f>
        <v>0</v>
      </c>
      <c r="L1336" s="64">
        <f>IF(B1336=0,0,IF(AND(H1316="ja",((U1336-C1336)&lt;R1341)),ROUND(((R1343*R1340+((R1341/(R1341-R1340))-(R1340/(R1341-R1340))*R1343)*((U1336-C1336)-R1340))*(L1324)),2),ROUND(IF(SUM(B1325:F1335)&lt;(SUM(S1325:S1335)),IF((SUM(B1325:F1336))&gt;(SUM(S1325:S1336)),(((SUM(S1325:S1336))-(SUM(B1325:F1336)-C1336))*L1324)+((SUM(B1336:F1336)-C1336)*L1324),(SUM(B1336:F1336)-C1336)*L1324),IF(SUM(B1325:F1336)&gt;(SUM(S1325:S1336)),S1336*L1324,SUM(B1336:F1336)*L1324)),2)))</f>
        <v>0</v>
      </c>
      <c r="M1336" s="64">
        <f>IF(B1336=0,0,IF(AND(H1316="ja",((U1336-C1336)&lt;R1341)),ROUND(((R1343*R1340+((R1341/(R1341-R1340))-(R1340/(R1341-R1340))*R1343)*((U1336-C1336)-R1340))*(M1324)),2),ROUND(IF(SUM(B1325:F1335)&lt;(SUM(S1325:S1335)),IF((SUM(B1325:F1336))&gt;(SUM(S1325:S1336)),(((SUM(S1325:S1336))-(SUM(B1325:F1336)-C1336))*M1324)+((SUM(B1336:F1336)-C1336)*M1324),(SUM(B1336:F1336)-C1336)*M1324),IF(SUM(B1325:F1336)&gt;(SUM(S1325:S1336)),S1336*M1324,SUM(B1336:F1336)*M1324)),2)))</f>
        <v>0</v>
      </c>
      <c r="N1336" s="64">
        <f>IF(B1336=0,0,IF(AND(H1316="ja",((U1336)&lt;R1341)),ROUND(((R1343*R1340+((R1341/(R1341-R1340))-(R1340/(R1341-R1340))*R1343)*((U1336)-R1340))*(N1324)),2),ROUND(IF(SUM(B1325:F1335)&lt;(SUM(S1325:S1335)),IF((SUM(B1325:F1336))&gt;(SUM(S1325:S1336)),(((SUM(S1325:S1336))-(SUM(B1325:F1336)-C1335))*N1324)+((SUM(B1336:F1336)-C1335)*N1324),SUM(B1336:F1336)*N1324),IF(SUM(B1325:F1336)&gt;(SUM(S1325:S1336)),S1336*N1324,SUM(B1336:F1336)*N1324)),2)))</f>
        <v>0</v>
      </c>
      <c r="O1336" s="21">
        <f>ROUND(SUM(B1336+C1336+F1336)*O1324,2)</f>
        <v>0</v>
      </c>
      <c r="P1336" s="25">
        <f t="shared" si="216"/>
        <v>0</v>
      </c>
      <c r="Q1336" s="11"/>
      <c r="R1336" s="140">
        <f>ROUND(IF(M1303="",R1319,R1319/M1303*P1313),2)</f>
        <v>5175</v>
      </c>
      <c r="S1336" s="140">
        <f>ROUND(IF(M1303="",R1320,R1320/M1303*P1313),2)</f>
        <v>7450</v>
      </c>
      <c r="U1336" s="950">
        <f t="shared" si="217"/>
        <v>0</v>
      </c>
      <c r="V1336" s="950">
        <f>SUM(B1325:F1336)</f>
        <v>0</v>
      </c>
    </row>
    <row r="1337" spans="1:24" s="1" customFormat="1" ht="15" customHeight="1" x14ac:dyDescent="0.2">
      <c r="A1337" s="2" t="s">
        <v>1</v>
      </c>
      <c r="B1337" s="25">
        <f t="shared" ref="B1337:G1337" si="218">SUM(B1325:B1336)</f>
        <v>0</v>
      </c>
      <c r="C1337" s="25">
        <f t="shared" si="218"/>
        <v>0</v>
      </c>
      <c r="D1337" s="25">
        <f t="shared" si="218"/>
        <v>0</v>
      </c>
      <c r="E1337" s="25">
        <f t="shared" si="218"/>
        <v>0</v>
      </c>
      <c r="F1337" s="25">
        <f t="shared" si="218"/>
        <v>0</v>
      </c>
      <c r="G1337" s="25">
        <f t="shared" si="218"/>
        <v>0</v>
      </c>
      <c r="H1337" s="1309">
        <f>SUM(H1325:N1336)</f>
        <v>0</v>
      </c>
      <c r="I1337" s="1310"/>
      <c r="J1337" s="1310"/>
      <c r="K1337" s="1310"/>
      <c r="L1337" s="1310"/>
      <c r="M1337" s="1310"/>
      <c r="N1337" s="1311"/>
      <c r="O1337" s="25">
        <f>SUM(O1325:O1336)</f>
        <v>0</v>
      </c>
      <c r="P1337" s="25">
        <f>SUM(P1325:P1336)</f>
        <v>0</v>
      </c>
    </row>
    <row r="1338" spans="1:24" s="1" customFormat="1" ht="12" customHeight="1" x14ac:dyDescent="0.2"/>
    <row r="1339" spans="1:24" s="1" customFormat="1" ht="14.25" customHeight="1" x14ac:dyDescent="0.2">
      <c r="B1339" s="906"/>
      <c r="H1339" s="905"/>
      <c r="I1339" s="62"/>
      <c r="J1339" s="914" t="s">
        <v>123</v>
      </c>
      <c r="L1339" s="900" t="s">
        <v>124</v>
      </c>
      <c r="M1339" s="974" t="str">
        <f>IF(IF(G1337=0,"",'päd.Personal - Leitung'!$M$43)=0,"",IF(G1337=0,"",'päd.Personal - Leitung'!$M$43))</f>
        <v/>
      </c>
      <c r="N1339" s="902" t="s">
        <v>125</v>
      </c>
      <c r="O1339" s="963" t="str">
        <f>IF(IF(G1337=0,"",'päd.Personal - Leitung'!$O$43)=0,"",IF(G1337=0,"",'päd.Personal - Leitung'!$O$43))</f>
        <v/>
      </c>
      <c r="P1339" s="25">
        <f>ROUND(IF(M1339="",0,G1337*M1339*O1339/1000),2)</f>
        <v>0</v>
      </c>
      <c r="Q1339" s="937"/>
      <c r="R1339" s="938">
        <v>2025</v>
      </c>
      <c r="S1339" s="939"/>
    </row>
    <row r="1340" spans="1:24" s="1" customFormat="1" ht="14.25" customHeight="1" x14ac:dyDescent="0.2">
      <c r="H1340" s="907"/>
      <c r="I1340" s="42"/>
      <c r="M1340" s="915" t="s">
        <v>129</v>
      </c>
      <c r="N1340" s="80" t="s">
        <v>125</v>
      </c>
      <c r="O1340" s="75" t="str">
        <f>IF(IF(G1337=0,"",'päd.Personal - Leitung'!$O$44)=0,"",IF(G1337=0,"",'päd.Personal - Leitung'!$O$44))</f>
        <v/>
      </c>
      <c r="P1340" s="25">
        <f>ROUND(IF(O1340="",0,G1337*O1340/1000),2)</f>
        <v>0</v>
      </c>
      <c r="Q1340" s="942" t="s">
        <v>737</v>
      </c>
      <c r="R1340" s="141">
        <f>'päd.Personal - Leitung'!$R$44</f>
        <v>556</v>
      </c>
      <c r="S1340" s="955">
        <f>'päd.Personal - Leitung'!$S$44</f>
        <v>12.82</v>
      </c>
    </row>
    <row r="1341" spans="1:24" s="1" customFormat="1" ht="14.25" customHeight="1" x14ac:dyDescent="0.2">
      <c r="H1341" s="912" t="s">
        <v>126</v>
      </c>
      <c r="I1341" s="1013" t="s">
        <v>127</v>
      </c>
      <c r="J1341" s="975" t="str">
        <f>IF(IF(G1337=0,"",'päd.Personal - Leitung'!$J$45)=0,"",IF(G1337=0,"",'päd.Personal - Leitung'!$J$45))</f>
        <v/>
      </c>
      <c r="K1341" s="902" t="s">
        <v>128</v>
      </c>
      <c r="L1341" s="964" t="str">
        <f>IF(IF(G1337=0,"",'päd.Personal - Leitung'!$L$45)=0,"",IF(G1337=0,"",'päd.Personal - Leitung'!$L$45))</f>
        <v/>
      </c>
      <c r="M1341" s="16"/>
      <c r="N1341" s="900" t="s">
        <v>132</v>
      </c>
      <c r="O1341" s="965" t="str">
        <f>IF(IF(G1337=0,"",'päd.Personal - Leitung'!$O$45)=0,"",IF(G1337=0,"",'päd.Personal - Leitung'!$O$45))</f>
        <v/>
      </c>
      <c r="P1341" s="25">
        <f>ROUND(IF(J1341="",0,(J1341*L1341/O1341)/M1305*M1306),2)</f>
        <v>0</v>
      </c>
      <c r="Q1341" s="942" t="s">
        <v>738</v>
      </c>
      <c r="R1341" s="140">
        <f>'päd.Personal - Leitung'!$R$45</f>
        <v>2000</v>
      </c>
      <c r="S1341" s="939"/>
    </row>
    <row r="1342" spans="1:24" s="1" customFormat="1" ht="14.25" customHeight="1" x14ac:dyDescent="0.2">
      <c r="D1342" s="16"/>
      <c r="I1342" s="16"/>
      <c r="J1342" s="16"/>
      <c r="K1342" s="63"/>
      <c r="L1342" s="67"/>
      <c r="M1342" s="915" t="s">
        <v>130</v>
      </c>
      <c r="N1342" s="80" t="s">
        <v>131</v>
      </c>
      <c r="O1342" s="904">
        <f>IF(IF(G1337="",0,'päd.Personal - Leitung'!$O$94)=0,0,IF(G1337="",0,'päd.Personal - Leitung'!$O$94))</f>
        <v>0</v>
      </c>
      <c r="P1342" s="21">
        <f>ROUND(IF(G1337=0,0,O1342/M1303*M1304),2)</f>
        <v>0</v>
      </c>
      <c r="Q1342" s="942" t="s">
        <v>740</v>
      </c>
      <c r="R1342" s="956">
        <f>'päd.Personal - Leitung'!$R$46</f>
        <v>0.40900000000000003</v>
      </c>
    </row>
    <row r="1343" spans="1:24" s="1" customFormat="1" ht="14.25" customHeight="1" x14ac:dyDescent="0.2">
      <c r="A1343" s="16"/>
      <c r="B1343" s="16"/>
      <c r="I1343" s="905"/>
      <c r="J1343" s="961" t="s">
        <v>176</v>
      </c>
      <c r="K1343" s="1312" t="str">
        <f>IF($K$47="","",$K$47)</f>
        <v/>
      </c>
      <c r="L1343" s="1312"/>
      <c r="M1343" s="1312"/>
      <c r="N1343" s="80" t="s">
        <v>131</v>
      </c>
      <c r="O1343" s="904">
        <f>IF(IF(G1337="",0,'päd.Personal - Leitung'!$O$95)=0,0,IF(G1337="",0,'päd.Personal - Leitung'!$O$95))</f>
        <v>0</v>
      </c>
      <c r="P1343" s="21">
        <f>ROUND(IF(G1337=0,0,O1343/M1303*M1304),2)</f>
        <v>0</v>
      </c>
      <c r="Q1343" s="942" t="s">
        <v>739</v>
      </c>
      <c r="R1343" s="940">
        <f>'päd.Personal - Leitung'!$R$47</f>
        <v>0.68459999999999999</v>
      </c>
      <c r="S1343" s="957">
        <f>'päd.Personal - Leitung'!$S$47</f>
        <v>0.28000000000000003</v>
      </c>
    </row>
    <row r="1344" spans="1:24" s="1" customFormat="1" ht="14.25" customHeight="1" x14ac:dyDescent="0.2">
      <c r="A1344" s="908"/>
      <c r="B1344" s="908"/>
      <c r="C1344" s="1013"/>
      <c r="D1344" s="1013"/>
      <c r="I1344" s="913"/>
      <c r="J1344" s="913"/>
      <c r="K1344" s="916"/>
      <c r="L1344" s="27"/>
      <c r="M1344" s="27"/>
      <c r="N1344" s="27"/>
      <c r="O1344" s="26" t="s">
        <v>0</v>
      </c>
      <c r="P1344" s="25">
        <f>P1337+SUM(P1339:P1343)</f>
        <v>0</v>
      </c>
    </row>
    <row r="1345" spans="1:19" s="10" customFormat="1" ht="13.5" customHeight="1" x14ac:dyDescent="0.2">
      <c r="A1345" s="1321" t="s">
        <v>17</v>
      </c>
      <c r="B1345" s="1321"/>
      <c r="C1345" s="1321"/>
      <c r="D1345" s="1320" t="str">
        <f>IF('päd.Personal - Leitung'!$D$1="","",'päd.Personal - Leitung'!$D$1)</f>
        <v/>
      </c>
      <c r="E1345" s="1320"/>
      <c r="F1345" s="1320"/>
      <c r="G1345" s="1320"/>
      <c r="H1345" s="1320"/>
      <c r="I1345" s="1320"/>
      <c r="J1345" s="1320"/>
      <c r="K1345" s="1320"/>
      <c r="L1345" s="1320"/>
      <c r="M1345" s="1320"/>
      <c r="N1345" s="1320"/>
    </row>
    <row r="1346" spans="1:19" s="10" customFormat="1" ht="15" customHeight="1" x14ac:dyDescent="0.2">
      <c r="A1346" s="1321" t="s">
        <v>16</v>
      </c>
      <c r="B1346" s="1321"/>
      <c r="C1346" s="1321" t="s">
        <v>14</v>
      </c>
      <c r="D1346" s="1320" t="str">
        <f>IF('päd.Personal - Leitung'!$D$2="","",'päd.Personal - Leitung'!$D$2)</f>
        <v/>
      </c>
      <c r="E1346" s="1320"/>
      <c r="F1346" s="1320"/>
      <c r="G1346" s="1320"/>
      <c r="H1346" s="1320"/>
      <c r="I1346" s="1320"/>
      <c r="J1346" s="1320"/>
      <c r="K1346" s="1320"/>
      <c r="L1346" s="1320"/>
      <c r="M1346" s="1320"/>
      <c r="N1346" s="1320"/>
    </row>
    <row r="1347" spans="1:19" s="10" customFormat="1" ht="15" customHeight="1" x14ac:dyDescent="0.2">
      <c r="A1347" s="1321" t="s">
        <v>15</v>
      </c>
      <c r="B1347" s="1321"/>
      <c r="C1347" s="1321" t="s">
        <v>14</v>
      </c>
      <c r="D1347" s="1320" t="str">
        <f>IF('päd.Personal - Leitung'!$D$3="","",'päd.Personal - Leitung'!$D$3)</f>
        <v/>
      </c>
      <c r="E1347" s="1320"/>
      <c r="F1347" s="1320"/>
      <c r="G1347" s="1320"/>
      <c r="H1347" s="1320"/>
      <c r="I1347" s="1320"/>
      <c r="J1347" s="1320"/>
      <c r="K1347" s="1321" t="s">
        <v>100</v>
      </c>
      <c r="L1347" s="1321"/>
      <c r="M1347" s="1321"/>
      <c r="N1347" s="38" t="str">
        <f>IF('päd.Personal - Leitung'!$N$3="","",'päd.Personal - Leitung'!$N$3)</f>
        <v/>
      </c>
    </row>
    <row r="1348" spans="1:19" s="923" customFormat="1" ht="7.5" customHeight="1" x14ac:dyDescent="0.15">
      <c r="A1348" s="1353"/>
      <c r="B1348" s="1353"/>
      <c r="C1348" s="1353"/>
      <c r="D1348" s="1354"/>
      <c r="E1348" s="1354"/>
      <c r="F1348" s="1354"/>
      <c r="G1348" s="1354"/>
      <c r="H1348" s="1354"/>
      <c r="I1348" s="1354"/>
      <c r="J1348" s="1354"/>
      <c r="K1348" s="922"/>
      <c r="L1348" s="922"/>
      <c r="M1348" s="922"/>
      <c r="N1348" s="922"/>
      <c r="O1348" s="922"/>
      <c r="P1348" s="922"/>
    </row>
    <row r="1349" spans="1:19" s="13" customFormat="1" ht="13.5" customHeight="1" x14ac:dyDescent="0.2">
      <c r="A1349" s="1355" t="s">
        <v>151</v>
      </c>
      <c r="B1349" s="1355"/>
      <c r="C1349" s="1355"/>
      <c r="D1349" s="1355"/>
      <c r="E1349" s="1355"/>
      <c r="F1349" s="1355"/>
      <c r="G1349" s="1355"/>
      <c r="H1349" s="1355"/>
      <c r="I1349" s="1355"/>
      <c r="J1349" s="1355"/>
      <c r="K1349" s="7"/>
      <c r="L1349" s="7"/>
      <c r="M1349" s="7"/>
      <c r="N1349" s="52"/>
      <c r="O1349" s="138">
        <f>'päd.Personal - Leitung'!$O$5</f>
        <v>2025</v>
      </c>
      <c r="P1349" s="52" t="s">
        <v>140</v>
      </c>
    </row>
    <row r="1350" spans="1:19" s="8" customFormat="1" ht="13.5" customHeight="1" x14ac:dyDescent="0.25">
      <c r="B1350" s="29"/>
      <c r="C1350" s="29"/>
      <c r="D1350" s="3" t="s">
        <v>61</v>
      </c>
      <c r="E1350" s="28"/>
      <c r="F1350" s="28"/>
      <c r="G1350" s="28"/>
      <c r="H1350" s="28"/>
      <c r="I1350" s="24"/>
      <c r="K1350" s="1327" t="s">
        <v>13</v>
      </c>
      <c r="L1350" s="1327"/>
      <c r="M1350" s="131"/>
      <c r="O1350" s="928" t="str">
        <f>A1373</f>
        <v>Jan 2025</v>
      </c>
      <c r="P1350" s="1402">
        <f>IF(M1352="","",M1352)</f>
        <v>0</v>
      </c>
    </row>
    <row r="1351" spans="1:19" s="5" customFormat="1" ht="13.5" customHeight="1" x14ac:dyDescent="0.25">
      <c r="A1351" s="1328" t="s">
        <v>754</v>
      </c>
      <c r="B1351" s="1328"/>
      <c r="C1351" s="1328"/>
      <c r="D1351" s="1345"/>
      <c r="E1351" s="1345"/>
      <c r="F1351" s="1345"/>
      <c r="G1351" s="1345"/>
      <c r="H1351" s="1345"/>
      <c r="I1351" s="1345"/>
      <c r="K1351" s="1327" t="s">
        <v>101</v>
      </c>
      <c r="L1351" s="1327"/>
      <c r="M1351" s="101"/>
      <c r="O1351" s="928" t="str">
        <f t="shared" ref="O1351:O1361" si="219">A1374</f>
        <v>Feb 2025</v>
      </c>
      <c r="P1351" s="1403">
        <f t="shared" ref="P1351:P1361" si="220">IF(P1350="","",P1350)</f>
        <v>0</v>
      </c>
    </row>
    <row r="1352" spans="1:19" s="1" customFormat="1" ht="13.5" customHeight="1" x14ac:dyDescent="0.2">
      <c r="A1352" s="1328" t="s">
        <v>12</v>
      </c>
      <c r="B1352" s="1328"/>
      <c r="C1352" s="1328"/>
      <c r="D1352" s="1345"/>
      <c r="E1352" s="1345"/>
      <c r="F1352" s="1345"/>
      <c r="G1352" s="1345"/>
      <c r="H1352" s="1345"/>
      <c r="I1352" s="1345"/>
      <c r="K1352" s="1327" t="s">
        <v>149</v>
      </c>
      <c r="L1352" s="1327"/>
      <c r="M1352" s="101">
        <f>IF((M1353+M1354)&gt;M1351,0,M1351-M1353-M1354)</f>
        <v>0</v>
      </c>
      <c r="O1352" s="928" t="str">
        <f t="shared" si="219"/>
        <v>Mrz 2025</v>
      </c>
      <c r="P1352" s="1403">
        <f t="shared" si="220"/>
        <v>0</v>
      </c>
    </row>
    <row r="1353" spans="1:19" s="1" customFormat="1" ht="13.5" customHeight="1" x14ac:dyDescent="0.2">
      <c r="A1353" s="1328" t="s">
        <v>11</v>
      </c>
      <c r="B1353" s="1328"/>
      <c r="C1353" s="1328"/>
      <c r="D1353" s="1345"/>
      <c r="E1353" s="1345"/>
      <c r="F1353" s="1345"/>
      <c r="G1353" s="1345"/>
      <c r="H1353" s="1345"/>
      <c r="I1353" s="1345"/>
      <c r="K1353" s="1327" t="s">
        <v>150</v>
      </c>
      <c r="L1353" s="1327"/>
      <c r="M1353" s="101"/>
      <c r="O1353" s="928" t="str">
        <f t="shared" si="219"/>
        <v>Apr 2025</v>
      </c>
      <c r="P1353" s="1403">
        <f t="shared" si="220"/>
        <v>0</v>
      </c>
    </row>
    <row r="1354" spans="1:19" s="1" customFormat="1" ht="13.5" customHeight="1" x14ac:dyDescent="0.2">
      <c r="A1354" s="1328" t="s">
        <v>18</v>
      </c>
      <c r="B1354" s="1328"/>
      <c r="C1354" s="1328"/>
      <c r="D1354" s="1345"/>
      <c r="E1354" s="1345"/>
      <c r="F1354" s="1345"/>
      <c r="G1354" s="1345"/>
      <c r="H1354" s="1345"/>
      <c r="I1354" s="1345"/>
      <c r="K1354" s="1327" t="s">
        <v>222</v>
      </c>
      <c r="L1354" s="1327"/>
      <c r="M1354" s="101"/>
      <c r="O1354" s="928" t="str">
        <f t="shared" si="219"/>
        <v>Mai 2025</v>
      </c>
      <c r="P1354" s="1403">
        <f t="shared" si="220"/>
        <v>0</v>
      </c>
    </row>
    <row r="1355" spans="1:19" s="1" customFormat="1" ht="13.5" customHeight="1" x14ac:dyDescent="0.2">
      <c r="B1355" s="6"/>
      <c r="C1355" s="1029" t="s">
        <v>147</v>
      </c>
      <c r="D1355" s="1324"/>
      <c r="E1355" s="1324"/>
      <c r="F1355" s="1359" t="s">
        <v>103</v>
      </c>
      <c r="G1355" s="1359"/>
      <c r="H1355" s="1361"/>
      <c r="I1355" s="1361"/>
      <c r="K1355" s="1327" t="s">
        <v>94</v>
      </c>
      <c r="L1355" s="1327"/>
      <c r="M1355" s="15" t="str">
        <f>IF(IF((COUNTIF(B1373:B1384,"&gt;0"))=0,0,(COUNTIF(B1373:B1384,"&gt;0")))&gt;Grundlagen!$C$26,Grundlagen!$C$26,IF((COUNTIF(B1373:B1384,"&gt;0"))=0,"",(COUNTIF(B1373:B1384,"&gt;0"))))</f>
        <v/>
      </c>
      <c r="O1355" s="928" t="str">
        <f t="shared" si="219"/>
        <v>Jun 2025</v>
      </c>
      <c r="P1355" s="1403">
        <f t="shared" si="220"/>
        <v>0</v>
      </c>
    </row>
    <row r="1356" spans="1:19" s="1" customFormat="1" ht="13.5" customHeight="1" x14ac:dyDescent="0.2">
      <c r="I1356" s="4"/>
      <c r="M1356" s="102" t="str">
        <f>IF((SUM(F1358:F1361))=0,"",IF(P1362&gt;M1352,M1352,IF(M1352="","",IF(M1355="","",P1362))))</f>
        <v/>
      </c>
      <c r="O1356" s="928" t="str">
        <f t="shared" si="219"/>
        <v>Jul 2025</v>
      </c>
      <c r="P1356" s="1403">
        <f t="shared" si="220"/>
        <v>0</v>
      </c>
    </row>
    <row r="1357" spans="1:19" s="46" customFormat="1" ht="13.5" customHeight="1" x14ac:dyDescent="0.2">
      <c r="A1357" s="54" t="s">
        <v>134</v>
      </c>
      <c r="B1357" s="1356" t="s">
        <v>135</v>
      </c>
      <c r="C1357" s="1356"/>
      <c r="D1357" s="55" t="s">
        <v>136</v>
      </c>
      <c r="E1357" s="56" t="s">
        <v>137</v>
      </c>
      <c r="F1357" s="57" t="str">
        <f>CONCATENATE("Entg. ",N1347," h/Wo")</f>
        <v>Entg.  h/Wo</v>
      </c>
      <c r="G1357" s="58" t="s">
        <v>138</v>
      </c>
      <c r="I1357" s="58" t="s">
        <v>139</v>
      </c>
      <c r="K1357" s="970"/>
      <c r="L1357" s="970"/>
      <c r="M1357" s="59"/>
      <c r="N1357" s="968"/>
      <c r="O1357" s="928" t="str">
        <f t="shared" si="219"/>
        <v>Aug 2025</v>
      </c>
      <c r="P1357" s="1403">
        <f t="shared" si="220"/>
        <v>0</v>
      </c>
      <c r="Q1357" s="85"/>
      <c r="R1357" s="85"/>
      <c r="S1357" s="85"/>
    </row>
    <row r="1358" spans="1:19" s="46" customFormat="1" ht="13.5" customHeight="1" x14ac:dyDescent="0.25">
      <c r="A1358" s="48" t="str">
        <f>'päd.Personal - Leitung'!$A$14</f>
        <v>Jan 2025</v>
      </c>
      <c r="B1358" s="1357" t="str">
        <f>IF($D$3="","",$D$3)</f>
        <v/>
      </c>
      <c r="C1358" s="1358"/>
      <c r="D1358" s="132"/>
      <c r="E1358" s="132"/>
      <c r="F1358" s="71"/>
      <c r="G1358" s="50">
        <f>IF(N1347="",0,F1358/N1347/4.348)</f>
        <v>0</v>
      </c>
      <c r="I1358" s="125">
        <f>SUM(J1358:M1358)</f>
        <v>0</v>
      </c>
      <c r="J1358" s="124"/>
      <c r="K1358" s="124"/>
      <c r="L1358" s="124"/>
      <c r="M1358" s="124"/>
      <c r="N1358" s="969"/>
      <c r="O1358" s="928" t="str">
        <f t="shared" si="219"/>
        <v>Sep 2025</v>
      </c>
      <c r="P1358" s="1403">
        <f t="shared" si="220"/>
        <v>0</v>
      </c>
      <c r="Q1358" s="85"/>
      <c r="R1358" s="85"/>
      <c r="S1358" s="85"/>
    </row>
    <row r="1359" spans="1:19" s="46" customFormat="1" ht="13.5" customHeight="1" x14ac:dyDescent="0.25">
      <c r="A1359" s="49"/>
      <c r="B1359" s="1322" t="str">
        <f>IF(A1359="","",B1358)</f>
        <v/>
      </c>
      <c r="C1359" s="1323"/>
      <c r="D1359" s="132"/>
      <c r="E1359" s="132"/>
      <c r="F1359" s="71"/>
      <c r="G1359" s="50">
        <f>IF(N1347="",0,F1359/N1347/4.348)</f>
        <v>0</v>
      </c>
      <c r="I1359" s="125">
        <f t="shared" ref="I1359:I1361" si="221">SUM(J1359:M1359)</f>
        <v>0</v>
      </c>
      <c r="J1359" s="124"/>
      <c r="K1359" s="124"/>
      <c r="L1359" s="124"/>
      <c r="M1359" s="124"/>
      <c r="N1359" s="969"/>
      <c r="O1359" s="928" t="str">
        <f t="shared" si="219"/>
        <v>Okt 2025</v>
      </c>
      <c r="P1359" s="1403">
        <f t="shared" si="220"/>
        <v>0</v>
      </c>
      <c r="Q1359" s="85"/>
      <c r="R1359" s="85"/>
      <c r="S1359" s="85"/>
    </row>
    <row r="1360" spans="1:19" s="46" customFormat="1" ht="13.5" customHeight="1" x14ac:dyDescent="0.25">
      <c r="A1360" s="49"/>
      <c r="B1360" s="1322" t="str">
        <f>IF(A1360="","",B1359)</f>
        <v/>
      </c>
      <c r="C1360" s="1323"/>
      <c r="D1360" s="132"/>
      <c r="E1360" s="132"/>
      <c r="F1360" s="71"/>
      <c r="G1360" s="50">
        <f>IF(N1347="",0,F1360/N1347/4.348)</f>
        <v>0</v>
      </c>
      <c r="I1360" s="125">
        <f t="shared" si="221"/>
        <v>0</v>
      </c>
      <c r="J1360" s="124"/>
      <c r="K1360" s="124"/>
      <c r="L1360" s="124"/>
      <c r="M1360" s="124"/>
      <c r="N1360" s="969"/>
      <c r="O1360" s="928" t="str">
        <f t="shared" si="219"/>
        <v>Nov 2025</v>
      </c>
      <c r="P1360" s="1403">
        <f t="shared" si="220"/>
        <v>0</v>
      </c>
      <c r="Q1360" s="85"/>
      <c r="R1360" s="85"/>
      <c r="S1360" s="85"/>
    </row>
    <row r="1361" spans="1:22" s="46" customFormat="1" ht="13.5" customHeight="1" x14ac:dyDescent="0.25">
      <c r="A1361" s="49"/>
      <c r="B1361" s="1322" t="str">
        <f>IF(A1361="","",B1360)</f>
        <v/>
      </c>
      <c r="C1361" s="1323"/>
      <c r="D1361" s="132"/>
      <c r="E1361" s="132"/>
      <c r="F1361" s="71"/>
      <c r="G1361" s="50">
        <f>IF(N1347="",0,F1361/N1347/4.348)</f>
        <v>0</v>
      </c>
      <c r="I1361" s="125">
        <f t="shared" si="221"/>
        <v>0</v>
      </c>
      <c r="J1361" s="124"/>
      <c r="K1361" s="124"/>
      <c r="L1361" s="124"/>
      <c r="M1361" s="124"/>
      <c r="N1361" s="969"/>
      <c r="O1361" s="928" t="str">
        <f t="shared" si="219"/>
        <v>Dez 2025</v>
      </c>
      <c r="P1361" s="1403">
        <f t="shared" si="220"/>
        <v>0</v>
      </c>
      <c r="Q1361" s="85"/>
      <c r="R1361" s="85"/>
      <c r="S1361" s="85"/>
    </row>
    <row r="1362" spans="1:22" s="46" customFormat="1" ht="13.5" customHeight="1" x14ac:dyDescent="0.25">
      <c r="B1362" s="972"/>
      <c r="C1362" s="972"/>
      <c r="E1362" s="972"/>
      <c r="F1362" s="972"/>
      <c r="I1362" s="930" t="s">
        <v>730</v>
      </c>
      <c r="J1362" s="1060"/>
      <c r="K1362" s="1060"/>
      <c r="L1362" s="1060"/>
      <c r="M1362" s="1060"/>
      <c r="N1362" s="971"/>
      <c r="O1362" s="126" t="s">
        <v>221</v>
      </c>
      <c r="P1362" s="127">
        <f>IF(M1355="",0,((IF(SUMIF(B1373,"&gt;0"),P1350,0))+(IF(SUMIF(B1374,"&gt;0"),P1351,0))+(IF(SUMIF(B1375,"&gt;0"),P1352,0))+(IF(SUMIF(B1376,"&gt;0"),P1353,0))+(IF(SUMIF(B1377,"&gt;0"),P1354,0))+(IF(SUMIF(B1378,"&gt;0"),P1355,0))+(IF(SUMIF(B1379,"&gt;0"),P1356,0))+(IF(SUMIF(B1380,"&gt;0"),P1357,0))+(IF(SUMIF(B1381,"&gt;0"),P1358,0))+(IF(SUMIF(B1382,"&gt;0"),P1359,0))+(IF(SUMIF(B1383,"&gt;0"),P1360,0))+(IF(SUMIF(B1384,"&gt;0"),P1361,0)))/Grundlagen!$C$26)</f>
        <v>0</v>
      </c>
      <c r="Q1362" s="958" t="str">
        <f>CONCATENATE("BBG"," anteilig ",O1364)</f>
        <v>BBG anteilig 2025</v>
      </c>
      <c r="R1362" s="931" t="s">
        <v>659</v>
      </c>
      <c r="S1362" s="931" t="s">
        <v>398</v>
      </c>
      <c r="T1362" s="107"/>
    </row>
    <row r="1363" spans="1:22" s="46" customFormat="1" ht="13.5" customHeight="1" x14ac:dyDescent="0.2">
      <c r="A1363" s="924" t="s">
        <v>732</v>
      </c>
      <c r="D1363" s="55" t="s">
        <v>369</v>
      </c>
      <c r="E1363" s="56" t="s">
        <v>368</v>
      </c>
      <c r="F1363" s="58"/>
      <c r="J1363" s="61"/>
      <c r="Q1363" s="932" t="s">
        <v>144</v>
      </c>
      <c r="R1363" s="140">
        <f>IF(M1352=0,R1367,IF(M1351="",R1367,(SUM(R1373:R1384)/M1355)))</f>
        <v>5175</v>
      </c>
      <c r="S1363" s="933">
        <f>IF(M1352=0,S1367,IF(M1351="",S1367,SUM(R1373:R1384)))</f>
        <v>0</v>
      </c>
      <c r="T1363" s="107"/>
    </row>
    <row r="1364" spans="1:22" s="46" customFormat="1" ht="13.5" customHeight="1" x14ac:dyDescent="0.25">
      <c r="A1364" s="60"/>
      <c r="B1364" s="1314" t="str">
        <f>IF($B$20="","",$B$20)</f>
        <v>Jahressonderzahlung (JSZ)</v>
      </c>
      <c r="C1364" s="1315"/>
      <c r="D1364" s="926"/>
      <c r="E1364" s="929" t="str">
        <f>IF(A1364="","",ROUND((((SUM(B1379:B1381)+SUM(F1379:F1381))/3)*D1364)/Grundlagen!$C$26*M1355,2))</f>
        <v/>
      </c>
      <c r="G1364" s="941" t="s">
        <v>733</v>
      </c>
      <c r="H1364" s="943"/>
      <c r="I1364" s="1316" t="str">
        <f>CONCATENATE(R1387,":"," Übergangsbereich von ",R1388+0.01," €"," bis ",R1389," €")</f>
        <v>2025: Übergangsbereich von 556,01 € bis 2000 €</v>
      </c>
      <c r="J1364" s="1317"/>
      <c r="K1364" s="1317"/>
      <c r="L1364" s="1067"/>
      <c r="M1364" s="1067"/>
      <c r="N1364" s="1068" t="s">
        <v>736</v>
      </c>
      <c r="O1364" s="1069">
        <f>P1364+1</f>
        <v>2025</v>
      </c>
      <c r="P1364" s="1069" t="s">
        <v>721</v>
      </c>
      <c r="Q1364" s="932" t="s">
        <v>145</v>
      </c>
      <c r="R1364" s="140">
        <f>IF(M1352=0,R1368,IF(M1351="",R1368,(SUM(S1373:S1384)/M1355)))</f>
        <v>7450</v>
      </c>
      <c r="S1364" s="933">
        <f>IF(M1352=0,S1368,IF(M1351="",S1368,SUM(S1373:S1384)))</f>
        <v>0</v>
      </c>
      <c r="T1364" s="109"/>
    </row>
    <row r="1365" spans="1:22" s="1" customFormat="1" ht="14.25" customHeight="1" x14ac:dyDescent="0.2">
      <c r="A1365" s="60"/>
      <c r="B1365" s="1314" t="str">
        <f>IF($B$21="","",$B$21)</f>
        <v>Leistungsentgelt (LOB)</v>
      </c>
      <c r="C1365" s="1315"/>
      <c r="D1365" s="926"/>
      <c r="E1365" s="929" t="str">
        <f>IF(A1365="","",ROUND(((B1385+F1385)*D1365)/Grundlagen!$C$26*M1355,2))</f>
        <v/>
      </c>
      <c r="G1365" s="941" t="str">
        <f>IF(OR(H1364="",H1364="nein")=TRUE,"","Faktor (F):")</f>
        <v/>
      </c>
      <c r="H1365" s="949" t="str">
        <f>IF(OR(H1364="",H1364="nein")=TRUE,"",IF(H1364="","",R1391))</f>
        <v/>
      </c>
      <c r="I1365" s="1318" t="str">
        <f>IF(OR(H1364="",H1364="nein")=TRUE,"",IF(H1365="","",CONCATENATE(S1391*100,"%"," / ","(",R1390*100,"%"," Gesamt-SV-Beitragssatz 2024)")))</f>
        <v/>
      </c>
      <c r="J1365" s="1319"/>
      <c r="K1365" s="1319"/>
      <c r="L1365" s="1070"/>
      <c r="M1365" s="1070"/>
      <c r="N1365" s="1071" t="s">
        <v>144</v>
      </c>
      <c r="O1365" s="1072">
        <f>'päd.Personal - Leitung'!$O$21</f>
        <v>5175</v>
      </c>
      <c r="P1365" s="1072">
        <f>'päd.Personal - Leitung'!$P$21</f>
        <v>5175</v>
      </c>
      <c r="Q1365" s="11"/>
      <c r="R1365" s="11"/>
      <c r="S1365" s="11"/>
      <c r="T1365" s="109"/>
    </row>
    <row r="1366" spans="1:22" s="1" customFormat="1" ht="14.25" customHeight="1" x14ac:dyDescent="0.2">
      <c r="C1366" s="925" t="s">
        <v>731</v>
      </c>
      <c r="L1366" s="1070"/>
      <c r="M1366" s="1070"/>
      <c r="N1366" s="1071" t="s">
        <v>145</v>
      </c>
      <c r="O1366" s="1073">
        <f>'päd.Personal - Leitung'!$O$22</f>
        <v>7450</v>
      </c>
      <c r="P1366" s="1073">
        <f>'päd.Personal - Leitung'!$P$22</f>
        <v>7450</v>
      </c>
      <c r="Q1366" s="958" t="str">
        <f>CONCATENATE("BBG"," ",O1364)</f>
        <v>BBG 2025</v>
      </c>
      <c r="R1366" s="11"/>
      <c r="S1366" s="11"/>
      <c r="T1366" s="109"/>
    </row>
    <row r="1367" spans="1:22" s="1" customFormat="1" ht="14.25" customHeight="1" x14ac:dyDescent="0.2">
      <c r="A1367" s="53" t="s">
        <v>141</v>
      </c>
      <c r="B1367" s="46"/>
      <c r="C1367" s="46"/>
      <c r="D1367" s="46"/>
      <c r="E1367" s="46"/>
      <c r="F1367" s="46"/>
      <c r="G1367" s="46"/>
      <c r="H1367" s="46"/>
      <c r="I1367" s="46"/>
      <c r="J1367" s="46"/>
      <c r="K1367" s="46"/>
      <c r="L1367" s="46"/>
      <c r="M1367" s="46"/>
      <c r="N1367" s="46"/>
      <c r="O1367" s="46"/>
      <c r="P1367" s="46"/>
      <c r="Q1367" s="932" t="s">
        <v>144</v>
      </c>
      <c r="R1367" s="141">
        <f>IF($O$21="",0,$O$21)</f>
        <v>5175</v>
      </c>
      <c r="S1367" s="933">
        <f>R1367*IF(M1355="",0,M1355)</f>
        <v>0</v>
      </c>
      <c r="T1367" s="295"/>
    </row>
    <row r="1368" spans="1:22" s="1" customFormat="1" ht="14.25" customHeight="1" x14ac:dyDescent="0.2">
      <c r="A1368" s="1346"/>
      <c r="B1368" s="1348" t="s">
        <v>8</v>
      </c>
      <c r="C1368" s="1349"/>
      <c r="D1368" s="1349"/>
      <c r="E1368" s="1349"/>
      <c r="F1368" s="1349"/>
      <c r="G1368" s="1350"/>
      <c r="H1368" s="1351" t="s">
        <v>113</v>
      </c>
      <c r="I1368" s="1352"/>
      <c r="J1368" s="1352"/>
      <c r="K1368" s="1352"/>
      <c r="L1368" s="1352"/>
      <c r="M1368" s="1352"/>
      <c r="N1368" s="1352"/>
      <c r="O1368" s="30"/>
      <c r="P1368" s="1330" t="s">
        <v>0</v>
      </c>
      <c r="Q1368" s="932" t="s">
        <v>145</v>
      </c>
      <c r="R1368" s="141">
        <f>IF($O$22="",0,$O$22)</f>
        <v>7450</v>
      </c>
      <c r="S1368" s="933">
        <f>R1368*IF(M1355="",0,M1355)</f>
        <v>0</v>
      </c>
      <c r="T1368" s="830"/>
    </row>
    <row r="1369" spans="1:22" s="1" customFormat="1" ht="14.25" customHeight="1" x14ac:dyDescent="0.2">
      <c r="A1369" s="1347"/>
      <c r="B1369" s="1333" t="s">
        <v>111</v>
      </c>
      <c r="C1369" s="1335" t="s">
        <v>743</v>
      </c>
      <c r="D1369" s="1337" t="s">
        <v>226</v>
      </c>
      <c r="E1369" s="1339" t="s">
        <v>133</v>
      </c>
      <c r="F1369" s="1030" t="s">
        <v>6</v>
      </c>
      <c r="G1369" s="1340" t="s">
        <v>5</v>
      </c>
      <c r="H1369" s="1339" t="s">
        <v>119</v>
      </c>
      <c r="I1369" s="1339" t="s">
        <v>4</v>
      </c>
      <c r="J1369" s="1339" t="s">
        <v>3</v>
      </c>
      <c r="K1369" s="1339" t="s">
        <v>2</v>
      </c>
      <c r="L1369" s="1339" t="s">
        <v>114</v>
      </c>
      <c r="M1369" s="1339" t="s">
        <v>115</v>
      </c>
      <c r="N1369" s="1339" t="s">
        <v>116</v>
      </c>
      <c r="O1369" s="1338" t="s">
        <v>109</v>
      </c>
      <c r="P1369" s="1331"/>
      <c r="Q1369" s="456"/>
      <c r="R1369" s="11"/>
      <c r="S1369" s="11"/>
      <c r="T1369" s="621"/>
    </row>
    <row r="1370" spans="1:22" s="1" customFormat="1" ht="14.25" customHeight="1" x14ac:dyDescent="0.2">
      <c r="A1370" s="1347"/>
      <c r="B1370" s="1333"/>
      <c r="C1370" s="1335"/>
      <c r="D1370" s="1338"/>
      <c r="E1370" s="1339"/>
      <c r="F1370" s="1343" t="str">
        <f>I1362</f>
        <v>Zuschläge / Zulagen / o.ä.:</v>
      </c>
      <c r="G1370" s="1340"/>
      <c r="H1370" s="1342" t="s">
        <v>117</v>
      </c>
      <c r="I1370" s="1342"/>
      <c r="J1370" s="1342"/>
      <c r="K1370" s="1342"/>
      <c r="L1370" s="1342"/>
      <c r="M1370" s="1342"/>
      <c r="N1370" s="1342"/>
      <c r="O1370" s="1338"/>
      <c r="P1370" s="1331"/>
      <c r="Q1370" s="456"/>
      <c r="R1370" s="1306" t="str">
        <f>Q1362</f>
        <v>BBG anteilig 2025</v>
      </c>
      <c r="S1370" s="1306"/>
      <c r="T1370" s="829"/>
    </row>
    <row r="1371" spans="1:22" s="1" customFormat="1" ht="14.25" customHeight="1" x14ac:dyDescent="0.2">
      <c r="A1371" s="1347"/>
      <c r="B1371" s="1333"/>
      <c r="C1371" s="1335"/>
      <c r="D1371" s="1338"/>
      <c r="E1371" s="1339"/>
      <c r="F1371" s="1343"/>
      <c r="G1371" s="1340"/>
      <c r="H1371" s="39" t="str">
        <f>'päd.Personal - Leitung'!$H$27</f>
        <v>(7,30% + Zusatz)</v>
      </c>
      <c r="I1371" s="39" t="str">
        <f>'päd.Personal - Leitung'!$I$27</f>
        <v xml:space="preserve"> (2024: 9,30%)</v>
      </c>
      <c r="J1371" s="39" t="str">
        <f>'päd.Personal - Leitung'!$J$27</f>
        <v>(2024: 1,30%)</v>
      </c>
      <c r="K1371" s="39" t="str">
        <f>'päd.Personal - Leitung'!$K$27</f>
        <v>(2024: 1,700%)</v>
      </c>
      <c r="L1371" s="39"/>
      <c r="M1371" s="39"/>
      <c r="N1371" s="39" t="str">
        <f>'päd.Personal - Leitung'!$N$27</f>
        <v>(2024: 0,06%)</v>
      </c>
      <c r="O1371" s="1338"/>
      <c r="P1371" s="1331"/>
      <c r="Q1371" s="456"/>
      <c r="R1371" s="1307" t="s">
        <v>659</v>
      </c>
      <c r="S1371" s="1307"/>
      <c r="T1371" s="829"/>
      <c r="U1371" s="1308" t="s">
        <v>1</v>
      </c>
      <c r="V1371" s="1308" t="s">
        <v>741</v>
      </c>
    </row>
    <row r="1372" spans="1:22" s="1" customFormat="1" x14ac:dyDescent="0.2">
      <c r="A1372" s="1347"/>
      <c r="B1372" s="1334"/>
      <c r="C1372" s="1336"/>
      <c r="D1372" s="45"/>
      <c r="E1372" s="45"/>
      <c r="F1372" s="1344"/>
      <c r="G1372" s="1341"/>
      <c r="H1372" s="74"/>
      <c r="I1372" s="99">
        <f>'päd.Personal - Leitung'!$I$28</f>
        <v>0</v>
      </c>
      <c r="J1372" s="99">
        <f>'päd.Personal - Leitung'!$J$28</f>
        <v>0</v>
      </c>
      <c r="K1372" s="40">
        <f>'päd.Personal - Leitung'!$K$28</f>
        <v>0</v>
      </c>
      <c r="L1372" s="19"/>
      <c r="M1372" s="19"/>
      <c r="N1372" s="99">
        <f>'päd.Personal - Leitung'!$N$28</f>
        <v>0</v>
      </c>
      <c r="O1372" s="23"/>
      <c r="P1372" s="1332"/>
      <c r="Q1372" s="456"/>
      <c r="R1372" s="935" t="s">
        <v>144</v>
      </c>
      <c r="S1372" s="935" t="s">
        <v>145</v>
      </c>
      <c r="T1372" s="829"/>
      <c r="U1372" s="1308"/>
      <c r="V1372" s="1308"/>
    </row>
    <row r="1373" spans="1:22" s="1" customFormat="1" x14ac:dyDescent="0.2">
      <c r="A1373" s="76" t="str">
        <f>CONCATENATE("Jan ",O1349)</f>
        <v>Jan 2025</v>
      </c>
      <c r="B1373" s="22">
        <f>ROUND(IF(P1350=0,0,(LOOKUP(2,1/(A1358:A1361=A1373),G1358:G1361))*P1350*4.348),2)</f>
        <v>0</v>
      </c>
      <c r="C1373" s="21">
        <f>ROUND(IFERROR((LOOKUP(2,1/(A1364=A1373),E1364)),0)+IFERROR((LOOKUP(2,1/(A1365=A1373),E1365)),0),2)</f>
        <v>0</v>
      </c>
      <c r="D1373" s="21">
        <f>ROUND(IF(B1373=0,0,D1372/M1351*P1350),2)</f>
        <v>0</v>
      </c>
      <c r="E1373" s="21">
        <f>ROUND(IF(B1373=0,0,E1372/N1347*P1350),2)</f>
        <v>0</v>
      </c>
      <c r="F1373" s="22">
        <f>ROUND(IF(P1350=0,0,(LOOKUP(2,1/(A1358:A1361=A1373),I1358:I1361))/N1347*P1350),2)</f>
        <v>0</v>
      </c>
      <c r="G1373" s="25">
        <f t="shared" ref="G1373:G1384" si="222">SUM(B1373+C1373+E1373+F1373)</f>
        <v>0</v>
      </c>
      <c r="H1373" s="64">
        <f>IF(B1373=0,0,IF(AND(H1364="ja",((U1373)&lt;R1389)),ROUND(((R1391*R1388+((R1389/(R1389-R1388))-(R1388/(R1389-R1388))*R1391)*((U1373)-R1388))*(H1372*2))-(((R1389/(R1389-R1388))*((U1373)-R1388))*H1372),2),ROUND(IF((U1373)&gt;R1373,R1373*H1372,U1373*H1372),2)))</f>
        <v>0</v>
      </c>
      <c r="I1373" s="64">
        <f>IF(B1373=0,0,IF(AND(H1364="ja",((U1373)&lt;R1389)),ROUND(((R1391*R1388+((R1389/(R1389-R1388))-(R1388/(R1389-R1388))*R1391)*((U1373)-R1388))*(I1372*2))-(((R1389/(R1389-R1388))*((U1373)-R1388))*I1372),2),ROUND(IF((U1373)&gt;S1373,S1373*I1372,U1373*I1372),2)))</f>
        <v>0</v>
      </c>
      <c r="J1373" s="64">
        <f>IF(B1373=0,0,IF(AND(H1364="ja",((U1373)&lt;R1389)),ROUND(((R1391*R1388+((R1389/(R1389-R1388))-(R1388/(R1389-R1388))*R1391)*((U1373)-R1388))*(J1372*2))-(((R1389/(R1389-R1388))*((U1373)-R1388))*J1372),2),ROUND(IF((U1373)&gt;S1373,S1373*J1372,U1373*J1372),2)))</f>
        <v>0</v>
      </c>
      <c r="K1373" s="64">
        <f>IF(B1373=0,0,IF(AND(H1364="ja",((U1373)&lt;R1389)),ROUND(((R1391*R1388+((R1389/(R1389-R1388))-(R1388/(R1389-R1388))*R1391)*((U1373)-R1388))*(K1372*2))-(((R1389/(R1389-R1388))*((U1373)-R1388))*K1372),2),ROUND(IF((U1373)&gt;R1373,R1373*K1372,U1373*K1372),2)))</f>
        <v>0</v>
      </c>
      <c r="L1373" s="64">
        <f>IF(B1373=0,0,IF(AND(H1364="ja",((U1373-C1373)&lt;R1389)),ROUND(((R1391*R1388+((R1389/(R1389-R1388))-(R1388/(R1389-R1388))*R1391)*((U1373-C1373)-R1388))*(L1372)),2),ROUND(IF((SUM(B1373:F1373))&gt;S1373,S1373*L1372,(SUM(B1373:F1373)-C1373)*L1372),2)))</f>
        <v>0</v>
      </c>
      <c r="M1373" s="64">
        <f>IF(B1373=0,0,IF(AND(H1364="ja",((U1373-C1373)&lt;R1389)),ROUND(((R1391*R1388+((R1389/(R1389-R1388))-(R1388/(R1389-R1388))*R1391)*((U1373-C1373)-R1388))*(M1372)),2),ROUND(IF((SUM(B1373:F1373))&gt;S1373,S1373*M1372,(SUM(B1373:F1373)-C1373)*M1372),2)))</f>
        <v>0</v>
      </c>
      <c r="N1373" s="64">
        <f>IF(B1373=0,0,IF(AND(H1364="ja",((U1373)&lt;R1389)),ROUND(((R1391*R1388+((R1389/(R1389-R1388))-(R1388/(R1389-R1388))*R1391)*((U1373)-R1388))*(N1372)),2),ROUND(IF((SUM(B1373:F1373))&gt;S1373,S1373*N1372,SUM(B1373:F1373)*N1372),2)))</f>
        <v>0</v>
      </c>
      <c r="O1373" s="21">
        <f>ROUND(SUM(B1373+C1373+F1373)*O1372,2)</f>
        <v>0</v>
      </c>
      <c r="P1373" s="25">
        <f>SUM(G1373:O1373)</f>
        <v>0</v>
      </c>
      <c r="Q1373" s="456"/>
      <c r="R1373" s="140">
        <f>ROUND(IF(M1351="",R1367,R1367/M1351*P1350),2)</f>
        <v>5175</v>
      </c>
      <c r="S1373" s="140">
        <f>ROUND(IF(M1351="",R1368,R1368/M1351*P1350),2)</f>
        <v>7450</v>
      </c>
      <c r="U1373" s="950">
        <f>SUM(B1373:F1373)</f>
        <v>0</v>
      </c>
      <c r="V1373" s="950">
        <f>SUM(B1373:F1373)</f>
        <v>0</v>
      </c>
    </row>
    <row r="1374" spans="1:22" s="1" customFormat="1" x14ac:dyDescent="0.2">
      <c r="A1374" s="76" t="str">
        <f>CONCATENATE("Feb ",O1349)</f>
        <v>Feb 2025</v>
      </c>
      <c r="B1374" s="22">
        <f>ROUND(IF(P1351=0,0,IFERROR(((LOOKUP(2,1/(A1358:A1361=A1374),G1358:G1361))*P1351*4.348),B1373/P1350*P1351)),2)</f>
        <v>0</v>
      </c>
      <c r="C1374" s="21">
        <f>ROUND(IFERROR((LOOKUP(2,1/(A1364=A1374),E1364)),0)+IFERROR((LOOKUP(2,1/(A1365=A1374),E1365)),0),2)</f>
        <v>0</v>
      </c>
      <c r="D1374" s="21">
        <f>ROUND(IF(B1374=0,0,D1372/M1351*P1351),2)</f>
        <v>0</v>
      </c>
      <c r="E1374" s="21">
        <f>ROUND(IF(B1374=0,0,E1372/N1347*P1351),2)</f>
        <v>0</v>
      </c>
      <c r="F1374" s="22">
        <f>ROUND(IF(P1351=0,0,IFERROR(((LOOKUP(2,1/(A1358:A1361=A1374),I1358:I1361))/N1347*P1351),F1373/P1350*P1351)),2)</f>
        <v>0</v>
      </c>
      <c r="G1374" s="25">
        <f t="shared" si="222"/>
        <v>0</v>
      </c>
      <c r="H1374" s="64">
        <f>IF(B1374=0,0,IF(AND(H1364="ja",((U1374)&lt;R1389)),ROUND(((R1391*R1388+((R1389/(R1389-R1388))-(R1388/(R1389-R1388))*R1391)*((U1374)-R1388))*(H1372*2))-(((R1389/(R1389-R1388))*((U1374)-R1388))*H1372),2),ROUND(IF(U1373&lt;(R1373),IF((V1374)&gt;(SUM(R1373:R1374)),(((SUM(R1373:R1374))-(V1374-C1373))*H1372)+((U1374-C1373)*H1372),U1374*H1372),IF(V1374&gt;(SUM(R1373:R1374)),R1374*H1372,U1374*H1372)),2)))</f>
        <v>0</v>
      </c>
      <c r="I1374" s="64">
        <f>IF(B1374=0,0,IF(AND(H1364="ja",((U1374)&lt;R1389)),ROUND(((R1391*R1388+((R1389/(R1389-R1388))-(R1388/(R1389-R1388))*R1391)*((U1374)-R1388))*(I1372*2))-(((R1389/(R1389-R1388))*((U1374)-R1388))*I1372),2),ROUND(IF(U1373&lt;(S1373),IF((V1374)&gt;(SUM(S1373:S1374)),(((SUM(S1373:S1374))-(V1374-C1373))*I1372)+((U1374-C1373)*I1372),U1374*I1372),IF(V1374&gt;(SUM(S1373:S1374)),S1374*I1372,U1374*I1372)),2)))</f>
        <v>0</v>
      </c>
      <c r="J1374" s="64">
        <f>IF(B1374=0,0,IF(AND(H1364="ja",((U1374)&lt;R1389)),ROUND(((R1391*R1388+((R1389/(R1389-R1388))-(R1388/(R1389-R1388))*R1391)*((U1374)-R1388))*(J1372*2))-(((R1389/(R1389-R1388))*((U1374)-R1388))*J1372),2),ROUND(IF(U1373&lt;(S1373),IF((V1374)&gt;(SUM(S1373:S1374)),(((SUM(S1373:S1374))-(V1374-C1373))*J1372)+((U1374-C1373)*J1372),U1374*J1372),IF(V1374&gt;(SUM(S1373:S1374)),S1374*J1372,U1374*J1372)),2)))</f>
        <v>0</v>
      </c>
      <c r="K1374" s="64">
        <f>IF(B1374=0,0,IF(AND(H1364="ja",((U1374)&lt;R1389)),ROUND(((R1391*R1388+((R1389/(R1389-R1388))-(R1388/(R1389-R1388))*R1391)*((U1374)-R1388))*(K1372*2))-(((R1389/(R1389-R1388))*((U1374)-R1388))*K1372),2),ROUND(IF(U1373&lt;(R1373),IF((V1374)&gt;(SUM(R1373:R1374)),(((SUM(R1373:R1374))-(V1374-C1373))*K1372)+((U1374-C1373)*K1372),U1374*K1372),IF(V1374&gt;(SUM(R1373:R1374)),R1374*K1372,U1374*K1372)),2)))</f>
        <v>0</v>
      </c>
      <c r="L1374" s="64">
        <f>IF(B1374=0,0,IF(AND(H1364="ja",((U1374-C1374)&lt;R1389)),ROUND(((R1391*R1388+((R1389/(R1389-R1388))-(R1388/(R1389-R1388))*R1391)*((U1374-C1374)-R1388))*(L1372)),2),ROUND(IF(SUM(B1373:F1373)&lt;(S1373),IF((SUM(B1373:F1374))&gt;(SUM(S1373:S1374)),(((SUM(S1373:S1374))-(SUM(B1373:F1374)-C1374))*L1372)+((SUM(B1374:F1374)-C1374)*L1372),(SUM(B1374:F1374)-C1374)*L1372),IF(SUM(B1373:F1374)&gt;(SUM(S1373:S1374)),S1374*L1372,SUM(B1374:F1374)*L1372)),2)))</f>
        <v>0</v>
      </c>
      <c r="M1374" s="64">
        <f>IF(B1374=0,0,IF(AND(H1364="ja",((U1374-C1374)&lt;R1389)),ROUND(((R1391*R1388+((R1389/(R1389-R1388))-(R1388/(R1389-R1388))*R1391)*((U1374-C1374)-R1388))*(M1372)),2),ROUND(IF(SUM(B1373:F1373)&lt;(S1373),IF((SUM(B1373:F1374))&gt;(SUM(S1373:S1374)),(((SUM(S1373:S1374))-(SUM(B1373:F1374)-C1374))*M1372)+((SUM(B1374:F1374)-C1374)*M1372),(SUM(B1374:F1374)-C1374)*M1372),IF(SUM(B1373:F1374)&gt;(SUM(S1373:S1374)),S1374*M1372,SUM(B1374:F1374)*M1372)),2)))</f>
        <v>0</v>
      </c>
      <c r="N1374" s="64">
        <f>IF(B1374=0,0,IF(AND(H1364="ja",((U1374)&lt;R1389)),ROUND(((R1391*R1388+((R1389/(R1389-R1388))-(R1388/(R1389-R1388))*R1391)*((U1374)-R1388))*(N1372)),2),ROUND(IF(SUM(B1373:F1373)&lt;(S1373),IF((SUM(B1373:F1374))&gt;(SUM(S1373:S1374)),(((SUM(S1373:S1374))-(SUM(B1373:F1374)-C1373))*N1372)+((SUM(B1374:F1374)-C1373)*N1372),SUM(B1374:F1374)*N1372),IF(SUM(B1373:F1374)&gt;(SUM(S1373:S1374)),S1374*N1372,SUM(B1374:F1374)*N1372)),2)))</f>
        <v>0</v>
      </c>
      <c r="O1374" s="21">
        <f>ROUND(SUM(B1374+C1374+F1374)*O1372,2)</f>
        <v>0</v>
      </c>
      <c r="P1374" s="25">
        <f t="shared" ref="P1374:P1384" si="223">SUM(G1374:O1374)</f>
        <v>0</v>
      </c>
      <c r="Q1374" s="456"/>
      <c r="R1374" s="140">
        <f>ROUND(IF(M1351="",R1367,R1367/M1351*P1351),2)</f>
        <v>5175</v>
      </c>
      <c r="S1374" s="140">
        <f>ROUND(IF(M1351="",R1368,R1368/M1351*P1351),2)</f>
        <v>7450</v>
      </c>
      <c r="U1374" s="950">
        <f t="shared" ref="U1374:U1384" si="224">SUM(B1374:F1374)</f>
        <v>0</v>
      </c>
      <c r="V1374" s="950">
        <f>SUM(B1373:F1374)</f>
        <v>0</v>
      </c>
    </row>
    <row r="1375" spans="1:22" s="1" customFormat="1" x14ac:dyDescent="0.2">
      <c r="A1375" s="76" t="str">
        <f>CONCATENATE("Mrz ",O1349)</f>
        <v>Mrz 2025</v>
      </c>
      <c r="B1375" s="22">
        <f>ROUND(IF(P1352=0,0,IFERROR(((LOOKUP(2,1/(A1358:A1361=A1375),G1358:G1361))*P1352*4.348),B1374/P1351*P1352)),2)</f>
        <v>0</v>
      </c>
      <c r="C1375" s="21">
        <f>ROUND(IFERROR((LOOKUP(2,1/(A1364=A1375),E1364)),0)+IFERROR((LOOKUP(2,1/(A1365=A1375),E1365)),0),2)</f>
        <v>0</v>
      </c>
      <c r="D1375" s="21">
        <f>ROUND(IF(B1375=0,0,D1372/M1351*P1352),2)</f>
        <v>0</v>
      </c>
      <c r="E1375" s="21">
        <f>ROUND(IF(B1375=0,0,E1372/N1347*P1352),2)</f>
        <v>0</v>
      </c>
      <c r="F1375" s="22">
        <f>ROUND(IF(P1352=0,0,IFERROR(((LOOKUP(2,1/(A1358:A1361=A1375),I1358:I1361))/N1347*P1352),F1374/P1351*P1352)),2)</f>
        <v>0</v>
      </c>
      <c r="G1375" s="25">
        <f t="shared" si="222"/>
        <v>0</v>
      </c>
      <c r="H1375" s="64">
        <f>IF(B1375=0,0,IF(AND(H1364="ja",((U1375)&lt;R1389)),ROUND(((R1391*R1388+((R1389/(R1389-R1388))-(R1388/(R1389-R1388))*R1391)*((U1375)-R1388))*(H1372*2))-(((R1389/(R1389-R1388))*((U1375)-R1388))*H1372),2),ROUND(IF(V1374&lt;(SUM(R1373:R1374)),IF((V1375)&gt;(SUM(R1373:R1375)),(((SUM(R1373:R1375))-(V1375-C1374))*H1372)+((U1375-C1374)*H1372),U1375*H1372),IF(V1375&gt;(SUM(R1373:R1375)),R1375*H1372,U1375*H1372)),2)))</f>
        <v>0</v>
      </c>
      <c r="I1375" s="64">
        <f>IF(B1375=0,0,IF(AND(H1364="ja",((U1375)&lt;R1389)),ROUND(((R1391*R1388+((R1389/(R1389-R1388))-(R1388/(R1389-R1388))*R1391)*((U1375)-R1388))*(I1372*2))-(((R1389/(R1389-R1388))*((U1375)-R1388))*I1372),2),ROUND(IF(V1374&lt;(SUM(S1373:S1374)),IF((V1375)&gt;(SUM(S1373:S1375)),(((SUM(S1373:S1375))-(V1375-C1374))*I1372)+((U1375-C1374)*I1372),U1375*I1372),IF(V1375&gt;(SUM(S1373:S1375)),S1375*I1372,U1375*I1372)),2)))</f>
        <v>0</v>
      </c>
      <c r="J1375" s="64">
        <f>IF(B1375=0,0,IF(AND(H1364="ja",((U1375)&lt;R1389)),ROUND(((R1391*R1388+((R1389/(R1389-R1388))-(R1388/(R1389-R1388))*R1391)*((U1375)-R1388))*(J1372*2))-(((R1389/(R1389-R1388))*((U1375)-R1388))*J1372),2),ROUND(IF(V1374&lt;(SUM(S1373:S1374)),IF((V1375)&gt;(SUM(S1373:S1375)),(((SUM(S1373:S1375))-(V1375-C1374))*J1372)+((U1375-C1374)*J1372),U1375*J1372),IF(V1375&gt;(SUM(S1373:S1375)),S1375*J1372,U1375*J1372)),2)))</f>
        <v>0</v>
      </c>
      <c r="K1375" s="64">
        <f>IF(B1375=0,0,IF(AND(H1364="ja",((U1375)&lt;R1389)),ROUND(((R1391*R1388+((R1389/(R1389-R1388))-(R1388/(R1389-R1388))*R1391)*((U1375)-R1388))*(K1372*2))-(((R1389/(R1389-R1388))*((U1375)-R1388))*K1372),2),ROUND(IF(V1374&lt;(SUM(R1373:R1374)),IF((V1375)&gt;(SUM(R1373:R1375)),(((SUM(R1373:R1375))-(V1375-C1374))*K1372)+((U1375-C1374)*K1372),U1375*K1372),IF(V1375&gt;(SUM(R1373:R1375)),R1375*K1372,U1375*K1372)),2)))</f>
        <v>0</v>
      </c>
      <c r="L1375" s="64">
        <f>IF(B1375=0,0,IF(AND(H1364="ja",((U1375-C1375)&lt;R1389)),ROUND(((R1391*R1388+((R1389/(R1389-R1388))-(R1388/(R1389-R1388))*R1391)*((U1375-C1375)-R1388))*(L1372)),2),ROUND(IF(SUM(B1373:F1374)&lt;(SUM(S1373:S1374)),IF((SUM(B1373:F1375))&gt;(SUM(S1373:S1375)),(((SUM(S1373:S1375))-(SUM(B1373:F1375)-C1375))*L1372)+((SUM(B1375:F1375)-C1375)*L1372),(SUM(B1375:F1375)-C1375)*L1372),IF(SUM(B1373:F1375)&gt;(SUM(S1373:S1375)),S1375*L1372,SUM(B1375:F1375)*L1372)),2)))</f>
        <v>0</v>
      </c>
      <c r="M1375" s="64">
        <f>IF(B1375=0,0,IF(AND(H1364="ja",((U1375-C1375)&lt;R1389)),ROUND(((R1391*R1388+((R1389/(R1389-R1388))-(R1388/(R1389-R1388))*R1391)*((U1375-C1375)-R1388))*(M1372)),2),ROUND(IF(SUM(B1373:F1374)&lt;(SUM(S1373:S1374)),IF((SUM(B1373:F1375))&gt;(SUM(S1373:S1375)),(((SUM(S1373:S1375))-(SUM(B1373:F1375)-C1375))*M1372)+((SUM(B1375:F1375)-C1375)*M1372),(SUM(B1375:F1375)-C1375)*M1372),IF(SUM(B1373:F1375)&gt;(SUM(S1373:S1375)),S1375*M1372,SUM(B1375:F1375)*M1372)),2)))</f>
        <v>0</v>
      </c>
      <c r="N1375" s="64">
        <f>IF(B1375=0,0,IF(AND(H1364="ja",((U1375)&lt;R1389)),ROUND(((R1391*R1388+((R1389/(R1389-R1388))-(R1388/(R1389-R1388))*R1391)*((U1375)-R1388))*(N1372)),2),ROUND(IF(SUM(B1373:F1374)&lt;(SUM(S1373:S1374)),IF((SUM(B1373:F1375))&gt;(SUM(S1373:S1375)),(((SUM(S1373:S1375))-(SUM(B1373:F1375)-C1374))*N1372)+((SUM(B1375:F1375)-C1374)*N1372),SUM(B1375:F1375)*N1372),IF(SUM(B1373:F1375)&gt;(SUM(S1373:S1375)),S1375*N1372,SUM(B1375:F1375)*N1372)),2)))</f>
        <v>0</v>
      </c>
      <c r="O1375" s="21">
        <f>ROUND(SUM(B1375+C1375+F1375)*O1372,2)</f>
        <v>0</v>
      </c>
      <c r="P1375" s="25">
        <f t="shared" si="223"/>
        <v>0</v>
      </c>
      <c r="Q1375" s="456"/>
      <c r="R1375" s="140">
        <f>ROUND(IF(M1351="",R1367,R1367/M1351*P1352),2)</f>
        <v>5175</v>
      </c>
      <c r="S1375" s="140">
        <f>ROUND(IF(M1351="",R1368,R1368/M1351*P1352),2)</f>
        <v>7450</v>
      </c>
      <c r="U1375" s="950">
        <f t="shared" si="224"/>
        <v>0</v>
      </c>
      <c r="V1375" s="950">
        <f>SUM(B1373:F1375)</f>
        <v>0</v>
      </c>
    </row>
    <row r="1376" spans="1:22" s="1" customFormat="1" x14ac:dyDescent="0.2">
      <c r="A1376" s="76" t="str">
        <f>CONCATENATE("Apr ",O1349)</f>
        <v>Apr 2025</v>
      </c>
      <c r="B1376" s="22">
        <f>ROUND(IF(P1353=0,0,IFERROR(((LOOKUP(2,1/(A1358:A1361=A1376),G1358:G1361))*P1353*4.348),B1375/P1352*P1353)),2)</f>
        <v>0</v>
      </c>
      <c r="C1376" s="21">
        <f>ROUND(IFERROR((LOOKUP(2,1/(A1364=A1376),E1364)),0)+IFERROR((LOOKUP(2,1/(A1365=A1376),E1365)),0),2)</f>
        <v>0</v>
      </c>
      <c r="D1376" s="21">
        <f>ROUND(IF(B1376=0,0,D1372/M1351*P1353),2)</f>
        <v>0</v>
      </c>
      <c r="E1376" s="21">
        <f>ROUND(IF(B1376=0,0,E1372/N1347*P1353),2)</f>
        <v>0</v>
      </c>
      <c r="F1376" s="22">
        <f>ROUND(IF(P1353=0,0,IFERROR(((LOOKUP(2,1/(A1358:A1361=A1376),I1358:I1361))/N1347*P1353),F1375/P1352*P1353)),2)</f>
        <v>0</v>
      </c>
      <c r="G1376" s="25">
        <f t="shared" si="222"/>
        <v>0</v>
      </c>
      <c r="H1376" s="64">
        <f>IF(B1376=0,0,IF(AND(H1364="ja",((U1376)&lt;R1389)),ROUND(((R1391*R1388+((R1389/(R1389-R1388))-(R1388/(R1389-R1388))*R1391)*((U1376)-R1388))*(H1372*2))-(((R1389/(R1389-R1388))*((U1376)-R1388))*H1372),2),ROUND(IF(V1375&lt;(SUM(R1373:R1375)),IF((V1376)&gt;(SUM(R1373:R1376)),(((SUM(R1373:R1376))-(V1376-C1375))*H1372)+((U1376-C1375)*H1372),U1376*H1372),IF(V1376&gt;(SUM(R1373:R1376)),R1376*H1372,U1376*H1372)),2)))</f>
        <v>0</v>
      </c>
      <c r="I1376" s="64">
        <f>IF(B1376=0,0,IF(AND(H1364="ja",((U1376)&lt;R1389)),ROUND(((R1391*R1388+((R1389/(R1389-R1388))-(R1388/(R1389-R1388))*R1391)*((U1376)-R1388))*(I1372*2))-(((R1389/(R1389-R1388))*((U1376)-R1388))*I1372),2),ROUND(IF(V1375&lt;(SUM(S1373:S1375)),IF((V1376)&gt;(SUM(S1373:S1376)),(((SUM(S1373:S1376))-(V1376-C1375))*I1372)+((U1376-C1375)*I1372),U1376*I1372),IF(V1376&gt;(SUM(S1373:S1376)),S1376*I1372,U1376*I1372)),2)))</f>
        <v>0</v>
      </c>
      <c r="J1376" s="64">
        <f>IF(B1376=0,0,IF(AND(H1364="ja",((U1376)&lt;R1389)),ROUND(((R1391*R1388+((R1389/(R1389-R1388))-(R1388/(R1389-R1388))*R1391)*((U1376)-R1388))*(J1372*2))-(((R1389/(R1389-R1388))*((U1376)-R1388))*J1372),2),ROUND(IF(U1375&lt;(SUM(S1373:S1375)),IF((V1376)&gt;(SUM(S1373:S1376)),(((SUM(S1373:S1376))-(V1376-C1375))*J1372)+((U1376-C1375)*J1372),U1376*J1372),IF(V1376&gt;(SUM(S1373:S1376)),S1376*J1372,U1376*J1372)),2)))</f>
        <v>0</v>
      </c>
      <c r="K1376" s="64">
        <f>IF(B1376=0,0,IF(AND(H1364="ja",((U1376)&lt;R1389)),ROUND(((R1391*R1388+((R1389/(R1389-R1388))-(R1388/(R1389-R1388))*R1391)*((U1376)-R1388))*(K1372*2))-(((R1389/(R1389-R1388))*((U1376)-R1388))*K1372),2),ROUND(IF(V1375&lt;(SUM(R1373:R1375)),IF((V1376)&gt;(SUM(R1373:R1376)),(((SUM(R1373:R1376))-(V1376-C1375))*K1372)+((U1376-C1375)*K1372),U1376*K1372),IF(V1376&gt;(SUM(R1373:R1376)),R1376*K1372,U1376*K1372)),2)))</f>
        <v>0</v>
      </c>
      <c r="L1376" s="64">
        <f>IF(B1376=0,0,IF(AND(H1364="ja",((U1376-C1376)&lt;R1389)),ROUND(((R1391*R1388+((R1389/(R1389-R1388))-(R1388/(R1389-R1388))*R1391)*((U1376-C1376)-R1388))*(L1372)),2),ROUND(IF(SUM(B1373:F1375)&lt;(SUM(S1373:S1375)),IF((SUM(B1373:F1376))&gt;(SUM(S1373:S1376)),(((SUM(S1373:S1376))-(SUM(B1373:F1376)-C1376))*L1372)+((SUM(B1376:F1376)-C1376)*L1372),(SUM(B1376:F1376)-C1376)*L1372),IF(SUM(B1373:F1376)&gt;(SUM(S1373:S1376)),S1376*L1372,SUM(B1376:F1376)*L1372)),2)))</f>
        <v>0</v>
      </c>
      <c r="M1376" s="64">
        <f>IF(B1376=0,0,IF(AND(H1364="ja",((U1376-C1376)&lt;R1389)),ROUND(((R1391*R1388+((R1389/(R1389-R1388))-(R1388/(R1389-R1388))*R1391)*((U1376-C1376)-R1388))*(M1372)),2),ROUND(IF(SUM(B1373:F1375)&lt;(SUM(S1373:S1375)),IF((SUM(B1373:F1376))&gt;(SUM(S1373:S1376)),(((SUM(S1373:S1376))-(SUM(B1373:F1376)-C1376))*M1372)+((SUM(B1376:F1376)-C1376)*M1372),(SUM(B1376:F1376)-C1376)*M1372),IF(SUM(B1373:F1376)&gt;(SUM(S1373:S1376)),S1376*M1372,SUM(B1376:F1376)*M1372)),2)))</f>
        <v>0</v>
      </c>
      <c r="N1376" s="64">
        <f>IF(B1376=0,0,IF(AND(H1364="ja",((U1376)&lt;R1389)),ROUND(((R1391*R1388+((R1389/(R1389-R1388))-(R1388/(R1389-R1388))*R1391)*((U1376)-R1388))*(N1372)),2),ROUND(IF(SUM(B1373:F1375)&lt;(SUM(S1373:S1375)),IF((SUM(B1373:F1376))&gt;(SUM(S1373:S1376)),(((SUM(S1373:S1376))-(SUM(B1373:F1376)-C1375))*N1372)+((SUM(B1376:F1376)-C1375)*N1372),SUM(B1376:F1376)*N1372),IF(SUM(B1373:F1376)&gt;(SUM(S1373:S1376)),S1376*N1372,SUM(B1376:F1376)*N1372)),2)))</f>
        <v>0</v>
      </c>
      <c r="O1376" s="21">
        <f>ROUND(SUM(B1376+C1376+F1376)*O1372,2)</f>
        <v>0</v>
      </c>
      <c r="P1376" s="25">
        <f t="shared" si="223"/>
        <v>0</v>
      </c>
      <c r="Q1376" s="456"/>
      <c r="R1376" s="140">
        <f>ROUND(IF(M1351="",R1367,R1367/M1351*P1353),2)</f>
        <v>5175</v>
      </c>
      <c r="S1376" s="140">
        <f>ROUND(IF(M1351="",R1368,R1368/M1351*P1353),2)</f>
        <v>7450</v>
      </c>
      <c r="U1376" s="950">
        <f t="shared" si="224"/>
        <v>0</v>
      </c>
      <c r="V1376" s="950">
        <f>SUM(B1373:F1376)</f>
        <v>0</v>
      </c>
    </row>
    <row r="1377" spans="1:24" s="1" customFormat="1" x14ac:dyDescent="0.2">
      <c r="A1377" s="76" t="str">
        <f>CONCATENATE("Mai ",O1349)</f>
        <v>Mai 2025</v>
      </c>
      <c r="B1377" s="22">
        <f>ROUND(IF(P1354=0,0,IFERROR(((LOOKUP(2,1/(A1358:A1361=A1377),G1358:G1361))*P1354*4.348),B1376/P1353*P1354)),2)</f>
        <v>0</v>
      </c>
      <c r="C1377" s="21">
        <f>ROUND(IFERROR((LOOKUP(2,1/(A1364=A1377),E1364)),0)+IFERROR((LOOKUP(2,1/(A1365=A1377),E1365)),0),2)</f>
        <v>0</v>
      </c>
      <c r="D1377" s="21">
        <f>ROUND(IF(B1377=0,0,D1372/M1351*P1354),2)</f>
        <v>0</v>
      </c>
      <c r="E1377" s="21">
        <f>ROUND(IF(B1377=0,0,E1372/N1347*P1354),2)</f>
        <v>0</v>
      </c>
      <c r="F1377" s="22">
        <f>ROUND(IF(P1354=0,0,IFERROR(((LOOKUP(2,1/(A1358:A1361=A1377),I1358:I1361))/N1347*P1354),F1376/P1353*P1354)),2)</f>
        <v>0</v>
      </c>
      <c r="G1377" s="25">
        <f t="shared" si="222"/>
        <v>0</v>
      </c>
      <c r="H1377" s="64">
        <f>IF(B1377=0,0,IF(AND(H1364="ja",((U1377)&lt;R1389)),ROUND(((R1391*R1388+((R1389/(R1389-R1388))-(R1388/(R1389-R1388))*R1391)*((U1377)-R1388))*(H1372*2))-(((R1389/(R1389-R1388))*((U1377)-R1388))*H1372),2),ROUND(IF(V1376&lt;(SUM(R1373:R1376)),IF((V1377)&gt;(SUM(R1373:R1377)),(((SUM(R1373:R1377))-(V1377-C1376))*H1372)+((U1377-C1376)*H1372),U1377*H1372),IF(V1377&gt;(SUM(R1373:R1377)),R1377*H1372,U1377*H1372)),2)))</f>
        <v>0</v>
      </c>
      <c r="I1377" s="64">
        <f>IF(B1377=0,0,IF(AND(H1364="ja",((U1377)&lt;R1389)),ROUND(((R1391*R1388+((R1389/(R1389-R1388))-(R1388/(R1389-R1388))*R1391)*((U1377)-R1388))*(I1372*2))-(((R1389/(R1389-R1388))*((U1377)-R1388))*I1372),2),ROUND(IF(V1376&lt;(SUM(S1373:S1376)),IF((V1377)&gt;(SUM(S1373:S1377)),(((SUM(S1373:S1377))-(V1377-C1376))*I1372)+((U1377-C1376)*I1372),U1377*I1372),IF(V1377&gt;(SUM(S1373:S1377)),S1377*I1372,U1377*I1372)),2)))</f>
        <v>0</v>
      </c>
      <c r="J1377" s="64">
        <f>IF(B1377=0,0,IF(AND(H1364="ja",((U1377)&lt;R1389)),ROUND(((R1391*R1388+((R1389/(R1389-R1388))-(R1388/(R1389-R1388))*R1391)*((U1377)-R1388))*(J1372*2))-(((R1389/(R1389-R1388))*((U1377)-R1388))*J1372),2),ROUND(IF(V1376&lt;(SUM(S1373:S1376)),IF((V1377)&gt;(SUM(S1373:S1377)),(((SUM(S1373:S1377))-(V1377-C1376))*J1372)+((U1377-C1376)*J1372),U1377*J1372),IF(V1377&gt;(SUM(S1373:S1377)),S1377*J1372,U1377*J1372)),2)))</f>
        <v>0</v>
      </c>
      <c r="K1377" s="64">
        <f>IF(B1377=0,0,IF(AND(H1364="ja",((U1377)&lt;R1389)),ROUND(((R1391*R1388+((R1389/(R1389-R1388))-(R1388/(R1389-R1388))*R1391)*((U1377)-R1388))*(K1372*2))-(((R1389/(R1389-R1388))*((U1377)-R1388))*K1372),2),ROUND(IF(V1376&lt;(SUM(R1373:R1376)),IF((V1377)&gt;(SUM(R1373:R1377)),(((SUM(R1373:R1377))-(V1377-C1376))*K1372)+((U1377-C1376)*K1372),U1377*K1372),IF(V1377&gt;(SUM(R1373:R1377)),R1377*K1372,U1377*K1372)),2)))</f>
        <v>0</v>
      </c>
      <c r="L1377" s="64">
        <f>IF(B1377=0,0,IF(AND(H1364="ja",((U1377-C1377)&lt;R1389)),ROUND(((R1391*R1388+((R1389/(R1389-R1388))-(R1388/(R1389-R1388))*R1391)*((U1377-C1377)-R1388))*(L1372)),2),ROUND(IF(SUM(B1373:F1376)&lt;(SUM(S1373:S1376)),IF((SUM(B1373:F1377))&gt;(SUM(S1373:S1377)),(((SUM(S1373:S1377))-(SUM(B1373:F1377)-C1377))*L1372)+((SUM(B1377:F1377)-C1377)*L1372),(SUM(B1377:F1377)-C1377)*L1372),IF(SUM(B1373:F1377)&gt;(SUM(S1373:S1377)),S1377*L1372,SUM(B1377:F1377)*L1372)),2)))</f>
        <v>0</v>
      </c>
      <c r="M1377" s="64">
        <f>IF(B1377=0,0,IF(AND(H1364="ja",((U1377-C1377)&lt;R1389)),ROUND(((R1391*R1388+((R1389/(R1389-R1388))-(R1388/(R1389-R1388))*R1391)*((U1377-C1377)-R1388))*(M1372)),2),ROUND(IF(SUM(B1373:F1376)&lt;(SUM(S1373:S1376)),IF((SUM(B1373:F1377))&gt;(SUM(S1373:S1377)),(((SUM(S1373:S1377))-(SUM(B1373:F1377)-C1377))*M1372)+((SUM(B1377:F1377)-C1377)*M1372),(SUM(B1377:F1377)-C1377)*M1372),IF(SUM(B1373:F1377)&gt;(SUM(S1373:S1377)),S1377*M1372,SUM(B1377:F1377)*M1372)),2)))</f>
        <v>0</v>
      </c>
      <c r="N1377" s="64">
        <f>IF(B1377=0,0,IF(AND(H1364="ja",((U1377)&lt;R1389)),ROUND(((R1391*R1388+((R1389/(R1389-R1388))-(R1388/(R1389-R1388))*R1391)*((U1377)-R1388))*(N1372)),2),ROUND(IF(SUM(B1373:F1376)&lt;(SUM(S1373:S1376)),IF((SUM(B1373:F1377))&gt;(SUM(S1373:S1377)),(((SUM(S1373:S1377))-(SUM(B1373:F1377)-C1376))*N1372)+((SUM(B1377:F1377)-C1376)*N1372),SUM(B1377:F1377)*N1372),IF(SUM(B1373:F1377)&gt;(SUM(S1373:S1377)),S1377*N1372,SUM(B1377:F1377)*N1372)),2)))</f>
        <v>0</v>
      </c>
      <c r="O1377" s="21">
        <f>ROUND(SUM(B1377+C1377+F1377)*O1372,2)</f>
        <v>0</v>
      </c>
      <c r="P1377" s="25">
        <f t="shared" si="223"/>
        <v>0</v>
      </c>
      <c r="Q1377" s="456"/>
      <c r="R1377" s="140">
        <f>ROUND(IF(M1351="",R1367,R1367/M1351*P1354),2)</f>
        <v>5175</v>
      </c>
      <c r="S1377" s="140">
        <f>ROUND(IF(M1351="",R1368,R1368/M1351*P1354),2)</f>
        <v>7450</v>
      </c>
      <c r="U1377" s="950">
        <f t="shared" si="224"/>
        <v>0</v>
      </c>
      <c r="V1377" s="950">
        <f>SUM(B1373:F1377)</f>
        <v>0</v>
      </c>
    </row>
    <row r="1378" spans="1:24" s="1" customFormat="1" x14ac:dyDescent="0.2">
      <c r="A1378" s="76" t="str">
        <f>CONCATENATE("Jun ",O1349)</f>
        <v>Jun 2025</v>
      </c>
      <c r="B1378" s="22">
        <f>ROUND(IF(P1355=0,0,IFERROR(((LOOKUP(2,1/(A1358:A1361=A1378),G1358:G1361))*P1355*4.348),B1377/P1354*P1355)),2)</f>
        <v>0</v>
      </c>
      <c r="C1378" s="21">
        <f>ROUND(IFERROR((LOOKUP(2,1/(A1364=A1378),E1364)),0)+IFERROR((LOOKUP(2,1/(A1365=A1378),E1365)),0),2)</f>
        <v>0</v>
      </c>
      <c r="D1378" s="21">
        <f>ROUND(IF(B1378=0,0,D1372/M1351*P1355),2)</f>
        <v>0</v>
      </c>
      <c r="E1378" s="21">
        <f>ROUND(IF(B1378=0,0,E1372/N1347*P1355),2)</f>
        <v>0</v>
      </c>
      <c r="F1378" s="22">
        <f>ROUND(IF(P1355=0,0,IFERROR(((LOOKUP(2,1/(A1358:A1361=A1378),I1358:I1361))/N1347*P1355),F1377/P1354*P1355)),2)</f>
        <v>0</v>
      </c>
      <c r="G1378" s="25">
        <f t="shared" si="222"/>
        <v>0</v>
      </c>
      <c r="H1378" s="64">
        <f>IF(B1378=0,0,IF(AND(H1364="ja",((U1378)&lt;R1389)),ROUND(((R1391*R1388+((R1389/(R1389-R1388))-(R1388/(R1389-R1388))*R1391)*((U1378)-R1388))*(H1372*2))-(((R1389/(R1389-R1388))*((U1378)-R1388))*H1372),2),ROUND(IF(V1377&lt;(SUM(R1373:R1377)),IF((V1378)&gt;(SUM(R1373:R1378)),(((SUM(R1373:R1378))-(V1378-C1377))*H1372)+((U1378-C1377)*H1372),U1378*H1372),IF(V1378&gt;(SUM(R1373:R1378)),R1378*H1372,U1378*H1372)),2)))</f>
        <v>0</v>
      </c>
      <c r="I1378" s="64">
        <f>IF(B1378=0,0,IF(AND(H1364="ja",((U1378)&lt;R1389)),ROUND(((R1391*R1388+((R1389/(R1389-R1388))-(R1388/(R1389-R1388))*R1391)*((U1378)-R1388))*(I1372*2))-(((R1389/(R1389-R1388))*((U1378)-R1388))*I1372),2),ROUND(IF(V1377&lt;(SUM(S1373:S1377)),IF((V1378)&gt;(SUM(S1373:S1378)),(((SUM(S1373:S1378))-(V1378-C1377))*I1372)+((U1378-C1377)*I1372),U1378*I1372),IF(V1378&gt;(SUM(S1373:S1378)),S1378*I1372,U1378*I1372)),2)))</f>
        <v>0</v>
      </c>
      <c r="J1378" s="64">
        <f>IF(B1378=0,0,IF(AND(H1364="ja",((U1378)&lt;R1389)),ROUND(((R1391*R1388+((R1389/(R1389-R1388))-(R1388/(R1389-R1388))*R1391)*((U1378)-R1388))*(J1372*2))-(((R1389/(R1389-R1388))*((U1378)-R1388))*J1372),2),ROUND(IF(V1377&lt;(SUM(S1373:S1377)),IF((V1378)&gt;(SUM(S1373:S1378)),(((SUM(S1373:S1378))-(V1378-C1377))*J1372)+((U1378-C1377)*J1372),U1378*J1372),IF(V1378&gt;(SUM(S1373:S1378)),S1378*J1372,U1378*J1372)),2)))</f>
        <v>0</v>
      </c>
      <c r="K1378" s="64">
        <f>IF(B1378=0,0,IF(AND(H1364="ja",((U1378)&lt;R1389)),ROUND(((R1391*R1388+((R1389/(R1389-R1388))-(R1388/(R1389-R1388))*R1391)*((U1378)-R1388))*(K1372*2))-(((R1389/(R1389-R1388))*((U1378)-R1388))*K1372),2),ROUND(IF(V1377&lt;(SUM(R1373:R1377)),IF((V1378)&gt;(SUM(R1373:R1378)),(((SUM(R1373:R1378))-(V1378-C1377))*K1372)+((U1378-C1377)*K1372),U1378*K1372),IF(V1378&gt;(SUM(R1373:R1378)),R1378*K1372,U1378*K1372)),2)))</f>
        <v>0</v>
      </c>
      <c r="L1378" s="64">
        <f>IF(B1378=0,0,IF(AND(H1364="ja",((U1378-C1378)&lt;R1389)),ROUND(((R1391*R1388+((R1389/(R1389-R1388))-(R1388/(R1389-R1388))*R1391)*((U1378-C1378)-R1388))*(L1372)),2),ROUND(IF(SUM(B1373:F1377)&lt;(SUM(S1373:S1377)),IF((SUM(B1373:F1378))&gt;(SUM(S1373:S1378)),(((SUM(S1373:S1378))-(SUM(B1373:F1378)-C1378))*L1372)+((SUM(B1378:F1378)-C1378)*L1372),(SUM(B1378:F1378)-C1378)*L1372),IF(SUM(B1373:F1378)&gt;(SUM(S1373:S1378)),S1378*L1372,SUM(B1378:F1378)*L1372)),2)))</f>
        <v>0</v>
      </c>
      <c r="M1378" s="64">
        <f>IF(B1378=0,0,IF(AND(H1364="ja",((U1378-C1378)&lt;R1389)),ROUND(((R1391*R1388+((R1389/(R1389-R1388))-(R1388/(R1389-R1388))*R1391)*((U1378-C1378)-R1388))*(M1372)),2),ROUND(IF(SUM(B1373:F1377)&lt;(SUM(S1373:S1377)),IF((SUM(B1373:F1378))&gt;(SUM(S1373:S1378)),(((SUM(S1373:S1378))-(SUM(B1373:F1378)-C1378))*M1372)+((SUM(B1378:F1378)-C1378)*M1372),(SUM(B1378:F1378)-C1378)*M1372),IF(SUM(B1373:F1378)&gt;(SUM(S1373:S1378)),S1378*M1372,SUM(B1378:F1378)*M1372)),2)))</f>
        <v>0</v>
      </c>
      <c r="N1378" s="64">
        <f>IF(B1378=0,0,IF(AND(H1364="ja",((U1378)&lt;R1389)),ROUND(((R1391*R1388+((R1389/(R1389-R1388))-(R1388/(R1389-R1388))*R1391)*((U1378)-R1388))*(N1372)),2),ROUND(IF(SUM(B1373:F1377)&lt;(SUM(S1373:S1377)),IF((SUM(B1373:F1378))&gt;(SUM(S1373:S1378)),(((SUM(S1373:S1378))-(SUM(B1373:F1378)-C1377))*N1372)+((SUM(B1378:F1378)-C1377)*N1372),SUM(B1378:F1378)*N1372),IF(SUM(B1373:F1378)&gt;(SUM(S1373:S1378)),S1378*N1372,SUM(B1378:F1378)*N1372)),2)))</f>
        <v>0</v>
      </c>
      <c r="O1378" s="21">
        <f>ROUND(SUM(B1378+C1378+F1378)*O1372,2)</f>
        <v>0</v>
      </c>
      <c r="P1378" s="25">
        <f t="shared" si="223"/>
        <v>0</v>
      </c>
      <c r="Q1378" s="456"/>
      <c r="R1378" s="140">
        <f>ROUND(IF(M1351="",R1367,R1367/M1351*P1355),2)</f>
        <v>5175</v>
      </c>
      <c r="S1378" s="140">
        <f>ROUND(IF(M1351="",R1368,R1368/M1351*P1355),2)</f>
        <v>7450</v>
      </c>
      <c r="U1378" s="950">
        <f t="shared" si="224"/>
        <v>0</v>
      </c>
      <c r="V1378" s="950">
        <f>SUM(B1373:F1378)</f>
        <v>0</v>
      </c>
    </row>
    <row r="1379" spans="1:24" s="1" customFormat="1" x14ac:dyDescent="0.2">
      <c r="A1379" s="76" t="str">
        <f>CONCATENATE("Jul ",O1349)</f>
        <v>Jul 2025</v>
      </c>
      <c r="B1379" s="22">
        <f>ROUND(IF(P1356=0,0,IFERROR(((LOOKUP(2,1/(A1358:A1361=A1379),G1358:G1361))*P1356*4.348),B1378/P1355*P1356)),2)</f>
        <v>0</v>
      </c>
      <c r="C1379" s="21">
        <f>ROUND(IFERROR((LOOKUP(2,1/(A1364=A1379),E1364)),0)+IFERROR((LOOKUP(2,1/(A1365=A1379),E1365)),0),2)</f>
        <v>0</v>
      </c>
      <c r="D1379" s="21">
        <f>ROUND(IF(B1379=0,0,D1372/M1351*P1356),2)</f>
        <v>0</v>
      </c>
      <c r="E1379" s="21">
        <f>ROUND(IF(B1379=0,0,E1372/N1347*P1356),2)</f>
        <v>0</v>
      </c>
      <c r="F1379" s="22">
        <f>ROUND(IF(P1356=0,0,IFERROR(((LOOKUP(2,1/(A1358:A1361=A1379),I1358:I1361))/N1347*P1356),F1378/P1355*P1356)),2)</f>
        <v>0</v>
      </c>
      <c r="G1379" s="25">
        <f t="shared" si="222"/>
        <v>0</v>
      </c>
      <c r="H1379" s="64">
        <f>IF(B1379=0,0,IF(AND(H1364="ja",((U1379)&lt;R1389)),ROUND(((R1391*R1388+((R1389/(R1389-R1388))-(R1388/(R1389-R1388))*R1391)*((U1379)-R1388))*(H1372*2))-(((R1389/(R1389-R1388))*((U1379)-R1388))*H1372),2),ROUND(IF(V1378&lt;(SUM(R1373:R1378)),IF((V1379)&gt;(SUM(R1373:R1379)),(((SUM(R1373:R1379))-(V1379-C1378))*H1372)+((U1379-C1378)*H1372),U1379*H1372),IF(V1379&gt;(SUM(R1373:R1379)),R1379*H1372,U1379*H1372)),2)))</f>
        <v>0</v>
      </c>
      <c r="I1379" s="64">
        <f>IF(B1379=0,0,IF(AND(H1364="ja",((U1379)&lt;R1389)),ROUND(((R1391*R1388+((R1389/(R1389-R1388))-(R1388/(R1389-R1388))*R1391)*((U1379)-R1388))*(I1372*2))-(((R1389/(R1389-R1388))*((U1379)-R1388))*I1372),2),ROUND(IF(V1378&lt;(SUM(S1373:S1378)),IF((V1379)&gt;(SUM(S1373:S1379)),(((SUM(S1373:S1379))-(V1379-C1378))*I1372)+((U1379-C1378)*I1372),U1379*I1372),IF(V1379&gt;(SUM(S1373:S1379)),S1379*I1372,U1379*I1372)),2)))</f>
        <v>0</v>
      </c>
      <c r="J1379" s="64">
        <f>IF(B1379=0,0,IF(AND(H1364="ja",((U1379)&lt;R1389)),ROUND(((R1391*R1388+((R1389/(R1389-R1388))-(R1388/(R1389-R1388))*R1391)*((U1379)-R1388))*(J1372*2))-(((R1389/(R1389-R1388))*((U1379)-R1388))*J1372),2),ROUND(IF(V1378&lt;(SUM(S1373:S1378)),IF((V1379)&gt;(SUM(S1373:S1379)),(((SUM(S1373:S1379))-(V1379-C1378))*J1372)+((U1379-C1378)*J1372),U1379*J1372),IF(V1379&gt;(SUM(S1373:S1379)),S1379*J1372,U1379*J1372)),2)))</f>
        <v>0</v>
      </c>
      <c r="K1379" s="64">
        <f>IF(B1379=0,0,IF(AND(H1364="ja",((U1379)&lt;R1389)),ROUND(((R1391*R1388+((R1389/(R1389-R1388))-(R1388/(R1389-R1388))*R1391)*((U1379)-R1388))*(K1372*2))-(((R1389/(R1389-R1388))*((U1379)-R1388))*K1372),2),ROUND(IF(V1378&lt;(SUM(R1373:R1378)),IF((V1379)&gt;(SUM(R1373:R1379)),(((SUM(R1373:R1379))-(V1379-C1378))*K1372)+((U1379-C1378)*K1372),U1379*K1372),IF(V1379&gt;(SUM(R1373:R1379)),R1379*K1372,U1379*K1372)),2)))</f>
        <v>0</v>
      </c>
      <c r="L1379" s="64">
        <f>IF(B1379=0,0,IF(AND(H1364="ja",((U1379-C1379)&lt;R1389)),ROUND(((R1391*R1388+((R1389/(R1389-R1388))-(R1388/(R1389-R1388))*R1391)*((U1379-C1379)-R1388))*(L1372)),2),ROUND(IF(SUM(B1373:F1378)&lt;(SUM(S1373:S1378)),IF((SUM(B1373:F1379))&gt;(SUM(S1373:S1379)),(((SUM(S1373:S1379))-(SUM(B1373:F1379)-C1379))*L1372)+((SUM(B1379:F1379)-C1379)*L1372),(SUM(B1379:F1379)-C1379)*L1372),IF(SUM(B1373:F1379)&gt;(SUM(S1373:S1379)),S1379*L1372,SUM(B1379:F1379)*L1372)),2)))</f>
        <v>0</v>
      </c>
      <c r="M1379" s="64">
        <f>IF(B1379=0,0,IF(AND(H1364="ja",((U1379-C1379)&lt;R1389)),ROUND(((R1391*R1388+((R1389/(R1389-R1388))-(R1388/(R1389-R1388))*R1391)*((U1379-C1379)-R1388))*(M1372)),2),ROUND(IF(SUM(B1373:F1378)&lt;(SUM(S1373:S1378)),IF((SUM(B1373:F1379))&gt;(SUM(S1373:S1379)),(((SUM(S1373:S1379))-(SUM(B1373:F1379)-C1379))*M1372)+((SUM(B1379:F1379)-C1379)*M1372),(SUM(B1379:F1379)-C1379)*M1372),IF(SUM(B1373:F1379)&gt;(SUM(S1373:S1379)),S1379*M1372,SUM(B1379:F1379)*M1372)),2)))</f>
        <v>0</v>
      </c>
      <c r="N1379" s="64">
        <f>IF(B1379=0,0,IF(AND(H1364="ja",((U1379)&lt;R1389)),ROUND(((R1391*R1388+((R1389/(R1389-R1388))-(R1388/(R1389-R1388))*R1391)*((U1379)-R1388))*(N1372)),2),ROUND(IF(SUM(B1373:F1378)&lt;(SUM(S1373:S1378)),IF((SUM(B1373:F1379))&gt;(SUM(S1373:S1379)),(((SUM(S1373:S1379))-(SUM(B1373:F1379)-C1378))*N1372)+((SUM(B1379:F1379)-C1378)*N1372),SUM(B1379:F1379)*N1372),IF(SUM(B1373:F1379)&gt;(SUM(S1373:S1379)),S1379*N1372,SUM(B1379:F1379)*N1372)),2)))</f>
        <v>0</v>
      </c>
      <c r="O1379" s="21">
        <f>ROUND(SUM(B1379+C1379+F1379)*O1372,2)</f>
        <v>0</v>
      </c>
      <c r="P1379" s="25">
        <f t="shared" si="223"/>
        <v>0</v>
      </c>
      <c r="Q1379" s="456"/>
      <c r="R1379" s="140">
        <f>ROUND(IF(M1351="",R1367,R1367/M1351*P1356),2)</f>
        <v>5175</v>
      </c>
      <c r="S1379" s="140">
        <f>ROUND(IF(M1351="",R1368,R1368/M1351*P1356),2)</f>
        <v>7450</v>
      </c>
      <c r="U1379" s="950">
        <f t="shared" si="224"/>
        <v>0</v>
      </c>
      <c r="V1379" s="950">
        <f>SUM(B1373:F1379)</f>
        <v>0</v>
      </c>
    </row>
    <row r="1380" spans="1:24" s="1" customFormat="1" x14ac:dyDescent="0.2">
      <c r="A1380" s="76" t="str">
        <f>CONCATENATE("Aug ",O1349)</f>
        <v>Aug 2025</v>
      </c>
      <c r="B1380" s="22">
        <f>ROUND(IF(P1357=0,0,IFERROR(((LOOKUP(2,1/(A1358:A1361=A1380),G1358:G1361))*P1357*4.348),B1379/P1356*P1357)),2)</f>
        <v>0</v>
      </c>
      <c r="C1380" s="21">
        <f>ROUND(IFERROR((LOOKUP(2,1/(A1364=A1380),E1364)),0)+IFERROR((LOOKUP(2,1/(A1365=A1380),E1365)),0),2)</f>
        <v>0</v>
      </c>
      <c r="D1380" s="21">
        <f>ROUND(IF(B1380=0,0,D1372/M1351*P1357),2)</f>
        <v>0</v>
      </c>
      <c r="E1380" s="21">
        <f>ROUND(IF(B1380=0,0,E1372/N1347*P1357),2)</f>
        <v>0</v>
      </c>
      <c r="F1380" s="22">
        <f>ROUND(IF(P1357=0,0,IFERROR(((LOOKUP(2,1/(A1358:A1361=A1380),I1358:I1361))/N1347*P1357),F1379/P1356*P1357)),2)</f>
        <v>0</v>
      </c>
      <c r="G1380" s="25">
        <f t="shared" si="222"/>
        <v>0</v>
      </c>
      <c r="H1380" s="64">
        <f>IF(B1380=0,0,IF(AND(H1364="ja",((U1380)&lt;R1389)),ROUND(((R1391*R1388+((R1389/(R1389-R1388))-(R1388/(R1389-R1388))*R1391)*((U1380)-R1388))*(H1372*2))-(((R1389/(R1389-R1388))*((U1380)-R1388))*H1372),2),ROUND(IF(V1379&lt;(SUM(R1373:R1379)),IF((V1380)&gt;(SUM(R1373:R1380)),(((SUM(R1373:R1380))-(V1380-C1379))*H1372)+((U1380-C1379)*H1372),U1380*H1372),IF(V1380&gt;(SUM(R1373:R1380)),R1380*H1372,U1380*H1372)),2)))</f>
        <v>0</v>
      </c>
      <c r="I1380" s="64">
        <f>IF(B1380=0,0,IF(AND(H1364="ja",((U1380)&lt;R1389)),ROUND(((R1391*R1388+((R1389/(R1389-R1388))-(R1388/(R1389-R1388))*R1391)*((U1380)-R1388))*(I1372*2))-(((R1389/(R1389-R1388))*((U1380)-R1388))*I1372),2),ROUND(IF(V1379&lt;(SUM(S1373:S1379)),IF((V1380)&gt;(SUM(S1373:S1380)),(((SUM(S1373:S1380))-(V1380-C1379))*I1372)+((U1380-C1379)*I1372),U1380*I1372),IF(V1380&gt;(SUM(S1373:S1380)),S1380*I1372,U1380*I1372)),2)))</f>
        <v>0</v>
      </c>
      <c r="J1380" s="64">
        <f>IF(B1380=0,0,IF(AND(H1364="ja",((U1380)&lt;R1389)),ROUND(((R1391*R1388+((R1389/(R1389-R1388))-(R1388/(R1389-R1388))*R1391)*((U1380)-R1388))*(J1372*2))-(((R1389/(R1389-R1388))*((U1380)-R1388))*J1372),2),ROUND(IF(V1379&lt;(SUM(S1373:S1379)),IF((V1380)&gt;(SUM(S1373:S1380)),(((SUM(S1373:S1380))-(V1380-C1379))*J1372)+((U1380-C1379)*J1372),U1380*J1372),IF(V1380&gt;(SUM(S1373:S1380)),S1380*J1372,U1380*J1372)),2)))</f>
        <v>0</v>
      </c>
      <c r="K1380" s="64">
        <f>IF(B1380=0,0,IF(AND(H1364="ja",((U1380)&lt;R1389)),ROUND(((R1391*R1388+((R1389/(R1389-R1388))-(R1388/(R1389-R1388))*R1391)*((U1380)-R1388))*(K1372*2))-(((R1389/(R1389-R1388))*((U1380)-R1388))*K1372),2),ROUND(IF(V1379&lt;(SUM(R1373:R1379)),IF((V1380)&gt;(SUM(R1373:R1380)),(((SUM(R1373:R1380))-(V1380-C1379))*K1372)+((U1380-C1379)*K1372),U1380*K1372),IF(V1380&gt;(SUM(R1373:R1380)),R1380*K1372,U1380*K1372)),2)))</f>
        <v>0</v>
      </c>
      <c r="L1380" s="64">
        <f>IF(B1380=0,0,IF(AND(H1364="ja",((U1380-C1380)&lt;R1389)),ROUND(((R1391*R1388+((R1389/(R1389-R1388))-(R1388/(R1389-R1388))*R1391)*((U1380-C1380)-R1388))*(L1372)),2),ROUND(IF(SUM(B1373:F1379)&lt;(SUM(S1373:S1379)),IF((SUM(B1373:F1380))&gt;(SUM(S1373:S1380)),(((SUM(S1373:S1380))-(SUM(B1373:F1380)-C1380))*L1372)+((SUM(B1380:F1380)-C1380)*L1372),(SUM(B1380:F1380)-C1380)*L1372),IF(SUM(B1373:F1380)&gt;(SUM(S1373:S1380)),S1380*L1372,SUM(B1380:F1380)*L1372)),2)))</f>
        <v>0</v>
      </c>
      <c r="M1380" s="64">
        <f>IF(B1380=0,0,IF(AND(H1364="ja",((U1380-C1380)&lt;R1389)),ROUND(((R1391*R1388+((R1389/(R1389-R1388))-(R1388/(R1389-R1388))*R1391)*((U1380-C1380)-R1388))*(M1372)),2),ROUND(IF(SUM(B1373:F1379)&lt;(SUM(S1373:S1379)),IF((SUM(B1373:F1380))&gt;(SUM(S1373:S1380)),(((SUM(S1373:S1380))-(SUM(B1373:F1380)-C1380))*M1372)+((SUM(B1380:F1380)-C1380)*M1372),(SUM(B1380:F1380)-C1380)*M1372),IF(SUM(B1373:F1380)&gt;(SUM(S1373:S1380)),S1380*M1372,SUM(B1380:F1380)*M1372)),2)))</f>
        <v>0</v>
      </c>
      <c r="N1380" s="64">
        <f>IF(B1380=0,0,IF(AND(H1364="ja",((U1380)&lt;R1389)),ROUND(((R1391*R1388+((R1389/(R1389-R1388))-(R1388/(R1389-R1388))*R1391)*((U1380)-R1388))*(N1372)),2),ROUND(IF(SUM(B1373:F1379)&lt;(SUM(S1373:S1379)),IF((SUM(B1373:F1380))&gt;(SUM(S1373:S1380)),(((SUM(S1373:S1380))-(SUM(B1373:F1380)-C1379))*N1372)+((SUM(B1380:F1380)-C1379)*N1372),SUM(B1380:F1380)*N1372),IF(SUM(B1373:F1380)&gt;(SUM(S1373:S1380)),S1380*N1372,SUM(B1380:F1380)*N1372)),2)))</f>
        <v>0</v>
      </c>
      <c r="O1380" s="21">
        <f>ROUND(SUM(B1380+C1380+F1380)*O1372,2)</f>
        <v>0</v>
      </c>
      <c r="P1380" s="25">
        <f t="shared" si="223"/>
        <v>0</v>
      </c>
      <c r="Q1380" s="456"/>
      <c r="R1380" s="140">
        <f>ROUND(IF(M1351="",R1367,R1367/M1351*P1357),2)</f>
        <v>5175</v>
      </c>
      <c r="S1380" s="140">
        <f>ROUND(IF(M1351="",R1368,R1368/M1351*P1357),2)</f>
        <v>7450</v>
      </c>
      <c r="U1380" s="950">
        <f t="shared" si="224"/>
        <v>0</v>
      </c>
      <c r="V1380" s="950">
        <f>SUM(B1373:F1380)</f>
        <v>0</v>
      </c>
    </row>
    <row r="1381" spans="1:24" s="1" customFormat="1" x14ac:dyDescent="0.2">
      <c r="A1381" s="76" t="str">
        <f>CONCATENATE("Sep ",O1349)</f>
        <v>Sep 2025</v>
      </c>
      <c r="B1381" s="22">
        <f>ROUND(IF(P1358=0,0,IFERROR(((LOOKUP(2,1/(A1358:A1361=A1381),G1358:G1361))*P1358*4.348),B1380/P1357*P1358)),2)</f>
        <v>0</v>
      </c>
      <c r="C1381" s="21">
        <f>ROUND(IFERROR((LOOKUP(2,1/(A1364=A1381),E1364)),0)+IFERROR((LOOKUP(2,1/(A1365=A1381),E1365)),0),2)</f>
        <v>0</v>
      </c>
      <c r="D1381" s="21">
        <f>ROUND(IF(B1381=0,0,D1372/M1351*P1358),2)</f>
        <v>0</v>
      </c>
      <c r="E1381" s="21">
        <f>ROUND(IF(B1381=0,0,E1372/N1347*P1358),2)</f>
        <v>0</v>
      </c>
      <c r="F1381" s="22">
        <f>ROUND(IF(P1358=0,0,IFERROR(((LOOKUP(2,1/(A1358:A1361=A1381),I1358:I1361))/N1347*P1358),F1380/P1357*P1358)),2)</f>
        <v>0</v>
      </c>
      <c r="G1381" s="25">
        <f t="shared" si="222"/>
        <v>0</v>
      </c>
      <c r="H1381" s="64">
        <f>IF(B1381=0,0,IF(AND(H1364="ja",((U1381)&lt;R1389)),ROUND(((R1391*R1388+((R1389/(R1389-R1388))-(R1388/(R1389-R1388))*R1391)*((U1381)-R1388))*(H1372*2))-(((R1389/(R1389-R1388))*((U1381)-R1388))*H1372),2),ROUND(IF(V1380&lt;(SUM(R1373:R1380)),IF((V1381)&gt;(SUM(R1373:R1381)),(((SUM(R1373:R1381))-(V1381-C1380))*H1372)+((U1381-C1380)*H1372),U1381*H1372),IF(V1381&gt;(SUM(R1373:R1381)),R1381*H1372,U1381*H1372)),2)))</f>
        <v>0</v>
      </c>
      <c r="I1381" s="64">
        <f>IF(B1381=0,0,IF(AND(H1364="ja",((U1381)&lt;R1389)),ROUND(((R1391*R1388+((R1389/(R1389-R1388))-(R1388/(R1389-R1388))*R1391)*((U1381)-R1388))*(I1372*2))-(((R1389/(R1389-R1388))*((U1381)-R1388))*I1372),2),ROUND(IF(V1380&lt;(SUM(S1373:S1380)),IF((V1381)&gt;(SUM(S1373:S1381)),(((SUM(S1373:S1381))-(V1381-C1380))*I1372)+((U1381-C1380)*I1372),U1381*I1372),IF(V1381&gt;(SUM(S1373:S1381)),S1381*I1372,U1381*I1372)),2)))</f>
        <v>0</v>
      </c>
      <c r="J1381" s="64">
        <f>IF(B1381=0,0,IF(AND(H1364="ja",((U1381)&lt;R1389)),ROUND(((R1391*R1388+((R1389/(R1389-R1388))-(R1388/(R1389-R1388))*R1391)*((U1381)-R1388))*(J1372*2))-(((R1389/(R1389-R1388))*((U1381)-R1388))*J1372),2),ROUND(IF(V1380&lt;(SUM(S1373:S1380)),IF((V1381)&gt;(SUM(S1373:S1381)),(((SUM(S1373:S1381))-(V1381-C1380))*J1372)+((U1381-C1380)*J1372),U1381*J1372),IF(V1381&gt;(SUM(S1373:S1381)),S1381*J1372,U1381*J1372)),2)))</f>
        <v>0</v>
      </c>
      <c r="K1381" s="64">
        <f>IF(B1381=0,0,IF(AND(H1364="ja",((U1381)&lt;R1389)),ROUND(((R1391*R1388+((R1389/(R1389-R1388))-(R1388/(R1389-R1388))*R1391)*((U1381)-R1388))*(K1372*2))-(((R1389/(R1389-R1388))*((U1381)-R1388))*K1372),2),ROUND(IF(V1380&lt;(SUM(R1373:R1380)),IF((V1381)&gt;(SUM(R1373:R1381)),(((SUM(R1373:R1381))-(V1381-C1380))*K1372)+((U1381-C1380)*K1372),U1381*K1372),IF(V1381&gt;(SUM(R1373:R1381)),R1381*K1372,U1381*K1372)),2)))</f>
        <v>0</v>
      </c>
      <c r="L1381" s="64">
        <f>IF(B1381=0,0,IF(AND(H1364="ja",((U1381-C1381)&lt;R1389)),ROUND(((R1391*R1388+((R1389/(R1389-R1388))-(R1388/(R1389-R1388))*R1391)*((U1381-C1381)-R1388))*(L1372)),2),ROUND(IF(SUM(B1373:F1380)&lt;(SUM(S1373:S1380)),IF((SUM(B1373:F1381))&gt;(SUM(S1373:S1381)),(((SUM(S1373:S1381))-(SUM(B1373:F1381)-C1381))*L1372)+((SUM(B1381:F1381)-C1381)*L1372),(SUM(B1381:F1381)-C1381)*L1372),IF(SUM(B1373:F1381)&gt;(SUM(S1373:S1381)),S1381*L1372,SUM(B1381:F1381)*L1372)),2)))</f>
        <v>0</v>
      </c>
      <c r="M1381" s="64">
        <f>IF(B1381=0,0,IF(AND(H1364="ja",((U1381-C1381)&lt;R1389)),ROUND(((R1391*R1388+((R1389/(R1389-R1388))-(R1388/(R1389-R1388))*R1391)*((U1381-C1381)-R1388))*(M1372)),2),ROUND(IF(SUM(B1373:F1380)&lt;(SUM(S1373:S1380)),IF((SUM(B1373:F1381))&gt;(SUM(S1373:S1381)),(((SUM(S1373:S1381))-(SUM(B1373:F1381)-C1381))*M1372)+((SUM(B1381:F1381)-C1381)*M1372),(SUM(B1381:F1381)-C1381)*M1372),IF(SUM(B1373:F1381)&gt;(SUM(S1373:S1381)),S1381*M1372,SUM(B1381:F1381)*M1372)),2)))</f>
        <v>0</v>
      </c>
      <c r="N1381" s="64">
        <f>IF(B1381=0,0,IF(AND(H1364="ja",((U1381)&lt;R1389)),ROUND(((R1391*R1388+((R1389/(R1389-R1388))-(R1388/(R1389-R1388))*R1391)*((U1381)-R1388))*(N1372)),2),ROUND(IF(SUM(B1373:F1380)&lt;(SUM(S1373:S1380)),IF((SUM(B1373:F1381))&gt;(SUM(S1373:S1381)),(((SUM(S1373:S1381))-(SUM(B1373:F1381)-C1380))*N1372)+((SUM(B1381:F1381)-C1380)*N1372),SUM(B1381:F1381)*N1372),IF(SUM(B1373:F1381)&gt;(SUM(S1373:S1381)),S1381*N1372,SUM(B1381:F1381)*N1372)),2)))</f>
        <v>0</v>
      </c>
      <c r="O1381" s="21">
        <f>ROUND(SUM(B1381+C1381+F1381)*O1372,2)</f>
        <v>0</v>
      </c>
      <c r="P1381" s="25">
        <f t="shared" si="223"/>
        <v>0</v>
      </c>
      <c r="Q1381" s="456"/>
      <c r="R1381" s="140">
        <f>ROUND(IF(M1351="",R1367,R1367/M1351*P1358),2)</f>
        <v>5175</v>
      </c>
      <c r="S1381" s="140">
        <f>ROUND(IF(M1351="",R1368,R1368/M1351*P1358),2)</f>
        <v>7450</v>
      </c>
      <c r="U1381" s="950">
        <f t="shared" si="224"/>
        <v>0</v>
      </c>
      <c r="V1381" s="950">
        <f>SUM(B1373:F1381)</f>
        <v>0</v>
      </c>
    </row>
    <row r="1382" spans="1:24" s="12" customFormat="1" ht="15" x14ac:dyDescent="0.25">
      <c r="A1382" s="76" t="str">
        <f>CONCATENATE("Okt ",O1349)</f>
        <v>Okt 2025</v>
      </c>
      <c r="B1382" s="22">
        <f>ROUND(IF(P1359=0,0,IFERROR(((LOOKUP(2,1/(A1358:A1361=A1382),G1358:G1361))*P1359*4.348),B1381/P1358*P1359)),2)</f>
        <v>0</v>
      </c>
      <c r="C1382" s="21">
        <f>ROUND(IFERROR((LOOKUP(2,1/(A1364=A1382),E1364)),0)+IFERROR((LOOKUP(2,1/(A1365=A1382),E1365)),0),2)</f>
        <v>0</v>
      </c>
      <c r="D1382" s="21">
        <f>ROUND(IF(B1382=0,0,D1372/M1351*P1359),2)</f>
        <v>0</v>
      </c>
      <c r="E1382" s="21">
        <f>ROUND(IF(B1382=0,0,E1372/N1347*P1359),2)</f>
        <v>0</v>
      </c>
      <c r="F1382" s="22">
        <f>ROUND(IF(P1359=0,0,IFERROR(((LOOKUP(2,1/(A1358:A1361=A1382),I1358:I1361))/N1347*P1359),F1381/P1358*P1359)),2)</f>
        <v>0</v>
      </c>
      <c r="G1382" s="25">
        <f t="shared" si="222"/>
        <v>0</v>
      </c>
      <c r="H1382" s="64">
        <f>IF(B1382=0,0,IF(AND(H1364="ja",((U1382)&lt;R1389)),ROUND(((R1391*R1388+((R1389/(R1389-R1388))-(R1388/(R1389-R1388))*R1391)*((U1382)-R1388))*(H1372*2))-(((R1389/(R1389-R1388))*((U1382)-R1388))*H1372),2),ROUND(IF(V1381&lt;(SUM(R1373:R1381)),IF((V1382)&gt;(SUM(R1373:R1382)),(((SUM(R1373:R1382))-(V1382-C1381))*H1372)+((U1382-C1381)*H1372),U1382*H1372),IF(V1382&gt;(SUM(R1373:R1382)),R1382*H1372,U1382*H1372)),2)))</f>
        <v>0</v>
      </c>
      <c r="I1382" s="64">
        <f>IF(B1382=0,0,IF(AND(H1364="ja",((U1382)&lt;R1389)),ROUND(((R1391*R1388+((R1389/(R1389-R1388))-(R1388/(R1389-R1388))*R1391)*((U1382)-R1388))*(I1372*2))-(((R1389/(R1389-R1388))*((U1382)-R1388))*I1372),2),ROUND(IF(V1381&lt;(SUM(S1373:S1381)),IF((V1382)&gt;(SUM(S1373:S1382)),(((SUM(S1373:S1382))-(V1382-C1381))*I1372)+((U1382-C1381)*I1372),U1382*I1372),IF(V1382&gt;(SUM(S1373:S1382)),S1382*I1372,U1382*I1372)),2)))</f>
        <v>0</v>
      </c>
      <c r="J1382" s="64">
        <f>IF(B1382=0,0,IF(AND(H1364="ja",((U1382)&lt;R1389)),ROUND(((R1391*R1388+((R1389/(R1389-R1388))-(R1388/(R1389-R1388))*R1391)*((U1382)-R1388))*(J1372*2))-(((R1389/(R1389-R1388))*((U1382)-R1388))*J1372),2),ROUND(IF(V1381&lt;(SUM(S1373:S1381)),IF((V1382)&gt;(SUM(S1373:S1382)),(((SUM(S1373:S1382))-(V1382-C1381))*J1372)+((U1382-C1381)*J1372),U1382*J1372),IF(V1382&gt;(SUM(S1373:S1382)),S1382*J1372,U1382*J1372)),2)))</f>
        <v>0</v>
      </c>
      <c r="K1382" s="64">
        <f>IF(B1382=0,0,IF(AND(H1364="ja",((U1382)&lt;R1389)),ROUND(((R1391*R1388+((R1389/(R1389-R1388))-(R1388/(R1389-R1388))*R1391)*((U1382)-R1388))*(K1372*2))-(((R1389/(R1389-R1388))*((U1382)-R1388))*K1372),2),ROUND(IF(V1381&lt;(SUM(R1373:R1381)),IF((V1382)&gt;(SUM(R1373:R1382)),(((SUM(R1373:R1382))-(V1382-C1381))*K1372)+((U1382-C1381)*K1372),U1382*K1372),IF(V1382&gt;(SUM(R1373:R1382)),R1382*K1372,U1382*K1372)),2)))</f>
        <v>0</v>
      </c>
      <c r="L1382" s="64">
        <f>IF(B1382=0,0,IF(AND(H1364="ja",((U1382-C1382)&lt;R1389)),ROUND(((R1391*R1388+((R1389/(R1389-R1388))-(R1388/(R1389-R1388))*R1391)*((U1382-C1382)-R1388))*(L1372)),2),ROUND(IF(SUM(B1373:F1381)&lt;(SUM(S1373:S1381)),IF((SUM(B1373:F1382))&gt;(SUM(S1373:S1382)),(((SUM(S1373:S1382))-(SUM(B1373:F1382)-C1382))*L1372)+((SUM(B1382:F1382)-C1382)*L1372),(SUM(B1382:F1382)-C1382)*L1372),IF(SUM(B1373:F1382)&gt;(SUM(S1373:S1382)),S1382*L1372,SUM(B1382:F1382)*L1372)),2)))</f>
        <v>0</v>
      </c>
      <c r="M1382" s="64">
        <f>IF(B1382=0,0,IF(AND(H1364="ja",((U1382-C1382)&lt;R1389)),ROUND(((R1391*R1388+((R1389/(R1389-R1388))-(R1388/(R1389-R1388))*R1391)*((U1382-C1382)-R1388))*(M1372)),2),ROUND(IF(SUM(B1373:F1381)&lt;(SUM(S1373:S1381)),IF((SUM(B1373:F1382))&gt;(SUM(S1373:S1382)),(((SUM(S1373:S1382))-(SUM(B1373:F1382)-C1382))*M1372)+((SUM(B1382:F1382)-C1382)*M1372),(SUM(B1382:F1382)-C1382)*M1372),IF(SUM(B1373:F1382)&gt;(SUM(S1373:S1382)),S1382*M1372,SUM(B1382:F1382)*M1372)),2)))</f>
        <v>0</v>
      </c>
      <c r="N1382" s="64">
        <f>IF(B1382=0,0,IF(AND(H1364="ja",((U1382)&lt;R1389)),ROUND(((R1391*R1388+((R1389/(R1389-R1388))-(R1388/(R1389-R1388))*R1391)*((U1382)-R1388))*(N1372)),2),ROUND(IF(SUM(B1373:F1381)&lt;(SUM(S1373:S1381)),IF((SUM(B1373:F1382))&gt;(SUM(S1373:S1382)),(((SUM(S1373:S1382))-(SUM(B1373:F1382)-C1381))*N1372)+((SUM(B1382:F1382)-C1381)*N1372),SUM(B1382:F1382)*N1372),IF(SUM(B1373:F1382)&gt;(SUM(S1373:S1382)),S1382*N1372,SUM(B1382:F1382)*N1372)),2)))</f>
        <v>0</v>
      </c>
      <c r="O1382" s="21">
        <f>ROUND(SUM(B1382+C1382+F1382)*O1372,2)</f>
        <v>0</v>
      </c>
      <c r="P1382" s="25">
        <f t="shared" si="223"/>
        <v>0</v>
      </c>
      <c r="Q1382" s="936"/>
      <c r="R1382" s="140">
        <f>ROUND(IF(M1351="",R1367,R1367/M1351*P1359),2)</f>
        <v>5175</v>
      </c>
      <c r="S1382" s="140">
        <f>ROUND(IF(M1351="",R1368,R1368/M1351*P1359),2)</f>
        <v>7450</v>
      </c>
      <c r="U1382" s="950">
        <f t="shared" si="224"/>
        <v>0</v>
      </c>
      <c r="V1382" s="950">
        <f>SUM(B1373:F1382)</f>
        <v>0</v>
      </c>
      <c r="X1382" s="1"/>
    </row>
    <row r="1383" spans="1:24" s="11" customFormat="1" x14ac:dyDescent="0.2">
      <c r="A1383" s="76" t="str">
        <f>CONCATENATE("Nov ",O1349)</f>
        <v>Nov 2025</v>
      </c>
      <c r="B1383" s="22">
        <f>ROUND(IF(P1360=0,0,IFERROR(((LOOKUP(2,1/(A1358:A1361=A1383),G1358:G1361))*P1360*4.348),B1382/P1359*P1360)),2)</f>
        <v>0</v>
      </c>
      <c r="C1383" s="21">
        <f>ROUND(IFERROR((LOOKUP(2,1/(A1364=A1383),E1364)),0)+(IFERROR((LOOKUP(2,1/(A1365=A1383),E1365)),0)),2)</f>
        <v>0</v>
      </c>
      <c r="D1383" s="21">
        <f>ROUND(IF(B1383=0,0,D1372/M1351*P1360),2)</f>
        <v>0</v>
      </c>
      <c r="E1383" s="21">
        <f>ROUND(IF(B1383=0,0,E1372/N1347*P1360),2)</f>
        <v>0</v>
      </c>
      <c r="F1383" s="22">
        <f>ROUND(IF(P1360=0,0,IFERROR(((LOOKUP(2,1/(A1358:A1361=A1383),I1358:I1361))/N1347*P1360),F1382/P1359*P1360)),2)</f>
        <v>0</v>
      </c>
      <c r="G1383" s="25">
        <f t="shared" si="222"/>
        <v>0</v>
      </c>
      <c r="H1383" s="64">
        <f>IF(B1383=0,0,IF(AND(H1364="ja",((U1383)&lt;R1389)),ROUND(((R1391*R1388+((R1389/(R1389-R1388))-(R1388/(R1389-R1388))*R1391)*((U1383)-R1388))*(H1372*2))-(((R1389/(R1389-R1388))*((U1383)-R1388))*H1372),2),ROUND(IF(V1382&lt;(SUM(R1373:R1382)),IF((V1383)&gt;(SUM(R1373:R1383)),(((SUM(R1373:R1383))-(V1383-C1382))*H1372)+((U1383-C1382)*H1372),U1383*H1372),IF(V1383&gt;(SUM(R1373:R1383)),R1383*H1372,U1383*H1372)),2)))</f>
        <v>0</v>
      </c>
      <c r="I1383" s="64">
        <f>IF(B1383=0,0,IF(AND(H1364="ja",((U1383)&lt;R1389)),ROUND(((R1391*R1388+((R1389/(R1389-R1388))-(R1388/(R1389-R1388))*R1391)*((U1383)-R1388))*(I1372*2))-(((R1389/(R1389-R1388))*((U1383)-R1388))*I1372),2),ROUND(IF(V1382&lt;(SUM(S1373:S1382)),IF((V1383)&gt;(SUM(S1373:S1383)),(((SUM(S1373:S1383))-(V1383-C1382))*I1372)+((U1383-C1382)*I1372),U1383*I1372),IF(V1383&gt;(SUM(S1373:S1383)),S1383*I1372,U1383*I1372)),2)))</f>
        <v>0</v>
      </c>
      <c r="J1383" s="64">
        <f>IF(B1383=0,0,IF(AND(H1364="ja",((U1383)&lt;R1389)),ROUND(((R1391*R1388+((R1389/(R1389-R1388))-(R1388/(R1389-R1388))*R1391)*((U1383)-R1388))*(J1372*2))-(((R1389/(R1389-R1388))*((U1383)-R1388))*J1372),2),ROUND(IF(V1382&lt;(SUM(S1373:S1382)),IF((V1383)&gt;(SUM(S1373:S1383)),(((SUM(S1373:S1383))-(V1383-C1382))*J1372)+((U1383-C1382)*J1372),U1383*J1372),IF(V1383&gt;(SUM(S1373:S1383)),S1383*J1372,U1383*J1372)),2)))</f>
        <v>0</v>
      </c>
      <c r="K1383" s="64">
        <f>IF(B1383=0,0,IF(AND(H1364="ja",((U1383)&lt;R1389)),ROUND(((R1391*R1388+((R1389/(R1389-R1388))-(R1388/(R1389-R1388))*R1391)*((U1383)-R1388))*(K1372*2))-(((R1389/(R1389-R1388))*((U1383)-R1388))*K1372),2),ROUND(IF(V1382&lt;(SUM(R1373:R1382)),IF((V1383)&gt;(SUM(R1373:R1383)),(((SUM(R1373:R1383))-(V1383-C1382))*K1372)+((U1383-C1382)*K1372),U1383*K1372),IF(V1383&gt;(SUM(R1373:R1383)),R1383*K1372,U1383*K1372)),2)))</f>
        <v>0</v>
      </c>
      <c r="L1383" s="64">
        <f>IF(B1383=0,0,IF(AND(H1364="ja",((U1383-C1383)&lt;R1389)),ROUND(((R1391*R1388+((R1389/(R1389-R1388))-(R1388/(R1389-R1388))*R1391)*((U1383-C1383)-R1388))*(L1372)),2),ROUND(IF(SUM(B1373:F1382)&lt;(SUM(S1373:S1382)),IF((SUM(B1373:F1383))&gt;(SUM(S1373:S1383)),(((SUM(S1373:S1383))-(SUM(B1373:F1383)-C1383))*L1372)+((SUM(B1383:F1383)-C1383)*L1372),(SUM(B1383:F1383)-C1383)*L1372),IF(SUM(B1373:F1383)&gt;(SUM(S1373:S1383)),S1383*L1372,SUM(B1383:F1383)*L1372)),2)))</f>
        <v>0</v>
      </c>
      <c r="M1383" s="64">
        <f>IF(B1383=0,0,IF(AND(H1364="ja",((U1383-C1383)&lt;R1389)),ROUND(((R1391*R1388+((R1389/(R1389-R1388))-(R1388/(R1389-R1388))*R1391)*((U1383-C1383)-R1388))*(M1372)),2),ROUND(IF(SUM(B1373:F1382)&lt;(SUM(S1373:S1382)),IF((SUM(B1373:F1383))&gt;(SUM(S1373:S1383)),(((SUM(S1373:S1383))-(SUM(B1373:F1383)-C1383))*M1372)+((SUM(B1383:F1383)-C1383)*M1372),(SUM(B1383:F1383)-C1383)*M1372),IF(SUM(B1373:F1383)&gt;(SUM(S1373:S1383)),S1383*M1372,SUM(B1383:F1383)*M1372)),2)))</f>
        <v>0</v>
      </c>
      <c r="N1383" s="64">
        <f>IF(B1383=0,0,IF(AND(H1364="ja",((U1383)&lt;R1389)),ROUND(((R1391*R1388+((R1389/(R1389-R1388))-(R1388/(R1389-R1388))*R1391)*((U1383)-R1388))*(N1372)),2),ROUND(IF(SUM(B1373:F1382)&lt;(SUM(S1373:S1382)),IF((SUM(B1373:F1383))&gt;(SUM(S1373:S1383)),(((SUM(S1373:S1383))-(SUM(B1373:F1383)-C1382))*N1372)+((SUM(B1383:F1383)-C1382)*N1372),SUM(B1383:F1383)*N1372),IF(SUM(B1373:F1383)&gt;(SUM(S1373:S1383)),S1383*N1372,SUM(B1383:F1383)*N1372)),2)))</f>
        <v>0</v>
      </c>
      <c r="O1383" s="21">
        <f>ROUND(SUM(B1383+C1383+F1383)*O1372,2)</f>
        <v>0</v>
      </c>
      <c r="P1383" s="25">
        <f t="shared" si="223"/>
        <v>0</v>
      </c>
      <c r="R1383" s="140">
        <f>ROUND(IF(M1351="",R1367,R1367/M1351*P1360),2)</f>
        <v>5175</v>
      </c>
      <c r="S1383" s="140">
        <f>ROUND(IF(M1351="",R1368,R1368/M1351*P1360),2)</f>
        <v>7450</v>
      </c>
      <c r="U1383" s="950">
        <f t="shared" si="224"/>
        <v>0</v>
      </c>
      <c r="V1383" s="950">
        <f>SUM(B1373:F1383)</f>
        <v>0</v>
      </c>
      <c r="X1383" s="1"/>
    </row>
    <row r="1384" spans="1:24" s="1" customFormat="1" ht="14.25" customHeight="1" x14ac:dyDescent="0.2">
      <c r="A1384" s="76" t="str">
        <f>CONCATENATE("Dez ",O1349)</f>
        <v>Dez 2025</v>
      </c>
      <c r="B1384" s="22">
        <f>ROUND(IF(P1361=0,0,IFERROR(((LOOKUP(2,1/(A1358:A1361=A1384),G1358:G1361))*P1361*4.348),B1383/P1360*P1361)),2)</f>
        <v>0</v>
      </c>
      <c r="C1384" s="21">
        <f>ROUND(IFERROR((LOOKUP(2,1/(A1364=A1384),E1364)),0)+IFERROR((LOOKUP(2,1/(A1365=A1384),E1365)),0),2)</f>
        <v>0</v>
      </c>
      <c r="D1384" s="21">
        <f>ROUND(IF(B1384=0,0,D1372/M1351*P1361),2)</f>
        <v>0</v>
      </c>
      <c r="E1384" s="21">
        <f>ROUND(IF(B1384=0,0,E1372/N1347*P1361),2)</f>
        <v>0</v>
      </c>
      <c r="F1384" s="22">
        <f>ROUND(IF(P1361=0,0,IFERROR(((LOOKUP(2,1/(A1358:A1361=A1384),I1358:I1361))/N1347*P1361),F1383/P1360*P1361)),2)</f>
        <v>0</v>
      </c>
      <c r="G1384" s="25">
        <f t="shared" si="222"/>
        <v>0</v>
      </c>
      <c r="H1384" s="64">
        <f>IF(B1384=0,0,IF(AND(H1364="ja",((U1384)&lt;R1389)),ROUND(((R1391*R1388+((R1389/(R1389-R1388))-(R1388/(R1389-R1388))*R1391)*((U1384)-R1388))*(H1372*2))-(((R1389/(R1389-R1388))*((U1384)-R1388))*H1372),2),ROUND(IF(V1383&lt;(SUM(R1373:R1383)),IF((V1384)&gt;(SUM(R1373:R1384)),(((SUM(R1373:R1384))-(V1384-C1383))*H1372)+((U1384-C1383)*H1372),U1384*H1372),IF(V1384&gt;(SUM(R1373:R1384)),R1384*H1372,U1384*H1372)),2)))</f>
        <v>0</v>
      </c>
      <c r="I1384" s="64">
        <f>IF(B1384=0,0,IF(AND(H1364="ja",((U1384)&lt;R1389)),ROUND(((R1391*R1388+((R1389/(R1389-R1388))-(R1388/(R1389-R1388))*R1391)*((U1384)-R1388))*(I1372*2))-(((R1389/(R1389-R1388))*((U1384)-R1388))*I1372),2),ROUND(IF(V1383&lt;(SUM(S1373:S1383)),IF((V1384)&gt;(SUM(S1373:S1384)),(((SUM(S1373:S1384))-(V1384-C1383))*I1372)+((U1384-C1383)*I1372),U1384*I1372),IF(V1384&gt;(SUM(S1373:S1384)),S1384*I1372,U1384*I1372)),2)))</f>
        <v>0</v>
      </c>
      <c r="J1384" s="64">
        <f>IF(B1384=0,0,IF(AND(H1364="ja",((U1384)&lt;R1389)),ROUND(((R1391*R1388+((R1389/(R1389-R1388))-(R1388/(R1389-R1388))*R1391)*((U1384)-R1388))*(J1372*2))-(((R1389/(R1389-R1388))*((U1384)-R1388))*J1372),2),ROUND(IF(V1383&lt;(SUM(S1373:S1383)),IF((V1384)&gt;(SUM(S1373:S1384)),(((SUM(S1373:S1384))-(V1384-C1383))*J1372)+((U1384-C1383)*J1372),U1384*J1372),IF(V1384&gt;(SUM(S1373:S1384)),S1384*J1372,U1384*J1372)),2)))</f>
        <v>0</v>
      </c>
      <c r="K1384" s="64">
        <f>IF(B1384=0,0,IF(AND(H1364="ja",((U1384)&lt;R1389)),ROUND(((R1391*R1388+((R1389/(R1389-R1388))-(R1388/(R1389-R1388))*R1391)*((U1384)-R1388))*(K1372*2))-(((R1389/(R1389-R1388))*((U1384)-R1388))*K1372),2),ROUND(IF(V1383&lt;(SUM(R1373:R1383)),IF((V1384)&gt;(SUM(R1373:R1384)),(((SUM(R1373:R1384))-(V1384-C1383))*K1372)+((U1384-C1383)*K1372),U1384*K1372),IF(V1384&gt;(SUM(R1373:R1384)),R1384*K1372,U1384*K1372)),2)))</f>
        <v>0</v>
      </c>
      <c r="L1384" s="64">
        <f>IF(B1384=0,0,IF(AND(H1364="ja",((U1384-C1384)&lt;R1389)),ROUND(((R1391*R1388+((R1389/(R1389-R1388))-(R1388/(R1389-R1388))*R1391)*((U1384-C1384)-R1388))*(L1372)),2),ROUND(IF(SUM(B1373:F1383)&lt;(SUM(S1373:S1383)),IF((SUM(B1373:F1384))&gt;(SUM(S1373:S1384)),(((SUM(S1373:S1384))-(SUM(B1373:F1384)-C1384))*L1372)+((SUM(B1384:F1384)-C1384)*L1372),(SUM(B1384:F1384)-C1384)*L1372),IF(SUM(B1373:F1384)&gt;(SUM(S1373:S1384)),S1384*L1372,SUM(B1384:F1384)*L1372)),2)))</f>
        <v>0</v>
      </c>
      <c r="M1384" s="64">
        <f>IF(B1384=0,0,IF(AND(H1364="ja",((U1384-C1384)&lt;R1389)),ROUND(((R1391*R1388+((R1389/(R1389-R1388))-(R1388/(R1389-R1388))*R1391)*((U1384-C1384)-R1388))*(M1372)),2),ROUND(IF(SUM(B1373:F1383)&lt;(SUM(S1373:S1383)),IF((SUM(B1373:F1384))&gt;(SUM(S1373:S1384)),(((SUM(S1373:S1384))-(SUM(B1373:F1384)-C1384))*M1372)+((SUM(B1384:F1384)-C1384)*M1372),(SUM(B1384:F1384)-C1384)*M1372),IF(SUM(B1373:F1384)&gt;(SUM(S1373:S1384)),S1384*M1372,SUM(B1384:F1384)*M1372)),2)))</f>
        <v>0</v>
      </c>
      <c r="N1384" s="64">
        <f>IF(B1384=0,0,IF(AND(H1364="ja",((U1384)&lt;R1389)),ROUND(((R1391*R1388+((R1389/(R1389-R1388))-(R1388/(R1389-R1388))*R1391)*((U1384)-R1388))*(N1372)),2),ROUND(IF(SUM(B1373:F1383)&lt;(SUM(S1373:S1383)),IF((SUM(B1373:F1384))&gt;(SUM(S1373:S1384)),(((SUM(S1373:S1384))-(SUM(B1373:F1384)-C1383))*N1372)+((SUM(B1384:F1384)-C1383)*N1372),SUM(B1384:F1384)*N1372),IF(SUM(B1373:F1384)&gt;(SUM(S1373:S1384)),S1384*N1372,SUM(B1384:F1384)*N1372)),2)))</f>
        <v>0</v>
      </c>
      <c r="O1384" s="21">
        <f>ROUND(SUM(B1384+C1384+F1384)*O1372,2)</f>
        <v>0</v>
      </c>
      <c r="P1384" s="25">
        <f t="shared" si="223"/>
        <v>0</v>
      </c>
      <c r="Q1384" s="11"/>
      <c r="R1384" s="140">
        <f>ROUND(IF(M1351="",R1367,R1367/M1351*P1361),2)</f>
        <v>5175</v>
      </c>
      <c r="S1384" s="140">
        <f>ROUND(IF(M1351="",R1368,R1368/M1351*P1361),2)</f>
        <v>7450</v>
      </c>
      <c r="U1384" s="950">
        <f t="shared" si="224"/>
        <v>0</v>
      </c>
      <c r="V1384" s="950">
        <f>SUM(B1373:F1384)</f>
        <v>0</v>
      </c>
    </row>
    <row r="1385" spans="1:24" s="1" customFormat="1" ht="15" customHeight="1" x14ac:dyDescent="0.2">
      <c r="A1385" s="2" t="s">
        <v>1</v>
      </c>
      <c r="B1385" s="25">
        <f t="shared" ref="B1385:G1385" si="225">SUM(B1373:B1384)</f>
        <v>0</v>
      </c>
      <c r="C1385" s="25">
        <f t="shared" si="225"/>
        <v>0</v>
      </c>
      <c r="D1385" s="25">
        <f t="shared" si="225"/>
        <v>0</v>
      </c>
      <c r="E1385" s="25">
        <f t="shared" si="225"/>
        <v>0</v>
      </c>
      <c r="F1385" s="25">
        <f t="shared" si="225"/>
        <v>0</v>
      </c>
      <c r="G1385" s="25">
        <f t="shared" si="225"/>
        <v>0</v>
      </c>
      <c r="H1385" s="1309">
        <f>SUM(H1373:N1384)</f>
        <v>0</v>
      </c>
      <c r="I1385" s="1310"/>
      <c r="J1385" s="1310"/>
      <c r="K1385" s="1310"/>
      <c r="L1385" s="1310"/>
      <c r="M1385" s="1310"/>
      <c r="N1385" s="1311"/>
      <c r="O1385" s="25">
        <f>SUM(O1373:O1384)</f>
        <v>0</v>
      </c>
      <c r="P1385" s="25">
        <f>SUM(P1373:P1384)</f>
        <v>0</v>
      </c>
    </row>
    <row r="1386" spans="1:24" s="1" customFormat="1" ht="12" customHeight="1" x14ac:dyDescent="0.2"/>
    <row r="1387" spans="1:24" s="1" customFormat="1" ht="14.25" customHeight="1" x14ac:dyDescent="0.2">
      <c r="B1387" s="906"/>
      <c r="H1387" s="905"/>
      <c r="I1387" s="62"/>
      <c r="J1387" s="914" t="s">
        <v>123</v>
      </c>
      <c r="L1387" s="900" t="s">
        <v>124</v>
      </c>
      <c r="M1387" s="974" t="str">
        <f>IF(IF(G1385=0,"",'päd.Personal - Leitung'!$M$43)=0,"",IF(G1385=0,"",'päd.Personal - Leitung'!$M$43))</f>
        <v/>
      </c>
      <c r="N1387" s="902" t="s">
        <v>125</v>
      </c>
      <c r="O1387" s="963" t="str">
        <f>IF(IF(G1385=0,"",'päd.Personal - Leitung'!$O$43)=0,"",IF(G1385=0,"",'päd.Personal - Leitung'!$O$43))</f>
        <v/>
      </c>
      <c r="P1387" s="25">
        <f>ROUND(IF(M1387="",0,G1385*M1387*O1387/1000),2)</f>
        <v>0</v>
      </c>
      <c r="Q1387" s="937"/>
      <c r="R1387" s="938">
        <v>2025</v>
      </c>
      <c r="S1387" s="939"/>
    </row>
    <row r="1388" spans="1:24" s="1" customFormat="1" ht="14.25" customHeight="1" x14ac:dyDescent="0.2">
      <c r="H1388" s="907"/>
      <c r="I1388" s="42"/>
      <c r="M1388" s="915" t="s">
        <v>129</v>
      </c>
      <c r="N1388" s="80" t="s">
        <v>125</v>
      </c>
      <c r="O1388" s="75" t="str">
        <f>IF(IF(G1385=0,"",'päd.Personal - Leitung'!$O$44)=0,"",IF(G1385=0,"",'päd.Personal - Leitung'!$O$44))</f>
        <v/>
      </c>
      <c r="P1388" s="25">
        <f>ROUND(IF(O1388="",0,G1385*O1388/1000),2)</f>
        <v>0</v>
      </c>
      <c r="Q1388" s="942" t="s">
        <v>737</v>
      </c>
      <c r="R1388" s="141">
        <f>'päd.Personal - Leitung'!$R$44</f>
        <v>556</v>
      </c>
      <c r="S1388" s="955">
        <f>'päd.Personal - Leitung'!$S$44</f>
        <v>12.82</v>
      </c>
    </row>
    <row r="1389" spans="1:24" s="1" customFormat="1" ht="14.25" customHeight="1" x14ac:dyDescent="0.2">
      <c r="H1389" s="912" t="s">
        <v>126</v>
      </c>
      <c r="I1389" s="1013" t="s">
        <v>127</v>
      </c>
      <c r="J1389" s="975" t="str">
        <f>IF(IF(G1385=0,"",'päd.Personal - Leitung'!$J$45)=0,"",IF(G1385=0,"",'päd.Personal - Leitung'!$J$45))</f>
        <v/>
      </c>
      <c r="K1389" s="902" t="s">
        <v>128</v>
      </c>
      <c r="L1389" s="964" t="str">
        <f>IF(IF(G1385=0,"",'päd.Personal - Leitung'!$L$45)=0,"",IF(G1385=0,"",'päd.Personal - Leitung'!$L$45))</f>
        <v/>
      </c>
      <c r="M1389" s="16"/>
      <c r="N1389" s="900" t="s">
        <v>132</v>
      </c>
      <c r="O1389" s="965" t="str">
        <f>IF(IF(G1385=0,"",'päd.Personal - Leitung'!$O$45)=0,"",IF(G1385=0,"",'päd.Personal - Leitung'!$O$45))</f>
        <v/>
      </c>
      <c r="P1389" s="25">
        <f>ROUND(IF(J1389="",0,(J1389*L1389/O1389)/M1353*M1354),2)</f>
        <v>0</v>
      </c>
      <c r="Q1389" s="942" t="s">
        <v>738</v>
      </c>
      <c r="R1389" s="140">
        <f>'päd.Personal - Leitung'!$R$45</f>
        <v>2000</v>
      </c>
      <c r="S1389" s="939"/>
    </row>
    <row r="1390" spans="1:24" s="1" customFormat="1" ht="14.25" customHeight="1" x14ac:dyDescent="0.2">
      <c r="D1390" s="16"/>
      <c r="I1390" s="16"/>
      <c r="J1390" s="16"/>
      <c r="K1390" s="63"/>
      <c r="L1390" s="67"/>
      <c r="M1390" s="915" t="s">
        <v>130</v>
      </c>
      <c r="N1390" s="80" t="s">
        <v>131</v>
      </c>
      <c r="O1390" s="904">
        <f>IF(IF(G1385="",0,'päd.Personal - Leitung'!$O$94)=0,0,IF(G1385="",0,'päd.Personal - Leitung'!$O$94))</f>
        <v>0</v>
      </c>
      <c r="P1390" s="21">
        <f>ROUND(IF(G1385=0,0,O1390/M1351*M1352),2)</f>
        <v>0</v>
      </c>
      <c r="Q1390" s="942" t="s">
        <v>740</v>
      </c>
      <c r="R1390" s="956">
        <f>'päd.Personal - Leitung'!$R$46</f>
        <v>0.40900000000000003</v>
      </c>
    </row>
    <row r="1391" spans="1:24" s="1" customFormat="1" ht="14.25" customHeight="1" x14ac:dyDescent="0.2">
      <c r="A1391" s="16"/>
      <c r="B1391" s="16"/>
      <c r="I1391" s="905"/>
      <c r="J1391" s="961" t="s">
        <v>176</v>
      </c>
      <c r="K1391" s="1312" t="str">
        <f>IF($K$47="","",$K$47)</f>
        <v/>
      </c>
      <c r="L1391" s="1312"/>
      <c r="M1391" s="1312"/>
      <c r="N1391" s="80" t="s">
        <v>131</v>
      </c>
      <c r="O1391" s="904">
        <f>IF(IF(G1385="",0,'päd.Personal - Leitung'!$O$95)=0,0,IF(G1385="",0,'päd.Personal - Leitung'!$O$95))</f>
        <v>0</v>
      </c>
      <c r="P1391" s="21">
        <f>ROUND(IF(G1385=0,0,O1391/M1351*M1352),2)</f>
        <v>0</v>
      </c>
      <c r="Q1391" s="942" t="s">
        <v>739</v>
      </c>
      <c r="R1391" s="940">
        <f>'päd.Personal - Leitung'!$R$47</f>
        <v>0.68459999999999999</v>
      </c>
      <c r="S1391" s="957">
        <f>'päd.Personal - Leitung'!$S$47</f>
        <v>0.28000000000000003</v>
      </c>
    </row>
    <row r="1392" spans="1:24" s="1" customFormat="1" ht="14.25" customHeight="1" x14ac:dyDescent="0.2">
      <c r="A1392" s="908"/>
      <c r="B1392" s="908"/>
      <c r="C1392" s="1013"/>
      <c r="D1392" s="1013"/>
      <c r="I1392" s="913"/>
      <c r="J1392" s="913"/>
      <c r="K1392" s="916"/>
      <c r="L1392" s="27"/>
      <c r="M1392" s="27"/>
      <c r="N1392" s="27"/>
      <c r="O1392" s="26" t="s">
        <v>0</v>
      </c>
      <c r="P1392" s="25">
        <f>P1385+SUM(P1387:P1391)</f>
        <v>0</v>
      </c>
    </row>
    <row r="1393" spans="1:19" s="10" customFormat="1" ht="13.5" customHeight="1" x14ac:dyDescent="0.2">
      <c r="A1393" s="1321" t="s">
        <v>17</v>
      </c>
      <c r="B1393" s="1321"/>
      <c r="C1393" s="1321"/>
      <c r="D1393" s="1320" t="str">
        <f>IF('päd.Personal - Leitung'!$D$1="","",'päd.Personal - Leitung'!$D$1)</f>
        <v/>
      </c>
      <c r="E1393" s="1320"/>
      <c r="F1393" s="1320"/>
      <c r="G1393" s="1320"/>
      <c r="H1393" s="1320"/>
      <c r="I1393" s="1320"/>
      <c r="J1393" s="1320"/>
      <c r="K1393" s="1320"/>
      <c r="L1393" s="1320"/>
      <c r="M1393" s="1320"/>
      <c r="N1393" s="1320"/>
    </row>
    <row r="1394" spans="1:19" s="10" customFormat="1" ht="15" customHeight="1" x14ac:dyDescent="0.2">
      <c r="A1394" s="1321" t="s">
        <v>16</v>
      </c>
      <c r="B1394" s="1321"/>
      <c r="C1394" s="1321" t="s">
        <v>14</v>
      </c>
      <c r="D1394" s="1320" t="str">
        <f>IF('päd.Personal - Leitung'!$D$2="","",'päd.Personal - Leitung'!$D$2)</f>
        <v/>
      </c>
      <c r="E1394" s="1320"/>
      <c r="F1394" s="1320"/>
      <c r="G1394" s="1320"/>
      <c r="H1394" s="1320"/>
      <c r="I1394" s="1320"/>
      <c r="J1394" s="1320"/>
      <c r="K1394" s="1320"/>
      <c r="L1394" s="1320"/>
      <c r="M1394" s="1320"/>
      <c r="N1394" s="1320"/>
    </row>
    <row r="1395" spans="1:19" s="10" customFormat="1" ht="15" customHeight="1" x14ac:dyDescent="0.2">
      <c r="A1395" s="1321" t="s">
        <v>15</v>
      </c>
      <c r="B1395" s="1321"/>
      <c r="C1395" s="1321" t="s">
        <v>14</v>
      </c>
      <c r="D1395" s="1320" t="str">
        <f>IF('päd.Personal - Leitung'!$D$3="","",'päd.Personal - Leitung'!$D$3)</f>
        <v/>
      </c>
      <c r="E1395" s="1320"/>
      <c r="F1395" s="1320"/>
      <c r="G1395" s="1320"/>
      <c r="H1395" s="1320"/>
      <c r="I1395" s="1320"/>
      <c r="J1395" s="1320"/>
      <c r="K1395" s="1321" t="s">
        <v>100</v>
      </c>
      <c r="L1395" s="1321"/>
      <c r="M1395" s="1321"/>
      <c r="N1395" s="38" t="str">
        <f>IF('päd.Personal - Leitung'!$N$3="","",'päd.Personal - Leitung'!$N$3)</f>
        <v/>
      </c>
    </row>
    <row r="1396" spans="1:19" s="923" customFormat="1" ht="7.5" customHeight="1" x14ac:dyDescent="0.15">
      <c r="A1396" s="1353"/>
      <c r="B1396" s="1353"/>
      <c r="C1396" s="1353"/>
      <c r="D1396" s="1354"/>
      <c r="E1396" s="1354"/>
      <c r="F1396" s="1354"/>
      <c r="G1396" s="1354"/>
      <c r="H1396" s="1354"/>
      <c r="I1396" s="1354"/>
      <c r="J1396" s="1354"/>
      <c r="K1396" s="922"/>
      <c r="L1396" s="922"/>
      <c r="M1396" s="922"/>
      <c r="N1396" s="922"/>
      <c r="O1396" s="922"/>
      <c r="P1396" s="922"/>
    </row>
    <row r="1397" spans="1:19" s="13" customFormat="1" ht="13.5" customHeight="1" x14ac:dyDescent="0.2">
      <c r="A1397" s="1355" t="s">
        <v>151</v>
      </c>
      <c r="B1397" s="1355"/>
      <c r="C1397" s="1355"/>
      <c r="D1397" s="1355"/>
      <c r="E1397" s="1355"/>
      <c r="F1397" s="1355"/>
      <c r="G1397" s="1355"/>
      <c r="H1397" s="1355"/>
      <c r="I1397" s="1355"/>
      <c r="J1397" s="1355"/>
      <c r="K1397" s="7"/>
      <c r="L1397" s="7"/>
      <c r="M1397" s="7"/>
      <c r="N1397" s="52"/>
      <c r="O1397" s="138">
        <f>'päd.Personal - Leitung'!$O$5</f>
        <v>2025</v>
      </c>
      <c r="P1397" s="52" t="s">
        <v>140</v>
      </c>
    </row>
    <row r="1398" spans="1:19" s="8" customFormat="1" ht="13.5" customHeight="1" x14ac:dyDescent="0.25">
      <c r="B1398" s="29"/>
      <c r="C1398" s="29"/>
      <c r="D1398" s="3" t="s">
        <v>62</v>
      </c>
      <c r="E1398" s="28"/>
      <c r="F1398" s="28"/>
      <c r="G1398" s="28"/>
      <c r="H1398" s="28"/>
      <c r="I1398" s="24"/>
      <c r="K1398" s="1327" t="s">
        <v>13</v>
      </c>
      <c r="L1398" s="1327"/>
      <c r="M1398" s="131"/>
      <c r="O1398" s="928" t="str">
        <f>A1421</f>
        <v>Jan 2025</v>
      </c>
      <c r="P1398" s="1402">
        <f>IF(M1400="","",M1400)</f>
        <v>0</v>
      </c>
    </row>
    <row r="1399" spans="1:19" s="5" customFormat="1" ht="13.5" customHeight="1" x14ac:dyDescent="0.25">
      <c r="A1399" s="1328" t="s">
        <v>754</v>
      </c>
      <c r="B1399" s="1328"/>
      <c r="C1399" s="1328"/>
      <c r="D1399" s="1345"/>
      <c r="E1399" s="1345"/>
      <c r="F1399" s="1345"/>
      <c r="G1399" s="1345"/>
      <c r="H1399" s="1345"/>
      <c r="I1399" s="1345"/>
      <c r="K1399" s="1327" t="s">
        <v>101</v>
      </c>
      <c r="L1399" s="1327"/>
      <c r="M1399" s="101"/>
      <c r="O1399" s="928" t="str">
        <f t="shared" ref="O1399:O1409" si="226">A1422</f>
        <v>Feb 2025</v>
      </c>
      <c r="P1399" s="1403">
        <f t="shared" ref="P1399:P1409" si="227">IF(P1398="","",P1398)</f>
        <v>0</v>
      </c>
    </row>
    <row r="1400" spans="1:19" s="1" customFormat="1" ht="13.5" customHeight="1" x14ac:dyDescent="0.2">
      <c r="A1400" s="1328" t="s">
        <v>12</v>
      </c>
      <c r="B1400" s="1328"/>
      <c r="C1400" s="1328"/>
      <c r="D1400" s="1345"/>
      <c r="E1400" s="1345"/>
      <c r="F1400" s="1345"/>
      <c r="G1400" s="1345"/>
      <c r="H1400" s="1345"/>
      <c r="I1400" s="1345"/>
      <c r="K1400" s="1327" t="s">
        <v>149</v>
      </c>
      <c r="L1400" s="1327"/>
      <c r="M1400" s="101">
        <f>IF((M1401+M1402)&gt;M1399,0,M1399-M1401-M1402)</f>
        <v>0</v>
      </c>
      <c r="O1400" s="928" t="str">
        <f t="shared" si="226"/>
        <v>Mrz 2025</v>
      </c>
      <c r="P1400" s="1403">
        <f t="shared" si="227"/>
        <v>0</v>
      </c>
    </row>
    <row r="1401" spans="1:19" s="1" customFormat="1" ht="13.5" customHeight="1" x14ac:dyDescent="0.2">
      <c r="A1401" s="1328" t="s">
        <v>11</v>
      </c>
      <c r="B1401" s="1328"/>
      <c r="C1401" s="1328"/>
      <c r="D1401" s="1345"/>
      <c r="E1401" s="1345"/>
      <c r="F1401" s="1345"/>
      <c r="G1401" s="1345"/>
      <c r="H1401" s="1345"/>
      <c r="I1401" s="1345"/>
      <c r="K1401" s="1327" t="s">
        <v>150</v>
      </c>
      <c r="L1401" s="1327"/>
      <c r="M1401" s="101"/>
      <c r="O1401" s="928" t="str">
        <f t="shared" si="226"/>
        <v>Apr 2025</v>
      </c>
      <c r="P1401" s="1403">
        <f t="shared" si="227"/>
        <v>0</v>
      </c>
    </row>
    <row r="1402" spans="1:19" s="1" customFormat="1" ht="13.5" customHeight="1" x14ac:dyDescent="0.2">
      <c r="A1402" s="1328" t="s">
        <v>18</v>
      </c>
      <c r="B1402" s="1328"/>
      <c r="C1402" s="1328"/>
      <c r="D1402" s="1345"/>
      <c r="E1402" s="1345"/>
      <c r="F1402" s="1345"/>
      <c r="G1402" s="1345"/>
      <c r="H1402" s="1345"/>
      <c r="I1402" s="1345"/>
      <c r="K1402" s="1327" t="s">
        <v>222</v>
      </c>
      <c r="L1402" s="1327"/>
      <c r="M1402" s="101"/>
      <c r="O1402" s="928" t="str">
        <f t="shared" si="226"/>
        <v>Mai 2025</v>
      </c>
      <c r="P1402" s="1403">
        <f t="shared" si="227"/>
        <v>0</v>
      </c>
    </row>
    <row r="1403" spans="1:19" s="1" customFormat="1" ht="13.5" customHeight="1" x14ac:dyDescent="0.2">
      <c r="B1403" s="6"/>
      <c r="C1403" s="1029" t="s">
        <v>147</v>
      </c>
      <c r="D1403" s="1324"/>
      <c r="E1403" s="1324"/>
      <c r="F1403" s="1359" t="s">
        <v>103</v>
      </c>
      <c r="G1403" s="1359"/>
      <c r="H1403" s="1361"/>
      <c r="I1403" s="1361"/>
      <c r="K1403" s="1327" t="s">
        <v>94</v>
      </c>
      <c r="L1403" s="1327"/>
      <c r="M1403" s="15" t="str">
        <f>IF(IF((COUNTIF(B1421:B1432,"&gt;0"))=0,0,(COUNTIF(B1421:B1432,"&gt;0")))&gt;Grundlagen!$C$26,Grundlagen!$C$26,IF((COUNTIF(B1421:B1432,"&gt;0"))=0,"",(COUNTIF(B1421:B1432,"&gt;0"))))</f>
        <v/>
      </c>
      <c r="O1403" s="928" t="str">
        <f t="shared" si="226"/>
        <v>Jun 2025</v>
      </c>
      <c r="P1403" s="1403">
        <f t="shared" si="227"/>
        <v>0</v>
      </c>
    </row>
    <row r="1404" spans="1:19" s="1" customFormat="1" ht="13.5" customHeight="1" x14ac:dyDescent="0.2">
      <c r="I1404" s="4"/>
      <c r="M1404" s="102" t="str">
        <f>IF((SUM(F1406:F1409))=0,"",IF(P1410&gt;M1400,M1400,IF(M1400="","",IF(M1403="","",P1410))))</f>
        <v/>
      </c>
      <c r="O1404" s="928" t="str">
        <f t="shared" si="226"/>
        <v>Jul 2025</v>
      </c>
      <c r="P1404" s="1403">
        <f t="shared" si="227"/>
        <v>0</v>
      </c>
    </row>
    <row r="1405" spans="1:19" s="46" customFormat="1" ht="13.5" customHeight="1" x14ac:dyDescent="0.2">
      <c r="A1405" s="54" t="s">
        <v>134</v>
      </c>
      <c r="B1405" s="1356" t="s">
        <v>135</v>
      </c>
      <c r="C1405" s="1356"/>
      <c r="D1405" s="55" t="s">
        <v>136</v>
      </c>
      <c r="E1405" s="56" t="s">
        <v>137</v>
      </c>
      <c r="F1405" s="57" t="str">
        <f>CONCATENATE("Entg. ",N1395," h/Wo")</f>
        <v>Entg.  h/Wo</v>
      </c>
      <c r="G1405" s="58" t="s">
        <v>138</v>
      </c>
      <c r="I1405" s="58" t="s">
        <v>139</v>
      </c>
      <c r="K1405" s="970"/>
      <c r="L1405" s="970"/>
      <c r="M1405" s="59"/>
      <c r="N1405" s="968"/>
      <c r="O1405" s="928" t="str">
        <f t="shared" si="226"/>
        <v>Aug 2025</v>
      </c>
      <c r="P1405" s="1403">
        <f t="shared" si="227"/>
        <v>0</v>
      </c>
      <c r="Q1405" s="85"/>
      <c r="R1405" s="85"/>
      <c r="S1405" s="85"/>
    </row>
    <row r="1406" spans="1:19" s="46" customFormat="1" ht="13.5" customHeight="1" x14ac:dyDescent="0.25">
      <c r="A1406" s="48" t="str">
        <f>'päd.Personal - Leitung'!$A$14</f>
        <v>Jan 2025</v>
      </c>
      <c r="B1406" s="1357" t="str">
        <f>IF($D$3="","",$D$3)</f>
        <v/>
      </c>
      <c r="C1406" s="1358"/>
      <c r="D1406" s="132"/>
      <c r="E1406" s="132"/>
      <c r="F1406" s="71"/>
      <c r="G1406" s="50">
        <f>IF(N1395="",0,F1406/N1395/4.348)</f>
        <v>0</v>
      </c>
      <c r="I1406" s="125">
        <f>SUM(J1406:M1406)</f>
        <v>0</v>
      </c>
      <c r="J1406" s="124"/>
      <c r="K1406" s="124"/>
      <c r="L1406" s="124"/>
      <c r="M1406" s="124"/>
      <c r="N1406" s="969"/>
      <c r="O1406" s="928" t="str">
        <f t="shared" si="226"/>
        <v>Sep 2025</v>
      </c>
      <c r="P1406" s="1403">
        <f t="shared" si="227"/>
        <v>0</v>
      </c>
      <c r="Q1406" s="85"/>
      <c r="R1406" s="85"/>
      <c r="S1406" s="85"/>
    </row>
    <row r="1407" spans="1:19" s="46" customFormat="1" ht="13.5" customHeight="1" x14ac:dyDescent="0.25">
      <c r="A1407" s="49"/>
      <c r="B1407" s="1322" t="str">
        <f>IF(A1407="","",B1406)</f>
        <v/>
      </c>
      <c r="C1407" s="1323"/>
      <c r="D1407" s="132"/>
      <c r="E1407" s="132"/>
      <c r="F1407" s="71"/>
      <c r="G1407" s="50">
        <f>IF(N1395="",0,F1407/N1395/4.348)</f>
        <v>0</v>
      </c>
      <c r="I1407" s="125">
        <f t="shared" ref="I1407:I1409" si="228">SUM(J1407:M1407)</f>
        <v>0</v>
      </c>
      <c r="J1407" s="124"/>
      <c r="K1407" s="124"/>
      <c r="L1407" s="124"/>
      <c r="M1407" s="124"/>
      <c r="N1407" s="969"/>
      <c r="O1407" s="928" t="str">
        <f t="shared" si="226"/>
        <v>Okt 2025</v>
      </c>
      <c r="P1407" s="1403">
        <f t="shared" si="227"/>
        <v>0</v>
      </c>
      <c r="Q1407" s="85"/>
      <c r="R1407" s="85"/>
      <c r="S1407" s="85"/>
    </row>
    <row r="1408" spans="1:19" s="46" customFormat="1" ht="13.5" customHeight="1" x14ac:dyDescent="0.25">
      <c r="A1408" s="49"/>
      <c r="B1408" s="1322" t="str">
        <f>IF(A1408="","",B1407)</f>
        <v/>
      </c>
      <c r="C1408" s="1323"/>
      <c r="D1408" s="132"/>
      <c r="E1408" s="132"/>
      <c r="F1408" s="71"/>
      <c r="G1408" s="50">
        <f>IF(N1395="",0,F1408/N1395/4.348)</f>
        <v>0</v>
      </c>
      <c r="I1408" s="125">
        <f t="shared" si="228"/>
        <v>0</v>
      </c>
      <c r="J1408" s="124"/>
      <c r="K1408" s="124"/>
      <c r="L1408" s="124"/>
      <c r="M1408" s="124"/>
      <c r="N1408" s="969"/>
      <c r="O1408" s="928" t="str">
        <f t="shared" si="226"/>
        <v>Nov 2025</v>
      </c>
      <c r="P1408" s="1403">
        <f t="shared" si="227"/>
        <v>0</v>
      </c>
      <c r="Q1408" s="85"/>
      <c r="R1408" s="85"/>
      <c r="S1408" s="85"/>
    </row>
    <row r="1409" spans="1:22" s="46" customFormat="1" ht="13.5" customHeight="1" x14ac:dyDescent="0.25">
      <c r="A1409" s="49"/>
      <c r="B1409" s="1322" t="str">
        <f>IF(A1409="","",B1408)</f>
        <v/>
      </c>
      <c r="C1409" s="1323"/>
      <c r="D1409" s="132"/>
      <c r="E1409" s="132"/>
      <c r="F1409" s="71"/>
      <c r="G1409" s="50">
        <f>IF(N1395="",0,F1409/N1395/4.348)</f>
        <v>0</v>
      </c>
      <c r="I1409" s="125">
        <f t="shared" si="228"/>
        <v>0</v>
      </c>
      <c r="J1409" s="124"/>
      <c r="K1409" s="124"/>
      <c r="L1409" s="124"/>
      <c r="M1409" s="124"/>
      <c r="N1409" s="969"/>
      <c r="O1409" s="928" t="str">
        <f t="shared" si="226"/>
        <v>Dez 2025</v>
      </c>
      <c r="P1409" s="1403">
        <f t="shared" si="227"/>
        <v>0</v>
      </c>
      <c r="Q1409" s="85"/>
      <c r="R1409" s="85"/>
      <c r="S1409" s="85"/>
    </row>
    <row r="1410" spans="1:22" s="46" customFormat="1" ht="13.5" customHeight="1" x14ac:dyDescent="0.25">
      <c r="B1410" s="972"/>
      <c r="C1410" s="972"/>
      <c r="E1410" s="972"/>
      <c r="F1410" s="972"/>
      <c r="I1410" s="930" t="s">
        <v>730</v>
      </c>
      <c r="J1410" s="1060"/>
      <c r="K1410" s="1060"/>
      <c r="L1410" s="1060"/>
      <c r="M1410" s="1060"/>
      <c r="N1410" s="971"/>
      <c r="O1410" s="126" t="s">
        <v>221</v>
      </c>
      <c r="P1410" s="127">
        <f>IF(M1403="",0,((IF(SUMIF(B1421,"&gt;0"),P1398,0))+(IF(SUMIF(B1422,"&gt;0"),P1399,0))+(IF(SUMIF(B1423,"&gt;0"),P1400,0))+(IF(SUMIF(B1424,"&gt;0"),P1401,0))+(IF(SUMIF(B1425,"&gt;0"),P1402,0))+(IF(SUMIF(B1426,"&gt;0"),P1403,0))+(IF(SUMIF(B1427,"&gt;0"),P1404,0))+(IF(SUMIF(B1428,"&gt;0"),P1405,0))+(IF(SUMIF(B1429,"&gt;0"),P1406,0))+(IF(SUMIF(B1430,"&gt;0"),P1407,0))+(IF(SUMIF(B1431,"&gt;0"),P1408,0))+(IF(SUMIF(B1432,"&gt;0"),P1409,0)))/Grundlagen!$C$26)</f>
        <v>0</v>
      </c>
      <c r="Q1410" s="958" t="str">
        <f>CONCATENATE("BBG"," anteilig ",O1412)</f>
        <v>BBG anteilig 2025</v>
      </c>
      <c r="R1410" s="931" t="s">
        <v>659</v>
      </c>
      <c r="S1410" s="931" t="s">
        <v>398</v>
      </c>
      <c r="T1410" s="107"/>
    </row>
    <row r="1411" spans="1:22" s="46" customFormat="1" ht="13.5" customHeight="1" x14ac:dyDescent="0.2">
      <c r="A1411" s="924" t="s">
        <v>732</v>
      </c>
      <c r="D1411" s="55" t="s">
        <v>369</v>
      </c>
      <c r="E1411" s="56" t="s">
        <v>368</v>
      </c>
      <c r="F1411" s="58"/>
      <c r="J1411" s="61"/>
      <c r="Q1411" s="932" t="s">
        <v>144</v>
      </c>
      <c r="R1411" s="140">
        <f>IF(M1400=0,R1415,IF(M1399="",R1415,(SUM(R1421:R1432)/M1403)))</f>
        <v>5175</v>
      </c>
      <c r="S1411" s="933">
        <f>IF(M1400=0,S1415,IF(M1399="",S1415,SUM(R1421:R1432)))</f>
        <v>0</v>
      </c>
      <c r="T1411" s="107"/>
    </row>
    <row r="1412" spans="1:22" s="46" customFormat="1" ht="13.5" customHeight="1" x14ac:dyDescent="0.25">
      <c r="A1412" s="60"/>
      <c r="B1412" s="1314" t="str">
        <f>IF($B$20="","",$B$20)</f>
        <v>Jahressonderzahlung (JSZ)</v>
      </c>
      <c r="C1412" s="1315"/>
      <c r="D1412" s="926"/>
      <c r="E1412" s="929" t="str">
        <f>IF(A1412="","",ROUND((((SUM(B1427:B1429)+SUM(F1427:F1429))/3)*D1412)/Grundlagen!$C$26*M1403,2))</f>
        <v/>
      </c>
      <c r="G1412" s="941" t="s">
        <v>733</v>
      </c>
      <c r="H1412" s="943"/>
      <c r="I1412" s="1316" t="str">
        <f>CONCATENATE(R1435,":"," Übergangsbereich von ",R1436+0.01," €"," bis ",R1437," €")</f>
        <v>2025: Übergangsbereich von 556,01 € bis 2000 €</v>
      </c>
      <c r="J1412" s="1317"/>
      <c r="K1412" s="1317"/>
      <c r="L1412" s="1067"/>
      <c r="M1412" s="1067"/>
      <c r="N1412" s="1068" t="s">
        <v>736</v>
      </c>
      <c r="O1412" s="1069">
        <f>P1412+1</f>
        <v>2025</v>
      </c>
      <c r="P1412" s="1069" t="s">
        <v>721</v>
      </c>
      <c r="Q1412" s="932" t="s">
        <v>145</v>
      </c>
      <c r="R1412" s="140">
        <f>IF(M1400=0,R1416,IF(M1399="",R1416,(SUM(S1421:S1432)/M1403)))</f>
        <v>7450</v>
      </c>
      <c r="S1412" s="933">
        <f>IF(M1400=0,S1416,IF(M1399="",S1416,SUM(S1421:S1432)))</f>
        <v>0</v>
      </c>
      <c r="T1412" s="109"/>
    </row>
    <row r="1413" spans="1:22" s="1" customFormat="1" ht="14.25" customHeight="1" x14ac:dyDescent="0.2">
      <c r="A1413" s="60"/>
      <c r="B1413" s="1314" t="str">
        <f>IF($B$21="","",$B$21)</f>
        <v>Leistungsentgelt (LOB)</v>
      </c>
      <c r="C1413" s="1315"/>
      <c r="D1413" s="926"/>
      <c r="E1413" s="929" t="str">
        <f>IF(A1413="","",ROUND(((B1433+F1433)*D1413)/Grundlagen!$C$26*M1403,2))</f>
        <v/>
      </c>
      <c r="G1413" s="941" t="str">
        <f>IF(OR(H1412="",H1412="nein")=TRUE,"","Faktor (F):")</f>
        <v/>
      </c>
      <c r="H1413" s="949" t="str">
        <f>IF(OR(H1412="",H1412="nein")=TRUE,"",IF(H1412="","",R1439))</f>
        <v/>
      </c>
      <c r="I1413" s="1318" t="str">
        <f>IF(OR(H1412="",H1412="nein")=TRUE,"",IF(H1413="","",CONCATENATE(S1439*100,"%"," / ","(",R1438*100,"%"," Gesamt-SV-Beitragssatz 2024)")))</f>
        <v/>
      </c>
      <c r="J1413" s="1319"/>
      <c r="K1413" s="1319"/>
      <c r="L1413" s="1070"/>
      <c r="M1413" s="1070"/>
      <c r="N1413" s="1071" t="s">
        <v>144</v>
      </c>
      <c r="O1413" s="1072">
        <f>'päd.Personal - Leitung'!$O$21</f>
        <v>5175</v>
      </c>
      <c r="P1413" s="1072">
        <f>'päd.Personal - Leitung'!$P$21</f>
        <v>5175</v>
      </c>
      <c r="Q1413" s="11"/>
      <c r="R1413" s="11"/>
      <c r="S1413" s="11"/>
      <c r="T1413" s="109"/>
    </row>
    <row r="1414" spans="1:22" s="1" customFormat="1" ht="14.25" customHeight="1" x14ac:dyDescent="0.2">
      <c r="C1414" s="925" t="s">
        <v>731</v>
      </c>
      <c r="L1414" s="1070"/>
      <c r="M1414" s="1070"/>
      <c r="N1414" s="1071" t="s">
        <v>145</v>
      </c>
      <c r="O1414" s="1073">
        <f>'päd.Personal - Leitung'!$O$22</f>
        <v>7450</v>
      </c>
      <c r="P1414" s="1073">
        <f>'päd.Personal - Leitung'!$P$22</f>
        <v>7450</v>
      </c>
      <c r="Q1414" s="958" t="str">
        <f>CONCATENATE("BBG"," ",O1412)</f>
        <v>BBG 2025</v>
      </c>
      <c r="R1414" s="11"/>
      <c r="S1414" s="11"/>
      <c r="T1414" s="109"/>
    </row>
    <row r="1415" spans="1:22" s="1" customFormat="1" ht="14.25" customHeight="1" x14ac:dyDescent="0.2">
      <c r="A1415" s="53" t="s">
        <v>141</v>
      </c>
      <c r="B1415" s="46"/>
      <c r="C1415" s="46"/>
      <c r="D1415" s="46"/>
      <c r="E1415" s="46"/>
      <c r="F1415" s="46"/>
      <c r="G1415" s="46"/>
      <c r="H1415" s="46"/>
      <c r="I1415" s="46"/>
      <c r="J1415" s="46"/>
      <c r="K1415" s="46"/>
      <c r="L1415" s="46"/>
      <c r="M1415" s="46"/>
      <c r="N1415" s="46"/>
      <c r="O1415" s="46"/>
      <c r="P1415" s="46"/>
      <c r="Q1415" s="932" t="s">
        <v>144</v>
      </c>
      <c r="R1415" s="141">
        <f>IF($O$21="",0,$O$21)</f>
        <v>5175</v>
      </c>
      <c r="S1415" s="933">
        <f>R1415*IF(M1403="",0,M1403)</f>
        <v>0</v>
      </c>
      <c r="T1415" s="295"/>
    </row>
    <row r="1416" spans="1:22" s="1" customFormat="1" ht="14.25" customHeight="1" x14ac:dyDescent="0.2">
      <c r="A1416" s="1346"/>
      <c r="B1416" s="1348" t="s">
        <v>8</v>
      </c>
      <c r="C1416" s="1349"/>
      <c r="D1416" s="1349"/>
      <c r="E1416" s="1349"/>
      <c r="F1416" s="1349"/>
      <c r="G1416" s="1350"/>
      <c r="H1416" s="1351" t="s">
        <v>113</v>
      </c>
      <c r="I1416" s="1352"/>
      <c r="J1416" s="1352"/>
      <c r="K1416" s="1352"/>
      <c r="L1416" s="1352"/>
      <c r="M1416" s="1352"/>
      <c r="N1416" s="1352"/>
      <c r="O1416" s="30"/>
      <c r="P1416" s="1330" t="s">
        <v>0</v>
      </c>
      <c r="Q1416" s="932" t="s">
        <v>145</v>
      </c>
      <c r="R1416" s="141">
        <f>IF($O$22="",0,$O$22)</f>
        <v>7450</v>
      </c>
      <c r="S1416" s="933">
        <f>R1416*IF(M1403="",0,M1403)</f>
        <v>0</v>
      </c>
      <c r="T1416" s="830"/>
    </row>
    <row r="1417" spans="1:22" s="1" customFormat="1" ht="14.25" customHeight="1" x14ac:dyDescent="0.2">
      <c r="A1417" s="1347"/>
      <c r="B1417" s="1333" t="s">
        <v>111</v>
      </c>
      <c r="C1417" s="1335" t="s">
        <v>743</v>
      </c>
      <c r="D1417" s="1337" t="s">
        <v>226</v>
      </c>
      <c r="E1417" s="1339" t="s">
        <v>133</v>
      </c>
      <c r="F1417" s="1030" t="s">
        <v>6</v>
      </c>
      <c r="G1417" s="1340" t="s">
        <v>5</v>
      </c>
      <c r="H1417" s="1339" t="s">
        <v>119</v>
      </c>
      <c r="I1417" s="1339" t="s">
        <v>4</v>
      </c>
      <c r="J1417" s="1339" t="s">
        <v>3</v>
      </c>
      <c r="K1417" s="1339" t="s">
        <v>2</v>
      </c>
      <c r="L1417" s="1339" t="s">
        <v>114</v>
      </c>
      <c r="M1417" s="1339" t="s">
        <v>115</v>
      </c>
      <c r="N1417" s="1339" t="s">
        <v>116</v>
      </c>
      <c r="O1417" s="1338" t="s">
        <v>109</v>
      </c>
      <c r="P1417" s="1331"/>
      <c r="Q1417" s="456"/>
      <c r="R1417" s="11"/>
      <c r="S1417" s="11"/>
      <c r="T1417" s="621"/>
    </row>
    <row r="1418" spans="1:22" s="1" customFormat="1" ht="14.25" customHeight="1" x14ac:dyDescent="0.2">
      <c r="A1418" s="1347"/>
      <c r="B1418" s="1333"/>
      <c r="C1418" s="1335"/>
      <c r="D1418" s="1338"/>
      <c r="E1418" s="1339"/>
      <c r="F1418" s="1343" t="str">
        <f>I1410</f>
        <v>Zuschläge / Zulagen / o.ä.:</v>
      </c>
      <c r="G1418" s="1340"/>
      <c r="H1418" s="1342" t="s">
        <v>117</v>
      </c>
      <c r="I1418" s="1342"/>
      <c r="J1418" s="1342"/>
      <c r="K1418" s="1342"/>
      <c r="L1418" s="1342"/>
      <c r="M1418" s="1342"/>
      <c r="N1418" s="1342"/>
      <c r="O1418" s="1338"/>
      <c r="P1418" s="1331"/>
      <c r="Q1418" s="456"/>
      <c r="R1418" s="1306" t="str">
        <f>Q1410</f>
        <v>BBG anteilig 2025</v>
      </c>
      <c r="S1418" s="1306"/>
      <c r="T1418" s="829"/>
    </row>
    <row r="1419" spans="1:22" s="1" customFormat="1" ht="14.25" customHeight="1" x14ac:dyDescent="0.2">
      <c r="A1419" s="1347"/>
      <c r="B1419" s="1333"/>
      <c r="C1419" s="1335"/>
      <c r="D1419" s="1338"/>
      <c r="E1419" s="1339"/>
      <c r="F1419" s="1343"/>
      <c r="G1419" s="1340"/>
      <c r="H1419" s="39" t="str">
        <f>'päd.Personal - Leitung'!$H$27</f>
        <v>(7,30% + Zusatz)</v>
      </c>
      <c r="I1419" s="39" t="str">
        <f>'päd.Personal - Leitung'!$I$27</f>
        <v xml:space="preserve"> (2024: 9,30%)</v>
      </c>
      <c r="J1419" s="39" t="str">
        <f>'päd.Personal - Leitung'!$J$27</f>
        <v>(2024: 1,30%)</v>
      </c>
      <c r="K1419" s="39" t="str">
        <f>'päd.Personal - Leitung'!$K$27</f>
        <v>(2024: 1,700%)</v>
      </c>
      <c r="L1419" s="39"/>
      <c r="M1419" s="39"/>
      <c r="N1419" s="39" t="str">
        <f>'päd.Personal - Leitung'!$N$27</f>
        <v>(2024: 0,06%)</v>
      </c>
      <c r="O1419" s="1338"/>
      <c r="P1419" s="1331"/>
      <c r="Q1419" s="456"/>
      <c r="R1419" s="1307" t="s">
        <v>659</v>
      </c>
      <c r="S1419" s="1307"/>
      <c r="T1419" s="829"/>
      <c r="U1419" s="1308" t="s">
        <v>1</v>
      </c>
      <c r="V1419" s="1308" t="s">
        <v>741</v>
      </c>
    </row>
    <row r="1420" spans="1:22" s="1" customFormat="1" x14ac:dyDescent="0.2">
      <c r="A1420" s="1347"/>
      <c r="B1420" s="1334"/>
      <c r="C1420" s="1336"/>
      <c r="D1420" s="45"/>
      <c r="E1420" s="45"/>
      <c r="F1420" s="1344"/>
      <c r="G1420" s="1341"/>
      <c r="H1420" s="74"/>
      <c r="I1420" s="99">
        <f>'päd.Personal - Leitung'!$I$28</f>
        <v>0</v>
      </c>
      <c r="J1420" s="99">
        <f>'päd.Personal - Leitung'!$J$28</f>
        <v>0</v>
      </c>
      <c r="K1420" s="40">
        <f>'päd.Personal - Leitung'!$K$28</f>
        <v>0</v>
      </c>
      <c r="L1420" s="19"/>
      <c r="M1420" s="19"/>
      <c r="N1420" s="99">
        <f>'päd.Personal - Leitung'!$N$28</f>
        <v>0</v>
      </c>
      <c r="O1420" s="23"/>
      <c r="P1420" s="1332"/>
      <c r="Q1420" s="456"/>
      <c r="R1420" s="935" t="s">
        <v>144</v>
      </c>
      <c r="S1420" s="935" t="s">
        <v>145</v>
      </c>
      <c r="T1420" s="829"/>
      <c r="U1420" s="1308"/>
      <c r="V1420" s="1308"/>
    </row>
    <row r="1421" spans="1:22" s="1" customFormat="1" x14ac:dyDescent="0.2">
      <c r="A1421" s="76" t="str">
        <f>CONCATENATE("Jan ",O1397)</f>
        <v>Jan 2025</v>
      </c>
      <c r="B1421" s="22">
        <f>ROUND(IF(P1398=0,0,(LOOKUP(2,1/(A1406:A1409=A1421),G1406:G1409))*P1398*4.348),2)</f>
        <v>0</v>
      </c>
      <c r="C1421" s="21">
        <f>ROUND(IFERROR((LOOKUP(2,1/(A1412=A1421),E1412)),0)+IFERROR((LOOKUP(2,1/(A1413=A1421),E1413)),0),2)</f>
        <v>0</v>
      </c>
      <c r="D1421" s="21">
        <f>ROUND(IF(B1421=0,0,D1420/M1399*P1398),2)</f>
        <v>0</v>
      </c>
      <c r="E1421" s="21">
        <f>ROUND(IF(B1421=0,0,E1420/N1395*P1398),2)</f>
        <v>0</v>
      </c>
      <c r="F1421" s="22">
        <f>ROUND(IF(P1398=0,0,(LOOKUP(2,1/(A1406:A1409=A1421),I1406:I1409))/N1395*P1398),2)</f>
        <v>0</v>
      </c>
      <c r="G1421" s="25">
        <f t="shared" ref="G1421:G1432" si="229">SUM(B1421+C1421+E1421+F1421)</f>
        <v>0</v>
      </c>
      <c r="H1421" s="64">
        <f>IF(B1421=0,0,IF(AND(H1412="ja",((U1421)&lt;R1437)),ROUND(((R1439*R1436+((R1437/(R1437-R1436))-(R1436/(R1437-R1436))*R1439)*((U1421)-R1436))*(H1420*2))-(((R1437/(R1437-R1436))*((U1421)-R1436))*H1420),2),ROUND(IF((U1421)&gt;R1421,R1421*H1420,U1421*H1420),2)))</f>
        <v>0</v>
      </c>
      <c r="I1421" s="64">
        <f>IF(B1421=0,0,IF(AND(H1412="ja",((U1421)&lt;R1437)),ROUND(((R1439*R1436+((R1437/(R1437-R1436))-(R1436/(R1437-R1436))*R1439)*((U1421)-R1436))*(I1420*2))-(((R1437/(R1437-R1436))*((U1421)-R1436))*I1420),2),ROUND(IF((U1421)&gt;S1421,S1421*I1420,U1421*I1420),2)))</f>
        <v>0</v>
      </c>
      <c r="J1421" s="64">
        <f>IF(B1421=0,0,IF(AND(H1412="ja",((U1421)&lt;R1437)),ROUND(((R1439*R1436+((R1437/(R1437-R1436))-(R1436/(R1437-R1436))*R1439)*((U1421)-R1436))*(J1420*2))-(((R1437/(R1437-R1436))*((U1421)-R1436))*J1420),2),ROUND(IF((U1421)&gt;S1421,S1421*J1420,U1421*J1420),2)))</f>
        <v>0</v>
      </c>
      <c r="K1421" s="64">
        <f>IF(B1421=0,0,IF(AND(H1412="ja",((U1421)&lt;R1437)),ROUND(((R1439*R1436+((R1437/(R1437-R1436))-(R1436/(R1437-R1436))*R1439)*((U1421)-R1436))*(K1420*2))-(((R1437/(R1437-R1436))*((U1421)-R1436))*K1420),2),ROUND(IF((U1421)&gt;R1421,R1421*K1420,U1421*K1420),2)))</f>
        <v>0</v>
      </c>
      <c r="L1421" s="64">
        <f>IF(B1421=0,0,IF(AND(H1412="ja",((U1421-C1421)&lt;R1437)),ROUND(((R1439*R1436+((R1437/(R1437-R1436))-(R1436/(R1437-R1436))*R1439)*((U1421-C1421)-R1436))*(L1420)),2),ROUND(IF((SUM(B1421:F1421))&gt;S1421,S1421*L1420,(SUM(B1421:F1421)-C1421)*L1420),2)))</f>
        <v>0</v>
      </c>
      <c r="M1421" s="64">
        <f>IF(B1421=0,0,IF(AND(H1412="ja",((U1421-C1421)&lt;R1437)),ROUND(((R1439*R1436+((R1437/(R1437-R1436))-(R1436/(R1437-R1436))*R1439)*((U1421-C1421)-R1436))*(M1420)),2),ROUND(IF((SUM(B1421:F1421))&gt;S1421,S1421*M1420,(SUM(B1421:F1421)-C1421)*M1420),2)))</f>
        <v>0</v>
      </c>
      <c r="N1421" s="64">
        <f>IF(B1421=0,0,IF(AND(H1412="ja",((U1421)&lt;R1437)),ROUND(((R1439*R1436+((R1437/(R1437-R1436))-(R1436/(R1437-R1436))*R1439)*((U1421)-R1436))*(N1420)),2),ROUND(IF((SUM(B1421:F1421))&gt;S1421,S1421*N1420,SUM(B1421:F1421)*N1420),2)))</f>
        <v>0</v>
      </c>
      <c r="O1421" s="21">
        <f>ROUND(SUM(B1421+C1421+F1421)*O1420,2)</f>
        <v>0</v>
      </c>
      <c r="P1421" s="25">
        <f>SUM(G1421:O1421)</f>
        <v>0</v>
      </c>
      <c r="Q1421" s="456"/>
      <c r="R1421" s="140">
        <f>ROUND(IF(M1399="",R1415,R1415/M1399*P1398),2)</f>
        <v>5175</v>
      </c>
      <c r="S1421" s="140">
        <f>ROUND(IF(M1399="",R1416,R1416/M1399*P1398),2)</f>
        <v>7450</v>
      </c>
      <c r="U1421" s="950">
        <f>SUM(B1421:F1421)</f>
        <v>0</v>
      </c>
      <c r="V1421" s="950">
        <f>SUM(B1421:F1421)</f>
        <v>0</v>
      </c>
    </row>
    <row r="1422" spans="1:22" s="1" customFormat="1" x14ac:dyDescent="0.2">
      <c r="A1422" s="76" t="str">
        <f>CONCATENATE("Feb ",O1397)</f>
        <v>Feb 2025</v>
      </c>
      <c r="B1422" s="22">
        <f>ROUND(IF(P1399=0,0,IFERROR(((LOOKUP(2,1/(A1406:A1409=A1422),G1406:G1409))*P1399*4.348),B1421/P1398*P1399)),2)</f>
        <v>0</v>
      </c>
      <c r="C1422" s="21">
        <f>ROUND(IFERROR((LOOKUP(2,1/(A1412=A1422),E1412)),0)+IFERROR((LOOKUP(2,1/(A1413=A1422),E1413)),0),2)</f>
        <v>0</v>
      </c>
      <c r="D1422" s="21">
        <f>ROUND(IF(B1422=0,0,D1420/M1399*P1399),2)</f>
        <v>0</v>
      </c>
      <c r="E1422" s="21">
        <f>ROUND(IF(B1422=0,0,E1420/N1395*P1399),2)</f>
        <v>0</v>
      </c>
      <c r="F1422" s="22">
        <f>ROUND(IF(P1399=0,0,IFERROR(((LOOKUP(2,1/(A1406:A1409=A1422),I1406:I1409))/N1395*P1399),F1421/P1398*P1399)),2)</f>
        <v>0</v>
      </c>
      <c r="G1422" s="25">
        <f t="shared" si="229"/>
        <v>0</v>
      </c>
      <c r="H1422" s="64">
        <f>IF(B1422=0,0,IF(AND(H1412="ja",((U1422)&lt;R1437)),ROUND(((R1439*R1436+((R1437/(R1437-R1436))-(R1436/(R1437-R1436))*R1439)*((U1422)-R1436))*(H1420*2))-(((R1437/(R1437-R1436))*((U1422)-R1436))*H1420),2),ROUND(IF(U1421&lt;(R1421),IF((V1422)&gt;(SUM(R1421:R1422)),(((SUM(R1421:R1422))-(V1422-C1421))*H1420)+((U1422-C1421)*H1420),U1422*H1420),IF(V1422&gt;(SUM(R1421:R1422)),R1422*H1420,U1422*H1420)),2)))</f>
        <v>0</v>
      </c>
      <c r="I1422" s="64">
        <f>IF(B1422=0,0,IF(AND(H1412="ja",((U1422)&lt;R1437)),ROUND(((R1439*R1436+((R1437/(R1437-R1436))-(R1436/(R1437-R1436))*R1439)*((U1422)-R1436))*(I1420*2))-(((R1437/(R1437-R1436))*((U1422)-R1436))*I1420),2),ROUND(IF(U1421&lt;(S1421),IF((V1422)&gt;(SUM(S1421:S1422)),(((SUM(S1421:S1422))-(V1422-C1421))*I1420)+((U1422-C1421)*I1420),U1422*I1420),IF(V1422&gt;(SUM(S1421:S1422)),S1422*I1420,U1422*I1420)),2)))</f>
        <v>0</v>
      </c>
      <c r="J1422" s="64">
        <f>IF(B1422=0,0,IF(AND(H1412="ja",((U1422)&lt;R1437)),ROUND(((R1439*R1436+((R1437/(R1437-R1436))-(R1436/(R1437-R1436))*R1439)*((U1422)-R1436))*(J1420*2))-(((R1437/(R1437-R1436))*((U1422)-R1436))*J1420),2),ROUND(IF(U1421&lt;(S1421),IF((V1422)&gt;(SUM(S1421:S1422)),(((SUM(S1421:S1422))-(V1422-C1421))*J1420)+((U1422-C1421)*J1420),U1422*J1420),IF(V1422&gt;(SUM(S1421:S1422)),S1422*J1420,U1422*J1420)),2)))</f>
        <v>0</v>
      </c>
      <c r="K1422" s="64">
        <f>IF(B1422=0,0,IF(AND(H1412="ja",((U1422)&lt;R1437)),ROUND(((R1439*R1436+((R1437/(R1437-R1436))-(R1436/(R1437-R1436))*R1439)*((U1422)-R1436))*(K1420*2))-(((R1437/(R1437-R1436))*((U1422)-R1436))*K1420),2),ROUND(IF(U1421&lt;(R1421),IF((V1422)&gt;(SUM(R1421:R1422)),(((SUM(R1421:R1422))-(V1422-C1421))*K1420)+((U1422-C1421)*K1420),U1422*K1420),IF(V1422&gt;(SUM(R1421:R1422)),R1422*K1420,U1422*K1420)),2)))</f>
        <v>0</v>
      </c>
      <c r="L1422" s="64">
        <f>IF(B1422=0,0,IF(AND(H1412="ja",((U1422-C1422)&lt;R1437)),ROUND(((R1439*R1436+((R1437/(R1437-R1436))-(R1436/(R1437-R1436))*R1439)*((U1422-C1422)-R1436))*(L1420)),2),ROUND(IF(SUM(B1421:F1421)&lt;(S1421),IF((SUM(B1421:F1422))&gt;(SUM(S1421:S1422)),(((SUM(S1421:S1422))-(SUM(B1421:F1422)-C1422))*L1420)+((SUM(B1422:F1422)-C1422)*L1420),(SUM(B1422:F1422)-C1422)*L1420),IF(SUM(B1421:F1422)&gt;(SUM(S1421:S1422)),S1422*L1420,SUM(B1422:F1422)*L1420)),2)))</f>
        <v>0</v>
      </c>
      <c r="M1422" s="64">
        <f>IF(B1422=0,0,IF(AND(H1412="ja",((U1422-C1422)&lt;R1437)),ROUND(((R1439*R1436+((R1437/(R1437-R1436))-(R1436/(R1437-R1436))*R1439)*((U1422-C1422)-R1436))*(M1420)),2),ROUND(IF(SUM(B1421:F1421)&lt;(S1421),IF((SUM(B1421:F1422))&gt;(SUM(S1421:S1422)),(((SUM(S1421:S1422))-(SUM(B1421:F1422)-C1422))*M1420)+((SUM(B1422:F1422)-C1422)*M1420),(SUM(B1422:F1422)-C1422)*M1420),IF(SUM(B1421:F1422)&gt;(SUM(S1421:S1422)),S1422*M1420,SUM(B1422:F1422)*M1420)),2)))</f>
        <v>0</v>
      </c>
      <c r="N1422" s="64">
        <f>IF(B1422=0,0,IF(AND(H1412="ja",((U1422)&lt;R1437)),ROUND(((R1439*R1436+((R1437/(R1437-R1436))-(R1436/(R1437-R1436))*R1439)*((U1422)-R1436))*(N1420)),2),ROUND(IF(SUM(B1421:F1421)&lt;(S1421),IF((SUM(B1421:F1422))&gt;(SUM(S1421:S1422)),(((SUM(S1421:S1422))-(SUM(B1421:F1422)-C1421))*N1420)+((SUM(B1422:F1422)-C1421)*N1420),SUM(B1422:F1422)*N1420),IF(SUM(B1421:F1422)&gt;(SUM(S1421:S1422)),S1422*N1420,SUM(B1422:F1422)*N1420)),2)))</f>
        <v>0</v>
      </c>
      <c r="O1422" s="21">
        <f>ROUND(SUM(B1422+C1422+F1422)*O1420,2)</f>
        <v>0</v>
      </c>
      <c r="P1422" s="25">
        <f t="shared" ref="P1422:P1432" si="230">SUM(G1422:O1422)</f>
        <v>0</v>
      </c>
      <c r="Q1422" s="456"/>
      <c r="R1422" s="140">
        <f>ROUND(IF(M1399="",R1415,R1415/M1399*P1399),2)</f>
        <v>5175</v>
      </c>
      <c r="S1422" s="140">
        <f>ROUND(IF(M1399="",R1416,R1416/M1399*P1399),2)</f>
        <v>7450</v>
      </c>
      <c r="U1422" s="950">
        <f t="shared" ref="U1422:U1432" si="231">SUM(B1422:F1422)</f>
        <v>0</v>
      </c>
      <c r="V1422" s="950">
        <f>SUM(B1421:F1422)</f>
        <v>0</v>
      </c>
    </row>
    <row r="1423" spans="1:22" s="1" customFormat="1" x14ac:dyDescent="0.2">
      <c r="A1423" s="76" t="str">
        <f>CONCATENATE("Mrz ",O1397)</f>
        <v>Mrz 2025</v>
      </c>
      <c r="B1423" s="22">
        <f>ROUND(IF(P1400=0,0,IFERROR(((LOOKUP(2,1/(A1406:A1409=A1423),G1406:G1409))*P1400*4.348),B1422/P1399*P1400)),2)</f>
        <v>0</v>
      </c>
      <c r="C1423" s="21">
        <f>ROUND(IFERROR((LOOKUP(2,1/(A1412=A1423),E1412)),0)+IFERROR((LOOKUP(2,1/(A1413=A1423),E1413)),0),2)</f>
        <v>0</v>
      </c>
      <c r="D1423" s="21">
        <f>ROUND(IF(B1423=0,0,D1420/M1399*P1400),2)</f>
        <v>0</v>
      </c>
      <c r="E1423" s="21">
        <f>ROUND(IF(B1423=0,0,E1420/N1395*P1400),2)</f>
        <v>0</v>
      </c>
      <c r="F1423" s="22">
        <f>ROUND(IF(P1400=0,0,IFERROR(((LOOKUP(2,1/(A1406:A1409=A1423),I1406:I1409))/N1395*P1400),F1422/P1399*P1400)),2)</f>
        <v>0</v>
      </c>
      <c r="G1423" s="25">
        <f t="shared" si="229"/>
        <v>0</v>
      </c>
      <c r="H1423" s="64">
        <f>IF(B1423=0,0,IF(AND(H1412="ja",((U1423)&lt;R1437)),ROUND(((R1439*R1436+((R1437/(R1437-R1436))-(R1436/(R1437-R1436))*R1439)*((U1423)-R1436))*(H1420*2))-(((R1437/(R1437-R1436))*((U1423)-R1436))*H1420),2),ROUND(IF(V1422&lt;(SUM(R1421:R1422)),IF((V1423)&gt;(SUM(R1421:R1423)),(((SUM(R1421:R1423))-(V1423-C1422))*H1420)+((U1423-C1422)*H1420),U1423*H1420),IF(V1423&gt;(SUM(R1421:R1423)),R1423*H1420,U1423*H1420)),2)))</f>
        <v>0</v>
      </c>
      <c r="I1423" s="64">
        <f>IF(B1423=0,0,IF(AND(H1412="ja",((U1423)&lt;R1437)),ROUND(((R1439*R1436+((R1437/(R1437-R1436))-(R1436/(R1437-R1436))*R1439)*((U1423)-R1436))*(I1420*2))-(((R1437/(R1437-R1436))*((U1423)-R1436))*I1420),2),ROUND(IF(V1422&lt;(SUM(S1421:S1422)),IF((V1423)&gt;(SUM(S1421:S1423)),(((SUM(S1421:S1423))-(V1423-C1422))*I1420)+((U1423-C1422)*I1420),U1423*I1420),IF(V1423&gt;(SUM(S1421:S1423)),S1423*I1420,U1423*I1420)),2)))</f>
        <v>0</v>
      </c>
      <c r="J1423" s="64">
        <f>IF(B1423=0,0,IF(AND(H1412="ja",((U1423)&lt;R1437)),ROUND(((R1439*R1436+((R1437/(R1437-R1436))-(R1436/(R1437-R1436))*R1439)*((U1423)-R1436))*(J1420*2))-(((R1437/(R1437-R1436))*((U1423)-R1436))*J1420),2),ROUND(IF(V1422&lt;(SUM(S1421:S1422)),IF((V1423)&gt;(SUM(S1421:S1423)),(((SUM(S1421:S1423))-(V1423-C1422))*J1420)+((U1423-C1422)*J1420),U1423*J1420),IF(V1423&gt;(SUM(S1421:S1423)),S1423*J1420,U1423*J1420)),2)))</f>
        <v>0</v>
      </c>
      <c r="K1423" s="64">
        <f>IF(B1423=0,0,IF(AND(H1412="ja",((U1423)&lt;R1437)),ROUND(((R1439*R1436+((R1437/(R1437-R1436))-(R1436/(R1437-R1436))*R1439)*((U1423)-R1436))*(K1420*2))-(((R1437/(R1437-R1436))*((U1423)-R1436))*K1420),2),ROUND(IF(V1422&lt;(SUM(R1421:R1422)),IF((V1423)&gt;(SUM(R1421:R1423)),(((SUM(R1421:R1423))-(V1423-C1422))*K1420)+((U1423-C1422)*K1420),U1423*K1420),IF(V1423&gt;(SUM(R1421:R1423)),R1423*K1420,U1423*K1420)),2)))</f>
        <v>0</v>
      </c>
      <c r="L1423" s="64">
        <f>IF(B1423=0,0,IF(AND(H1412="ja",((U1423-C1423)&lt;R1437)),ROUND(((R1439*R1436+((R1437/(R1437-R1436))-(R1436/(R1437-R1436))*R1439)*((U1423-C1423)-R1436))*(L1420)),2),ROUND(IF(SUM(B1421:F1422)&lt;(SUM(S1421:S1422)),IF((SUM(B1421:F1423))&gt;(SUM(S1421:S1423)),(((SUM(S1421:S1423))-(SUM(B1421:F1423)-C1423))*L1420)+((SUM(B1423:F1423)-C1423)*L1420),(SUM(B1423:F1423)-C1423)*L1420),IF(SUM(B1421:F1423)&gt;(SUM(S1421:S1423)),S1423*L1420,SUM(B1423:F1423)*L1420)),2)))</f>
        <v>0</v>
      </c>
      <c r="M1423" s="64">
        <f>IF(B1423=0,0,IF(AND(H1412="ja",((U1423-C1423)&lt;R1437)),ROUND(((R1439*R1436+((R1437/(R1437-R1436))-(R1436/(R1437-R1436))*R1439)*((U1423-C1423)-R1436))*(M1420)),2),ROUND(IF(SUM(B1421:F1422)&lt;(SUM(S1421:S1422)),IF((SUM(B1421:F1423))&gt;(SUM(S1421:S1423)),(((SUM(S1421:S1423))-(SUM(B1421:F1423)-C1423))*M1420)+((SUM(B1423:F1423)-C1423)*M1420),(SUM(B1423:F1423)-C1423)*M1420),IF(SUM(B1421:F1423)&gt;(SUM(S1421:S1423)),S1423*M1420,SUM(B1423:F1423)*M1420)),2)))</f>
        <v>0</v>
      </c>
      <c r="N1423" s="64">
        <f>IF(B1423=0,0,IF(AND(H1412="ja",((U1423)&lt;R1437)),ROUND(((R1439*R1436+((R1437/(R1437-R1436))-(R1436/(R1437-R1436))*R1439)*((U1423)-R1436))*(N1420)),2),ROUND(IF(SUM(B1421:F1422)&lt;(SUM(S1421:S1422)),IF((SUM(B1421:F1423))&gt;(SUM(S1421:S1423)),(((SUM(S1421:S1423))-(SUM(B1421:F1423)-C1422))*N1420)+((SUM(B1423:F1423)-C1422)*N1420),SUM(B1423:F1423)*N1420),IF(SUM(B1421:F1423)&gt;(SUM(S1421:S1423)),S1423*N1420,SUM(B1423:F1423)*N1420)),2)))</f>
        <v>0</v>
      </c>
      <c r="O1423" s="21">
        <f>ROUND(SUM(B1423+C1423+F1423)*O1420,2)</f>
        <v>0</v>
      </c>
      <c r="P1423" s="25">
        <f t="shared" si="230"/>
        <v>0</v>
      </c>
      <c r="Q1423" s="456"/>
      <c r="R1423" s="140">
        <f>ROUND(IF(M1399="",R1415,R1415/M1399*P1400),2)</f>
        <v>5175</v>
      </c>
      <c r="S1423" s="140">
        <f>ROUND(IF(M1399="",R1416,R1416/M1399*P1400),2)</f>
        <v>7450</v>
      </c>
      <c r="U1423" s="950">
        <f t="shared" si="231"/>
        <v>0</v>
      </c>
      <c r="V1423" s="950">
        <f>SUM(B1421:F1423)</f>
        <v>0</v>
      </c>
    </row>
    <row r="1424" spans="1:22" s="1" customFormat="1" x14ac:dyDescent="0.2">
      <c r="A1424" s="76" t="str">
        <f>CONCATENATE("Apr ",O1397)</f>
        <v>Apr 2025</v>
      </c>
      <c r="B1424" s="22">
        <f>ROUND(IF(P1401=0,0,IFERROR(((LOOKUP(2,1/(A1406:A1409=A1424),G1406:G1409))*P1401*4.348),B1423/P1400*P1401)),2)</f>
        <v>0</v>
      </c>
      <c r="C1424" s="21">
        <f>ROUND(IFERROR((LOOKUP(2,1/(A1412=A1424),E1412)),0)+IFERROR((LOOKUP(2,1/(A1413=A1424),E1413)),0),2)</f>
        <v>0</v>
      </c>
      <c r="D1424" s="21">
        <f>ROUND(IF(B1424=0,0,D1420/M1399*P1401),2)</f>
        <v>0</v>
      </c>
      <c r="E1424" s="21">
        <f>ROUND(IF(B1424=0,0,E1420/N1395*P1401),2)</f>
        <v>0</v>
      </c>
      <c r="F1424" s="22">
        <f>ROUND(IF(P1401=0,0,IFERROR(((LOOKUP(2,1/(A1406:A1409=A1424),I1406:I1409))/N1395*P1401),F1423/P1400*P1401)),2)</f>
        <v>0</v>
      </c>
      <c r="G1424" s="25">
        <f t="shared" si="229"/>
        <v>0</v>
      </c>
      <c r="H1424" s="64">
        <f>IF(B1424=0,0,IF(AND(H1412="ja",((U1424)&lt;R1437)),ROUND(((R1439*R1436+((R1437/(R1437-R1436))-(R1436/(R1437-R1436))*R1439)*((U1424)-R1436))*(H1420*2))-(((R1437/(R1437-R1436))*((U1424)-R1436))*H1420),2),ROUND(IF(V1423&lt;(SUM(R1421:R1423)),IF((V1424)&gt;(SUM(R1421:R1424)),(((SUM(R1421:R1424))-(V1424-C1423))*H1420)+((U1424-C1423)*H1420),U1424*H1420),IF(V1424&gt;(SUM(R1421:R1424)),R1424*H1420,U1424*H1420)),2)))</f>
        <v>0</v>
      </c>
      <c r="I1424" s="64">
        <f>IF(B1424=0,0,IF(AND(H1412="ja",((U1424)&lt;R1437)),ROUND(((R1439*R1436+((R1437/(R1437-R1436))-(R1436/(R1437-R1436))*R1439)*((U1424)-R1436))*(I1420*2))-(((R1437/(R1437-R1436))*((U1424)-R1436))*I1420),2),ROUND(IF(V1423&lt;(SUM(S1421:S1423)),IF((V1424)&gt;(SUM(S1421:S1424)),(((SUM(S1421:S1424))-(V1424-C1423))*I1420)+((U1424-C1423)*I1420),U1424*I1420),IF(V1424&gt;(SUM(S1421:S1424)),S1424*I1420,U1424*I1420)),2)))</f>
        <v>0</v>
      </c>
      <c r="J1424" s="64">
        <f>IF(B1424=0,0,IF(AND(H1412="ja",((U1424)&lt;R1437)),ROUND(((R1439*R1436+((R1437/(R1437-R1436))-(R1436/(R1437-R1436))*R1439)*((U1424)-R1436))*(J1420*2))-(((R1437/(R1437-R1436))*((U1424)-R1436))*J1420),2),ROUND(IF(U1423&lt;(SUM(S1421:S1423)),IF((V1424)&gt;(SUM(S1421:S1424)),(((SUM(S1421:S1424))-(V1424-C1423))*J1420)+((U1424-C1423)*J1420),U1424*J1420),IF(V1424&gt;(SUM(S1421:S1424)),S1424*J1420,U1424*J1420)),2)))</f>
        <v>0</v>
      </c>
      <c r="K1424" s="64">
        <f>IF(B1424=0,0,IF(AND(H1412="ja",((U1424)&lt;R1437)),ROUND(((R1439*R1436+((R1437/(R1437-R1436))-(R1436/(R1437-R1436))*R1439)*((U1424)-R1436))*(K1420*2))-(((R1437/(R1437-R1436))*((U1424)-R1436))*K1420),2),ROUND(IF(V1423&lt;(SUM(R1421:R1423)),IF((V1424)&gt;(SUM(R1421:R1424)),(((SUM(R1421:R1424))-(V1424-C1423))*K1420)+((U1424-C1423)*K1420),U1424*K1420),IF(V1424&gt;(SUM(R1421:R1424)),R1424*K1420,U1424*K1420)),2)))</f>
        <v>0</v>
      </c>
      <c r="L1424" s="64">
        <f>IF(B1424=0,0,IF(AND(H1412="ja",((U1424-C1424)&lt;R1437)),ROUND(((R1439*R1436+((R1437/(R1437-R1436))-(R1436/(R1437-R1436))*R1439)*((U1424-C1424)-R1436))*(L1420)),2),ROUND(IF(SUM(B1421:F1423)&lt;(SUM(S1421:S1423)),IF((SUM(B1421:F1424))&gt;(SUM(S1421:S1424)),(((SUM(S1421:S1424))-(SUM(B1421:F1424)-C1424))*L1420)+((SUM(B1424:F1424)-C1424)*L1420),(SUM(B1424:F1424)-C1424)*L1420),IF(SUM(B1421:F1424)&gt;(SUM(S1421:S1424)),S1424*L1420,SUM(B1424:F1424)*L1420)),2)))</f>
        <v>0</v>
      </c>
      <c r="M1424" s="64">
        <f>IF(B1424=0,0,IF(AND(H1412="ja",((U1424-C1424)&lt;R1437)),ROUND(((R1439*R1436+((R1437/(R1437-R1436))-(R1436/(R1437-R1436))*R1439)*((U1424-C1424)-R1436))*(M1420)),2),ROUND(IF(SUM(B1421:F1423)&lt;(SUM(S1421:S1423)),IF((SUM(B1421:F1424))&gt;(SUM(S1421:S1424)),(((SUM(S1421:S1424))-(SUM(B1421:F1424)-C1424))*M1420)+((SUM(B1424:F1424)-C1424)*M1420),(SUM(B1424:F1424)-C1424)*M1420),IF(SUM(B1421:F1424)&gt;(SUM(S1421:S1424)),S1424*M1420,SUM(B1424:F1424)*M1420)),2)))</f>
        <v>0</v>
      </c>
      <c r="N1424" s="64">
        <f>IF(B1424=0,0,IF(AND(H1412="ja",((U1424)&lt;R1437)),ROUND(((R1439*R1436+((R1437/(R1437-R1436))-(R1436/(R1437-R1436))*R1439)*((U1424)-R1436))*(N1420)),2),ROUND(IF(SUM(B1421:F1423)&lt;(SUM(S1421:S1423)),IF((SUM(B1421:F1424))&gt;(SUM(S1421:S1424)),(((SUM(S1421:S1424))-(SUM(B1421:F1424)-C1423))*N1420)+((SUM(B1424:F1424)-C1423)*N1420),SUM(B1424:F1424)*N1420),IF(SUM(B1421:F1424)&gt;(SUM(S1421:S1424)),S1424*N1420,SUM(B1424:F1424)*N1420)),2)))</f>
        <v>0</v>
      </c>
      <c r="O1424" s="21">
        <f>ROUND(SUM(B1424+C1424+F1424)*O1420,2)</f>
        <v>0</v>
      </c>
      <c r="P1424" s="25">
        <f t="shared" si="230"/>
        <v>0</v>
      </c>
      <c r="Q1424" s="456"/>
      <c r="R1424" s="140">
        <f>ROUND(IF(M1399="",R1415,R1415/M1399*P1401),2)</f>
        <v>5175</v>
      </c>
      <c r="S1424" s="140">
        <f>ROUND(IF(M1399="",R1416,R1416/M1399*P1401),2)</f>
        <v>7450</v>
      </c>
      <c r="U1424" s="950">
        <f t="shared" si="231"/>
        <v>0</v>
      </c>
      <c r="V1424" s="950">
        <f>SUM(B1421:F1424)</f>
        <v>0</v>
      </c>
    </row>
    <row r="1425" spans="1:24" s="1" customFormat="1" x14ac:dyDescent="0.2">
      <c r="A1425" s="76" t="str">
        <f>CONCATENATE("Mai ",O1397)</f>
        <v>Mai 2025</v>
      </c>
      <c r="B1425" s="22">
        <f>ROUND(IF(P1402=0,0,IFERROR(((LOOKUP(2,1/(A1406:A1409=A1425),G1406:G1409))*P1402*4.348),B1424/P1401*P1402)),2)</f>
        <v>0</v>
      </c>
      <c r="C1425" s="21">
        <f>ROUND(IFERROR((LOOKUP(2,1/(A1412=A1425),E1412)),0)+IFERROR((LOOKUP(2,1/(A1413=A1425),E1413)),0),2)</f>
        <v>0</v>
      </c>
      <c r="D1425" s="21">
        <f>ROUND(IF(B1425=0,0,D1420/M1399*P1402),2)</f>
        <v>0</v>
      </c>
      <c r="E1425" s="21">
        <f>ROUND(IF(B1425=0,0,E1420/N1395*P1402),2)</f>
        <v>0</v>
      </c>
      <c r="F1425" s="22">
        <f>ROUND(IF(P1402=0,0,IFERROR(((LOOKUP(2,1/(A1406:A1409=A1425),I1406:I1409))/N1395*P1402),F1424/P1401*P1402)),2)</f>
        <v>0</v>
      </c>
      <c r="G1425" s="25">
        <f t="shared" si="229"/>
        <v>0</v>
      </c>
      <c r="H1425" s="64">
        <f>IF(B1425=0,0,IF(AND(H1412="ja",((U1425)&lt;R1437)),ROUND(((R1439*R1436+((R1437/(R1437-R1436))-(R1436/(R1437-R1436))*R1439)*((U1425)-R1436))*(H1420*2))-(((R1437/(R1437-R1436))*((U1425)-R1436))*H1420),2),ROUND(IF(V1424&lt;(SUM(R1421:R1424)),IF((V1425)&gt;(SUM(R1421:R1425)),(((SUM(R1421:R1425))-(V1425-C1424))*H1420)+((U1425-C1424)*H1420),U1425*H1420),IF(V1425&gt;(SUM(R1421:R1425)),R1425*H1420,U1425*H1420)),2)))</f>
        <v>0</v>
      </c>
      <c r="I1425" s="64">
        <f>IF(B1425=0,0,IF(AND(H1412="ja",((U1425)&lt;R1437)),ROUND(((R1439*R1436+((R1437/(R1437-R1436))-(R1436/(R1437-R1436))*R1439)*((U1425)-R1436))*(I1420*2))-(((R1437/(R1437-R1436))*((U1425)-R1436))*I1420),2),ROUND(IF(V1424&lt;(SUM(S1421:S1424)),IF((V1425)&gt;(SUM(S1421:S1425)),(((SUM(S1421:S1425))-(V1425-C1424))*I1420)+((U1425-C1424)*I1420),U1425*I1420),IF(V1425&gt;(SUM(S1421:S1425)),S1425*I1420,U1425*I1420)),2)))</f>
        <v>0</v>
      </c>
      <c r="J1425" s="64">
        <f>IF(B1425=0,0,IF(AND(H1412="ja",((U1425)&lt;R1437)),ROUND(((R1439*R1436+((R1437/(R1437-R1436))-(R1436/(R1437-R1436))*R1439)*((U1425)-R1436))*(J1420*2))-(((R1437/(R1437-R1436))*((U1425)-R1436))*J1420),2),ROUND(IF(V1424&lt;(SUM(S1421:S1424)),IF((V1425)&gt;(SUM(S1421:S1425)),(((SUM(S1421:S1425))-(V1425-C1424))*J1420)+((U1425-C1424)*J1420),U1425*J1420),IF(V1425&gt;(SUM(S1421:S1425)),S1425*J1420,U1425*J1420)),2)))</f>
        <v>0</v>
      </c>
      <c r="K1425" s="64">
        <f>IF(B1425=0,0,IF(AND(H1412="ja",((U1425)&lt;R1437)),ROUND(((R1439*R1436+((R1437/(R1437-R1436))-(R1436/(R1437-R1436))*R1439)*((U1425)-R1436))*(K1420*2))-(((R1437/(R1437-R1436))*((U1425)-R1436))*K1420),2),ROUND(IF(V1424&lt;(SUM(R1421:R1424)),IF((V1425)&gt;(SUM(R1421:R1425)),(((SUM(R1421:R1425))-(V1425-C1424))*K1420)+((U1425-C1424)*K1420),U1425*K1420),IF(V1425&gt;(SUM(R1421:R1425)),R1425*K1420,U1425*K1420)),2)))</f>
        <v>0</v>
      </c>
      <c r="L1425" s="64">
        <f>IF(B1425=0,0,IF(AND(H1412="ja",((U1425-C1425)&lt;R1437)),ROUND(((R1439*R1436+((R1437/(R1437-R1436))-(R1436/(R1437-R1436))*R1439)*((U1425-C1425)-R1436))*(L1420)),2),ROUND(IF(SUM(B1421:F1424)&lt;(SUM(S1421:S1424)),IF((SUM(B1421:F1425))&gt;(SUM(S1421:S1425)),(((SUM(S1421:S1425))-(SUM(B1421:F1425)-C1425))*L1420)+((SUM(B1425:F1425)-C1425)*L1420),(SUM(B1425:F1425)-C1425)*L1420),IF(SUM(B1421:F1425)&gt;(SUM(S1421:S1425)),S1425*L1420,SUM(B1425:F1425)*L1420)),2)))</f>
        <v>0</v>
      </c>
      <c r="M1425" s="64">
        <f>IF(B1425=0,0,IF(AND(H1412="ja",((U1425-C1425)&lt;R1437)),ROUND(((R1439*R1436+((R1437/(R1437-R1436))-(R1436/(R1437-R1436))*R1439)*((U1425-C1425)-R1436))*(M1420)),2),ROUND(IF(SUM(B1421:F1424)&lt;(SUM(S1421:S1424)),IF((SUM(B1421:F1425))&gt;(SUM(S1421:S1425)),(((SUM(S1421:S1425))-(SUM(B1421:F1425)-C1425))*M1420)+((SUM(B1425:F1425)-C1425)*M1420),(SUM(B1425:F1425)-C1425)*M1420),IF(SUM(B1421:F1425)&gt;(SUM(S1421:S1425)),S1425*M1420,SUM(B1425:F1425)*M1420)),2)))</f>
        <v>0</v>
      </c>
      <c r="N1425" s="64">
        <f>IF(B1425=0,0,IF(AND(H1412="ja",((U1425)&lt;R1437)),ROUND(((R1439*R1436+((R1437/(R1437-R1436))-(R1436/(R1437-R1436))*R1439)*((U1425)-R1436))*(N1420)),2),ROUND(IF(SUM(B1421:F1424)&lt;(SUM(S1421:S1424)),IF((SUM(B1421:F1425))&gt;(SUM(S1421:S1425)),(((SUM(S1421:S1425))-(SUM(B1421:F1425)-C1424))*N1420)+((SUM(B1425:F1425)-C1424)*N1420),SUM(B1425:F1425)*N1420),IF(SUM(B1421:F1425)&gt;(SUM(S1421:S1425)),S1425*N1420,SUM(B1425:F1425)*N1420)),2)))</f>
        <v>0</v>
      </c>
      <c r="O1425" s="21">
        <f>ROUND(SUM(B1425+C1425+F1425)*O1420,2)</f>
        <v>0</v>
      </c>
      <c r="P1425" s="25">
        <f t="shared" si="230"/>
        <v>0</v>
      </c>
      <c r="Q1425" s="456"/>
      <c r="R1425" s="140">
        <f>ROUND(IF(M1399="",R1415,R1415/M1399*P1402),2)</f>
        <v>5175</v>
      </c>
      <c r="S1425" s="140">
        <f>ROUND(IF(M1399="",R1416,R1416/M1399*P1402),2)</f>
        <v>7450</v>
      </c>
      <c r="U1425" s="950">
        <f t="shared" si="231"/>
        <v>0</v>
      </c>
      <c r="V1425" s="950">
        <f>SUM(B1421:F1425)</f>
        <v>0</v>
      </c>
    </row>
    <row r="1426" spans="1:24" s="1" customFormat="1" x14ac:dyDescent="0.2">
      <c r="A1426" s="76" t="str">
        <f>CONCATENATE("Jun ",O1397)</f>
        <v>Jun 2025</v>
      </c>
      <c r="B1426" s="22">
        <f>ROUND(IF(P1403=0,0,IFERROR(((LOOKUP(2,1/(A1406:A1409=A1426),G1406:G1409))*P1403*4.348),B1425/P1402*P1403)),2)</f>
        <v>0</v>
      </c>
      <c r="C1426" s="21">
        <f>ROUND(IFERROR((LOOKUP(2,1/(A1412=A1426),E1412)),0)+IFERROR((LOOKUP(2,1/(A1413=A1426),E1413)),0),2)</f>
        <v>0</v>
      </c>
      <c r="D1426" s="21">
        <f>ROUND(IF(B1426=0,0,D1420/M1399*P1403),2)</f>
        <v>0</v>
      </c>
      <c r="E1426" s="21">
        <f>ROUND(IF(B1426=0,0,E1420/N1395*P1403),2)</f>
        <v>0</v>
      </c>
      <c r="F1426" s="22">
        <f>ROUND(IF(P1403=0,0,IFERROR(((LOOKUP(2,1/(A1406:A1409=A1426),I1406:I1409))/N1395*P1403),F1425/P1402*P1403)),2)</f>
        <v>0</v>
      </c>
      <c r="G1426" s="25">
        <f t="shared" si="229"/>
        <v>0</v>
      </c>
      <c r="H1426" s="64">
        <f>IF(B1426=0,0,IF(AND(H1412="ja",((U1426)&lt;R1437)),ROUND(((R1439*R1436+((R1437/(R1437-R1436))-(R1436/(R1437-R1436))*R1439)*((U1426)-R1436))*(H1420*2))-(((R1437/(R1437-R1436))*((U1426)-R1436))*H1420),2),ROUND(IF(V1425&lt;(SUM(R1421:R1425)),IF((V1426)&gt;(SUM(R1421:R1426)),(((SUM(R1421:R1426))-(V1426-C1425))*H1420)+((U1426-C1425)*H1420),U1426*H1420),IF(V1426&gt;(SUM(R1421:R1426)),R1426*H1420,U1426*H1420)),2)))</f>
        <v>0</v>
      </c>
      <c r="I1426" s="64">
        <f>IF(B1426=0,0,IF(AND(H1412="ja",((U1426)&lt;R1437)),ROUND(((R1439*R1436+((R1437/(R1437-R1436))-(R1436/(R1437-R1436))*R1439)*((U1426)-R1436))*(I1420*2))-(((R1437/(R1437-R1436))*((U1426)-R1436))*I1420),2),ROUND(IF(V1425&lt;(SUM(S1421:S1425)),IF((V1426)&gt;(SUM(S1421:S1426)),(((SUM(S1421:S1426))-(V1426-C1425))*I1420)+((U1426-C1425)*I1420),U1426*I1420),IF(V1426&gt;(SUM(S1421:S1426)),S1426*I1420,U1426*I1420)),2)))</f>
        <v>0</v>
      </c>
      <c r="J1426" s="64">
        <f>IF(B1426=0,0,IF(AND(H1412="ja",((U1426)&lt;R1437)),ROUND(((R1439*R1436+((R1437/(R1437-R1436))-(R1436/(R1437-R1436))*R1439)*((U1426)-R1436))*(J1420*2))-(((R1437/(R1437-R1436))*((U1426)-R1436))*J1420),2),ROUND(IF(V1425&lt;(SUM(S1421:S1425)),IF((V1426)&gt;(SUM(S1421:S1426)),(((SUM(S1421:S1426))-(V1426-C1425))*J1420)+((U1426-C1425)*J1420),U1426*J1420),IF(V1426&gt;(SUM(S1421:S1426)),S1426*J1420,U1426*J1420)),2)))</f>
        <v>0</v>
      </c>
      <c r="K1426" s="64">
        <f>IF(B1426=0,0,IF(AND(H1412="ja",((U1426)&lt;R1437)),ROUND(((R1439*R1436+((R1437/(R1437-R1436))-(R1436/(R1437-R1436))*R1439)*((U1426)-R1436))*(K1420*2))-(((R1437/(R1437-R1436))*((U1426)-R1436))*K1420),2),ROUND(IF(V1425&lt;(SUM(R1421:R1425)),IF((V1426)&gt;(SUM(R1421:R1426)),(((SUM(R1421:R1426))-(V1426-C1425))*K1420)+((U1426-C1425)*K1420),U1426*K1420),IF(V1426&gt;(SUM(R1421:R1426)),R1426*K1420,U1426*K1420)),2)))</f>
        <v>0</v>
      </c>
      <c r="L1426" s="64">
        <f>IF(B1426=0,0,IF(AND(H1412="ja",((U1426-C1426)&lt;R1437)),ROUND(((R1439*R1436+((R1437/(R1437-R1436))-(R1436/(R1437-R1436))*R1439)*((U1426-C1426)-R1436))*(L1420)),2),ROUND(IF(SUM(B1421:F1425)&lt;(SUM(S1421:S1425)),IF((SUM(B1421:F1426))&gt;(SUM(S1421:S1426)),(((SUM(S1421:S1426))-(SUM(B1421:F1426)-C1426))*L1420)+((SUM(B1426:F1426)-C1426)*L1420),(SUM(B1426:F1426)-C1426)*L1420),IF(SUM(B1421:F1426)&gt;(SUM(S1421:S1426)),S1426*L1420,SUM(B1426:F1426)*L1420)),2)))</f>
        <v>0</v>
      </c>
      <c r="M1426" s="64">
        <f>IF(B1426=0,0,IF(AND(H1412="ja",((U1426-C1426)&lt;R1437)),ROUND(((R1439*R1436+((R1437/(R1437-R1436))-(R1436/(R1437-R1436))*R1439)*((U1426-C1426)-R1436))*(M1420)),2),ROUND(IF(SUM(B1421:F1425)&lt;(SUM(S1421:S1425)),IF((SUM(B1421:F1426))&gt;(SUM(S1421:S1426)),(((SUM(S1421:S1426))-(SUM(B1421:F1426)-C1426))*M1420)+((SUM(B1426:F1426)-C1426)*M1420),(SUM(B1426:F1426)-C1426)*M1420),IF(SUM(B1421:F1426)&gt;(SUM(S1421:S1426)),S1426*M1420,SUM(B1426:F1426)*M1420)),2)))</f>
        <v>0</v>
      </c>
      <c r="N1426" s="64">
        <f>IF(B1426=0,0,IF(AND(H1412="ja",((U1426)&lt;R1437)),ROUND(((R1439*R1436+((R1437/(R1437-R1436))-(R1436/(R1437-R1436))*R1439)*((U1426)-R1436))*(N1420)),2),ROUND(IF(SUM(B1421:F1425)&lt;(SUM(S1421:S1425)),IF((SUM(B1421:F1426))&gt;(SUM(S1421:S1426)),(((SUM(S1421:S1426))-(SUM(B1421:F1426)-C1425))*N1420)+((SUM(B1426:F1426)-C1425)*N1420),SUM(B1426:F1426)*N1420),IF(SUM(B1421:F1426)&gt;(SUM(S1421:S1426)),S1426*N1420,SUM(B1426:F1426)*N1420)),2)))</f>
        <v>0</v>
      </c>
      <c r="O1426" s="21">
        <f>ROUND(SUM(B1426+C1426+F1426)*O1420,2)</f>
        <v>0</v>
      </c>
      <c r="P1426" s="25">
        <f t="shared" si="230"/>
        <v>0</v>
      </c>
      <c r="Q1426" s="456"/>
      <c r="R1426" s="140">
        <f>ROUND(IF(M1399="",R1415,R1415/M1399*P1403),2)</f>
        <v>5175</v>
      </c>
      <c r="S1426" s="140">
        <f>ROUND(IF(M1399="",R1416,R1416/M1399*P1403),2)</f>
        <v>7450</v>
      </c>
      <c r="U1426" s="950">
        <f t="shared" si="231"/>
        <v>0</v>
      </c>
      <c r="V1426" s="950">
        <f>SUM(B1421:F1426)</f>
        <v>0</v>
      </c>
    </row>
    <row r="1427" spans="1:24" s="1" customFormat="1" x14ac:dyDescent="0.2">
      <c r="A1427" s="76" t="str">
        <f>CONCATENATE("Jul ",O1397)</f>
        <v>Jul 2025</v>
      </c>
      <c r="B1427" s="22">
        <f>ROUND(IF(P1404=0,0,IFERROR(((LOOKUP(2,1/(A1406:A1409=A1427),G1406:G1409))*P1404*4.348),B1426/P1403*P1404)),2)</f>
        <v>0</v>
      </c>
      <c r="C1427" s="21">
        <f>ROUND(IFERROR((LOOKUP(2,1/(A1412=A1427),E1412)),0)+IFERROR((LOOKUP(2,1/(A1413=A1427),E1413)),0),2)</f>
        <v>0</v>
      </c>
      <c r="D1427" s="21">
        <f>ROUND(IF(B1427=0,0,D1420/M1399*P1404),2)</f>
        <v>0</v>
      </c>
      <c r="E1427" s="21">
        <f>ROUND(IF(B1427=0,0,E1420/N1395*P1404),2)</f>
        <v>0</v>
      </c>
      <c r="F1427" s="22">
        <f>ROUND(IF(P1404=0,0,IFERROR(((LOOKUP(2,1/(A1406:A1409=A1427),I1406:I1409))/N1395*P1404),F1426/P1403*P1404)),2)</f>
        <v>0</v>
      </c>
      <c r="G1427" s="25">
        <f t="shared" si="229"/>
        <v>0</v>
      </c>
      <c r="H1427" s="64">
        <f>IF(B1427=0,0,IF(AND(H1412="ja",((U1427)&lt;R1437)),ROUND(((R1439*R1436+((R1437/(R1437-R1436))-(R1436/(R1437-R1436))*R1439)*((U1427)-R1436))*(H1420*2))-(((R1437/(R1437-R1436))*((U1427)-R1436))*H1420),2),ROUND(IF(V1426&lt;(SUM(R1421:R1426)),IF((V1427)&gt;(SUM(R1421:R1427)),(((SUM(R1421:R1427))-(V1427-C1426))*H1420)+((U1427-C1426)*H1420),U1427*H1420),IF(V1427&gt;(SUM(R1421:R1427)),R1427*H1420,U1427*H1420)),2)))</f>
        <v>0</v>
      </c>
      <c r="I1427" s="64">
        <f>IF(B1427=0,0,IF(AND(H1412="ja",((U1427)&lt;R1437)),ROUND(((R1439*R1436+((R1437/(R1437-R1436))-(R1436/(R1437-R1436))*R1439)*((U1427)-R1436))*(I1420*2))-(((R1437/(R1437-R1436))*((U1427)-R1436))*I1420),2),ROUND(IF(V1426&lt;(SUM(S1421:S1426)),IF((V1427)&gt;(SUM(S1421:S1427)),(((SUM(S1421:S1427))-(V1427-C1426))*I1420)+((U1427-C1426)*I1420),U1427*I1420),IF(V1427&gt;(SUM(S1421:S1427)),S1427*I1420,U1427*I1420)),2)))</f>
        <v>0</v>
      </c>
      <c r="J1427" s="64">
        <f>IF(B1427=0,0,IF(AND(H1412="ja",((U1427)&lt;R1437)),ROUND(((R1439*R1436+((R1437/(R1437-R1436))-(R1436/(R1437-R1436))*R1439)*((U1427)-R1436))*(J1420*2))-(((R1437/(R1437-R1436))*((U1427)-R1436))*J1420),2),ROUND(IF(V1426&lt;(SUM(S1421:S1426)),IF((V1427)&gt;(SUM(S1421:S1427)),(((SUM(S1421:S1427))-(V1427-C1426))*J1420)+((U1427-C1426)*J1420),U1427*J1420),IF(V1427&gt;(SUM(S1421:S1427)),S1427*J1420,U1427*J1420)),2)))</f>
        <v>0</v>
      </c>
      <c r="K1427" s="64">
        <f>IF(B1427=0,0,IF(AND(H1412="ja",((U1427)&lt;R1437)),ROUND(((R1439*R1436+((R1437/(R1437-R1436))-(R1436/(R1437-R1436))*R1439)*((U1427)-R1436))*(K1420*2))-(((R1437/(R1437-R1436))*((U1427)-R1436))*K1420),2),ROUND(IF(V1426&lt;(SUM(R1421:R1426)),IF((V1427)&gt;(SUM(R1421:R1427)),(((SUM(R1421:R1427))-(V1427-C1426))*K1420)+((U1427-C1426)*K1420),U1427*K1420),IF(V1427&gt;(SUM(R1421:R1427)),R1427*K1420,U1427*K1420)),2)))</f>
        <v>0</v>
      </c>
      <c r="L1427" s="64">
        <f>IF(B1427=0,0,IF(AND(H1412="ja",((U1427-C1427)&lt;R1437)),ROUND(((R1439*R1436+((R1437/(R1437-R1436))-(R1436/(R1437-R1436))*R1439)*((U1427-C1427)-R1436))*(L1420)),2),ROUND(IF(SUM(B1421:F1426)&lt;(SUM(S1421:S1426)),IF((SUM(B1421:F1427))&gt;(SUM(S1421:S1427)),(((SUM(S1421:S1427))-(SUM(B1421:F1427)-C1427))*L1420)+((SUM(B1427:F1427)-C1427)*L1420),(SUM(B1427:F1427)-C1427)*L1420),IF(SUM(B1421:F1427)&gt;(SUM(S1421:S1427)),S1427*L1420,SUM(B1427:F1427)*L1420)),2)))</f>
        <v>0</v>
      </c>
      <c r="M1427" s="64">
        <f>IF(B1427=0,0,IF(AND(H1412="ja",((U1427-C1427)&lt;R1437)),ROUND(((R1439*R1436+((R1437/(R1437-R1436))-(R1436/(R1437-R1436))*R1439)*((U1427-C1427)-R1436))*(M1420)),2),ROUND(IF(SUM(B1421:F1426)&lt;(SUM(S1421:S1426)),IF((SUM(B1421:F1427))&gt;(SUM(S1421:S1427)),(((SUM(S1421:S1427))-(SUM(B1421:F1427)-C1427))*M1420)+((SUM(B1427:F1427)-C1427)*M1420),(SUM(B1427:F1427)-C1427)*M1420),IF(SUM(B1421:F1427)&gt;(SUM(S1421:S1427)),S1427*M1420,SUM(B1427:F1427)*M1420)),2)))</f>
        <v>0</v>
      </c>
      <c r="N1427" s="64">
        <f>IF(B1427=0,0,IF(AND(H1412="ja",((U1427)&lt;R1437)),ROUND(((R1439*R1436+((R1437/(R1437-R1436))-(R1436/(R1437-R1436))*R1439)*((U1427)-R1436))*(N1420)),2),ROUND(IF(SUM(B1421:F1426)&lt;(SUM(S1421:S1426)),IF((SUM(B1421:F1427))&gt;(SUM(S1421:S1427)),(((SUM(S1421:S1427))-(SUM(B1421:F1427)-C1426))*N1420)+((SUM(B1427:F1427)-C1426)*N1420),SUM(B1427:F1427)*N1420),IF(SUM(B1421:F1427)&gt;(SUM(S1421:S1427)),S1427*N1420,SUM(B1427:F1427)*N1420)),2)))</f>
        <v>0</v>
      </c>
      <c r="O1427" s="21">
        <f>ROUND(SUM(B1427+C1427+F1427)*O1420,2)</f>
        <v>0</v>
      </c>
      <c r="P1427" s="25">
        <f t="shared" si="230"/>
        <v>0</v>
      </c>
      <c r="Q1427" s="456"/>
      <c r="R1427" s="140">
        <f>ROUND(IF(M1399="",R1415,R1415/M1399*P1404),2)</f>
        <v>5175</v>
      </c>
      <c r="S1427" s="140">
        <f>ROUND(IF(M1399="",R1416,R1416/M1399*P1404),2)</f>
        <v>7450</v>
      </c>
      <c r="U1427" s="950">
        <f t="shared" si="231"/>
        <v>0</v>
      </c>
      <c r="V1427" s="950">
        <f>SUM(B1421:F1427)</f>
        <v>0</v>
      </c>
    </row>
    <row r="1428" spans="1:24" s="1" customFormat="1" x14ac:dyDescent="0.2">
      <c r="A1428" s="76" t="str">
        <f>CONCATENATE("Aug ",O1397)</f>
        <v>Aug 2025</v>
      </c>
      <c r="B1428" s="22">
        <f>ROUND(IF(P1405=0,0,IFERROR(((LOOKUP(2,1/(A1406:A1409=A1428),G1406:G1409))*P1405*4.348),B1427/P1404*P1405)),2)</f>
        <v>0</v>
      </c>
      <c r="C1428" s="21">
        <f>ROUND(IFERROR((LOOKUP(2,1/(A1412=A1428),E1412)),0)+IFERROR((LOOKUP(2,1/(A1413=A1428),E1413)),0),2)</f>
        <v>0</v>
      </c>
      <c r="D1428" s="21">
        <f>ROUND(IF(B1428=0,0,D1420/M1399*P1405),2)</f>
        <v>0</v>
      </c>
      <c r="E1428" s="21">
        <f>ROUND(IF(B1428=0,0,E1420/N1395*P1405),2)</f>
        <v>0</v>
      </c>
      <c r="F1428" s="22">
        <f>ROUND(IF(P1405=0,0,IFERROR(((LOOKUP(2,1/(A1406:A1409=A1428),I1406:I1409))/N1395*P1405),F1427/P1404*P1405)),2)</f>
        <v>0</v>
      </c>
      <c r="G1428" s="25">
        <f t="shared" si="229"/>
        <v>0</v>
      </c>
      <c r="H1428" s="64">
        <f>IF(B1428=0,0,IF(AND(H1412="ja",((U1428)&lt;R1437)),ROUND(((R1439*R1436+((R1437/(R1437-R1436))-(R1436/(R1437-R1436))*R1439)*((U1428)-R1436))*(H1420*2))-(((R1437/(R1437-R1436))*((U1428)-R1436))*H1420),2),ROUND(IF(V1427&lt;(SUM(R1421:R1427)),IF((V1428)&gt;(SUM(R1421:R1428)),(((SUM(R1421:R1428))-(V1428-C1427))*H1420)+((U1428-C1427)*H1420),U1428*H1420),IF(V1428&gt;(SUM(R1421:R1428)),R1428*H1420,U1428*H1420)),2)))</f>
        <v>0</v>
      </c>
      <c r="I1428" s="64">
        <f>IF(B1428=0,0,IF(AND(H1412="ja",((U1428)&lt;R1437)),ROUND(((R1439*R1436+((R1437/(R1437-R1436))-(R1436/(R1437-R1436))*R1439)*((U1428)-R1436))*(I1420*2))-(((R1437/(R1437-R1436))*((U1428)-R1436))*I1420),2),ROUND(IF(V1427&lt;(SUM(S1421:S1427)),IF((V1428)&gt;(SUM(S1421:S1428)),(((SUM(S1421:S1428))-(V1428-C1427))*I1420)+((U1428-C1427)*I1420),U1428*I1420),IF(V1428&gt;(SUM(S1421:S1428)),S1428*I1420,U1428*I1420)),2)))</f>
        <v>0</v>
      </c>
      <c r="J1428" s="64">
        <f>IF(B1428=0,0,IF(AND(H1412="ja",((U1428)&lt;R1437)),ROUND(((R1439*R1436+((R1437/(R1437-R1436))-(R1436/(R1437-R1436))*R1439)*((U1428)-R1436))*(J1420*2))-(((R1437/(R1437-R1436))*((U1428)-R1436))*J1420),2),ROUND(IF(V1427&lt;(SUM(S1421:S1427)),IF((V1428)&gt;(SUM(S1421:S1428)),(((SUM(S1421:S1428))-(V1428-C1427))*J1420)+((U1428-C1427)*J1420),U1428*J1420),IF(V1428&gt;(SUM(S1421:S1428)),S1428*J1420,U1428*J1420)),2)))</f>
        <v>0</v>
      </c>
      <c r="K1428" s="64">
        <f>IF(B1428=0,0,IF(AND(H1412="ja",((U1428)&lt;R1437)),ROUND(((R1439*R1436+((R1437/(R1437-R1436))-(R1436/(R1437-R1436))*R1439)*((U1428)-R1436))*(K1420*2))-(((R1437/(R1437-R1436))*((U1428)-R1436))*K1420),2),ROUND(IF(V1427&lt;(SUM(R1421:R1427)),IF((V1428)&gt;(SUM(R1421:R1428)),(((SUM(R1421:R1428))-(V1428-C1427))*K1420)+((U1428-C1427)*K1420),U1428*K1420),IF(V1428&gt;(SUM(R1421:R1428)),R1428*K1420,U1428*K1420)),2)))</f>
        <v>0</v>
      </c>
      <c r="L1428" s="64">
        <f>IF(B1428=0,0,IF(AND(H1412="ja",((U1428-C1428)&lt;R1437)),ROUND(((R1439*R1436+((R1437/(R1437-R1436))-(R1436/(R1437-R1436))*R1439)*((U1428-C1428)-R1436))*(L1420)),2),ROUND(IF(SUM(B1421:F1427)&lt;(SUM(S1421:S1427)),IF((SUM(B1421:F1428))&gt;(SUM(S1421:S1428)),(((SUM(S1421:S1428))-(SUM(B1421:F1428)-C1428))*L1420)+((SUM(B1428:F1428)-C1428)*L1420),(SUM(B1428:F1428)-C1428)*L1420),IF(SUM(B1421:F1428)&gt;(SUM(S1421:S1428)),S1428*L1420,SUM(B1428:F1428)*L1420)),2)))</f>
        <v>0</v>
      </c>
      <c r="M1428" s="64">
        <f>IF(B1428=0,0,IF(AND(H1412="ja",((U1428-C1428)&lt;R1437)),ROUND(((R1439*R1436+((R1437/(R1437-R1436))-(R1436/(R1437-R1436))*R1439)*((U1428-C1428)-R1436))*(M1420)),2),ROUND(IF(SUM(B1421:F1427)&lt;(SUM(S1421:S1427)),IF((SUM(B1421:F1428))&gt;(SUM(S1421:S1428)),(((SUM(S1421:S1428))-(SUM(B1421:F1428)-C1428))*M1420)+((SUM(B1428:F1428)-C1428)*M1420),(SUM(B1428:F1428)-C1428)*M1420),IF(SUM(B1421:F1428)&gt;(SUM(S1421:S1428)),S1428*M1420,SUM(B1428:F1428)*M1420)),2)))</f>
        <v>0</v>
      </c>
      <c r="N1428" s="64">
        <f>IF(B1428=0,0,IF(AND(H1412="ja",((U1428)&lt;R1437)),ROUND(((R1439*R1436+((R1437/(R1437-R1436))-(R1436/(R1437-R1436))*R1439)*((U1428)-R1436))*(N1420)),2),ROUND(IF(SUM(B1421:F1427)&lt;(SUM(S1421:S1427)),IF((SUM(B1421:F1428))&gt;(SUM(S1421:S1428)),(((SUM(S1421:S1428))-(SUM(B1421:F1428)-C1427))*N1420)+((SUM(B1428:F1428)-C1427)*N1420),SUM(B1428:F1428)*N1420),IF(SUM(B1421:F1428)&gt;(SUM(S1421:S1428)),S1428*N1420,SUM(B1428:F1428)*N1420)),2)))</f>
        <v>0</v>
      </c>
      <c r="O1428" s="21">
        <f>ROUND(SUM(B1428+C1428+F1428)*O1420,2)</f>
        <v>0</v>
      </c>
      <c r="P1428" s="25">
        <f t="shared" si="230"/>
        <v>0</v>
      </c>
      <c r="Q1428" s="456"/>
      <c r="R1428" s="140">
        <f>ROUND(IF(M1399="",R1415,R1415/M1399*P1405),2)</f>
        <v>5175</v>
      </c>
      <c r="S1428" s="140">
        <f>ROUND(IF(M1399="",R1416,R1416/M1399*P1405),2)</f>
        <v>7450</v>
      </c>
      <c r="U1428" s="950">
        <f t="shared" si="231"/>
        <v>0</v>
      </c>
      <c r="V1428" s="950">
        <f>SUM(B1421:F1428)</f>
        <v>0</v>
      </c>
    </row>
    <row r="1429" spans="1:24" s="1" customFormat="1" x14ac:dyDescent="0.2">
      <c r="A1429" s="76" t="str">
        <f>CONCATENATE("Sep ",O1397)</f>
        <v>Sep 2025</v>
      </c>
      <c r="B1429" s="22">
        <f>ROUND(IF(P1406=0,0,IFERROR(((LOOKUP(2,1/(A1406:A1409=A1429),G1406:G1409))*P1406*4.348),B1428/P1405*P1406)),2)</f>
        <v>0</v>
      </c>
      <c r="C1429" s="21">
        <f>ROUND(IFERROR((LOOKUP(2,1/(A1412=A1429),E1412)),0)+IFERROR((LOOKUP(2,1/(A1413=A1429),E1413)),0),2)</f>
        <v>0</v>
      </c>
      <c r="D1429" s="21">
        <f>ROUND(IF(B1429=0,0,D1420/M1399*P1406),2)</f>
        <v>0</v>
      </c>
      <c r="E1429" s="21">
        <f>ROUND(IF(B1429=0,0,E1420/N1395*P1406),2)</f>
        <v>0</v>
      </c>
      <c r="F1429" s="22">
        <f>ROUND(IF(P1406=0,0,IFERROR(((LOOKUP(2,1/(A1406:A1409=A1429),I1406:I1409))/N1395*P1406),F1428/P1405*P1406)),2)</f>
        <v>0</v>
      </c>
      <c r="G1429" s="25">
        <f t="shared" si="229"/>
        <v>0</v>
      </c>
      <c r="H1429" s="64">
        <f>IF(B1429=0,0,IF(AND(H1412="ja",((U1429)&lt;R1437)),ROUND(((R1439*R1436+((R1437/(R1437-R1436))-(R1436/(R1437-R1436))*R1439)*((U1429)-R1436))*(H1420*2))-(((R1437/(R1437-R1436))*((U1429)-R1436))*H1420),2),ROUND(IF(V1428&lt;(SUM(R1421:R1428)),IF((V1429)&gt;(SUM(R1421:R1429)),(((SUM(R1421:R1429))-(V1429-C1428))*H1420)+((U1429-C1428)*H1420),U1429*H1420),IF(V1429&gt;(SUM(R1421:R1429)),R1429*H1420,U1429*H1420)),2)))</f>
        <v>0</v>
      </c>
      <c r="I1429" s="64">
        <f>IF(B1429=0,0,IF(AND(H1412="ja",((U1429)&lt;R1437)),ROUND(((R1439*R1436+((R1437/(R1437-R1436))-(R1436/(R1437-R1436))*R1439)*((U1429)-R1436))*(I1420*2))-(((R1437/(R1437-R1436))*((U1429)-R1436))*I1420),2),ROUND(IF(V1428&lt;(SUM(S1421:S1428)),IF((V1429)&gt;(SUM(S1421:S1429)),(((SUM(S1421:S1429))-(V1429-C1428))*I1420)+((U1429-C1428)*I1420),U1429*I1420),IF(V1429&gt;(SUM(S1421:S1429)),S1429*I1420,U1429*I1420)),2)))</f>
        <v>0</v>
      </c>
      <c r="J1429" s="64">
        <f>IF(B1429=0,0,IF(AND(H1412="ja",((U1429)&lt;R1437)),ROUND(((R1439*R1436+((R1437/(R1437-R1436))-(R1436/(R1437-R1436))*R1439)*((U1429)-R1436))*(J1420*2))-(((R1437/(R1437-R1436))*((U1429)-R1436))*J1420),2),ROUND(IF(V1428&lt;(SUM(S1421:S1428)),IF((V1429)&gt;(SUM(S1421:S1429)),(((SUM(S1421:S1429))-(V1429-C1428))*J1420)+((U1429-C1428)*J1420),U1429*J1420),IF(V1429&gt;(SUM(S1421:S1429)),S1429*J1420,U1429*J1420)),2)))</f>
        <v>0</v>
      </c>
      <c r="K1429" s="64">
        <f>IF(B1429=0,0,IF(AND(H1412="ja",((U1429)&lt;R1437)),ROUND(((R1439*R1436+((R1437/(R1437-R1436))-(R1436/(R1437-R1436))*R1439)*((U1429)-R1436))*(K1420*2))-(((R1437/(R1437-R1436))*((U1429)-R1436))*K1420),2),ROUND(IF(V1428&lt;(SUM(R1421:R1428)),IF((V1429)&gt;(SUM(R1421:R1429)),(((SUM(R1421:R1429))-(V1429-C1428))*K1420)+((U1429-C1428)*K1420),U1429*K1420),IF(V1429&gt;(SUM(R1421:R1429)),R1429*K1420,U1429*K1420)),2)))</f>
        <v>0</v>
      </c>
      <c r="L1429" s="64">
        <f>IF(B1429=0,0,IF(AND(H1412="ja",((U1429-C1429)&lt;R1437)),ROUND(((R1439*R1436+((R1437/(R1437-R1436))-(R1436/(R1437-R1436))*R1439)*((U1429-C1429)-R1436))*(L1420)),2),ROUND(IF(SUM(B1421:F1428)&lt;(SUM(S1421:S1428)),IF((SUM(B1421:F1429))&gt;(SUM(S1421:S1429)),(((SUM(S1421:S1429))-(SUM(B1421:F1429)-C1429))*L1420)+((SUM(B1429:F1429)-C1429)*L1420),(SUM(B1429:F1429)-C1429)*L1420),IF(SUM(B1421:F1429)&gt;(SUM(S1421:S1429)),S1429*L1420,SUM(B1429:F1429)*L1420)),2)))</f>
        <v>0</v>
      </c>
      <c r="M1429" s="64">
        <f>IF(B1429=0,0,IF(AND(H1412="ja",((U1429-C1429)&lt;R1437)),ROUND(((R1439*R1436+((R1437/(R1437-R1436))-(R1436/(R1437-R1436))*R1439)*((U1429-C1429)-R1436))*(M1420)),2),ROUND(IF(SUM(B1421:F1428)&lt;(SUM(S1421:S1428)),IF((SUM(B1421:F1429))&gt;(SUM(S1421:S1429)),(((SUM(S1421:S1429))-(SUM(B1421:F1429)-C1429))*M1420)+((SUM(B1429:F1429)-C1429)*M1420),(SUM(B1429:F1429)-C1429)*M1420),IF(SUM(B1421:F1429)&gt;(SUM(S1421:S1429)),S1429*M1420,SUM(B1429:F1429)*M1420)),2)))</f>
        <v>0</v>
      </c>
      <c r="N1429" s="64">
        <f>IF(B1429=0,0,IF(AND(H1412="ja",((U1429)&lt;R1437)),ROUND(((R1439*R1436+((R1437/(R1437-R1436))-(R1436/(R1437-R1436))*R1439)*((U1429)-R1436))*(N1420)),2),ROUND(IF(SUM(B1421:F1428)&lt;(SUM(S1421:S1428)),IF((SUM(B1421:F1429))&gt;(SUM(S1421:S1429)),(((SUM(S1421:S1429))-(SUM(B1421:F1429)-C1428))*N1420)+((SUM(B1429:F1429)-C1428)*N1420),SUM(B1429:F1429)*N1420),IF(SUM(B1421:F1429)&gt;(SUM(S1421:S1429)),S1429*N1420,SUM(B1429:F1429)*N1420)),2)))</f>
        <v>0</v>
      </c>
      <c r="O1429" s="21">
        <f>ROUND(SUM(B1429+C1429+F1429)*O1420,2)</f>
        <v>0</v>
      </c>
      <c r="P1429" s="25">
        <f t="shared" si="230"/>
        <v>0</v>
      </c>
      <c r="Q1429" s="456"/>
      <c r="R1429" s="140">
        <f>ROUND(IF(M1399="",R1415,R1415/M1399*P1406),2)</f>
        <v>5175</v>
      </c>
      <c r="S1429" s="140">
        <f>ROUND(IF(M1399="",R1416,R1416/M1399*P1406),2)</f>
        <v>7450</v>
      </c>
      <c r="U1429" s="950">
        <f t="shared" si="231"/>
        <v>0</v>
      </c>
      <c r="V1429" s="950">
        <f>SUM(B1421:F1429)</f>
        <v>0</v>
      </c>
    </row>
    <row r="1430" spans="1:24" s="12" customFormat="1" ht="15" x14ac:dyDescent="0.25">
      <c r="A1430" s="76" t="str">
        <f>CONCATENATE("Okt ",O1397)</f>
        <v>Okt 2025</v>
      </c>
      <c r="B1430" s="22">
        <f>ROUND(IF(P1407=0,0,IFERROR(((LOOKUP(2,1/(A1406:A1409=A1430),G1406:G1409))*P1407*4.348),B1429/P1406*P1407)),2)</f>
        <v>0</v>
      </c>
      <c r="C1430" s="21">
        <f>ROUND(IFERROR((LOOKUP(2,1/(A1412=A1430),E1412)),0)+IFERROR((LOOKUP(2,1/(A1413=A1430),E1413)),0),2)</f>
        <v>0</v>
      </c>
      <c r="D1430" s="21">
        <f>ROUND(IF(B1430=0,0,D1420/M1399*P1407),2)</f>
        <v>0</v>
      </c>
      <c r="E1430" s="21">
        <f>ROUND(IF(B1430=0,0,E1420/N1395*P1407),2)</f>
        <v>0</v>
      </c>
      <c r="F1430" s="22">
        <f>ROUND(IF(P1407=0,0,IFERROR(((LOOKUP(2,1/(A1406:A1409=A1430),I1406:I1409))/N1395*P1407),F1429/P1406*P1407)),2)</f>
        <v>0</v>
      </c>
      <c r="G1430" s="25">
        <f t="shared" si="229"/>
        <v>0</v>
      </c>
      <c r="H1430" s="64">
        <f>IF(B1430=0,0,IF(AND(H1412="ja",((U1430)&lt;R1437)),ROUND(((R1439*R1436+((R1437/(R1437-R1436))-(R1436/(R1437-R1436))*R1439)*((U1430)-R1436))*(H1420*2))-(((R1437/(R1437-R1436))*((U1430)-R1436))*H1420),2),ROUND(IF(V1429&lt;(SUM(R1421:R1429)),IF((V1430)&gt;(SUM(R1421:R1430)),(((SUM(R1421:R1430))-(V1430-C1429))*H1420)+((U1430-C1429)*H1420),U1430*H1420),IF(V1430&gt;(SUM(R1421:R1430)),R1430*H1420,U1430*H1420)),2)))</f>
        <v>0</v>
      </c>
      <c r="I1430" s="64">
        <f>IF(B1430=0,0,IF(AND(H1412="ja",((U1430)&lt;R1437)),ROUND(((R1439*R1436+((R1437/(R1437-R1436))-(R1436/(R1437-R1436))*R1439)*((U1430)-R1436))*(I1420*2))-(((R1437/(R1437-R1436))*((U1430)-R1436))*I1420),2),ROUND(IF(V1429&lt;(SUM(S1421:S1429)),IF((V1430)&gt;(SUM(S1421:S1430)),(((SUM(S1421:S1430))-(V1430-C1429))*I1420)+((U1430-C1429)*I1420),U1430*I1420),IF(V1430&gt;(SUM(S1421:S1430)),S1430*I1420,U1430*I1420)),2)))</f>
        <v>0</v>
      </c>
      <c r="J1430" s="64">
        <f>IF(B1430=0,0,IF(AND(H1412="ja",((U1430)&lt;R1437)),ROUND(((R1439*R1436+((R1437/(R1437-R1436))-(R1436/(R1437-R1436))*R1439)*((U1430)-R1436))*(J1420*2))-(((R1437/(R1437-R1436))*((U1430)-R1436))*J1420),2),ROUND(IF(V1429&lt;(SUM(S1421:S1429)),IF((V1430)&gt;(SUM(S1421:S1430)),(((SUM(S1421:S1430))-(V1430-C1429))*J1420)+((U1430-C1429)*J1420),U1430*J1420),IF(V1430&gt;(SUM(S1421:S1430)),S1430*J1420,U1430*J1420)),2)))</f>
        <v>0</v>
      </c>
      <c r="K1430" s="64">
        <f>IF(B1430=0,0,IF(AND(H1412="ja",((U1430)&lt;R1437)),ROUND(((R1439*R1436+((R1437/(R1437-R1436))-(R1436/(R1437-R1436))*R1439)*((U1430)-R1436))*(K1420*2))-(((R1437/(R1437-R1436))*((U1430)-R1436))*K1420),2),ROUND(IF(V1429&lt;(SUM(R1421:R1429)),IF((V1430)&gt;(SUM(R1421:R1430)),(((SUM(R1421:R1430))-(V1430-C1429))*K1420)+((U1430-C1429)*K1420),U1430*K1420),IF(V1430&gt;(SUM(R1421:R1430)),R1430*K1420,U1430*K1420)),2)))</f>
        <v>0</v>
      </c>
      <c r="L1430" s="64">
        <f>IF(B1430=0,0,IF(AND(H1412="ja",((U1430-C1430)&lt;R1437)),ROUND(((R1439*R1436+((R1437/(R1437-R1436))-(R1436/(R1437-R1436))*R1439)*((U1430-C1430)-R1436))*(L1420)),2),ROUND(IF(SUM(B1421:F1429)&lt;(SUM(S1421:S1429)),IF((SUM(B1421:F1430))&gt;(SUM(S1421:S1430)),(((SUM(S1421:S1430))-(SUM(B1421:F1430)-C1430))*L1420)+((SUM(B1430:F1430)-C1430)*L1420),(SUM(B1430:F1430)-C1430)*L1420),IF(SUM(B1421:F1430)&gt;(SUM(S1421:S1430)),S1430*L1420,SUM(B1430:F1430)*L1420)),2)))</f>
        <v>0</v>
      </c>
      <c r="M1430" s="64">
        <f>IF(B1430=0,0,IF(AND(H1412="ja",((U1430-C1430)&lt;R1437)),ROUND(((R1439*R1436+((R1437/(R1437-R1436))-(R1436/(R1437-R1436))*R1439)*((U1430-C1430)-R1436))*(M1420)),2),ROUND(IF(SUM(B1421:F1429)&lt;(SUM(S1421:S1429)),IF((SUM(B1421:F1430))&gt;(SUM(S1421:S1430)),(((SUM(S1421:S1430))-(SUM(B1421:F1430)-C1430))*M1420)+((SUM(B1430:F1430)-C1430)*M1420),(SUM(B1430:F1430)-C1430)*M1420),IF(SUM(B1421:F1430)&gt;(SUM(S1421:S1430)),S1430*M1420,SUM(B1430:F1430)*M1420)),2)))</f>
        <v>0</v>
      </c>
      <c r="N1430" s="64">
        <f>IF(B1430=0,0,IF(AND(H1412="ja",((U1430)&lt;R1437)),ROUND(((R1439*R1436+((R1437/(R1437-R1436))-(R1436/(R1437-R1436))*R1439)*((U1430)-R1436))*(N1420)),2),ROUND(IF(SUM(B1421:F1429)&lt;(SUM(S1421:S1429)),IF((SUM(B1421:F1430))&gt;(SUM(S1421:S1430)),(((SUM(S1421:S1430))-(SUM(B1421:F1430)-C1429))*N1420)+((SUM(B1430:F1430)-C1429)*N1420),SUM(B1430:F1430)*N1420),IF(SUM(B1421:F1430)&gt;(SUM(S1421:S1430)),S1430*N1420,SUM(B1430:F1430)*N1420)),2)))</f>
        <v>0</v>
      </c>
      <c r="O1430" s="21">
        <f>ROUND(SUM(B1430+C1430+F1430)*O1420,2)</f>
        <v>0</v>
      </c>
      <c r="P1430" s="25">
        <f t="shared" si="230"/>
        <v>0</v>
      </c>
      <c r="Q1430" s="936"/>
      <c r="R1430" s="140">
        <f>ROUND(IF(M1399="",R1415,R1415/M1399*P1407),2)</f>
        <v>5175</v>
      </c>
      <c r="S1430" s="140">
        <f>ROUND(IF(M1399="",R1416,R1416/M1399*P1407),2)</f>
        <v>7450</v>
      </c>
      <c r="U1430" s="950">
        <f t="shared" si="231"/>
        <v>0</v>
      </c>
      <c r="V1430" s="950">
        <f>SUM(B1421:F1430)</f>
        <v>0</v>
      </c>
      <c r="X1430" s="1"/>
    </row>
    <row r="1431" spans="1:24" s="11" customFormat="1" x14ac:dyDescent="0.2">
      <c r="A1431" s="76" t="str">
        <f>CONCATENATE("Nov ",O1397)</f>
        <v>Nov 2025</v>
      </c>
      <c r="B1431" s="22">
        <f>ROUND(IF(P1408=0,0,IFERROR(((LOOKUP(2,1/(A1406:A1409=A1431),G1406:G1409))*P1408*4.348),B1430/P1407*P1408)),2)</f>
        <v>0</v>
      </c>
      <c r="C1431" s="21">
        <f>ROUND(IFERROR((LOOKUP(2,1/(A1412=A1431),E1412)),0)+(IFERROR((LOOKUP(2,1/(A1413=A1431),E1413)),0)),2)</f>
        <v>0</v>
      </c>
      <c r="D1431" s="21">
        <f>ROUND(IF(B1431=0,0,D1420/M1399*P1408),2)</f>
        <v>0</v>
      </c>
      <c r="E1431" s="21">
        <f>ROUND(IF(B1431=0,0,E1420/N1395*P1408),2)</f>
        <v>0</v>
      </c>
      <c r="F1431" s="22">
        <f>ROUND(IF(P1408=0,0,IFERROR(((LOOKUP(2,1/(A1406:A1409=A1431),I1406:I1409))/N1395*P1408),F1430/P1407*P1408)),2)</f>
        <v>0</v>
      </c>
      <c r="G1431" s="25">
        <f t="shared" si="229"/>
        <v>0</v>
      </c>
      <c r="H1431" s="64">
        <f>IF(B1431=0,0,IF(AND(H1412="ja",((U1431)&lt;R1437)),ROUND(((R1439*R1436+((R1437/(R1437-R1436))-(R1436/(R1437-R1436))*R1439)*((U1431)-R1436))*(H1420*2))-(((R1437/(R1437-R1436))*((U1431)-R1436))*H1420),2),ROUND(IF(V1430&lt;(SUM(R1421:R1430)),IF((V1431)&gt;(SUM(R1421:R1431)),(((SUM(R1421:R1431))-(V1431-C1430))*H1420)+((U1431-C1430)*H1420),U1431*H1420),IF(V1431&gt;(SUM(R1421:R1431)),R1431*H1420,U1431*H1420)),2)))</f>
        <v>0</v>
      </c>
      <c r="I1431" s="64">
        <f>IF(B1431=0,0,IF(AND(H1412="ja",((U1431)&lt;R1437)),ROUND(((R1439*R1436+((R1437/(R1437-R1436))-(R1436/(R1437-R1436))*R1439)*((U1431)-R1436))*(I1420*2))-(((R1437/(R1437-R1436))*((U1431)-R1436))*I1420),2),ROUND(IF(V1430&lt;(SUM(S1421:S1430)),IF((V1431)&gt;(SUM(S1421:S1431)),(((SUM(S1421:S1431))-(V1431-C1430))*I1420)+((U1431-C1430)*I1420),U1431*I1420),IF(V1431&gt;(SUM(S1421:S1431)),S1431*I1420,U1431*I1420)),2)))</f>
        <v>0</v>
      </c>
      <c r="J1431" s="64">
        <f>IF(B1431=0,0,IF(AND(H1412="ja",((U1431)&lt;R1437)),ROUND(((R1439*R1436+((R1437/(R1437-R1436))-(R1436/(R1437-R1436))*R1439)*((U1431)-R1436))*(J1420*2))-(((R1437/(R1437-R1436))*((U1431)-R1436))*J1420),2),ROUND(IF(V1430&lt;(SUM(S1421:S1430)),IF((V1431)&gt;(SUM(S1421:S1431)),(((SUM(S1421:S1431))-(V1431-C1430))*J1420)+((U1431-C1430)*J1420),U1431*J1420),IF(V1431&gt;(SUM(S1421:S1431)),S1431*J1420,U1431*J1420)),2)))</f>
        <v>0</v>
      </c>
      <c r="K1431" s="64">
        <f>IF(B1431=0,0,IF(AND(H1412="ja",((U1431)&lt;R1437)),ROUND(((R1439*R1436+((R1437/(R1437-R1436))-(R1436/(R1437-R1436))*R1439)*((U1431)-R1436))*(K1420*2))-(((R1437/(R1437-R1436))*((U1431)-R1436))*K1420),2),ROUND(IF(V1430&lt;(SUM(R1421:R1430)),IF((V1431)&gt;(SUM(R1421:R1431)),(((SUM(R1421:R1431))-(V1431-C1430))*K1420)+((U1431-C1430)*K1420),U1431*K1420),IF(V1431&gt;(SUM(R1421:R1431)),R1431*K1420,U1431*K1420)),2)))</f>
        <v>0</v>
      </c>
      <c r="L1431" s="64">
        <f>IF(B1431=0,0,IF(AND(H1412="ja",((U1431-C1431)&lt;R1437)),ROUND(((R1439*R1436+((R1437/(R1437-R1436))-(R1436/(R1437-R1436))*R1439)*((U1431-C1431)-R1436))*(L1420)),2),ROUND(IF(SUM(B1421:F1430)&lt;(SUM(S1421:S1430)),IF((SUM(B1421:F1431))&gt;(SUM(S1421:S1431)),(((SUM(S1421:S1431))-(SUM(B1421:F1431)-C1431))*L1420)+((SUM(B1431:F1431)-C1431)*L1420),(SUM(B1431:F1431)-C1431)*L1420),IF(SUM(B1421:F1431)&gt;(SUM(S1421:S1431)),S1431*L1420,SUM(B1431:F1431)*L1420)),2)))</f>
        <v>0</v>
      </c>
      <c r="M1431" s="64">
        <f>IF(B1431=0,0,IF(AND(H1412="ja",((U1431-C1431)&lt;R1437)),ROUND(((R1439*R1436+((R1437/(R1437-R1436))-(R1436/(R1437-R1436))*R1439)*((U1431-C1431)-R1436))*(M1420)),2),ROUND(IF(SUM(B1421:F1430)&lt;(SUM(S1421:S1430)),IF((SUM(B1421:F1431))&gt;(SUM(S1421:S1431)),(((SUM(S1421:S1431))-(SUM(B1421:F1431)-C1431))*M1420)+((SUM(B1431:F1431)-C1431)*M1420),(SUM(B1431:F1431)-C1431)*M1420),IF(SUM(B1421:F1431)&gt;(SUM(S1421:S1431)),S1431*M1420,SUM(B1431:F1431)*M1420)),2)))</f>
        <v>0</v>
      </c>
      <c r="N1431" s="64">
        <f>IF(B1431=0,0,IF(AND(H1412="ja",((U1431)&lt;R1437)),ROUND(((R1439*R1436+((R1437/(R1437-R1436))-(R1436/(R1437-R1436))*R1439)*((U1431)-R1436))*(N1420)),2),ROUND(IF(SUM(B1421:F1430)&lt;(SUM(S1421:S1430)),IF((SUM(B1421:F1431))&gt;(SUM(S1421:S1431)),(((SUM(S1421:S1431))-(SUM(B1421:F1431)-C1430))*N1420)+((SUM(B1431:F1431)-C1430)*N1420),SUM(B1431:F1431)*N1420),IF(SUM(B1421:F1431)&gt;(SUM(S1421:S1431)),S1431*N1420,SUM(B1431:F1431)*N1420)),2)))</f>
        <v>0</v>
      </c>
      <c r="O1431" s="21">
        <f>ROUND(SUM(B1431+C1431+F1431)*O1420,2)</f>
        <v>0</v>
      </c>
      <c r="P1431" s="25">
        <f t="shared" si="230"/>
        <v>0</v>
      </c>
      <c r="R1431" s="140">
        <f>ROUND(IF(M1399="",R1415,R1415/M1399*P1408),2)</f>
        <v>5175</v>
      </c>
      <c r="S1431" s="140">
        <f>ROUND(IF(M1399="",R1416,R1416/M1399*P1408),2)</f>
        <v>7450</v>
      </c>
      <c r="U1431" s="950">
        <f t="shared" si="231"/>
        <v>0</v>
      </c>
      <c r="V1431" s="950">
        <f>SUM(B1421:F1431)</f>
        <v>0</v>
      </c>
      <c r="X1431" s="1"/>
    </row>
    <row r="1432" spans="1:24" s="1" customFormat="1" ht="14.25" customHeight="1" x14ac:dyDescent="0.2">
      <c r="A1432" s="76" t="str">
        <f>CONCATENATE("Dez ",O1397)</f>
        <v>Dez 2025</v>
      </c>
      <c r="B1432" s="22">
        <f>ROUND(IF(P1409=0,0,IFERROR(((LOOKUP(2,1/(A1406:A1409=A1432),G1406:G1409))*P1409*4.348),B1431/P1408*P1409)),2)</f>
        <v>0</v>
      </c>
      <c r="C1432" s="21">
        <f>ROUND(IFERROR((LOOKUP(2,1/(A1412=A1432),E1412)),0)+IFERROR((LOOKUP(2,1/(A1413=A1432),E1413)),0),2)</f>
        <v>0</v>
      </c>
      <c r="D1432" s="21">
        <f>ROUND(IF(B1432=0,0,D1420/M1399*P1409),2)</f>
        <v>0</v>
      </c>
      <c r="E1432" s="21">
        <f>ROUND(IF(B1432=0,0,E1420/N1395*P1409),2)</f>
        <v>0</v>
      </c>
      <c r="F1432" s="22">
        <f>ROUND(IF(P1409=0,0,IFERROR(((LOOKUP(2,1/(A1406:A1409=A1432),I1406:I1409))/N1395*P1409),F1431/P1408*P1409)),2)</f>
        <v>0</v>
      </c>
      <c r="G1432" s="25">
        <f t="shared" si="229"/>
        <v>0</v>
      </c>
      <c r="H1432" s="64">
        <f>IF(B1432=0,0,IF(AND(H1412="ja",((U1432)&lt;R1437)),ROUND(((R1439*R1436+((R1437/(R1437-R1436))-(R1436/(R1437-R1436))*R1439)*((U1432)-R1436))*(H1420*2))-(((R1437/(R1437-R1436))*((U1432)-R1436))*H1420),2),ROUND(IF(V1431&lt;(SUM(R1421:R1431)),IF((V1432)&gt;(SUM(R1421:R1432)),(((SUM(R1421:R1432))-(V1432-C1431))*H1420)+((U1432-C1431)*H1420),U1432*H1420),IF(V1432&gt;(SUM(R1421:R1432)),R1432*H1420,U1432*H1420)),2)))</f>
        <v>0</v>
      </c>
      <c r="I1432" s="64">
        <f>IF(B1432=0,0,IF(AND(H1412="ja",((U1432)&lt;R1437)),ROUND(((R1439*R1436+((R1437/(R1437-R1436))-(R1436/(R1437-R1436))*R1439)*((U1432)-R1436))*(I1420*2))-(((R1437/(R1437-R1436))*((U1432)-R1436))*I1420),2),ROUND(IF(V1431&lt;(SUM(S1421:S1431)),IF((V1432)&gt;(SUM(S1421:S1432)),(((SUM(S1421:S1432))-(V1432-C1431))*I1420)+((U1432-C1431)*I1420),U1432*I1420),IF(V1432&gt;(SUM(S1421:S1432)),S1432*I1420,U1432*I1420)),2)))</f>
        <v>0</v>
      </c>
      <c r="J1432" s="64">
        <f>IF(B1432=0,0,IF(AND(H1412="ja",((U1432)&lt;R1437)),ROUND(((R1439*R1436+((R1437/(R1437-R1436))-(R1436/(R1437-R1436))*R1439)*((U1432)-R1436))*(J1420*2))-(((R1437/(R1437-R1436))*((U1432)-R1436))*J1420),2),ROUND(IF(V1431&lt;(SUM(S1421:S1431)),IF((V1432)&gt;(SUM(S1421:S1432)),(((SUM(S1421:S1432))-(V1432-C1431))*J1420)+((U1432-C1431)*J1420),U1432*J1420),IF(V1432&gt;(SUM(S1421:S1432)),S1432*J1420,U1432*J1420)),2)))</f>
        <v>0</v>
      </c>
      <c r="K1432" s="64">
        <f>IF(B1432=0,0,IF(AND(H1412="ja",((U1432)&lt;R1437)),ROUND(((R1439*R1436+((R1437/(R1437-R1436))-(R1436/(R1437-R1436))*R1439)*((U1432)-R1436))*(K1420*2))-(((R1437/(R1437-R1436))*((U1432)-R1436))*K1420),2),ROUND(IF(V1431&lt;(SUM(R1421:R1431)),IF((V1432)&gt;(SUM(R1421:R1432)),(((SUM(R1421:R1432))-(V1432-C1431))*K1420)+((U1432-C1431)*K1420),U1432*K1420),IF(V1432&gt;(SUM(R1421:R1432)),R1432*K1420,U1432*K1420)),2)))</f>
        <v>0</v>
      </c>
      <c r="L1432" s="64">
        <f>IF(B1432=0,0,IF(AND(H1412="ja",((U1432-C1432)&lt;R1437)),ROUND(((R1439*R1436+((R1437/(R1437-R1436))-(R1436/(R1437-R1436))*R1439)*((U1432-C1432)-R1436))*(L1420)),2),ROUND(IF(SUM(B1421:F1431)&lt;(SUM(S1421:S1431)),IF((SUM(B1421:F1432))&gt;(SUM(S1421:S1432)),(((SUM(S1421:S1432))-(SUM(B1421:F1432)-C1432))*L1420)+((SUM(B1432:F1432)-C1432)*L1420),(SUM(B1432:F1432)-C1432)*L1420),IF(SUM(B1421:F1432)&gt;(SUM(S1421:S1432)),S1432*L1420,SUM(B1432:F1432)*L1420)),2)))</f>
        <v>0</v>
      </c>
      <c r="M1432" s="64">
        <f>IF(B1432=0,0,IF(AND(H1412="ja",((U1432-C1432)&lt;R1437)),ROUND(((R1439*R1436+((R1437/(R1437-R1436))-(R1436/(R1437-R1436))*R1439)*((U1432-C1432)-R1436))*(M1420)),2),ROUND(IF(SUM(B1421:F1431)&lt;(SUM(S1421:S1431)),IF((SUM(B1421:F1432))&gt;(SUM(S1421:S1432)),(((SUM(S1421:S1432))-(SUM(B1421:F1432)-C1432))*M1420)+((SUM(B1432:F1432)-C1432)*M1420),(SUM(B1432:F1432)-C1432)*M1420),IF(SUM(B1421:F1432)&gt;(SUM(S1421:S1432)),S1432*M1420,SUM(B1432:F1432)*M1420)),2)))</f>
        <v>0</v>
      </c>
      <c r="N1432" s="64">
        <f>IF(B1432=0,0,IF(AND(H1412="ja",((U1432)&lt;R1437)),ROUND(((R1439*R1436+((R1437/(R1437-R1436))-(R1436/(R1437-R1436))*R1439)*((U1432)-R1436))*(N1420)),2),ROUND(IF(SUM(B1421:F1431)&lt;(SUM(S1421:S1431)),IF((SUM(B1421:F1432))&gt;(SUM(S1421:S1432)),(((SUM(S1421:S1432))-(SUM(B1421:F1432)-C1431))*N1420)+((SUM(B1432:F1432)-C1431)*N1420),SUM(B1432:F1432)*N1420),IF(SUM(B1421:F1432)&gt;(SUM(S1421:S1432)),S1432*N1420,SUM(B1432:F1432)*N1420)),2)))</f>
        <v>0</v>
      </c>
      <c r="O1432" s="21">
        <f>ROUND(SUM(B1432+C1432+F1432)*O1420,2)</f>
        <v>0</v>
      </c>
      <c r="P1432" s="25">
        <f t="shared" si="230"/>
        <v>0</v>
      </c>
      <c r="Q1432" s="11"/>
      <c r="R1432" s="140">
        <f>ROUND(IF(M1399="",R1415,R1415/M1399*P1409),2)</f>
        <v>5175</v>
      </c>
      <c r="S1432" s="140">
        <f>ROUND(IF(M1399="",R1416,R1416/M1399*P1409),2)</f>
        <v>7450</v>
      </c>
      <c r="U1432" s="950">
        <f t="shared" si="231"/>
        <v>0</v>
      </c>
      <c r="V1432" s="950">
        <f>SUM(B1421:F1432)</f>
        <v>0</v>
      </c>
    </row>
    <row r="1433" spans="1:24" s="1" customFormat="1" ht="15" customHeight="1" x14ac:dyDescent="0.2">
      <c r="A1433" s="2" t="s">
        <v>1</v>
      </c>
      <c r="B1433" s="25">
        <f t="shared" ref="B1433:G1433" si="232">SUM(B1421:B1432)</f>
        <v>0</v>
      </c>
      <c r="C1433" s="25">
        <f t="shared" si="232"/>
        <v>0</v>
      </c>
      <c r="D1433" s="25">
        <f t="shared" si="232"/>
        <v>0</v>
      </c>
      <c r="E1433" s="25">
        <f t="shared" si="232"/>
        <v>0</v>
      </c>
      <c r="F1433" s="25">
        <f t="shared" si="232"/>
        <v>0</v>
      </c>
      <c r="G1433" s="25">
        <f t="shared" si="232"/>
        <v>0</v>
      </c>
      <c r="H1433" s="1309">
        <f>SUM(H1421:N1432)</f>
        <v>0</v>
      </c>
      <c r="I1433" s="1310"/>
      <c r="J1433" s="1310"/>
      <c r="K1433" s="1310"/>
      <c r="L1433" s="1310"/>
      <c r="M1433" s="1310"/>
      <c r="N1433" s="1311"/>
      <c r="O1433" s="25">
        <f>SUM(O1421:O1432)</f>
        <v>0</v>
      </c>
      <c r="P1433" s="25">
        <f>SUM(P1421:P1432)</f>
        <v>0</v>
      </c>
    </row>
    <row r="1434" spans="1:24" s="1" customFormat="1" ht="12" customHeight="1" x14ac:dyDescent="0.2"/>
    <row r="1435" spans="1:24" s="1" customFormat="1" ht="14.25" customHeight="1" x14ac:dyDescent="0.2">
      <c r="B1435" s="906"/>
      <c r="H1435" s="905"/>
      <c r="I1435" s="62"/>
      <c r="J1435" s="914" t="s">
        <v>123</v>
      </c>
      <c r="L1435" s="900" t="s">
        <v>124</v>
      </c>
      <c r="M1435" s="974" t="str">
        <f>IF(IF(G1433=0,"",'päd.Personal - Leitung'!$M$43)=0,"",IF(G1433=0,"",'päd.Personal - Leitung'!$M$43))</f>
        <v/>
      </c>
      <c r="N1435" s="902" t="s">
        <v>125</v>
      </c>
      <c r="O1435" s="963" t="str">
        <f>IF(IF(G1433=0,"",'päd.Personal - Leitung'!$O$43)=0,"",IF(G1433=0,"",'päd.Personal - Leitung'!$O$43))</f>
        <v/>
      </c>
      <c r="P1435" s="25">
        <f>ROUND(IF(M1435="",0,G1433*M1435*O1435/1000),2)</f>
        <v>0</v>
      </c>
      <c r="Q1435" s="937"/>
      <c r="R1435" s="938">
        <v>2025</v>
      </c>
      <c r="S1435" s="939"/>
    </row>
    <row r="1436" spans="1:24" s="1" customFormat="1" ht="14.25" customHeight="1" x14ac:dyDescent="0.2">
      <c r="H1436" s="907"/>
      <c r="I1436" s="42"/>
      <c r="M1436" s="915" t="s">
        <v>129</v>
      </c>
      <c r="N1436" s="80" t="s">
        <v>125</v>
      </c>
      <c r="O1436" s="75" t="str">
        <f>IF(IF(G1433=0,"",'päd.Personal - Leitung'!$O$44)=0,"",IF(G1433=0,"",'päd.Personal - Leitung'!$O$44))</f>
        <v/>
      </c>
      <c r="P1436" s="25">
        <f>ROUND(IF(O1436="",0,G1433*O1436/1000),2)</f>
        <v>0</v>
      </c>
      <c r="Q1436" s="942" t="s">
        <v>737</v>
      </c>
      <c r="R1436" s="141">
        <f>'päd.Personal - Leitung'!$R$44</f>
        <v>556</v>
      </c>
      <c r="S1436" s="955">
        <f>'päd.Personal - Leitung'!$S$44</f>
        <v>12.82</v>
      </c>
    </row>
    <row r="1437" spans="1:24" s="1" customFormat="1" ht="14.25" customHeight="1" x14ac:dyDescent="0.2">
      <c r="H1437" s="912" t="s">
        <v>126</v>
      </c>
      <c r="I1437" s="1013" t="s">
        <v>127</v>
      </c>
      <c r="J1437" s="975" t="str">
        <f>IF(IF(G1433=0,"",'päd.Personal - Leitung'!$J$45)=0,"",IF(G1433=0,"",'päd.Personal - Leitung'!$J$45))</f>
        <v/>
      </c>
      <c r="K1437" s="902" t="s">
        <v>128</v>
      </c>
      <c r="L1437" s="964" t="str">
        <f>IF(IF(G1433=0,"",'päd.Personal - Leitung'!$L$45)=0,"",IF(G1433=0,"",'päd.Personal - Leitung'!$L$45))</f>
        <v/>
      </c>
      <c r="M1437" s="16"/>
      <c r="N1437" s="900" t="s">
        <v>132</v>
      </c>
      <c r="O1437" s="965" t="str">
        <f>IF(IF(G1433=0,"",'päd.Personal - Leitung'!$O$45)=0,"",IF(G1433=0,"",'päd.Personal - Leitung'!$O$45))</f>
        <v/>
      </c>
      <c r="P1437" s="25">
        <f>ROUND(IF(J1437="",0,(J1437*L1437/O1437)/M1401*M1402),2)</f>
        <v>0</v>
      </c>
      <c r="Q1437" s="942" t="s">
        <v>738</v>
      </c>
      <c r="R1437" s="140">
        <f>'päd.Personal - Leitung'!$R$45</f>
        <v>2000</v>
      </c>
      <c r="S1437" s="939"/>
    </row>
    <row r="1438" spans="1:24" s="1" customFormat="1" ht="14.25" customHeight="1" x14ac:dyDescent="0.2">
      <c r="D1438" s="16"/>
      <c r="I1438" s="16"/>
      <c r="J1438" s="16"/>
      <c r="K1438" s="63"/>
      <c r="L1438" s="67"/>
      <c r="M1438" s="915" t="s">
        <v>130</v>
      </c>
      <c r="N1438" s="80" t="s">
        <v>131</v>
      </c>
      <c r="O1438" s="904">
        <f>IF(IF(G1433="",0,'päd.Personal - Leitung'!$O$94)=0,0,IF(G1433="",0,'päd.Personal - Leitung'!$O$94))</f>
        <v>0</v>
      </c>
      <c r="P1438" s="21">
        <f>ROUND(IF(G1433=0,0,O1438/M1399*M1400),2)</f>
        <v>0</v>
      </c>
      <c r="Q1438" s="942" t="s">
        <v>740</v>
      </c>
      <c r="R1438" s="956">
        <f>'päd.Personal - Leitung'!$R$46</f>
        <v>0.40900000000000003</v>
      </c>
    </row>
    <row r="1439" spans="1:24" s="1" customFormat="1" ht="14.25" customHeight="1" x14ac:dyDescent="0.2">
      <c r="A1439" s="16"/>
      <c r="B1439" s="16"/>
      <c r="I1439" s="905"/>
      <c r="J1439" s="961" t="s">
        <v>176</v>
      </c>
      <c r="K1439" s="1312" t="str">
        <f>IF($K$47="","",$K$47)</f>
        <v/>
      </c>
      <c r="L1439" s="1312"/>
      <c r="M1439" s="1312"/>
      <c r="N1439" s="80" t="s">
        <v>131</v>
      </c>
      <c r="O1439" s="904">
        <f>IF(IF(G1433="",0,'päd.Personal - Leitung'!$O$95)=0,0,IF(G1433="",0,'päd.Personal - Leitung'!$O$95))</f>
        <v>0</v>
      </c>
      <c r="P1439" s="21">
        <f>ROUND(IF(G1433=0,0,O1439/M1399*M1400),2)</f>
        <v>0</v>
      </c>
      <c r="Q1439" s="942" t="s">
        <v>739</v>
      </c>
      <c r="R1439" s="940">
        <f>'päd.Personal - Leitung'!$R$47</f>
        <v>0.68459999999999999</v>
      </c>
      <c r="S1439" s="957">
        <f>'päd.Personal - Leitung'!$S$47</f>
        <v>0.28000000000000003</v>
      </c>
    </row>
    <row r="1440" spans="1:24" s="1" customFormat="1" ht="14.25" customHeight="1" x14ac:dyDescent="0.2">
      <c r="A1440" s="908"/>
      <c r="B1440" s="908"/>
      <c r="C1440" s="1013"/>
      <c r="D1440" s="1013"/>
      <c r="I1440" s="913"/>
      <c r="J1440" s="913"/>
      <c r="K1440" s="916"/>
      <c r="L1440" s="27"/>
      <c r="M1440" s="27"/>
      <c r="N1440" s="27"/>
      <c r="O1440" s="26" t="s">
        <v>0</v>
      </c>
      <c r="P1440" s="25">
        <f>P1433+SUM(P1435:P1439)</f>
        <v>0</v>
      </c>
    </row>
    <row r="1441" spans="1:19" s="10" customFormat="1" ht="13.5" customHeight="1" x14ac:dyDescent="0.2">
      <c r="A1441" s="1321" t="s">
        <v>17</v>
      </c>
      <c r="B1441" s="1321"/>
      <c r="C1441" s="1321"/>
      <c r="D1441" s="1320" t="str">
        <f>IF('päd.Personal - Leitung'!$D$1="","",'päd.Personal - Leitung'!$D$1)</f>
        <v/>
      </c>
      <c r="E1441" s="1320"/>
      <c r="F1441" s="1320"/>
      <c r="G1441" s="1320"/>
      <c r="H1441" s="1320"/>
      <c r="I1441" s="1320"/>
      <c r="J1441" s="1320"/>
      <c r="K1441" s="1320"/>
      <c r="L1441" s="1320"/>
      <c r="M1441" s="1320"/>
      <c r="N1441" s="1320"/>
    </row>
    <row r="1442" spans="1:19" s="10" customFormat="1" ht="15" customHeight="1" x14ac:dyDescent="0.2">
      <c r="A1442" s="1321" t="s">
        <v>16</v>
      </c>
      <c r="B1442" s="1321"/>
      <c r="C1442" s="1321" t="s">
        <v>14</v>
      </c>
      <c r="D1442" s="1320" t="str">
        <f>IF('päd.Personal - Leitung'!$D$2="","",'päd.Personal - Leitung'!$D$2)</f>
        <v/>
      </c>
      <c r="E1442" s="1320"/>
      <c r="F1442" s="1320"/>
      <c r="G1442" s="1320"/>
      <c r="H1442" s="1320"/>
      <c r="I1442" s="1320"/>
      <c r="J1442" s="1320"/>
      <c r="K1442" s="1320"/>
      <c r="L1442" s="1320"/>
      <c r="M1442" s="1320"/>
      <c r="N1442" s="1320"/>
    </row>
    <row r="1443" spans="1:19" s="10" customFormat="1" ht="15" customHeight="1" x14ac:dyDescent="0.2">
      <c r="A1443" s="1321" t="s">
        <v>15</v>
      </c>
      <c r="B1443" s="1321"/>
      <c r="C1443" s="1321" t="s">
        <v>14</v>
      </c>
      <c r="D1443" s="1320" t="str">
        <f>IF('päd.Personal - Leitung'!$D$3="","",'päd.Personal - Leitung'!$D$3)</f>
        <v/>
      </c>
      <c r="E1443" s="1320"/>
      <c r="F1443" s="1320"/>
      <c r="G1443" s="1320"/>
      <c r="H1443" s="1320"/>
      <c r="I1443" s="1320"/>
      <c r="J1443" s="1320"/>
      <c r="K1443" s="1321" t="s">
        <v>100</v>
      </c>
      <c r="L1443" s="1321"/>
      <c r="M1443" s="1321"/>
      <c r="N1443" s="38" t="str">
        <f>IF('päd.Personal - Leitung'!$N$3="","",'päd.Personal - Leitung'!$N$3)</f>
        <v/>
      </c>
    </row>
    <row r="1444" spans="1:19" s="923" customFormat="1" ht="7.5" customHeight="1" x14ac:dyDescent="0.15">
      <c r="A1444" s="1353"/>
      <c r="B1444" s="1353"/>
      <c r="C1444" s="1353"/>
      <c r="D1444" s="1354"/>
      <c r="E1444" s="1354"/>
      <c r="F1444" s="1354"/>
      <c r="G1444" s="1354"/>
      <c r="H1444" s="1354"/>
      <c r="I1444" s="1354"/>
      <c r="J1444" s="1354"/>
      <c r="K1444" s="922"/>
      <c r="L1444" s="922"/>
      <c r="M1444" s="922"/>
      <c r="N1444" s="922"/>
      <c r="O1444" s="922"/>
      <c r="P1444" s="922"/>
    </row>
    <row r="1445" spans="1:19" s="13" customFormat="1" ht="13.5" customHeight="1" x14ac:dyDescent="0.2">
      <c r="A1445" s="1355" t="s">
        <v>151</v>
      </c>
      <c r="B1445" s="1355"/>
      <c r="C1445" s="1355"/>
      <c r="D1445" s="1355"/>
      <c r="E1445" s="1355"/>
      <c r="F1445" s="1355"/>
      <c r="G1445" s="1355"/>
      <c r="H1445" s="1355"/>
      <c r="I1445" s="1355"/>
      <c r="J1445" s="1355"/>
      <c r="K1445" s="7"/>
      <c r="L1445" s="7"/>
      <c r="M1445" s="7"/>
      <c r="N1445" s="52"/>
      <c r="O1445" s="138">
        <f>'päd.Personal - Leitung'!$O$5</f>
        <v>2025</v>
      </c>
      <c r="P1445" s="52" t="s">
        <v>140</v>
      </c>
    </row>
    <row r="1446" spans="1:19" s="8" customFormat="1" ht="13.5" customHeight="1" x14ac:dyDescent="0.25">
      <c r="B1446" s="29"/>
      <c r="C1446" s="29"/>
      <c r="D1446" s="3" t="s">
        <v>63</v>
      </c>
      <c r="E1446" s="28"/>
      <c r="F1446" s="28"/>
      <c r="G1446" s="28"/>
      <c r="H1446" s="28"/>
      <c r="I1446" s="24"/>
      <c r="K1446" s="1327" t="s">
        <v>13</v>
      </c>
      <c r="L1446" s="1327"/>
      <c r="M1446" s="131"/>
      <c r="O1446" s="928" t="str">
        <f>A1469</f>
        <v>Jan 2025</v>
      </c>
      <c r="P1446" s="1402">
        <f>IF(M1448="","",M1448)</f>
        <v>0</v>
      </c>
    </row>
    <row r="1447" spans="1:19" s="5" customFormat="1" ht="13.5" customHeight="1" x14ac:dyDescent="0.25">
      <c r="A1447" s="1328" t="s">
        <v>754</v>
      </c>
      <c r="B1447" s="1328"/>
      <c r="C1447" s="1328"/>
      <c r="D1447" s="1345"/>
      <c r="E1447" s="1345"/>
      <c r="F1447" s="1345"/>
      <c r="G1447" s="1345"/>
      <c r="H1447" s="1345"/>
      <c r="I1447" s="1345"/>
      <c r="K1447" s="1327" t="s">
        <v>101</v>
      </c>
      <c r="L1447" s="1327"/>
      <c r="M1447" s="101"/>
      <c r="O1447" s="928" t="str">
        <f t="shared" ref="O1447:O1457" si="233">A1470</f>
        <v>Feb 2025</v>
      </c>
      <c r="P1447" s="1403">
        <f t="shared" ref="P1447:P1457" si="234">IF(P1446="","",P1446)</f>
        <v>0</v>
      </c>
    </row>
    <row r="1448" spans="1:19" s="1" customFormat="1" ht="13.5" customHeight="1" x14ac:dyDescent="0.2">
      <c r="A1448" s="1328" t="s">
        <v>12</v>
      </c>
      <c r="B1448" s="1328"/>
      <c r="C1448" s="1328"/>
      <c r="D1448" s="1345"/>
      <c r="E1448" s="1345"/>
      <c r="F1448" s="1345"/>
      <c r="G1448" s="1345"/>
      <c r="H1448" s="1345"/>
      <c r="I1448" s="1345"/>
      <c r="K1448" s="1327" t="s">
        <v>149</v>
      </c>
      <c r="L1448" s="1327"/>
      <c r="M1448" s="101">
        <f>IF((M1449+M1450)&gt;M1447,0,M1447-M1449-M1450)</f>
        <v>0</v>
      </c>
      <c r="O1448" s="928" t="str">
        <f t="shared" si="233"/>
        <v>Mrz 2025</v>
      </c>
      <c r="P1448" s="1403">
        <f t="shared" si="234"/>
        <v>0</v>
      </c>
    </row>
    <row r="1449" spans="1:19" s="1" customFormat="1" ht="13.5" customHeight="1" x14ac:dyDescent="0.2">
      <c r="A1449" s="1328" t="s">
        <v>11</v>
      </c>
      <c r="B1449" s="1328"/>
      <c r="C1449" s="1328"/>
      <c r="D1449" s="1345"/>
      <c r="E1449" s="1345"/>
      <c r="F1449" s="1345"/>
      <c r="G1449" s="1345"/>
      <c r="H1449" s="1345"/>
      <c r="I1449" s="1345"/>
      <c r="K1449" s="1327" t="s">
        <v>150</v>
      </c>
      <c r="L1449" s="1327"/>
      <c r="M1449" s="101"/>
      <c r="O1449" s="928" t="str">
        <f t="shared" si="233"/>
        <v>Apr 2025</v>
      </c>
      <c r="P1449" s="1403">
        <f t="shared" si="234"/>
        <v>0</v>
      </c>
    </row>
    <row r="1450" spans="1:19" s="1" customFormat="1" ht="13.5" customHeight="1" x14ac:dyDescent="0.2">
      <c r="A1450" s="1328" t="s">
        <v>18</v>
      </c>
      <c r="B1450" s="1328"/>
      <c r="C1450" s="1328"/>
      <c r="D1450" s="1345"/>
      <c r="E1450" s="1345"/>
      <c r="F1450" s="1345"/>
      <c r="G1450" s="1345"/>
      <c r="H1450" s="1345"/>
      <c r="I1450" s="1345"/>
      <c r="K1450" s="1327" t="s">
        <v>222</v>
      </c>
      <c r="L1450" s="1327"/>
      <c r="M1450" s="101"/>
      <c r="O1450" s="928" t="str">
        <f t="shared" si="233"/>
        <v>Mai 2025</v>
      </c>
      <c r="P1450" s="1403">
        <f t="shared" si="234"/>
        <v>0</v>
      </c>
    </row>
    <row r="1451" spans="1:19" s="1" customFormat="1" ht="13.5" customHeight="1" x14ac:dyDescent="0.2">
      <c r="B1451" s="6"/>
      <c r="C1451" s="1029" t="s">
        <v>147</v>
      </c>
      <c r="D1451" s="1324"/>
      <c r="E1451" s="1324"/>
      <c r="F1451" s="1359" t="s">
        <v>103</v>
      </c>
      <c r="G1451" s="1359"/>
      <c r="H1451" s="1361"/>
      <c r="I1451" s="1361"/>
      <c r="K1451" s="1327" t="s">
        <v>94</v>
      </c>
      <c r="L1451" s="1327"/>
      <c r="M1451" s="15" t="str">
        <f>IF(IF((COUNTIF(B1469:B1480,"&gt;0"))=0,0,(COUNTIF(B1469:B1480,"&gt;0")))&gt;Grundlagen!$C$26,Grundlagen!$C$26,IF((COUNTIF(B1469:B1480,"&gt;0"))=0,"",(COUNTIF(B1469:B1480,"&gt;0"))))</f>
        <v/>
      </c>
      <c r="O1451" s="928" t="str">
        <f t="shared" si="233"/>
        <v>Jun 2025</v>
      </c>
      <c r="P1451" s="1403">
        <f t="shared" si="234"/>
        <v>0</v>
      </c>
    </row>
    <row r="1452" spans="1:19" s="1" customFormat="1" ht="13.5" customHeight="1" x14ac:dyDescent="0.2">
      <c r="I1452" s="4"/>
      <c r="M1452" s="102" t="str">
        <f>IF((SUM(F1454:F1457))=0,"",IF(P1458&gt;M1448,M1448,IF(M1448="","",IF(M1451="","",P1458))))</f>
        <v/>
      </c>
      <c r="O1452" s="928" t="str">
        <f t="shared" si="233"/>
        <v>Jul 2025</v>
      </c>
      <c r="P1452" s="1403">
        <f t="shared" si="234"/>
        <v>0</v>
      </c>
    </row>
    <row r="1453" spans="1:19" s="46" customFormat="1" ht="13.5" customHeight="1" x14ac:dyDescent="0.2">
      <c r="A1453" s="54" t="s">
        <v>134</v>
      </c>
      <c r="B1453" s="1356" t="s">
        <v>135</v>
      </c>
      <c r="C1453" s="1356"/>
      <c r="D1453" s="55" t="s">
        <v>136</v>
      </c>
      <c r="E1453" s="56" t="s">
        <v>137</v>
      </c>
      <c r="F1453" s="57" t="str">
        <f>CONCATENATE("Entg. ",N1443," h/Wo")</f>
        <v>Entg.  h/Wo</v>
      </c>
      <c r="G1453" s="58" t="s">
        <v>138</v>
      </c>
      <c r="I1453" s="58" t="s">
        <v>139</v>
      </c>
      <c r="K1453" s="970"/>
      <c r="L1453" s="970"/>
      <c r="M1453" s="59"/>
      <c r="N1453" s="968"/>
      <c r="O1453" s="928" t="str">
        <f t="shared" si="233"/>
        <v>Aug 2025</v>
      </c>
      <c r="P1453" s="1403">
        <f t="shared" si="234"/>
        <v>0</v>
      </c>
      <c r="Q1453" s="85"/>
      <c r="R1453" s="85"/>
      <c r="S1453" s="85"/>
    </row>
    <row r="1454" spans="1:19" s="46" customFormat="1" ht="13.5" customHeight="1" x14ac:dyDescent="0.25">
      <c r="A1454" s="48" t="str">
        <f>'päd.Personal - Leitung'!$A$14</f>
        <v>Jan 2025</v>
      </c>
      <c r="B1454" s="1357" t="str">
        <f>IF($D$3="","",$D$3)</f>
        <v/>
      </c>
      <c r="C1454" s="1358"/>
      <c r="D1454" s="132"/>
      <c r="E1454" s="132"/>
      <c r="F1454" s="71"/>
      <c r="G1454" s="50">
        <f>IF(N1443="",0,F1454/N1443/4.348)</f>
        <v>0</v>
      </c>
      <c r="I1454" s="125">
        <f>SUM(J1454:M1454)</f>
        <v>0</v>
      </c>
      <c r="J1454" s="124"/>
      <c r="K1454" s="124"/>
      <c r="L1454" s="124"/>
      <c r="M1454" s="124"/>
      <c r="N1454" s="969"/>
      <c r="O1454" s="928" t="str">
        <f t="shared" si="233"/>
        <v>Sep 2025</v>
      </c>
      <c r="P1454" s="1403">
        <f t="shared" si="234"/>
        <v>0</v>
      </c>
      <c r="Q1454" s="85"/>
      <c r="R1454" s="85"/>
      <c r="S1454" s="85"/>
    </row>
    <row r="1455" spans="1:19" s="46" customFormat="1" ht="13.5" customHeight="1" x14ac:dyDescent="0.25">
      <c r="A1455" s="49"/>
      <c r="B1455" s="1322" t="str">
        <f>IF(A1455="","",B1454)</f>
        <v/>
      </c>
      <c r="C1455" s="1323"/>
      <c r="D1455" s="132"/>
      <c r="E1455" s="132"/>
      <c r="F1455" s="71"/>
      <c r="G1455" s="50">
        <f>IF(N1443="",0,F1455/N1443/4.348)</f>
        <v>0</v>
      </c>
      <c r="I1455" s="125">
        <f t="shared" ref="I1455:I1457" si="235">SUM(J1455:M1455)</f>
        <v>0</v>
      </c>
      <c r="J1455" s="124"/>
      <c r="K1455" s="124"/>
      <c r="L1455" s="124"/>
      <c r="M1455" s="124"/>
      <c r="N1455" s="969"/>
      <c r="O1455" s="928" t="str">
        <f t="shared" si="233"/>
        <v>Okt 2025</v>
      </c>
      <c r="P1455" s="1403">
        <f t="shared" si="234"/>
        <v>0</v>
      </c>
      <c r="Q1455" s="85"/>
      <c r="R1455" s="85"/>
      <c r="S1455" s="85"/>
    </row>
    <row r="1456" spans="1:19" s="46" customFormat="1" ht="13.5" customHeight="1" x14ac:dyDescent="0.25">
      <c r="A1456" s="49"/>
      <c r="B1456" s="1322" t="str">
        <f>IF(A1456="","",B1455)</f>
        <v/>
      </c>
      <c r="C1456" s="1323"/>
      <c r="D1456" s="132"/>
      <c r="E1456" s="132"/>
      <c r="F1456" s="71"/>
      <c r="G1456" s="50">
        <f>IF(N1443="",0,F1456/N1443/4.348)</f>
        <v>0</v>
      </c>
      <c r="I1456" s="125">
        <f t="shared" si="235"/>
        <v>0</v>
      </c>
      <c r="J1456" s="124"/>
      <c r="K1456" s="124"/>
      <c r="L1456" s="124"/>
      <c r="M1456" s="124"/>
      <c r="N1456" s="969"/>
      <c r="O1456" s="928" t="str">
        <f t="shared" si="233"/>
        <v>Nov 2025</v>
      </c>
      <c r="P1456" s="1403">
        <f t="shared" si="234"/>
        <v>0</v>
      </c>
      <c r="Q1456" s="85"/>
      <c r="R1456" s="85"/>
      <c r="S1456" s="85"/>
    </row>
    <row r="1457" spans="1:22" s="46" customFormat="1" ht="13.5" customHeight="1" x14ac:dyDescent="0.25">
      <c r="A1457" s="49"/>
      <c r="B1457" s="1322" t="str">
        <f>IF(A1457="","",B1456)</f>
        <v/>
      </c>
      <c r="C1457" s="1323"/>
      <c r="D1457" s="132"/>
      <c r="E1457" s="132"/>
      <c r="F1457" s="71"/>
      <c r="G1457" s="50">
        <f>IF(N1443="",0,F1457/N1443/4.348)</f>
        <v>0</v>
      </c>
      <c r="I1457" s="125">
        <f t="shared" si="235"/>
        <v>0</v>
      </c>
      <c r="J1457" s="124"/>
      <c r="K1457" s="124"/>
      <c r="L1457" s="124"/>
      <c r="M1457" s="124"/>
      <c r="N1457" s="969"/>
      <c r="O1457" s="928" t="str">
        <f t="shared" si="233"/>
        <v>Dez 2025</v>
      </c>
      <c r="P1457" s="1403">
        <f t="shared" si="234"/>
        <v>0</v>
      </c>
      <c r="Q1457" s="85"/>
      <c r="R1457" s="85"/>
      <c r="S1457" s="85"/>
    </row>
    <row r="1458" spans="1:22" s="46" customFormat="1" ht="13.5" customHeight="1" x14ac:dyDescent="0.25">
      <c r="B1458" s="972"/>
      <c r="C1458" s="972"/>
      <c r="E1458" s="972"/>
      <c r="F1458" s="972"/>
      <c r="I1458" s="930" t="s">
        <v>730</v>
      </c>
      <c r="J1458" s="1060"/>
      <c r="K1458" s="1060"/>
      <c r="L1458" s="1060"/>
      <c r="M1458" s="1060"/>
      <c r="N1458" s="971"/>
      <c r="O1458" s="126" t="s">
        <v>221</v>
      </c>
      <c r="P1458" s="127">
        <f>IF(M1451="",0,((IF(SUMIF(B1469,"&gt;0"),P1446,0))+(IF(SUMIF(B1470,"&gt;0"),P1447,0))+(IF(SUMIF(B1471,"&gt;0"),P1448,0))+(IF(SUMIF(B1472,"&gt;0"),P1449,0))+(IF(SUMIF(B1473,"&gt;0"),P1450,0))+(IF(SUMIF(B1474,"&gt;0"),P1451,0))+(IF(SUMIF(B1475,"&gt;0"),P1452,0))+(IF(SUMIF(B1476,"&gt;0"),P1453,0))+(IF(SUMIF(B1477,"&gt;0"),P1454,0))+(IF(SUMIF(B1478,"&gt;0"),P1455,0))+(IF(SUMIF(B1479,"&gt;0"),P1456,0))+(IF(SUMIF(B1480,"&gt;0"),P1457,0)))/Grundlagen!$C$26)</f>
        <v>0</v>
      </c>
      <c r="Q1458" s="958" t="str">
        <f>CONCATENATE("BBG"," anteilig ",O1460)</f>
        <v>BBG anteilig 2025</v>
      </c>
      <c r="R1458" s="931" t="s">
        <v>659</v>
      </c>
      <c r="S1458" s="931" t="s">
        <v>398</v>
      </c>
      <c r="T1458" s="107"/>
    </row>
    <row r="1459" spans="1:22" s="46" customFormat="1" ht="13.5" customHeight="1" x14ac:dyDescent="0.2">
      <c r="A1459" s="924" t="s">
        <v>732</v>
      </c>
      <c r="D1459" s="55" t="s">
        <v>369</v>
      </c>
      <c r="E1459" s="56" t="s">
        <v>368</v>
      </c>
      <c r="F1459" s="58"/>
      <c r="J1459" s="61"/>
      <c r="Q1459" s="932" t="s">
        <v>144</v>
      </c>
      <c r="R1459" s="140">
        <f>IF(M1448=0,R1463,IF(M1447="",R1463,(SUM(R1469:R1480)/M1451)))</f>
        <v>5175</v>
      </c>
      <c r="S1459" s="933">
        <f>IF(M1448=0,S1463,IF(M1447="",S1463,SUM(R1469:R1480)))</f>
        <v>0</v>
      </c>
      <c r="T1459" s="107"/>
    </row>
    <row r="1460" spans="1:22" s="46" customFormat="1" ht="13.5" customHeight="1" x14ac:dyDescent="0.25">
      <c r="A1460" s="60"/>
      <c r="B1460" s="1314" t="str">
        <f>IF($B$20="","",$B$20)</f>
        <v>Jahressonderzahlung (JSZ)</v>
      </c>
      <c r="C1460" s="1315"/>
      <c r="D1460" s="926"/>
      <c r="E1460" s="929" t="str">
        <f>IF(A1460="","",ROUND((((SUM(B1475:B1477)+SUM(F1475:F1477))/3)*D1460)/Grundlagen!$C$26*M1451,2))</f>
        <v/>
      </c>
      <c r="G1460" s="941" t="s">
        <v>733</v>
      </c>
      <c r="H1460" s="943"/>
      <c r="I1460" s="1316" t="str">
        <f>CONCATENATE(R1483,":"," Übergangsbereich von ",R1484+0.01," €"," bis ",R1485," €")</f>
        <v>2025: Übergangsbereich von 556,01 € bis 2000 €</v>
      </c>
      <c r="J1460" s="1317"/>
      <c r="K1460" s="1317"/>
      <c r="L1460" s="1067"/>
      <c r="M1460" s="1067"/>
      <c r="N1460" s="1068" t="s">
        <v>736</v>
      </c>
      <c r="O1460" s="1069">
        <f>P1460+1</f>
        <v>2025</v>
      </c>
      <c r="P1460" s="1069" t="s">
        <v>721</v>
      </c>
      <c r="Q1460" s="932" t="s">
        <v>145</v>
      </c>
      <c r="R1460" s="140">
        <f>IF(M1448=0,R1464,IF(M1447="",R1464,(SUM(S1469:S1480)/M1451)))</f>
        <v>7450</v>
      </c>
      <c r="S1460" s="933">
        <f>IF(M1448=0,S1464,IF(M1447="",S1464,SUM(S1469:S1480)))</f>
        <v>0</v>
      </c>
      <c r="T1460" s="109"/>
    </row>
    <row r="1461" spans="1:22" s="1" customFormat="1" ht="14.25" customHeight="1" x14ac:dyDescent="0.2">
      <c r="A1461" s="60"/>
      <c r="B1461" s="1314" t="str">
        <f>IF($B$21="","",$B$21)</f>
        <v>Leistungsentgelt (LOB)</v>
      </c>
      <c r="C1461" s="1315"/>
      <c r="D1461" s="926"/>
      <c r="E1461" s="929" t="str">
        <f>IF(A1461="","",ROUND(((B1481+F1481)*D1461)/Grundlagen!$C$26*M1451,2))</f>
        <v/>
      </c>
      <c r="G1461" s="941" t="str">
        <f>IF(OR(H1460="",H1460="nein")=TRUE,"","Faktor (F):")</f>
        <v/>
      </c>
      <c r="H1461" s="949" t="str">
        <f>IF(OR(H1460="",H1460="nein")=TRUE,"",IF(H1460="","",R1487))</f>
        <v/>
      </c>
      <c r="I1461" s="1318" t="str">
        <f>IF(OR(H1460="",H1460="nein")=TRUE,"",IF(H1461="","",CONCATENATE(S1487*100,"%"," / ","(",R1486*100,"%"," Gesamt-SV-Beitragssatz 2024)")))</f>
        <v/>
      </c>
      <c r="J1461" s="1319"/>
      <c r="K1461" s="1319"/>
      <c r="L1461" s="1070"/>
      <c r="M1461" s="1070"/>
      <c r="N1461" s="1071" t="s">
        <v>144</v>
      </c>
      <c r="O1461" s="1072">
        <f>'päd.Personal - Leitung'!$O$21</f>
        <v>5175</v>
      </c>
      <c r="P1461" s="1072">
        <f>'päd.Personal - Leitung'!$P$21</f>
        <v>5175</v>
      </c>
      <c r="Q1461" s="11"/>
      <c r="R1461" s="11"/>
      <c r="S1461" s="11"/>
      <c r="T1461" s="109"/>
    </row>
    <row r="1462" spans="1:22" s="1" customFormat="1" ht="14.25" customHeight="1" x14ac:dyDescent="0.2">
      <c r="C1462" s="925" t="s">
        <v>731</v>
      </c>
      <c r="L1462" s="1070"/>
      <c r="M1462" s="1070"/>
      <c r="N1462" s="1071" t="s">
        <v>145</v>
      </c>
      <c r="O1462" s="1073">
        <f>'päd.Personal - Leitung'!$O$22</f>
        <v>7450</v>
      </c>
      <c r="P1462" s="1073">
        <f>'päd.Personal - Leitung'!$P$22</f>
        <v>7450</v>
      </c>
      <c r="Q1462" s="958" t="str">
        <f>CONCATENATE("BBG"," ",O1460)</f>
        <v>BBG 2025</v>
      </c>
      <c r="R1462" s="11"/>
      <c r="S1462" s="11"/>
      <c r="T1462" s="109"/>
    </row>
    <row r="1463" spans="1:22" s="1" customFormat="1" ht="14.25" customHeight="1" x14ac:dyDescent="0.2">
      <c r="A1463" s="53" t="s">
        <v>141</v>
      </c>
      <c r="B1463" s="46"/>
      <c r="C1463" s="46"/>
      <c r="D1463" s="46"/>
      <c r="E1463" s="46"/>
      <c r="F1463" s="46"/>
      <c r="G1463" s="46"/>
      <c r="H1463" s="46"/>
      <c r="I1463" s="46"/>
      <c r="J1463" s="46"/>
      <c r="K1463" s="46"/>
      <c r="L1463" s="46"/>
      <c r="M1463" s="46"/>
      <c r="N1463" s="46"/>
      <c r="O1463" s="46"/>
      <c r="P1463" s="46"/>
      <c r="Q1463" s="932" t="s">
        <v>144</v>
      </c>
      <c r="R1463" s="141">
        <f>IF($O$21="",0,$O$21)</f>
        <v>5175</v>
      </c>
      <c r="S1463" s="933">
        <f>R1463*IF(M1451="",0,M1451)</f>
        <v>0</v>
      </c>
      <c r="T1463" s="295"/>
    </row>
    <row r="1464" spans="1:22" s="1" customFormat="1" ht="14.25" customHeight="1" x14ac:dyDescent="0.2">
      <c r="A1464" s="1346"/>
      <c r="B1464" s="1348" t="s">
        <v>8</v>
      </c>
      <c r="C1464" s="1349"/>
      <c r="D1464" s="1349"/>
      <c r="E1464" s="1349"/>
      <c r="F1464" s="1349"/>
      <c r="G1464" s="1350"/>
      <c r="H1464" s="1351" t="s">
        <v>113</v>
      </c>
      <c r="I1464" s="1352"/>
      <c r="J1464" s="1352"/>
      <c r="K1464" s="1352"/>
      <c r="L1464" s="1352"/>
      <c r="M1464" s="1352"/>
      <c r="N1464" s="1352"/>
      <c r="O1464" s="30"/>
      <c r="P1464" s="1330" t="s">
        <v>0</v>
      </c>
      <c r="Q1464" s="932" t="s">
        <v>145</v>
      </c>
      <c r="R1464" s="141">
        <f>IF($O$22="",0,$O$22)</f>
        <v>7450</v>
      </c>
      <c r="S1464" s="933">
        <f>R1464*IF(M1451="",0,M1451)</f>
        <v>0</v>
      </c>
      <c r="T1464" s="830"/>
    </row>
    <row r="1465" spans="1:22" s="1" customFormat="1" ht="14.25" customHeight="1" x14ac:dyDescent="0.2">
      <c r="A1465" s="1347"/>
      <c r="B1465" s="1333" t="s">
        <v>111</v>
      </c>
      <c r="C1465" s="1335" t="s">
        <v>743</v>
      </c>
      <c r="D1465" s="1337" t="s">
        <v>226</v>
      </c>
      <c r="E1465" s="1339" t="s">
        <v>133</v>
      </c>
      <c r="F1465" s="1030" t="s">
        <v>6</v>
      </c>
      <c r="G1465" s="1340" t="s">
        <v>5</v>
      </c>
      <c r="H1465" s="1339" t="s">
        <v>119</v>
      </c>
      <c r="I1465" s="1339" t="s">
        <v>4</v>
      </c>
      <c r="J1465" s="1339" t="s">
        <v>3</v>
      </c>
      <c r="K1465" s="1339" t="s">
        <v>2</v>
      </c>
      <c r="L1465" s="1339" t="s">
        <v>114</v>
      </c>
      <c r="M1465" s="1339" t="s">
        <v>115</v>
      </c>
      <c r="N1465" s="1339" t="s">
        <v>116</v>
      </c>
      <c r="O1465" s="1338" t="s">
        <v>109</v>
      </c>
      <c r="P1465" s="1331"/>
      <c r="Q1465" s="456"/>
      <c r="R1465" s="11"/>
      <c r="S1465" s="11"/>
      <c r="T1465" s="621"/>
    </row>
    <row r="1466" spans="1:22" s="1" customFormat="1" ht="14.25" customHeight="1" x14ac:dyDescent="0.2">
      <c r="A1466" s="1347"/>
      <c r="B1466" s="1333"/>
      <c r="C1466" s="1335"/>
      <c r="D1466" s="1338"/>
      <c r="E1466" s="1339"/>
      <c r="F1466" s="1343" t="str">
        <f>I1458</f>
        <v>Zuschläge / Zulagen / o.ä.:</v>
      </c>
      <c r="G1466" s="1340"/>
      <c r="H1466" s="1342" t="s">
        <v>117</v>
      </c>
      <c r="I1466" s="1342"/>
      <c r="J1466" s="1342"/>
      <c r="K1466" s="1342"/>
      <c r="L1466" s="1342"/>
      <c r="M1466" s="1342"/>
      <c r="N1466" s="1342"/>
      <c r="O1466" s="1338"/>
      <c r="P1466" s="1331"/>
      <c r="Q1466" s="456"/>
      <c r="R1466" s="1306" t="str">
        <f>Q1458</f>
        <v>BBG anteilig 2025</v>
      </c>
      <c r="S1466" s="1306"/>
      <c r="T1466" s="829"/>
    </row>
    <row r="1467" spans="1:22" s="1" customFormat="1" ht="14.25" customHeight="1" x14ac:dyDescent="0.2">
      <c r="A1467" s="1347"/>
      <c r="B1467" s="1333"/>
      <c r="C1467" s="1335"/>
      <c r="D1467" s="1338"/>
      <c r="E1467" s="1339"/>
      <c r="F1467" s="1343"/>
      <c r="G1467" s="1340"/>
      <c r="H1467" s="39" t="str">
        <f>'päd.Personal - Leitung'!$H$27</f>
        <v>(7,30% + Zusatz)</v>
      </c>
      <c r="I1467" s="39" t="str">
        <f>'päd.Personal - Leitung'!$I$27</f>
        <v xml:space="preserve"> (2024: 9,30%)</v>
      </c>
      <c r="J1467" s="39" t="str">
        <f>'päd.Personal - Leitung'!$J$27</f>
        <v>(2024: 1,30%)</v>
      </c>
      <c r="K1467" s="39" t="str">
        <f>'päd.Personal - Leitung'!$K$27</f>
        <v>(2024: 1,700%)</v>
      </c>
      <c r="L1467" s="39"/>
      <c r="M1467" s="39"/>
      <c r="N1467" s="39" t="str">
        <f>'päd.Personal - Leitung'!$N$27</f>
        <v>(2024: 0,06%)</v>
      </c>
      <c r="O1467" s="1338"/>
      <c r="P1467" s="1331"/>
      <c r="Q1467" s="456"/>
      <c r="R1467" s="1307" t="s">
        <v>659</v>
      </c>
      <c r="S1467" s="1307"/>
      <c r="T1467" s="829"/>
      <c r="U1467" s="1308" t="s">
        <v>1</v>
      </c>
      <c r="V1467" s="1308" t="s">
        <v>741</v>
      </c>
    </row>
    <row r="1468" spans="1:22" s="1" customFormat="1" x14ac:dyDescent="0.2">
      <c r="A1468" s="1347"/>
      <c r="B1468" s="1334"/>
      <c r="C1468" s="1336"/>
      <c r="D1468" s="45"/>
      <c r="E1468" s="45"/>
      <c r="F1468" s="1344"/>
      <c r="G1468" s="1341"/>
      <c r="H1468" s="74"/>
      <c r="I1468" s="99">
        <f>'päd.Personal - Leitung'!$I$28</f>
        <v>0</v>
      </c>
      <c r="J1468" s="99">
        <f>'päd.Personal - Leitung'!$J$28</f>
        <v>0</v>
      </c>
      <c r="K1468" s="40">
        <f>'päd.Personal - Leitung'!$K$28</f>
        <v>0</v>
      </c>
      <c r="L1468" s="19"/>
      <c r="M1468" s="19"/>
      <c r="N1468" s="99">
        <f>'päd.Personal - Leitung'!$N$28</f>
        <v>0</v>
      </c>
      <c r="O1468" s="23"/>
      <c r="P1468" s="1332"/>
      <c r="Q1468" s="456"/>
      <c r="R1468" s="935" t="s">
        <v>144</v>
      </c>
      <c r="S1468" s="935" t="s">
        <v>145</v>
      </c>
      <c r="T1468" s="829"/>
      <c r="U1468" s="1308"/>
      <c r="V1468" s="1308"/>
    </row>
    <row r="1469" spans="1:22" s="1" customFormat="1" x14ac:dyDescent="0.2">
      <c r="A1469" s="76" t="str">
        <f>CONCATENATE("Jan ",O1445)</f>
        <v>Jan 2025</v>
      </c>
      <c r="B1469" s="22">
        <f>ROUND(IF(P1446=0,0,(LOOKUP(2,1/(A1454:A1457=A1469),G1454:G1457))*P1446*4.348),2)</f>
        <v>0</v>
      </c>
      <c r="C1469" s="21">
        <f>ROUND(IFERROR((LOOKUP(2,1/(A1460=A1469),E1460)),0)+IFERROR((LOOKUP(2,1/(A1461=A1469),E1461)),0),2)</f>
        <v>0</v>
      </c>
      <c r="D1469" s="21">
        <f>ROUND(IF(B1469=0,0,D1468/M1447*P1446),2)</f>
        <v>0</v>
      </c>
      <c r="E1469" s="21">
        <f>ROUND(IF(B1469=0,0,E1468/N1443*P1446),2)</f>
        <v>0</v>
      </c>
      <c r="F1469" s="22">
        <f>ROUND(IF(P1446=0,0,(LOOKUP(2,1/(A1454:A1457=A1469),I1454:I1457))/N1443*P1446),2)</f>
        <v>0</v>
      </c>
      <c r="G1469" s="25">
        <f t="shared" ref="G1469:G1480" si="236">SUM(B1469+C1469+E1469+F1469)</f>
        <v>0</v>
      </c>
      <c r="H1469" s="64">
        <f>IF(B1469=0,0,IF(AND(H1460="ja",((U1469)&lt;R1485)),ROUND(((R1487*R1484+((R1485/(R1485-R1484))-(R1484/(R1485-R1484))*R1487)*((U1469)-R1484))*(H1468*2))-(((R1485/(R1485-R1484))*((U1469)-R1484))*H1468),2),ROUND(IF((U1469)&gt;R1469,R1469*H1468,U1469*H1468),2)))</f>
        <v>0</v>
      </c>
      <c r="I1469" s="64">
        <f>IF(B1469=0,0,IF(AND(H1460="ja",((U1469)&lt;R1485)),ROUND(((R1487*R1484+((R1485/(R1485-R1484))-(R1484/(R1485-R1484))*R1487)*((U1469)-R1484))*(I1468*2))-(((R1485/(R1485-R1484))*((U1469)-R1484))*I1468),2),ROUND(IF((U1469)&gt;S1469,S1469*I1468,U1469*I1468),2)))</f>
        <v>0</v>
      </c>
      <c r="J1469" s="64">
        <f>IF(B1469=0,0,IF(AND(H1460="ja",((U1469)&lt;R1485)),ROUND(((R1487*R1484+((R1485/(R1485-R1484))-(R1484/(R1485-R1484))*R1487)*((U1469)-R1484))*(J1468*2))-(((R1485/(R1485-R1484))*((U1469)-R1484))*J1468),2),ROUND(IF((U1469)&gt;S1469,S1469*J1468,U1469*J1468),2)))</f>
        <v>0</v>
      </c>
      <c r="K1469" s="64">
        <f>IF(B1469=0,0,IF(AND(H1460="ja",((U1469)&lt;R1485)),ROUND(((R1487*R1484+((R1485/(R1485-R1484))-(R1484/(R1485-R1484))*R1487)*((U1469)-R1484))*(K1468*2))-(((R1485/(R1485-R1484))*((U1469)-R1484))*K1468),2),ROUND(IF((U1469)&gt;R1469,R1469*K1468,U1469*K1468),2)))</f>
        <v>0</v>
      </c>
      <c r="L1469" s="64">
        <f>IF(B1469=0,0,IF(AND(H1460="ja",((U1469-C1469)&lt;R1485)),ROUND(((R1487*R1484+((R1485/(R1485-R1484))-(R1484/(R1485-R1484))*R1487)*((U1469-C1469)-R1484))*(L1468)),2),ROUND(IF((SUM(B1469:F1469))&gt;S1469,S1469*L1468,(SUM(B1469:F1469)-C1469)*L1468),2)))</f>
        <v>0</v>
      </c>
      <c r="M1469" s="64">
        <f>IF(B1469=0,0,IF(AND(H1460="ja",((U1469-C1469)&lt;R1485)),ROUND(((R1487*R1484+((R1485/(R1485-R1484))-(R1484/(R1485-R1484))*R1487)*((U1469-C1469)-R1484))*(M1468)),2),ROUND(IF((SUM(B1469:F1469))&gt;S1469,S1469*M1468,(SUM(B1469:F1469)-C1469)*M1468),2)))</f>
        <v>0</v>
      </c>
      <c r="N1469" s="64">
        <f>IF(B1469=0,0,IF(AND(H1460="ja",((U1469)&lt;R1485)),ROUND(((R1487*R1484+((R1485/(R1485-R1484))-(R1484/(R1485-R1484))*R1487)*((U1469)-R1484))*(N1468)),2),ROUND(IF((SUM(B1469:F1469))&gt;S1469,S1469*N1468,SUM(B1469:F1469)*N1468),2)))</f>
        <v>0</v>
      </c>
      <c r="O1469" s="21">
        <f>ROUND(SUM(B1469+C1469+F1469)*O1468,2)</f>
        <v>0</v>
      </c>
      <c r="P1469" s="25">
        <f>SUM(G1469:O1469)</f>
        <v>0</v>
      </c>
      <c r="Q1469" s="456"/>
      <c r="R1469" s="140">
        <f>ROUND(IF(M1447="",R1463,R1463/M1447*P1446),2)</f>
        <v>5175</v>
      </c>
      <c r="S1469" s="140">
        <f>ROUND(IF(M1447="",R1464,R1464/M1447*P1446),2)</f>
        <v>7450</v>
      </c>
      <c r="U1469" s="950">
        <f>SUM(B1469:F1469)</f>
        <v>0</v>
      </c>
      <c r="V1469" s="950">
        <f>SUM(B1469:F1469)</f>
        <v>0</v>
      </c>
    </row>
    <row r="1470" spans="1:22" s="1" customFormat="1" x14ac:dyDescent="0.2">
      <c r="A1470" s="76" t="str">
        <f>CONCATENATE("Feb ",O1445)</f>
        <v>Feb 2025</v>
      </c>
      <c r="B1470" s="22">
        <f>ROUND(IF(P1447=0,0,IFERROR(((LOOKUP(2,1/(A1454:A1457=A1470),G1454:G1457))*P1447*4.348),B1469/P1446*P1447)),2)</f>
        <v>0</v>
      </c>
      <c r="C1470" s="21">
        <f>ROUND(IFERROR((LOOKUP(2,1/(A1460=A1470),E1460)),0)+IFERROR((LOOKUP(2,1/(A1461=A1470),E1461)),0),2)</f>
        <v>0</v>
      </c>
      <c r="D1470" s="21">
        <f>ROUND(IF(B1470=0,0,D1468/M1447*P1447),2)</f>
        <v>0</v>
      </c>
      <c r="E1470" s="21">
        <f>ROUND(IF(B1470=0,0,E1468/N1443*P1447),2)</f>
        <v>0</v>
      </c>
      <c r="F1470" s="22">
        <f>ROUND(IF(P1447=0,0,IFERROR(((LOOKUP(2,1/(A1454:A1457=A1470),I1454:I1457))/N1443*P1447),F1469/P1446*P1447)),2)</f>
        <v>0</v>
      </c>
      <c r="G1470" s="25">
        <f t="shared" si="236"/>
        <v>0</v>
      </c>
      <c r="H1470" s="64">
        <f>IF(B1470=0,0,IF(AND(H1460="ja",((U1470)&lt;R1485)),ROUND(((R1487*R1484+((R1485/(R1485-R1484))-(R1484/(R1485-R1484))*R1487)*((U1470)-R1484))*(H1468*2))-(((R1485/(R1485-R1484))*((U1470)-R1484))*H1468),2),ROUND(IF(U1469&lt;(R1469),IF((V1470)&gt;(SUM(R1469:R1470)),(((SUM(R1469:R1470))-(V1470-C1469))*H1468)+((U1470-C1469)*H1468),U1470*H1468),IF(V1470&gt;(SUM(R1469:R1470)),R1470*H1468,U1470*H1468)),2)))</f>
        <v>0</v>
      </c>
      <c r="I1470" s="64">
        <f>IF(B1470=0,0,IF(AND(H1460="ja",((U1470)&lt;R1485)),ROUND(((R1487*R1484+((R1485/(R1485-R1484))-(R1484/(R1485-R1484))*R1487)*((U1470)-R1484))*(I1468*2))-(((R1485/(R1485-R1484))*((U1470)-R1484))*I1468),2),ROUND(IF(U1469&lt;(S1469),IF((V1470)&gt;(SUM(S1469:S1470)),(((SUM(S1469:S1470))-(V1470-C1469))*I1468)+((U1470-C1469)*I1468),U1470*I1468),IF(V1470&gt;(SUM(S1469:S1470)),S1470*I1468,U1470*I1468)),2)))</f>
        <v>0</v>
      </c>
      <c r="J1470" s="64">
        <f>IF(B1470=0,0,IF(AND(H1460="ja",((U1470)&lt;R1485)),ROUND(((R1487*R1484+((R1485/(R1485-R1484))-(R1484/(R1485-R1484))*R1487)*((U1470)-R1484))*(J1468*2))-(((R1485/(R1485-R1484))*((U1470)-R1484))*J1468),2),ROUND(IF(U1469&lt;(S1469),IF((V1470)&gt;(SUM(S1469:S1470)),(((SUM(S1469:S1470))-(V1470-C1469))*J1468)+((U1470-C1469)*J1468),U1470*J1468),IF(V1470&gt;(SUM(S1469:S1470)),S1470*J1468,U1470*J1468)),2)))</f>
        <v>0</v>
      </c>
      <c r="K1470" s="64">
        <f>IF(B1470=0,0,IF(AND(H1460="ja",((U1470)&lt;R1485)),ROUND(((R1487*R1484+((R1485/(R1485-R1484))-(R1484/(R1485-R1484))*R1487)*((U1470)-R1484))*(K1468*2))-(((R1485/(R1485-R1484))*((U1470)-R1484))*K1468),2),ROUND(IF(U1469&lt;(R1469),IF((V1470)&gt;(SUM(R1469:R1470)),(((SUM(R1469:R1470))-(V1470-C1469))*K1468)+((U1470-C1469)*K1468),U1470*K1468),IF(V1470&gt;(SUM(R1469:R1470)),R1470*K1468,U1470*K1468)),2)))</f>
        <v>0</v>
      </c>
      <c r="L1470" s="64">
        <f>IF(B1470=0,0,IF(AND(H1460="ja",((U1470-C1470)&lt;R1485)),ROUND(((R1487*R1484+((R1485/(R1485-R1484))-(R1484/(R1485-R1484))*R1487)*((U1470-C1470)-R1484))*(L1468)),2),ROUND(IF(SUM(B1469:F1469)&lt;(S1469),IF((SUM(B1469:F1470))&gt;(SUM(S1469:S1470)),(((SUM(S1469:S1470))-(SUM(B1469:F1470)-C1470))*L1468)+((SUM(B1470:F1470)-C1470)*L1468),(SUM(B1470:F1470)-C1470)*L1468),IF(SUM(B1469:F1470)&gt;(SUM(S1469:S1470)),S1470*L1468,SUM(B1470:F1470)*L1468)),2)))</f>
        <v>0</v>
      </c>
      <c r="M1470" s="64">
        <f>IF(B1470=0,0,IF(AND(H1460="ja",((U1470-C1470)&lt;R1485)),ROUND(((R1487*R1484+((R1485/(R1485-R1484))-(R1484/(R1485-R1484))*R1487)*((U1470-C1470)-R1484))*(M1468)),2),ROUND(IF(SUM(B1469:F1469)&lt;(S1469),IF((SUM(B1469:F1470))&gt;(SUM(S1469:S1470)),(((SUM(S1469:S1470))-(SUM(B1469:F1470)-C1470))*M1468)+((SUM(B1470:F1470)-C1470)*M1468),(SUM(B1470:F1470)-C1470)*M1468),IF(SUM(B1469:F1470)&gt;(SUM(S1469:S1470)),S1470*M1468,SUM(B1470:F1470)*M1468)),2)))</f>
        <v>0</v>
      </c>
      <c r="N1470" s="64">
        <f>IF(B1470=0,0,IF(AND(H1460="ja",((U1470)&lt;R1485)),ROUND(((R1487*R1484+((R1485/(R1485-R1484))-(R1484/(R1485-R1484))*R1487)*((U1470)-R1484))*(N1468)),2),ROUND(IF(SUM(B1469:F1469)&lt;(S1469),IF((SUM(B1469:F1470))&gt;(SUM(S1469:S1470)),(((SUM(S1469:S1470))-(SUM(B1469:F1470)-C1469))*N1468)+((SUM(B1470:F1470)-C1469)*N1468),SUM(B1470:F1470)*N1468),IF(SUM(B1469:F1470)&gt;(SUM(S1469:S1470)),S1470*N1468,SUM(B1470:F1470)*N1468)),2)))</f>
        <v>0</v>
      </c>
      <c r="O1470" s="21">
        <f>ROUND(SUM(B1470+C1470+F1470)*O1468,2)</f>
        <v>0</v>
      </c>
      <c r="P1470" s="25">
        <f t="shared" ref="P1470:P1480" si="237">SUM(G1470:O1470)</f>
        <v>0</v>
      </c>
      <c r="Q1470" s="456"/>
      <c r="R1470" s="140">
        <f>ROUND(IF(M1447="",R1463,R1463/M1447*P1447),2)</f>
        <v>5175</v>
      </c>
      <c r="S1470" s="140">
        <f>ROUND(IF(M1447="",R1464,R1464/M1447*P1447),2)</f>
        <v>7450</v>
      </c>
      <c r="U1470" s="950">
        <f t="shared" ref="U1470:U1480" si="238">SUM(B1470:F1470)</f>
        <v>0</v>
      </c>
      <c r="V1470" s="950">
        <f>SUM(B1469:F1470)</f>
        <v>0</v>
      </c>
    </row>
    <row r="1471" spans="1:22" s="1" customFormat="1" x14ac:dyDescent="0.2">
      <c r="A1471" s="76" t="str">
        <f>CONCATENATE("Mrz ",O1445)</f>
        <v>Mrz 2025</v>
      </c>
      <c r="B1471" s="22">
        <f>ROUND(IF(P1448=0,0,IFERROR(((LOOKUP(2,1/(A1454:A1457=A1471),G1454:G1457))*P1448*4.348),B1470/P1447*P1448)),2)</f>
        <v>0</v>
      </c>
      <c r="C1471" s="21">
        <f>ROUND(IFERROR((LOOKUP(2,1/(A1460=A1471),E1460)),0)+IFERROR((LOOKUP(2,1/(A1461=A1471),E1461)),0),2)</f>
        <v>0</v>
      </c>
      <c r="D1471" s="21">
        <f>ROUND(IF(B1471=0,0,D1468/M1447*P1448),2)</f>
        <v>0</v>
      </c>
      <c r="E1471" s="21">
        <f>ROUND(IF(B1471=0,0,E1468/N1443*P1448),2)</f>
        <v>0</v>
      </c>
      <c r="F1471" s="22">
        <f>ROUND(IF(P1448=0,0,IFERROR(((LOOKUP(2,1/(A1454:A1457=A1471),I1454:I1457))/N1443*P1448),F1470/P1447*P1448)),2)</f>
        <v>0</v>
      </c>
      <c r="G1471" s="25">
        <f t="shared" si="236"/>
        <v>0</v>
      </c>
      <c r="H1471" s="64">
        <f>IF(B1471=0,0,IF(AND(H1460="ja",((U1471)&lt;R1485)),ROUND(((R1487*R1484+((R1485/(R1485-R1484))-(R1484/(R1485-R1484))*R1487)*((U1471)-R1484))*(H1468*2))-(((R1485/(R1485-R1484))*((U1471)-R1484))*H1468),2),ROUND(IF(V1470&lt;(SUM(R1469:R1470)),IF((V1471)&gt;(SUM(R1469:R1471)),(((SUM(R1469:R1471))-(V1471-C1470))*H1468)+((U1471-C1470)*H1468),U1471*H1468),IF(V1471&gt;(SUM(R1469:R1471)),R1471*H1468,U1471*H1468)),2)))</f>
        <v>0</v>
      </c>
      <c r="I1471" s="64">
        <f>IF(B1471=0,0,IF(AND(H1460="ja",((U1471)&lt;R1485)),ROUND(((R1487*R1484+((R1485/(R1485-R1484))-(R1484/(R1485-R1484))*R1487)*((U1471)-R1484))*(I1468*2))-(((R1485/(R1485-R1484))*((U1471)-R1484))*I1468),2),ROUND(IF(V1470&lt;(SUM(S1469:S1470)),IF((V1471)&gt;(SUM(S1469:S1471)),(((SUM(S1469:S1471))-(V1471-C1470))*I1468)+((U1471-C1470)*I1468),U1471*I1468),IF(V1471&gt;(SUM(S1469:S1471)),S1471*I1468,U1471*I1468)),2)))</f>
        <v>0</v>
      </c>
      <c r="J1471" s="64">
        <f>IF(B1471=0,0,IF(AND(H1460="ja",((U1471)&lt;R1485)),ROUND(((R1487*R1484+((R1485/(R1485-R1484))-(R1484/(R1485-R1484))*R1487)*((U1471)-R1484))*(J1468*2))-(((R1485/(R1485-R1484))*((U1471)-R1484))*J1468),2),ROUND(IF(V1470&lt;(SUM(S1469:S1470)),IF((V1471)&gt;(SUM(S1469:S1471)),(((SUM(S1469:S1471))-(V1471-C1470))*J1468)+((U1471-C1470)*J1468),U1471*J1468),IF(V1471&gt;(SUM(S1469:S1471)),S1471*J1468,U1471*J1468)),2)))</f>
        <v>0</v>
      </c>
      <c r="K1471" s="64">
        <f>IF(B1471=0,0,IF(AND(H1460="ja",((U1471)&lt;R1485)),ROUND(((R1487*R1484+((R1485/(R1485-R1484))-(R1484/(R1485-R1484))*R1487)*((U1471)-R1484))*(K1468*2))-(((R1485/(R1485-R1484))*((U1471)-R1484))*K1468),2),ROUND(IF(V1470&lt;(SUM(R1469:R1470)),IF((V1471)&gt;(SUM(R1469:R1471)),(((SUM(R1469:R1471))-(V1471-C1470))*K1468)+((U1471-C1470)*K1468),U1471*K1468),IF(V1471&gt;(SUM(R1469:R1471)),R1471*K1468,U1471*K1468)),2)))</f>
        <v>0</v>
      </c>
      <c r="L1471" s="64">
        <f>IF(B1471=0,0,IF(AND(H1460="ja",((U1471-C1471)&lt;R1485)),ROUND(((R1487*R1484+((R1485/(R1485-R1484))-(R1484/(R1485-R1484))*R1487)*((U1471-C1471)-R1484))*(L1468)),2),ROUND(IF(SUM(B1469:F1470)&lt;(SUM(S1469:S1470)),IF((SUM(B1469:F1471))&gt;(SUM(S1469:S1471)),(((SUM(S1469:S1471))-(SUM(B1469:F1471)-C1471))*L1468)+((SUM(B1471:F1471)-C1471)*L1468),(SUM(B1471:F1471)-C1471)*L1468),IF(SUM(B1469:F1471)&gt;(SUM(S1469:S1471)),S1471*L1468,SUM(B1471:F1471)*L1468)),2)))</f>
        <v>0</v>
      </c>
      <c r="M1471" s="64">
        <f>IF(B1471=0,0,IF(AND(H1460="ja",((U1471-C1471)&lt;R1485)),ROUND(((R1487*R1484+((R1485/(R1485-R1484))-(R1484/(R1485-R1484))*R1487)*((U1471-C1471)-R1484))*(M1468)),2),ROUND(IF(SUM(B1469:F1470)&lt;(SUM(S1469:S1470)),IF((SUM(B1469:F1471))&gt;(SUM(S1469:S1471)),(((SUM(S1469:S1471))-(SUM(B1469:F1471)-C1471))*M1468)+((SUM(B1471:F1471)-C1471)*M1468),(SUM(B1471:F1471)-C1471)*M1468),IF(SUM(B1469:F1471)&gt;(SUM(S1469:S1471)),S1471*M1468,SUM(B1471:F1471)*M1468)),2)))</f>
        <v>0</v>
      </c>
      <c r="N1471" s="64">
        <f>IF(B1471=0,0,IF(AND(H1460="ja",((U1471)&lt;R1485)),ROUND(((R1487*R1484+((R1485/(R1485-R1484))-(R1484/(R1485-R1484))*R1487)*((U1471)-R1484))*(N1468)),2),ROUND(IF(SUM(B1469:F1470)&lt;(SUM(S1469:S1470)),IF((SUM(B1469:F1471))&gt;(SUM(S1469:S1471)),(((SUM(S1469:S1471))-(SUM(B1469:F1471)-C1470))*N1468)+((SUM(B1471:F1471)-C1470)*N1468),SUM(B1471:F1471)*N1468),IF(SUM(B1469:F1471)&gt;(SUM(S1469:S1471)),S1471*N1468,SUM(B1471:F1471)*N1468)),2)))</f>
        <v>0</v>
      </c>
      <c r="O1471" s="21">
        <f>ROUND(SUM(B1471+C1471+F1471)*O1468,2)</f>
        <v>0</v>
      </c>
      <c r="P1471" s="25">
        <f t="shared" si="237"/>
        <v>0</v>
      </c>
      <c r="Q1471" s="456"/>
      <c r="R1471" s="140">
        <f>ROUND(IF(M1447="",R1463,R1463/M1447*P1448),2)</f>
        <v>5175</v>
      </c>
      <c r="S1471" s="140">
        <f>ROUND(IF(M1447="",R1464,R1464/M1447*P1448),2)</f>
        <v>7450</v>
      </c>
      <c r="U1471" s="950">
        <f t="shared" si="238"/>
        <v>0</v>
      </c>
      <c r="V1471" s="950">
        <f>SUM(B1469:F1471)</f>
        <v>0</v>
      </c>
    </row>
    <row r="1472" spans="1:22" s="1" customFormat="1" x14ac:dyDescent="0.2">
      <c r="A1472" s="76" t="str">
        <f>CONCATENATE("Apr ",O1445)</f>
        <v>Apr 2025</v>
      </c>
      <c r="B1472" s="22">
        <f>ROUND(IF(P1449=0,0,IFERROR(((LOOKUP(2,1/(A1454:A1457=A1472),G1454:G1457))*P1449*4.348),B1471/P1448*P1449)),2)</f>
        <v>0</v>
      </c>
      <c r="C1472" s="21">
        <f>ROUND(IFERROR((LOOKUP(2,1/(A1460=A1472),E1460)),0)+IFERROR((LOOKUP(2,1/(A1461=A1472),E1461)),0),2)</f>
        <v>0</v>
      </c>
      <c r="D1472" s="21">
        <f>ROUND(IF(B1472=0,0,D1468/M1447*P1449),2)</f>
        <v>0</v>
      </c>
      <c r="E1472" s="21">
        <f>ROUND(IF(B1472=0,0,E1468/N1443*P1449),2)</f>
        <v>0</v>
      </c>
      <c r="F1472" s="22">
        <f>ROUND(IF(P1449=0,0,IFERROR(((LOOKUP(2,1/(A1454:A1457=A1472),I1454:I1457))/N1443*P1449),F1471/P1448*P1449)),2)</f>
        <v>0</v>
      </c>
      <c r="G1472" s="25">
        <f t="shared" si="236"/>
        <v>0</v>
      </c>
      <c r="H1472" s="64">
        <f>IF(B1472=0,0,IF(AND(H1460="ja",((U1472)&lt;R1485)),ROUND(((R1487*R1484+((R1485/(R1485-R1484))-(R1484/(R1485-R1484))*R1487)*((U1472)-R1484))*(H1468*2))-(((R1485/(R1485-R1484))*((U1472)-R1484))*H1468),2),ROUND(IF(V1471&lt;(SUM(R1469:R1471)),IF((V1472)&gt;(SUM(R1469:R1472)),(((SUM(R1469:R1472))-(V1472-C1471))*H1468)+((U1472-C1471)*H1468),U1472*H1468),IF(V1472&gt;(SUM(R1469:R1472)),R1472*H1468,U1472*H1468)),2)))</f>
        <v>0</v>
      </c>
      <c r="I1472" s="64">
        <f>IF(B1472=0,0,IF(AND(H1460="ja",((U1472)&lt;R1485)),ROUND(((R1487*R1484+((R1485/(R1485-R1484))-(R1484/(R1485-R1484))*R1487)*((U1472)-R1484))*(I1468*2))-(((R1485/(R1485-R1484))*((U1472)-R1484))*I1468),2),ROUND(IF(V1471&lt;(SUM(S1469:S1471)),IF((V1472)&gt;(SUM(S1469:S1472)),(((SUM(S1469:S1472))-(V1472-C1471))*I1468)+((U1472-C1471)*I1468),U1472*I1468),IF(V1472&gt;(SUM(S1469:S1472)),S1472*I1468,U1472*I1468)),2)))</f>
        <v>0</v>
      </c>
      <c r="J1472" s="64">
        <f>IF(B1472=0,0,IF(AND(H1460="ja",((U1472)&lt;R1485)),ROUND(((R1487*R1484+((R1485/(R1485-R1484))-(R1484/(R1485-R1484))*R1487)*((U1472)-R1484))*(J1468*2))-(((R1485/(R1485-R1484))*((U1472)-R1484))*J1468),2),ROUND(IF(U1471&lt;(SUM(S1469:S1471)),IF((V1472)&gt;(SUM(S1469:S1472)),(((SUM(S1469:S1472))-(V1472-C1471))*J1468)+((U1472-C1471)*J1468),U1472*J1468),IF(V1472&gt;(SUM(S1469:S1472)),S1472*J1468,U1472*J1468)),2)))</f>
        <v>0</v>
      </c>
      <c r="K1472" s="64">
        <f>IF(B1472=0,0,IF(AND(H1460="ja",((U1472)&lt;R1485)),ROUND(((R1487*R1484+((R1485/(R1485-R1484))-(R1484/(R1485-R1484))*R1487)*((U1472)-R1484))*(K1468*2))-(((R1485/(R1485-R1484))*((U1472)-R1484))*K1468),2),ROUND(IF(V1471&lt;(SUM(R1469:R1471)),IF((V1472)&gt;(SUM(R1469:R1472)),(((SUM(R1469:R1472))-(V1472-C1471))*K1468)+((U1472-C1471)*K1468),U1472*K1468),IF(V1472&gt;(SUM(R1469:R1472)),R1472*K1468,U1472*K1468)),2)))</f>
        <v>0</v>
      </c>
      <c r="L1472" s="64">
        <f>IF(B1472=0,0,IF(AND(H1460="ja",((U1472-C1472)&lt;R1485)),ROUND(((R1487*R1484+((R1485/(R1485-R1484))-(R1484/(R1485-R1484))*R1487)*((U1472-C1472)-R1484))*(L1468)),2),ROUND(IF(SUM(B1469:F1471)&lt;(SUM(S1469:S1471)),IF((SUM(B1469:F1472))&gt;(SUM(S1469:S1472)),(((SUM(S1469:S1472))-(SUM(B1469:F1472)-C1472))*L1468)+((SUM(B1472:F1472)-C1472)*L1468),(SUM(B1472:F1472)-C1472)*L1468),IF(SUM(B1469:F1472)&gt;(SUM(S1469:S1472)),S1472*L1468,SUM(B1472:F1472)*L1468)),2)))</f>
        <v>0</v>
      </c>
      <c r="M1472" s="64">
        <f>IF(B1472=0,0,IF(AND(H1460="ja",((U1472-C1472)&lt;R1485)),ROUND(((R1487*R1484+((R1485/(R1485-R1484))-(R1484/(R1485-R1484))*R1487)*((U1472-C1472)-R1484))*(M1468)),2),ROUND(IF(SUM(B1469:F1471)&lt;(SUM(S1469:S1471)),IF((SUM(B1469:F1472))&gt;(SUM(S1469:S1472)),(((SUM(S1469:S1472))-(SUM(B1469:F1472)-C1472))*M1468)+((SUM(B1472:F1472)-C1472)*M1468),(SUM(B1472:F1472)-C1472)*M1468),IF(SUM(B1469:F1472)&gt;(SUM(S1469:S1472)),S1472*M1468,SUM(B1472:F1472)*M1468)),2)))</f>
        <v>0</v>
      </c>
      <c r="N1472" s="64">
        <f>IF(B1472=0,0,IF(AND(H1460="ja",((U1472)&lt;R1485)),ROUND(((R1487*R1484+((R1485/(R1485-R1484))-(R1484/(R1485-R1484))*R1487)*((U1472)-R1484))*(N1468)),2),ROUND(IF(SUM(B1469:F1471)&lt;(SUM(S1469:S1471)),IF((SUM(B1469:F1472))&gt;(SUM(S1469:S1472)),(((SUM(S1469:S1472))-(SUM(B1469:F1472)-C1471))*N1468)+((SUM(B1472:F1472)-C1471)*N1468),SUM(B1472:F1472)*N1468),IF(SUM(B1469:F1472)&gt;(SUM(S1469:S1472)),S1472*N1468,SUM(B1472:F1472)*N1468)),2)))</f>
        <v>0</v>
      </c>
      <c r="O1472" s="21">
        <f>ROUND(SUM(B1472+C1472+F1472)*O1468,2)</f>
        <v>0</v>
      </c>
      <c r="P1472" s="25">
        <f t="shared" si="237"/>
        <v>0</v>
      </c>
      <c r="Q1472" s="456"/>
      <c r="R1472" s="140">
        <f>ROUND(IF(M1447="",R1463,R1463/M1447*P1449),2)</f>
        <v>5175</v>
      </c>
      <c r="S1472" s="140">
        <f>ROUND(IF(M1447="",R1464,R1464/M1447*P1449),2)</f>
        <v>7450</v>
      </c>
      <c r="U1472" s="950">
        <f t="shared" si="238"/>
        <v>0</v>
      </c>
      <c r="V1472" s="950">
        <f>SUM(B1469:F1472)</f>
        <v>0</v>
      </c>
    </row>
    <row r="1473" spans="1:24" s="1" customFormat="1" x14ac:dyDescent="0.2">
      <c r="A1473" s="76" t="str">
        <f>CONCATENATE("Mai ",O1445)</f>
        <v>Mai 2025</v>
      </c>
      <c r="B1473" s="22">
        <f>ROUND(IF(P1450=0,0,IFERROR(((LOOKUP(2,1/(A1454:A1457=A1473),G1454:G1457))*P1450*4.348),B1472/P1449*P1450)),2)</f>
        <v>0</v>
      </c>
      <c r="C1473" s="21">
        <f>ROUND(IFERROR((LOOKUP(2,1/(A1460=A1473),E1460)),0)+IFERROR((LOOKUP(2,1/(A1461=A1473),E1461)),0),2)</f>
        <v>0</v>
      </c>
      <c r="D1473" s="21">
        <f>ROUND(IF(B1473=0,0,D1468/M1447*P1450),2)</f>
        <v>0</v>
      </c>
      <c r="E1473" s="21">
        <f>ROUND(IF(B1473=0,0,E1468/N1443*P1450),2)</f>
        <v>0</v>
      </c>
      <c r="F1473" s="22">
        <f>ROUND(IF(P1450=0,0,IFERROR(((LOOKUP(2,1/(A1454:A1457=A1473),I1454:I1457))/N1443*P1450),F1472/P1449*P1450)),2)</f>
        <v>0</v>
      </c>
      <c r="G1473" s="25">
        <f t="shared" si="236"/>
        <v>0</v>
      </c>
      <c r="H1473" s="64">
        <f>IF(B1473=0,0,IF(AND(H1460="ja",((U1473)&lt;R1485)),ROUND(((R1487*R1484+((R1485/(R1485-R1484))-(R1484/(R1485-R1484))*R1487)*((U1473)-R1484))*(H1468*2))-(((R1485/(R1485-R1484))*((U1473)-R1484))*H1468),2),ROUND(IF(V1472&lt;(SUM(R1469:R1472)),IF((V1473)&gt;(SUM(R1469:R1473)),(((SUM(R1469:R1473))-(V1473-C1472))*H1468)+((U1473-C1472)*H1468),U1473*H1468),IF(V1473&gt;(SUM(R1469:R1473)),R1473*H1468,U1473*H1468)),2)))</f>
        <v>0</v>
      </c>
      <c r="I1473" s="64">
        <f>IF(B1473=0,0,IF(AND(H1460="ja",((U1473)&lt;R1485)),ROUND(((R1487*R1484+((R1485/(R1485-R1484))-(R1484/(R1485-R1484))*R1487)*((U1473)-R1484))*(I1468*2))-(((R1485/(R1485-R1484))*((U1473)-R1484))*I1468),2),ROUND(IF(V1472&lt;(SUM(S1469:S1472)),IF((V1473)&gt;(SUM(S1469:S1473)),(((SUM(S1469:S1473))-(V1473-C1472))*I1468)+((U1473-C1472)*I1468),U1473*I1468),IF(V1473&gt;(SUM(S1469:S1473)),S1473*I1468,U1473*I1468)),2)))</f>
        <v>0</v>
      </c>
      <c r="J1473" s="64">
        <f>IF(B1473=0,0,IF(AND(H1460="ja",((U1473)&lt;R1485)),ROUND(((R1487*R1484+((R1485/(R1485-R1484))-(R1484/(R1485-R1484))*R1487)*((U1473)-R1484))*(J1468*2))-(((R1485/(R1485-R1484))*((U1473)-R1484))*J1468),2),ROUND(IF(V1472&lt;(SUM(S1469:S1472)),IF((V1473)&gt;(SUM(S1469:S1473)),(((SUM(S1469:S1473))-(V1473-C1472))*J1468)+((U1473-C1472)*J1468),U1473*J1468),IF(V1473&gt;(SUM(S1469:S1473)),S1473*J1468,U1473*J1468)),2)))</f>
        <v>0</v>
      </c>
      <c r="K1473" s="64">
        <f>IF(B1473=0,0,IF(AND(H1460="ja",((U1473)&lt;R1485)),ROUND(((R1487*R1484+((R1485/(R1485-R1484))-(R1484/(R1485-R1484))*R1487)*((U1473)-R1484))*(K1468*2))-(((R1485/(R1485-R1484))*((U1473)-R1484))*K1468),2),ROUND(IF(V1472&lt;(SUM(R1469:R1472)),IF((V1473)&gt;(SUM(R1469:R1473)),(((SUM(R1469:R1473))-(V1473-C1472))*K1468)+((U1473-C1472)*K1468),U1473*K1468),IF(V1473&gt;(SUM(R1469:R1473)),R1473*K1468,U1473*K1468)),2)))</f>
        <v>0</v>
      </c>
      <c r="L1473" s="64">
        <f>IF(B1473=0,0,IF(AND(H1460="ja",((U1473-C1473)&lt;R1485)),ROUND(((R1487*R1484+((R1485/(R1485-R1484))-(R1484/(R1485-R1484))*R1487)*((U1473-C1473)-R1484))*(L1468)),2),ROUND(IF(SUM(B1469:F1472)&lt;(SUM(S1469:S1472)),IF((SUM(B1469:F1473))&gt;(SUM(S1469:S1473)),(((SUM(S1469:S1473))-(SUM(B1469:F1473)-C1473))*L1468)+((SUM(B1473:F1473)-C1473)*L1468),(SUM(B1473:F1473)-C1473)*L1468),IF(SUM(B1469:F1473)&gt;(SUM(S1469:S1473)),S1473*L1468,SUM(B1473:F1473)*L1468)),2)))</f>
        <v>0</v>
      </c>
      <c r="M1473" s="64">
        <f>IF(B1473=0,0,IF(AND(H1460="ja",((U1473-C1473)&lt;R1485)),ROUND(((R1487*R1484+((R1485/(R1485-R1484))-(R1484/(R1485-R1484))*R1487)*((U1473-C1473)-R1484))*(M1468)),2),ROUND(IF(SUM(B1469:F1472)&lt;(SUM(S1469:S1472)),IF((SUM(B1469:F1473))&gt;(SUM(S1469:S1473)),(((SUM(S1469:S1473))-(SUM(B1469:F1473)-C1473))*M1468)+((SUM(B1473:F1473)-C1473)*M1468),(SUM(B1473:F1473)-C1473)*M1468),IF(SUM(B1469:F1473)&gt;(SUM(S1469:S1473)),S1473*M1468,SUM(B1473:F1473)*M1468)),2)))</f>
        <v>0</v>
      </c>
      <c r="N1473" s="64">
        <f>IF(B1473=0,0,IF(AND(H1460="ja",((U1473)&lt;R1485)),ROUND(((R1487*R1484+((R1485/(R1485-R1484))-(R1484/(R1485-R1484))*R1487)*((U1473)-R1484))*(N1468)),2),ROUND(IF(SUM(B1469:F1472)&lt;(SUM(S1469:S1472)),IF((SUM(B1469:F1473))&gt;(SUM(S1469:S1473)),(((SUM(S1469:S1473))-(SUM(B1469:F1473)-C1472))*N1468)+((SUM(B1473:F1473)-C1472)*N1468),SUM(B1473:F1473)*N1468),IF(SUM(B1469:F1473)&gt;(SUM(S1469:S1473)),S1473*N1468,SUM(B1473:F1473)*N1468)),2)))</f>
        <v>0</v>
      </c>
      <c r="O1473" s="21">
        <f>ROUND(SUM(B1473+C1473+F1473)*O1468,2)</f>
        <v>0</v>
      </c>
      <c r="P1473" s="25">
        <f t="shared" si="237"/>
        <v>0</v>
      </c>
      <c r="Q1473" s="456"/>
      <c r="R1473" s="140">
        <f>ROUND(IF(M1447="",R1463,R1463/M1447*P1450),2)</f>
        <v>5175</v>
      </c>
      <c r="S1473" s="140">
        <f>ROUND(IF(M1447="",R1464,R1464/M1447*P1450),2)</f>
        <v>7450</v>
      </c>
      <c r="U1473" s="950">
        <f t="shared" si="238"/>
        <v>0</v>
      </c>
      <c r="V1473" s="950">
        <f>SUM(B1469:F1473)</f>
        <v>0</v>
      </c>
    </row>
    <row r="1474" spans="1:24" s="1" customFormat="1" x14ac:dyDescent="0.2">
      <c r="A1474" s="76" t="str">
        <f>CONCATENATE("Jun ",O1445)</f>
        <v>Jun 2025</v>
      </c>
      <c r="B1474" s="22">
        <f>ROUND(IF(P1451=0,0,IFERROR(((LOOKUP(2,1/(A1454:A1457=A1474),G1454:G1457))*P1451*4.348),B1473/P1450*P1451)),2)</f>
        <v>0</v>
      </c>
      <c r="C1474" s="21">
        <f>ROUND(IFERROR((LOOKUP(2,1/(A1460=A1474),E1460)),0)+IFERROR((LOOKUP(2,1/(A1461=A1474),E1461)),0),2)</f>
        <v>0</v>
      </c>
      <c r="D1474" s="21">
        <f>ROUND(IF(B1474=0,0,D1468/M1447*P1451),2)</f>
        <v>0</v>
      </c>
      <c r="E1474" s="21">
        <f>ROUND(IF(B1474=0,0,E1468/N1443*P1451),2)</f>
        <v>0</v>
      </c>
      <c r="F1474" s="22">
        <f>ROUND(IF(P1451=0,0,IFERROR(((LOOKUP(2,1/(A1454:A1457=A1474),I1454:I1457))/N1443*P1451),F1473/P1450*P1451)),2)</f>
        <v>0</v>
      </c>
      <c r="G1474" s="25">
        <f t="shared" si="236"/>
        <v>0</v>
      </c>
      <c r="H1474" s="64">
        <f>IF(B1474=0,0,IF(AND(H1460="ja",((U1474)&lt;R1485)),ROUND(((R1487*R1484+((R1485/(R1485-R1484))-(R1484/(R1485-R1484))*R1487)*((U1474)-R1484))*(H1468*2))-(((R1485/(R1485-R1484))*((U1474)-R1484))*H1468),2),ROUND(IF(V1473&lt;(SUM(R1469:R1473)),IF((V1474)&gt;(SUM(R1469:R1474)),(((SUM(R1469:R1474))-(V1474-C1473))*H1468)+((U1474-C1473)*H1468),U1474*H1468),IF(V1474&gt;(SUM(R1469:R1474)),R1474*H1468,U1474*H1468)),2)))</f>
        <v>0</v>
      </c>
      <c r="I1474" s="64">
        <f>IF(B1474=0,0,IF(AND(H1460="ja",((U1474)&lt;R1485)),ROUND(((R1487*R1484+((R1485/(R1485-R1484))-(R1484/(R1485-R1484))*R1487)*((U1474)-R1484))*(I1468*2))-(((R1485/(R1485-R1484))*((U1474)-R1484))*I1468),2),ROUND(IF(V1473&lt;(SUM(S1469:S1473)),IF((V1474)&gt;(SUM(S1469:S1474)),(((SUM(S1469:S1474))-(V1474-C1473))*I1468)+((U1474-C1473)*I1468),U1474*I1468),IF(V1474&gt;(SUM(S1469:S1474)),S1474*I1468,U1474*I1468)),2)))</f>
        <v>0</v>
      </c>
      <c r="J1474" s="64">
        <f>IF(B1474=0,0,IF(AND(H1460="ja",((U1474)&lt;R1485)),ROUND(((R1487*R1484+((R1485/(R1485-R1484))-(R1484/(R1485-R1484))*R1487)*((U1474)-R1484))*(J1468*2))-(((R1485/(R1485-R1484))*((U1474)-R1484))*J1468),2),ROUND(IF(V1473&lt;(SUM(S1469:S1473)),IF((V1474)&gt;(SUM(S1469:S1474)),(((SUM(S1469:S1474))-(V1474-C1473))*J1468)+((U1474-C1473)*J1468),U1474*J1468),IF(V1474&gt;(SUM(S1469:S1474)),S1474*J1468,U1474*J1468)),2)))</f>
        <v>0</v>
      </c>
      <c r="K1474" s="64">
        <f>IF(B1474=0,0,IF(AND(H1460="ja",((U1474)&lt;R1485)),ROUND(((R1487*R1484+((R1485/(R1485-R1484))-(R1484/(R1485-R1484))*R1487)*((U1474)-R1484))*(K1468*2))-(((R1485/(R1485-R1484))*((U1474)-R1484))*K1468),2),ROUND(IF(V1473&lt;(SUM(R1469:R1473)),IF((V1474)&gt;(SUM(R1469:R1474)),(((SUM(R1469:R1474))-(V1474-C1473))*K1468)+((U1474-C1473)*K1468),U1474*K1468),IF(V1474&gt;(SUM(R1469:R1474)),R1474*K1468,U1474*K1468)),2)))</f>
        <v>0</v>
      </c>
      <c r="L1474" s="64">
        <f>IF(B1474=0,0,IF(AND(H1460="ja",((U1474-C1474)&lt;R1485)),ROUND(((R1487*R1484+((R1485/(R1485-R1484))-(R1484/(R1485-R1484))*R1487)*((U1474-C1474)-R1484))*(L1468)),2),ROUND(IF(SUM(B1469:F1473)&lt;(SUM(S1469:S1473)),IF((SUM(B1469:F1474))&gt;(SUM(S1469:S1474)),(((SUM(S1469:S1474))-(SUM(B1469:F1474)-C1474))*L1468)+((SUM(B1474:F1474)-C1474)*L1468),(SUM(B1474:F1474)-C1474)*L1468),IF(SUM(B1469:F1474)&gt;(SUM(S1469:S1474)),S1474*L1468,SUM(B1474:F1474)*L1468)),2)))</f>
        <v>0</v>
      </c>
      <c r="M1474" s="64">
        <f>IF(B1474=0,0,IF(AND(H1460="ja",((U1474-C1474)&lt;R1485)),ROUND(((R1487*R1484+((R1485/(R1485-R1484))-(R1484/(R1485-R1484))*R1487)*((U1474-C1474)-R1484))*(M1468)),2),ROUND(IF(SUM(B1469:F1473)&lt;(SUM(S1469:S1473)),IF((SUM(B1469:F1474))&gt;(SUM(S1469:S1474)),(((SUM(S1469:S1474))-(SUM(B1469:F1474)-C1474))*M1468)+((SUM(B1474:F1474)-C1474)*M1468),(SUM(B1474:F1474)-C1474)*M1468),IF(SUM(B1469:F1474)&gt;(SUM(S1469:S1474)),S1474*M1468,SUM(B1474:F1474)*M1468)),2)))</f>
        <v>0</v>
      </c>
      <c r="N1474" s="64">
        <f>IF(B1474=0,0,IF(AND(H1460="ja",((U1474)&lt;R1485)),ROUND(((R1487*R1484+((R1485/(R1485-R1484))-(R1484/(R1485-R1484))*R1487)*((U1474)-R1484))*(N1468)),2),ROUND(IF(SUM(B1469:F1473)&lt;(SUM(S1469:S1473)),IF((SUM(B1469:F1474))&gt;(SUM(S1469:S1474)),(((SUM(S1469:S1474))-(SUM(B1469:F1474)-C1473))*N1468)+((SUM(B1474:F1474)-C1473)*N1468),SUM(B1474:F1474)*N1468),IF(SUM(B1469:F1474)&gt;(SUM(S1469:S1474)),S1474*N1468,SUM(B1474:F1474)*N1468)),2)))</f>
        <v>0</v>
      </c>
      <c r="O1474" s="21">
        <f>ROUND(SUM(B1474+C1474+F1474)*O1468,2)</f>
        <v>0</v>
      </c>
      <c r="P1474" s="25">
        <f t="shared" si="237"/>
        <v>0</v>
      </c>
      <c r="Q1474" s="456"/>
      <c r="R1474" s="140">
        <f>ROUND(IF(M1447="",R1463,R1463/M1447*P1451),2)</f>
        <v>5175</v>
      </c>
      <c r="S1474" s="140">
        <f>ROUND(IF(M1447="",R1464,R1464/M1447*P1451),2)</f>
        <v>7450</v>
      </c>
      <c r="U1474" s="950">
        <f t="shared" si="238"/>
        <v>0</v>
      </c>
      <c r="V1474" s="950">
        <f>SUM(B1469:F1474)</f>
        <v>0</v>
      </c>
    </row>
    <row r="1475" spans="1:24" s="1" customFormat="1" x14ac:dyDescent="0.2">
      <c r="A1475" s="76" t="str">
        <f>CONCATENATE("Jul ",O1445)</f>
        <v>Jul 2025</v>
      </c>
      <c r="B1475" s="22">
        <f>ROUND(IF(P1452=0,0,IFERROR(((LOOKUP(2,1/(A1454:A1457=A1475),G1454:G1457))*P1452*4.348),B1474/P1451*P1452)),2)</f>
        <v>0</v>
      </c>
      <c r="C1475" s="21">
        <f>ROUND(IFERROR((LOOKUP(2,1/(A1460=A1475),E1460)),0)+IFERROR((LOOKUP(2,1/(A1461=A1475),E1461)),0),2)</f>
        <v>0</v>
      </c>
      <c r="D1475" s="21">
        <f>ROUND(IF(B1475=0,0,D1468/M1447*P1452),2)</f>
        <v>0</v>
      </c>
      <c r="E1475" s="21">
        <f>ROUND(IF(B1475=0,0,E1468/N1443*P1452),2)</f>
        <v>0</v>
      </c>
      <c r="F1475" s="22">
        <f>ROUND(IF(P1452=0,0,IFERROR(((LOOKUP(2,1/(A1454:A1457=A1475),I1454:I1457))/N1443*P1452),F1474/P1451*P1452)),2)</f>
        <v>0</v>
      </c>
      <c r="G1475" s="25">
        <f t="shared" si="236"/>
        <v>0</v>
      </c>
      <c r="H1475" s="64">
        <f>IF(B1475=0,0,IF(AND(H1460="ja",((U1475)&lt;R1485)),ROUND(((R1487*R1484+((R1485/(R1485-R1484))-(R1484/(R1485-R1484))*R1487)*((U1475)-R1484))*(H1468*2))-(((R1485/(R1485-R1484))*((U1475)-R1484))*H1468),2),ROUND(IF(V1474&lt;(SUM(R1469:R1474)),IF((V1475)&gt;(SUM(R1469:R1475)),(((SUM(R1469:R1475))-(V1475-C1474))*H1468)+((U1475-C1474)*H1468),U1475*H1468),IF(V1475&gt;(SUM(R1469:R1475)),R1475*H1468,U1475*H1468)),2)))</f>
        <v>0</v>
      </c>
      <c r="I1475" s="64">
        <f>IF(B1475=0,0,IF(AND(H1460="ja",((U1475)&lt;R1485)),ROUND(((R1487*R1484+((R1485/(R1485-R1484))-(R1484/(R1485-R1484))*R1487)*((U1475)-R1484))*(I1468*2))-(((R1485/(R1485-R1484))*((U1475)-R1484))*I1468),2),ROUND(IF(V1474&lt;(SUM(S1469:S1474)),IF((V1475)&gt;(SUM(S1469:S1475)),(((SUM(S1469:S1475))-(V1475-C1474))*I1468)+((U1475-C1474)*I1468),U1475*I1468),IF(V1475&gt;(SUM(S1469:S1475)),S1475*I1468,U1475*I1468)),2)))</f>
        <v>0</v>
      </c>
      <c r="J1475" s="64">
        <f>IF(B1475=0,0,IF(AND(H1460="ja",((U1475)&lt;R1485)),ROUND(((R1487*R1484+((R1485/(R1485-R1484))-(R1484/(R1485-R1484))*R1487)*((U1475)-R1484))*(J1468*2))-(((R1485/(R1485-R1484))*((U1475)-R1484))*J1468),2),ROUND(IF(V1474&lt;(SUM(S1469:S1474)),IF((V1475)&gt;(SUM(S1469:S1475)),(((SUM(S1469:S1475))-(V1475-C1474))*J1468)+((U1475-C1474)*J1468),U1475*J1468),IF(V1475&gt;(SUM(S1469:S1475)),S1475*J1468,U1475*J1468)),2)))</f>
        <v>0</v>
      </c>
      <c r="K1475" s="64">
        <f>IF(B1475=0,0,IF(AND(H1460="ja",((U1475)&lt;R1485)),ROUND(((R1487*R1484+((R1485/(R1485-R1484))-(R1484/(R1485-R1484))*R1487)*((U1475)-R1484))*(K1468*2))-(((R1485/(R1485-R1484))*((U1475)-R1484))*K1468),2),ROUND(IF(V1474&lt;(SUM(R1469:R1474)),IF((V1475)&gt;(SUM(R1469:R1475)),(((SUM(R1469:R1475))-(V1475-C1474))*K1468)+((U1475-C1474)*K1468),U1475*K1468),IF(V1475&gt;(SUM(R1469:R1475)),R1475*K1468,U1475*K1468)),2)))</f>
        <v>0</v>
      </c>
      <c r="L1475" s="64">
        <f>IF(B1475=0,0,IF(AND(H1460="ja",((U1475-C1475)&lt;R1485)),ROUND(((R1487*R1484+((R1485/(R1485-R1484))-(R1484/(R1485-R1484))*R1487)*((U1475-C1475)-R1484))*(L1468)),2),ROUND(IF(SUM(B1469:F1474)&lt;(SUM(S1469:S1474)),IF((SUM(B1469:F1475))&gt;(SUM(S1469:S1475)),(((SUM(S1469:S1475))-(SUM(B1469:F1475)-C1475))*L1468)+((SUM(B1475:F1475)-C1475)*L1468),(SUM(B1475:F1475)-C1475)*L1468),IF(SUM(B1469:F1475)&gt;(SUM(S1469:S1475)),S1475*L1468,SUM(B1475:F1475)*L1468)),2)))</f>
        <v>0</v>
      </c>
      <c r="M1475" s="64">
        <f>IF(B1475=0,0,IF(AND(H1460="ja",((U1475-C1475)&lt;R1485)),ROUND(((R1487*R1484+((R1485/(R1485-R1484))-(R1484/(R1485-R1484))*R1487)*((U1475-C1475)-R1484))*(M1468)),2),ROUND(IF(SUM(B1469:F1474)&lt;(SUM(S1469:S1474)),IF((SUM(B1469:F1475))&gt;(SUM(S1469:S1475)),(((SUM(S1469:S1475))-(SUM(B1469:F1475)-C1475))*M1468)+((SUM(B1475:F1475)-C1475)*M1468),(SUM(B1475:F1475)-C1475)*M1468),IF(SUM(B1469:F1475)&gt;(SUM(S1469:S1475)),S1475*M1468,SUM(B1475:F1475)*M1468)),2)))</f>
        <v>0</v>
      </c>
      <c r="N1475" s="64">
        <f>IF(B1475=0,0,IF(AND(H1460="ja",((U1475)&lt;R1485)),ROUND(((R1487*R1484+((R1485/(R1485-R1484))-(R1484/(R1485-R1484))*R1487)*((U1475)-R1484))*(N1468)),2),ROUND(IF(SUM(B1469:F1474)&lt;(SUM(S1469:S1474)),IF((SUM(B1469:F1475))&gt;(SUM(S1469:S1475)),(((SUM(S1469:S1475))-(SUM(B1469:F1475)-C1474))*N1468)+((SUM(B1475:F1475)-C1474)*N1468),SUM(B1475:F1475)*N1468),IF(SUM(B1469:F1475)&gt;(SUM(S1469:S1475)),S1475*N1468,SUM(B1475:F1475)*N1468)),2)))</f>
        <v>0</v>
      </c>
      <c r="O1475" s="21">
        <f>ROUND(SUM(B1475+C1475+F1475)*O1468,2)</f>
        <v>0</v>
      </c>
      <c r="P1475" s="25">
        <f t="shared" si="237"/>
        <v>0</v>
      </c>
      <c r="Q1475" s="456"/>
      <c r="R1475" s="140">
        <f>ROUND(IF(M1447="",R1463,R1463/M1447*P1452),2)</f>
        <v>5175</v>
      </c>
      <c r="S1475" s="140">
        <f>ROUND(IF(M1447="",R1464,R1464/M1447*P1452),2)</f>
        <v>7450</v>
      </c>
      <c r="U1475" s="950">
        <f t="shared" si="238"/>
        <v>0</v>
      </c>
      <c r="V1475" s="950">
        <f>SUM(B1469:F1475)</f>
        <v>0</v>
      </c>
    </row>
    <row r="1476" spans="1:24" s="1" customFormat="1" x14ac:dyDescent="0.2">
      <c r="A1476" s="76" t="str">
        <f>CONCATENATE("Aug ",O1445)</f>
        <v>Aug 2025</v>
      </c>
      <c r="B1476" s="22">
        <f>ROUND(IF(P1453=0,0,IFERROR(((LOOKUP(2,1/(A1454:A1457=A1476),G1454:G1457))*P1453*4.348),B1475/P1452*P1453)),2)</f>
        <v>0</v>
      </c>
      <c r="C1476" s="21">
        <f>ROUND(IFERROR((LOOKUP(2,1/(A1460=A1476),E1460)),0)+IFERROR((LOOKUP(2,1/(A1461=A1476),E1461)),0),2)</f>
        <v>0</v>
      </c>
      <c r="D1476" s="21">
        <f>ROUND(IF(B1476=0,0,D1468/M1447*P1453),2)</f>
        <v>0</v>
      </c>
      <c r="E1476" s="21">
        <f>ROUND(IF(B1476=0,0,E1468/N1443*P1453),2)</f>
        <v>0</v>
      </c>
      <c r="F1476" s="22">
        <f>ROUND(IF(P1453=0,0,IFERROR(((LOOKUP(2,1/(A1454:A1457=A1476),I1454:I1457))/N1443*P1453),F1475/P1452*P1453)),2)</f>
        <v>0</v>
      </c>
      <c r="G1476" s="25">
        <f t="shared" si="236"/>
        <v>0</v>
      </c>
      <c r="H1476" s="64">
        <f>IF(B1476=0,0,IF(AND(H1460="ja",((U1476)&lt;R1485)),ROUND(((R1487*R1484+((R1485/(R1485-R1484))-(R1484/(R1485-R1484))*R1487)*((U1476)-R1484))*(H1468*2))-(((R1485/(R1485-R1484))*((U1476)-R1484))*H1468),2),ROUND(IF(V1475&lt;(SUM(R1469:R1475)),IF((V1476)&gt;(SUM(R1469:R1476)),(((SUM(R1469:R1476))-(V1476-C1475))*H1468)+((U1476-C1475)*H1468),U1476*H1468),IF(V1476&gt;(SUM(R1469:R1476)),R1476*H1468,U1476*H1468)),2)))</f>
        <v>0</v>
      </c>
      <c r="I1476" s="64">
        <f>IF(B1476=0,0,IF(AND(H1460="ja",((U1476)&lt;R1485)),ROUND(((R1487*R1484+((R1485/(R1485-R1484))-(R1484/(R1485-R1484))*R1487)*((U1476)-R1484))*(I1468*2))-(((R1485/(R1485-R1484))*((U1476)-R1484))*I1468),2),ROUND(IF(V1475&lt;(SUM(S1469:S1475)),IF((V1476)&gt;(SUM(S1469:S1476)),(((SUM(S1469:S1476))-(V1476-C1475))*I1468)+((U1476-C1475)*I1468),U1476*I1468),IF(V1476&gt;(SUM(S1469:S1476)),S1476*I1468,U1476*I1468)),2)))</f>
        <v>0</v>
      </c>
      <c r="J1476" s="64">
        <f>IF(B1476=0,0,IF(AND(H1460="ja",((U1476)&lt;R1485)),ROUND(((R1487*R1484+((R1485/(R1485-R1484))-(R1484/(R1485-R1484))*R1487)*((U1476)-R1484))*(J1468*2))-(((R1485/(R1485-R1484))*((U1476)-R1484))*J1468),2),ROUND(IF(V1475&lt;(SUM(S1469:S1475)),IF((V1476)&gt;(SUM(S1469:S1476)),(((SUM(S1469:S1476))-(V1476-C1475))*J1468)+((U1476-C1475)*J1468),U1476*J1468),IF(V1476&gt;(SUM(S1469:S1476)),S1476*J1468,U1476*J1468)),2)))</f>
        <v>0</v>
      </c>
      <c r="K1476" s="64">
        <f>IF(B1476=0,0,IF(AND(H1460="ja",((U1476)&lt;R1485)),ROUND(((R1487*R1484+((R1485/(R1485-R1484))-(R1484/(R1485-R1484))*R1487)*((U1476)-R1484))*(K1468*2))-(((R1485/(R1485-R1484))*((U1476)-R1484))*K1468),2),ROUND(IF(V1475&lt;(SUM(R1469:R1475)),IF((V1476)&gt;(SUM(R1469:R1476)),(((SUM(R1469:R1476))-(V1476-C1475))*K1468)+((U1476-C1475)*K1468),U1476*K1468),IF(V1476&gt;(SUM(R1469:R1476)),R1476*K1468,U1476*K1468)),2)))</f>
        <v>0</v>
      </c>
      <c r="L1476" s="64">
        <f>IF(B1476=0,0,IF(AND(H1460="ja",((U1476-C1476)&lt;R1485)),ROUND(((R1487*R1484+((R1485/(R1485-R1484))-(R1484/(R1485-R1484))*R1487)*((U1476-C1476)-R1484))*(L1468)),2),ROUND(IF(SUM(B1469:F1475)&lt;(SUM(S1469:S1475)),IF((SUM(B1469:F1476))&gt;(SUM(S1469:S1476)),(((SUM(S1469:S1476))-(SUM(B1469:F1476)-C1476))*L1468)+((SUM(B1476:F1476)-C1476)*L1468),(SUM(B1476:F1476)-C1476)*L1468),IF(SUM(B1469:F1476)&gt;(SUM(S1469:S1476)),S1476*L1468,SUM(B1476:F1476)*L1468)),2)))</f>
        <v>0</v>
      </c>
      <c r="M1476" s="64">
        <f>IF(B1476=0,0,IF(AND(H1460="ja",((U1476-C1476)&lt;R1485)),ROUND(((R1487*R1484+((R1485/(R1485-R1484))-(R1484/(R1485-R1484))*R1487)*((U1476-C1476)-R1484))*(M1468)),2),ROUND(IF(SUM(B1469:F1475)&lt;(SUM(S1469:S1475)),IF((SUM(B1469:F1476))&gt;(SUM(S1469:S1476)),(((SUM(S1469:S1476))-(SUM(B1469:F1476)-C1476))*M1468)+((SUM(B1476:F1476)-C1476)*M1468),(SUM(B1476:F1476)-C1476)*M1468),IF(SUM(B1469:F1476)&gt;(SUM(S1469:S1476)),S1476*M1468,SUM(B1476:F1476)*M1468)),2)))</f>
        <v>0</v>
      </c>
      <c r="N1476" s="64">
        <f>IF(B1476=0,0,IF(AND(H1460="ja",((U1476)&lt;R1485)),ROUND(((R1487*R1484+((R1485/(R1485-R1484))-(R1484/(R1485-R1484))*R1487)*((U1476)-R1484))*(N1468)),2),ROUND(IF(SUM(B1469:F1475)&lt;(SUM(S1469:S1475)),IF((SUM(B1469:F1476))&gt;(SUM(S1469:S1476)),(((SUM(S1469:S1476))-(SUM(B1469:F1476)-C1475))*N1468)+((SUM(B1476:F1476)-C1475)*N1468),SUM(B1476:F1476)*N1468),IF(SUM(B1469:F1476)&gt;(SUM(S1469:S1476)),S1476*N1468,SUM(B1476:F1476)*N1468)),2)))</f>
        <v>0</v>
      </c>
      <c r="O1476" s="21">
        <f>ROUND(SUM(B1476+C1476+F1476)*O1468,2)</f>
        <v>0</v>
      </c>
      <c r="P1476" s="25">
        <f t="shared" si="237"/>
        <v>0</v>
      </c>
      <c r="Q1476" s="456"/>
      <c r="R1476" s="140">
        <f>ROUND(IF(M1447="",R1463,R1463/M1447*P1453),2)</f>
        <v>5175</v>
      </c>
      <c r="S1476" s="140">
        <f>ROUND(IF(M1447="",R1464,R1464/M1447*P1453),2)</f>
        <v>7450</v>
      </c>
      <c r="U1476" s="950">
        <f t="shared" si="238"/>
        <v>0</v>
      </c>
      <c r="V1476" s="950">
        <f>SUM(B1469:F1476)</f>
        <v>0</v>
      </c>
    </row>
    <row r="1477" spans="1:24" s="1" customFormat="1" x14ac:dyDescent="0.2">
      <c r="A1477" s="76" t="str">
        <f>CONCATENATE("Sep ",O1445)</f>
        <v>Sep 2025</v>
      </c>
      <c r="B1477" s="22">
        <f>ROUND(IF(P1454=0,0,IFERROR(((LOOKUP(2,1/(A1454:A1457=A1477),G1454:G1457))*P1454*4.348),B1476/P1453*P1454)),2)</f>
        <v>0</v>
      </c>
      <c r="C1477" s="21">
        <f>ROUND(IFERROR((LOOKUP(2,1/(A1460=A1477),E1460)),0)+IFERROR((LOOKUP(2,1/(A1461=A1477),E1461)),0),2)</f>
        <v>0</v>
      </c>
      <c r="D1477" s="21">
        <f>ROUND(IF(B1477=0,0,D1468/M1447*P1454),2)</f>
        <v>0</v>
      </c>
      <c r="E1477" s="21">
        <f>ROUND(IF(B1477=0,0,E1468/N1443*P1454),2)</f>
        <v>0</v>
      </c>
      <c r="F1477" s="22">
        <f>ROUND(IF(P1454=0,0,IFERROR(((LOOKUP(2,1/(A1454:A1457=A1477),I1454:I1457))/N1443*P1454),F1476/P1453*P1454)),2)</f>
        <v>0</v>
      </c>
      <c r="G1477" s="25">
        <f t="shared" si="236"/>
        <v>0</v>
      </c>
      <c r="H1477" s="64">
        <f>IF(B1477=0,0,IF(AND(H1460="ja",((U1477)&lt;R1485)),ROUND(((R1487*R1484+((R1485/(R1485-R1484))-(R1484/(R1485-R1484))*R1487)*((U1477)-R1484))*(H1468*2))-(((R1485/(R1485-R1484))*((U1477)-R1484))*H1468),2),ROUND(IF(V1476&lt;(SUM(R1469:R1476)),IF((V1477)&gt;(SUM(R1469:R1477)),(((SUM(R1469:R1477))-(V1477-C1476))*H1468)+((U1477-C1476)*H1468),U1477*H1468),IF(V1477&gt;(SUM(R1469:R1477)),R1477*H1468,U1477*H1468)),2)))</f>
        <v>0</v>
      </c>
      <c r="I1477" s="64">
        <f>IF(B1477=0,0,IF(AND(H1460="ja",((U1477)&lt;R1485)),ROUND(((R1487*R1484+((R1485/(R1485-R1484))-(R1484/(R1485-R1484))*R1487)*((U1477)-R1484))*(I1468*2))-(((R1485/(R1485-R1484))*((U1477)-R1484))*I1468),2),ROUND(IF(V1476&lt;(SUM(S1469:S1476)),IF((V1477)&gt;(SUM(S1469:S1477)),(((SUM(S1469:S1477))-(V1477-C1476))*I1468)+((U1477-C1476)*I1468),U1477*I1468),IF(V1477&gt;(SUM(S1469:S1477)),S1477*I1468,U1477*I1468)),2)))</f>
        <v>0</v>
      </c>
      <c r="J1477" s="64">
        <f>IF(B1477=0,0,IF(AND(H1460="ja",((U1477)&lt;R1485)),ROUND(((R1487*R1484+((R1485/(R1485-R1484))-(R1484/(R1485-R1484))*R1487)*((U1477)-R1484))*(J1468*2))-(((R1485/(R1485-R1484))*((U1477)-R1484))*J1468),2),ROUND(IF(V1476&lt;(SUM(S1469:S1476)),IF((V1477)&gt;(SUM(S1469:S1477)),(((SUM(S1469:S1477))-(V1477-C1476))*J1468)+((U1477-C1476)*J1468),U1477*J1468),IF(V1477&gt;(SUM(S1469:S1477)),S1477*J1468,U1477*J1468)),2)))</f>
        <v>0</v>
      </c>
      <c r="K1477" s="64">
        <f>IF(B1477=0,0,IF(AND(H1460="ja",((U1477)&lt;R1485)),ROUND(((R1487*R1484+((R1485/(R1485-R1484))-(R1484/(R1485-R1484))*R1487)*((U1477)-R1484))*(K1468*2))-(((R1485/(R1485-R1484))*((U1477)-R1484))*K1468),2),ROUND(IF(V1476&lt;(SUM(R1469:R1476)),IF((V1477)&gt;(SUM(R1469:R1477)),(((SUM(R1469:R1477))-(V1477-C1476))*K1468)+((U1477-C1476)*K1468),U1477*K1468),IF(V1477&gt;(SUM(R1469:R1477)),R1477*K1468,U1477*K1468)),2)))</f>
        <v>0</v>
      </c>
      <c r="L1477" s="64">
        <f>IF(B1477=0,0,IF(AND(H1460="ja",((U1477-C1477)&lt;R1485)),ROUND(((R1487*R1484+((R1485/(R1485-R1484))-(R1484/(R1485-R1484))*R1487)*((U1477-C1477)-R1484))*(L1468)),2),ROUND(IF(SUM(B1469:F1476)&lt;(SUM(S1469:S1476)),IF((SUM(B1469:F1477))&gt;(SUM(S1469:S1477)),(((SUM(S1469:S1477))-(SUM(B1469:F1477)-C1477))*L1468)+((SUM(B1477:F1477)-C1477)*L1468),(SUM(B1477:F1477)-C1477)*L1468),IF(SUM(B1469:F1477)&gt;(SUM(S1469:S1477)),S1477*L1468,SUM(B1477:F1477)*L1468)),2)))</f>
        <v>0</v>
      </c>
      <c r="M1477" s="64">
        <f>IF(B1477=0,0,IF(AND(H1460="ja",((U1477-C1477)&lt;R1485)),ROUND(((R1487*R1484+((R1485/(R1485-R1484))-(R1484/(R1485-R1484))*R1487)*((U1477-C1477)-R1484))*(M1468)),2),ROUND(IF(SUM(B1469:F1476)&lt;(SUM(S1469:S1476)),IF((SUM(B1469:F1477))&gt;(SUM(S1469:S1477)),(((SUM(S1469:S1477))-(SUM(B1469:F1477)-C1477))*M1468)+((SUM(B1477:F1477)-C1477)*M1468),(SUM(B1477:F1477)-C1477)*M1468),IF(SUM(B1469:F1477)&gt;(SUM(S1469:S1477)),S1477*M1468,SUM(B1477:F1477)*M1468)),2)))</f>
        <v>0</v>
      </c>
      <c r="N1477" s="64">
        <f>IF(B1477=0,0,IF(AND(H1460="ja",((U1477)&lt;R1485)),ROUND(((R1487*R1484+((R1485/(R1485-R1484))-(R1484/(R1485-R1484))*R1487)*((U1477)-R1484))*(N1468)),2),ROUND(IF(SUM(B1469:F1476)&lt;(SUM(S1469:S1476)),IF((SUM(B1469:F1477))&gt;(SUM(S1469:S1477)),(((SUM(S1469:S1477))-(SUM(B1469:F1477)-C1476))*N1468)+((SUM(B1477:F1477)-C1476)*N1468),SUM(B1477:F1477)*N1468),IF(SUM(B1469:F1477)&gt;(SUM(S1469:S1477)),S1477*N1468,SUM(B1477:F1477)*N1468)),2)))</f>
        <v>0</v>
      </c>
      <c r="O1477" s="21">
        <f>ROUND(SUM(B1477+C1477+F1477)*O1468,2)</f>
        <v>0</v>
      </c>
      <c r="P1477" s="25">
        <f t="shared" si="237"/>
        <v>0</v>
      </c>
      <c r="Q1477" s="456"/>
      <c r="R1477" s="140">
        <f>ROUND(IF(M1447="",R1463,R1463/M1447*P1454),2)</f>
        <v>5175</v>
      </c>
      <c r="S1477" s="140">
        <f>ROUND(IF(M1447="",R1464,R1464/M1447*P1454),2)</f>
        <v>7450</v>
      </c>
      <c r="U1477" s="950">
        <f t="shared" si="238"/>
        <v>0</v>
      </c>
      <c r="V1477" s="950">
        <f>SUM(B1469:F1477)</f>
        <v>0</v>
      </c>
    </row>
    <row r="1478" spans="1:24" s="12" customFormat="1" ht="15" x14ac:dyDescent="0.25">
      <c r="A1478" s="76" t="str">
        <f>CONCATENATE("Okt ",O1445)</f>
        <v>Okt 2025</v>
      </c>
      <c r="B1478" s="22">
        <f>ROUND(IF(P1455=0,0,IFERROR(((LOOKUP(2,1/(A1454:A1457=A1478),G1454:G1457))*P1455*4.348),B1477/P1454*P1455)),2)</f>
        <v>0</v>
      </c>
      <c r="C1478" s="21">
        <f>ROUND(IFERROR((LOOKUP(2,1/(A1460=A1478),E1460)),0)+IFERROR((LOOKUP(2,1/(A1461=A1478),E1461)),0),2)</f>
        <v>0</v>
      </c>
      <c r="D1478" s="21">
        <f>ROUND(IF(B1478=0,0,D1468/M1447*P1455),2)</f>
        <v>0</v>
      </c>
      <c r="E1478" s="21">
        <f>ROUND(IF(B1478=0,0,E1468/N1443*P1455),2)</f>
        <v>0</v>
      </c>
      <c r="F1478" s="22">
        <f>ROUND(IF(P1455=0,0,IFERROR(((LOOKUP(2,1/(A1454:A1457=A1478),I1454:I1457))/N1443*P1455),F1477/P1454*P1455)),2)</f>
        <v>0</v>
      </c>
      <c r="G1478" s="25">
        <f t="shared" si="236"/>
        <v>0</v>
      </c>
      <c r="H1478" s="64">
        <f>IF(B1478=0,0,IF(AND(H1460="ja",((U1478)&lt;R1485)),ROUND(((R1487*R1484+((R1485/(R1485-R1484))-(R1484/(R1485-R1484))*R1487)*((U1478)-R1484))*(H1468*2))-(((R1485/(R1485-R1484))*((U1478)-R1484))*H1468),2),ROUND(IF(V1477&lt;(SUM(R1469:R1477)),IF((V1478)&gt;(SUM(R1469:R1478)),(((SUM(R1469:R1478))-(V1478-C1477))*H1468)+((U1478-C1477)*H1468),U1478*H1468),IF(V1478&gt;(SUM(R1469:R1478)),R1478*H1468,U1478*H1468)),2)))</f>
        <v>0</v>
      </c>
      <c r="I1478" s="64">
        <f>IF(B1478=0,0,IF(AND(H1460="ja",((U1478)&lt;R1485)),ROUND(((R1487*R1484+((R1485/(R1485-R1484))-(R1484/(R1485-R1484))*R1487)*((U1478)-R1484))*(I1468*2))-(((R1485/(R1485-R1484))*((U1478)-R1484))*I1468),2),ROUND(IF(V1477&lt;(SUM(S1469:S1477)),IF((V1478)&gt;(SUM(S1469:S1478)),(((SUM(S1469:S1478))-(V1478-C1477))*I1468)+((U1478-C1477)*I1468),U1478*I1468),IF(V1478&gt;(SUM(S1469:S1478)),S1478*I1468,U1478*I1468)),2)))</f>
        <v>0</v>
      </c>
      <c r="J1478" s="64">
        <f>IF(B1478=0,0,IF(AND(H1460="ja",((U1478)&lt;R1485)),ROUND(((R1487*R1484+((R1485/(R1485-R1484))-(R1484/(R1485-R1484))*R1487)*((U1478)-R1484))*(J1468*2))-(((R1485/(R1485-R1484))*((U1478)-R1484))*J1468),2),ROUND(IF(V1477&lt;(SUM(S1469:S1477)),IF((V1478)&gt;(SUM(S1469:S1478)),(((SUM(S1469:S1478))-(V1478-C1477))*J1468)+((U1478-C1477)*J1468),U1478*J1468),IF(V1478&gt;(SUM(S1469:S1478)),S1478*J1468,U1478*J1468)),2)))</f>
        <v>0</v>
      </c>
      <c r="K1478" s="64">
        <f>IF(B1478=0,0,IF(AND(H1460="ja",((U1478)&lt;R1485)),ROUND(((R1487*R1484+((R1485/(R1485-R1484))-(R1484/(R1485-R1484))*R1487)*((U1478)-R1484))*(K1468*2))-(((R1485/(R1485-R1484))*((U1478)-R1484))*K1468),2),ROUND(IF(V1477&lt;(SUM(R1469:R1477)),IF((V1478)&gt;(SUM(R1469:R1478)),(((SUM(R1469:R1478))-(V1478-C1477))*K1468)+((U1478-C1477)*K1468),U1478*K1468),IF(V1478&gt;(SUM(R1469:R1478)),R1478*K1468,U1478*K1468)),2)))</f>
        <v>0</v>
      </c>
      <c r="L1478" s="64">
        <f>IF(B1478=0,0,IF(AND(H1460="ja",((U1478-C1478)&lt;R1485)),ROUND(((R1487*R1484+((R1485/(R1485-R1484))-(R1484/(R1485-R1484))*R1487)*((U1478-C1478)-R1484))*(L1468)),2),ROUND(IF(SUM(B1469:F1477)&lt;(SUM(S1469:S1477)),IF((SUM(B1469:F1478))&gt;(SUM(S1469:S1478)),(((SUM(S1469:S1478))-(SUM(B1469:F1478)-C1478))*L1468)+((SUM(B1478:F1478)-C1478)*L1468),(SUM(B1478:F1478)-C1478)*L1468),IF(SUM(B1469:F1478)&gt;(SUM(S1469:S1478)),S1478*L1468,SUM(B1478:F1478)*L1468)),2)))</f>
        <v>0</v>
      </c>
      <c r="M1478" s="64">
        <f>IF(B1478=0,0,IF(AND(H1460="ja",((U1478-C1478)&lt;R1485)),ROUND(((R1487*R1484+((R1485/(R1485-R1484))-(R1484/(R1485-R1484))*R1487)*((U1478-C1478)-R1484))*(M1468)),2),ROUND(IF(SUM(B1469:F1477)&lt;(SUM(S1469:S1477)),IF((SUM(B1469:F1478))&gt;(SUM(S1469:S1478)),(((SUM(S1469:S1478))-(SUM(B1469:F1478)-C1478))*M1468)+((SUM(B1478:F1478)-C1478)*M1468),(SUM(B1478:F1478)-C1478)*M1468),IF(SUM(B1469:F1478)&gt;(SUM(S1469:S1478)),S1478*M1468,SUM(B1478:F1478)*M1468)),2)))</f>
        <v>0</v>
      </c>
      <c r="N1478" s="64">
        <f>IF(B1478=0,0,IF(AND(H1460="ja",((U1478)&lt;R1485)),ROUND(((R1487*R1484+((R1485/(R1485-R1484))-(R1484/(R1485-R1484))*R1487)*((U1478)-R1484))*(N1468)),2),ROUND(IF(SUM(B1469:F1477)&lt;(SUM(S1469:S1477)),IF((SUM(B1469:F1478))&gt;(SUM(S1469:S1478)),(((SUM(S1469:S1478))-(SUM(B1469:F1478)-C1477))*N1468)+((SUM(B1478:F1478)-C1477)*N1468),SUM(B1478:F1478)*N1468),IF(SUM(B1469:F1478)&gt;(SUM(S1469:S1478)),S1478*N1468,SUM(B1478:F1478)*N1468)),2)))</f>
        <v>0</v>
      </c>
      <c r="O1478" s="21">
        <f>ROUND(SUM(B1478+C1478+F1478)*O1468,2)</f>
        <v>0</v>
      </c>
      <c r="P1478" s="25">
        <f t="shared" si="237"/>
        <v>0</v>
      </c>
      <c r="Q1478" s="936"/>
      <c r="R1478" s="140">
        <f>ROUND(IF(M1447="",R1463,R1463/M1447*P1455),2)</f>
        <v>5175</v>
      </c>
      <c r="S1478" s="140">
        <f>ROUND(IF(M1447="",R1464,R1464/M1447*P1455),2)</f>
        <v>7450</v>
      </c>
      <c r="U1478" s="950">
        <f t="shared" si="238"/>
        <v>0</v>
      </c>
      <c r="V1478" s="950">
        <f>SUM(B1469:F1478)</f>
        <v>0</v>
      </c>
      <c r="X1478" s="1"/>
    </row>
    <row r="1479" spans="1:24" s="11" customFormat="1" x14ac:dyDescent="0.2">
      <c r="A1479" s="76" t="str">
        <f>CONCATENATE("Nov ",O1445)</f>
        <v>Nov 2025</v>
      </c>
      <c r="B1479" s="22">
        <f>ROUND(IF(P1456=0,0,IFERROR(((LOOKUP(2,1/(A1454:A1457=A1479),G1454:G1457))*P1456*4.348),B1478/P1455*P1456)),2)</f>
        <v>0</v>
      </c>
      <c r="C1479" s="21">
        <f>ROUND(IFERROR((LOOKUP(2,1/(A1460=A1479),E1460)),0)+(IFERROR((LOOKUP(2,1/(A1461=A1479),E1461)),0)),2)</f>
        <v>0</v>
      </c>
      <c r="D1479" s="21">
        <f>ROUND(IF(B1479=0,0,D1468/M1447*P1456),2)</f>
        <v>0</v>
      </c>
      <c r="E1479" s="21">
        <f>ROUND(IF(B1479=0,0,E1468/N1443*P1456),2)</f>
        <v>0</v>
      </c>
      <c r="F1479" s="22">
        <f>ROUND(IF(P1456=0,0,IFERROR(((LOOKUP(2,1/(A1454:A1457=A1479),I1454:I1457))/N1443*P1456),F1478/P1455*P1456)),2)</f>
        <v>0</v>
      </c>
      <c r="G1479" s="25">
        <f t="shared" si="236"/>
        <v>0</v>
      </c>
      <c r="H1479" s="64">
        <f>IF(B1479=0,0,IF(AND(H1460="ja",((U1479)&lt;R1485)),ROUND(((R1487*R1484+((R1485/(R1485-R1484))-(R1484/(R1485-R1484))*R1487)*((U1479)-R1484))*(H1468*2))-(((R1485/(R1485-R1484))*((U1479)-R1484))*H1468),2),ROUND(IF(V1478&lt;(SUM(R1469:R1478)),IF((V1479)&gt;(SUM(R1469:R1479)),(((SUM(R1469:R1479))-(V1479-C1478))*H1468)+((U1479-C1478)*H1468),U1479*H1468),IF(V1479&gt;(SUM(R1469:R1479)),R1479*H1468,U1479*H1468)),2)))</f>
        <v>0</v>
      </c>
      <c r="I1479" s="64">
        <f>IF(B1479=0,0,IF(AND(H1460="ja",((U1479)&lt;R1485)),ROUND(((R1487*R1484+((R1485/(R1485-R1484))-(R1484/(R1485-R1484))*R1487)*((U1479)-R1484))*(I1468*2))-(((R1485/(R1485-R1484))*((U1479)-R1484))*I1468),2),ROUND(IF(V1478&lt;(SUM(S1469:S1478)),IF((V1479)&gt;(SUM(S1469:S1479)),(((SUM(S1469:S1479))-(V1479-C1478))*I1468)+((U1479-C1478)*I1468),U1479*I1468),IF(V1479&gt;(SUM(S1469:S1479)),S1479*I1468,U1479*I1468)),2)))</f>
        <v>0</v>
      </c>
      <c r="J1479" s="64">
        <f>IF(B1479=0,0,IF(AND(H1460="ja",((U1479)&lt;R1485)),ROUND(((R1487*R1484+((R1485/(R1485-R1484))-(R1484/(R1485-R1484))*R1487)*((U1479)-R1484))*(J1468*2))-(((R1485/(R1485-R1484))*((U1479)-R1484))*J1468),2),ROUND(IF(V1478&lt;(SUM(S1469:S1478)),IF((V1479)&gt;(SUM(S1469:S1479)),(((SUM(S1469:S1479))-(V1479-C1478))*J1468)+((U1479-C1478)*J1468),U1479*J1468),IF(V1479&gt;(SUM(S1469:S1479)),S1479*J1468,U1479*J1468)),2)))</f>
        <v>0</v>
      </c>
      <c r="K1479" s="64">
        <f>IF(B1479=0,0,IF(AND(H1460="ja",((U1479)&lt;R1485)),ROUND(((R1487*R1484+((R1485/(R1485-R1484))-(R1484/(R1485-R1484))*R1487)*((U1479)-R1484))*(K1468*2))-(((R1485/(R1485-R1484))*((U1479)-R1484))*K1468),2),ROUND(IF(V1478&lt;(SUM(R1469:R1478)),IF((V1479)&gt;(SUM(R1469:R1479)),(((SUM(R1469:R1479))-(V1479-C1478))*K1468)+((U1479-C1478)*K1468),U1479*K1468),IF(V1479&gt;(SUM(R1469:R1479)),R1479*K1468,U1479*K1468)),2)))</f>
        <v>0</v>
      </c>
      <c r="L1479" s="64">
        <f>IF(B1479=0,0,IF(AND(H1460="ja",((U1479-C1479)&lt;R1485)),ROUND(((R1487*R1484+((R1485/(R1485-R1484))-(R1484/(R1485-R1484))*R1487)*((U1479-C1479)-R1484))*(L1468)),2),ROUND(IF(SUM(B1469:F1478)&lt;(SUM(S1469:S1478)),IF((SUM(B1469:F1479))&gt;(SUM(S1469:S1479)),(((SUM(S1469:S1479))-(SUM(B1469:F1479)-C1479))*L1468)+((SUM(B1479:F1479)-C1479)*L1468),(SUM(B1479:F1479)-C1479)*L1468),IF(SUM(B1469:F1479)&gt;(SUM(S1469:S1479)),S1479*L1468,SUM(B1479:F1479)*L1468)),2)))</f>
        <v>0</v>
      </c>
      <c r="M1479" s="64">
        <f>IF(B1479=0,0,IF(AND(H1460="ja",((U1479-C1479)&lt;R1485)),ROUND(((R1487*R1484+((R1485/(R1485-R1484))-(R1484/(R1485-R1484))*R1487)*((U1479-C1479)-R1484))*(M1468)),2),ROUND(IF(SUM(B1469:F1478)&lt;(SUM(S1469:S1478)),IF((SUM(B1469:F1479))&gt;(SUM(S1469:S1479)),(((SUM(S1469:S1479))-(SUM(B1469:F1479)-C1479))*M1468)+((SUM(B1479:F1479)-C1479)*M1468),(SUM(B1479:F1479)-C1479)*M1468),IF(SUM(B1469:F1479)&gt;(SUM(S1469:S1479)),S1479*M1468,SUM(B1479:F1479)*M1468)),2)))</f>
        <v>0</v>
      </c>
      <c r="N1479" s="64">
        <f>IF(B1479=0,0,IF(AND(H1460="ja",((U1479)&lt;R1485)),ROUND(((R1487*R1484+((R1485/(R1485-R1484))-(R1484/(R1485-R1484))*R1487)*((U1479)-R1484))*(N1468)),2),ROUND(IF(SUM(B1469:F1478)&lt;(SUM(S1469:S1478)),IF((SUM(B1469:F1479))&gt;(SUM(S1469:S1479)),(((SUM(S1469:S1479))-(SUM(B1469:F1479)-C1478))*N1468)+((SUM(B1479:F1479)-C1478)*N1468),SUM(B1479:F1479)*N1468),IF(SUM(B1469:F1479)&gt;(SUM(S1469:S1479)),S1479*N1468,SUM(B1479:F1479)*N1468)),2)))</f>
        <v>0</v>
      </c>
      <c r="O1479" s="21">
        <f>ROUND(SUM(B1479+C1479+F1479)*O1468,2)</f>
        <v>0</v>
      </c>
      <c r="P1479" s="25">
        <f t="shared" si="237"/>
        <v>0</v>
      </c>
      <c r="R1479" s="140">
        <f>ROUND(IF(M1447="",R1463,R1463/M1447*P1456),2)</f>
        <v>5175</v>
      </c>
      <c r="S1479" s="140">
        <f>ROUND(IF(M1447="",R1464,R1464/M1447*P1456),2)</f>
        <v>7450</v>
      </c>
      <c r="U1479" s="950">
        <f t="shared" si="238"/>
        <v>0</v>
      </c>
      <c r="V1479" s="950">
        <f>SUM(B1469:F1479)</f>
        <v>0</v>
      </c>
      <c r="X1479" s="1"/>
    </row>
    <row r="1480" spans="1:24" s="1" customFormat="1" ht="14.25" customHeight="1" x14ac:dyDescent="0.2">
      <c r="A1480" s="76" t="str">
        <f>CONCATENATE("Dez ",O1445)</f>
        <v>Dez 2025</v>
      </c>
      <c r="B1480" s="22">
        <f>ROUND(IF(P1457=0,0,IFERROR(((LOOKUP(2,1/(A1454:A1457=A1480),G1454:G1457))*P1457*4.348),B1479/P1456*P1457)),2)</f>
        <v>0</v>
      </c>
      <c r="C1480" s="21">
        <f>ROUND(IFERROR((LOOKUP(2,1/(A1460=A1480),E1460)),0)+IFERROR((LOOKUP(2,1/(A1461=A1480),E1461)),0),2)</f>
        <v>0</v>
      </c>
      <c r="D1480" s="21">
        <f>ROUND(IF(B1480=0,0,D1468/M1447*P1457),2)</f>
        <v>0</v>
      </c>
      <c r="E1480" s="21">
        <f>ROUND(IF(B1480=0,0,E1468/N1443*P1457),2)</f>
        <v>0</v>
      </c>
      <c r="F1480" s="22">
        <f>ROUND(IF(P1457=0,0,IFERROR(((LOOKUP(2,1/(A1454:A1457=A1480),I1454:I1457))/N1443*P1457),F1479/P1456*P1457)),2)</f>
        <v>0</v>
      </c>
      <c r="G1480" s="25">
        <f t="shared" si="236"/>
        <v>0</v>
      </c>
      <c r="H1480" s="64">
        <f>IF(B1480=0,0,IF(AND(H1460="ja",((U1480)&lt;R1485)),ROUND(((R1487*R1484+((R1485/(R1485-R1484))-(R1484/(R1485-R1484))*R1487)*((U1480)-R1484))*(H1468*2))-(((R1485/(R1485-R1484))*((U1480)-R1484))*H1468),2),ROUND(IF(V1479&lt;(SUM(R1469:R1479)),IF((V1480)&gt;(SUM(R1469:R1480)),(((SUM(R1469:R1480))-(V1480-C1479))*H1468)+((U1480-C1479)*H1468),U1480*H1468),IF(V1480&gt;(SUM(R1469:R1480)),R1480*H1468,U1480*H1468)),2)))</f>
        <v>0</v>
      </c>
      <c r="I1480" s="64">
        <f>IF(B1480=0,0,IF(AND(H1460="ja",((U1480)&lt;R1485)),ROUND(((R1487*R1484+((R1485/(R1485-R1484))-(R1484/(R1485-R1484))*R1487)*((U1480)-R1484))*(I1468*2))-(((R1485/(R1485-R1484))*((U1480)-R1484))*I1468),2),ROUND(IF(V1479&lt;(SUM(S1469:S1479)),IF((V1480)&gt;(SUM(S1469:S1480)),(((SUM(S1469:S1480))-(V1480-C1479))*I1468)+((U1480-C1479)*I1468),U1480*I1468),IF(V1480&gt;(SUM(S1469:S1480)),S1480*I1468,U1480*I1468)),2)))</f>
        <v>0</v>
      </c>
      <c r="J1480" s="64">
        <f>IF(B1480=0,0,IF(AND(H1460="ja",((U1480)&lt;R1485)),ROUND(((R1487*R1484+((R1485/(R1485-R1484))-(R1484/(R1485-R1484))*R1487)*((U1480)-R1484))*(J1468*2))-(((R1485/(R1485-R1484))*((U1480)-R1484))*J1468),2),ROUND(IF(V1479&lt;(SUM(S1469:S1479)),IF((V1480)&gt;(SUM(S1469:S1480)),(((SUM(S1469:S1480))-(V1480-C1479))*J1468)+((U1480-C1479)*J1468),U1480*J1468),IF(V1480&gt;(SUM(S1469:S1480)),S1480*J1468,U1480*J1468)),2)))</f>
        <v>0</v>
      </c>
      <c r="K1480" s="64">
        <f>IF(B1480=0,0,IF(AND(H1460="ja",((U1480)&lt;R1485)),ROUND(((R1487*R1484+((R1485/(R1485-R1484))-(R1484/(R1485-R1484))*R1487)*((U1480)-R1484))*(K1468*2))-(((R1485/(R1485-R1484))*((U1480)-R1484))*K1468),2),ROUND(IF(V1479&lt;(SUM(R1469:R1479)),IF((V1480)&gt;(SUM(R1469:R1480)),(((SUM(R1469:R1480))-(V1480-C1479))*K1468)+((U1480-C1479)*K1468),U1480*K1468),IF(V1480&gt;(SUM(R1469:R1480)),R1480*K1468,U1480*K1468)),2)))</f>
        <v>0</v>
      </c>
      <c r="L1480" s="64">
        <f>IF(B1480=0,0,IF(AND(H1460="ja",((U1480-C1480)&lt;R1485)),ROUND(((R1487*R1484+((R1485/(R1485-R1484))-(R1484/(R1485-R1484))*R1487)*((U1480-C1480)-R1484))*(L1468)),2),ROUND(IF(SUM(B1469:F1479)&lt;(SUM(S1469:S1479)),IF((SUM(B1469:F1480))&gt;(SUM(S1469:S1480)),(((SUM(S1469:S1480))-(SUM(B1469:F1480)-C1480))*L1468)+((SUM(B1480:F1480)-C1480)*L1468),(SUM(B1480:F1480)-C1480)*L1468),IF(SUM(B1469:F1480)&gt;(SUM(S1469:S1480)),S1480*L1468,SUM(B1480:F1480)*L1468)),2)))</f>
        <v>0</v>
      </c>
      <c r="M1480" s="64">
        <f>IF(B1480=0,0,IF(AND(H1460="ja",((U1480-C1480)&lt;R1485)),ROUND(((R1487*R1484+((R1485/(R1485-R1484))-(R1484/(R1485-R1484))*R1487)*((U1480-C1480)-R1484))*(M1468)),2),ROUND(IF(SUM(B1469:F1479)&lt;(SUM(S1469:S1479)),IF((SUM(B1469:F1480))&gt;(SUM(S1469:S1480)),(((SUM(S1469:S1480))-(SUM(B1469:F1480)-C1480))*M1468)+((SUM(B1480:F1480)-C1480)*M1468),(SUM(B1480:F1480)-C1480)*M1468),IF(SUM(B1469:F1480)&gt;(SUM(S1469:S1480)),S1480*M1468,SUM(B1480:F1480)*M1468)),2)))</f>
        <v>0</v>
      </c>
      <c r="N1480" s="64">
        <f>IF(B1480=0,0,IF(AND(H1460="ja",((U1480)&lt;R1485)),ROUND(((R1487*R1484+((R1485/(R1485-R1484))-(R1484/(R1485-R1484))*R1487)*((U1480)-R1484))*(N1468)),2),ROUND(IF(SUM(B1469:F1479)&lt;(SUM(S1469:S1479)),IF((SUM(B1469:F1480))&gt;(SUM(S1469:S1480)),(((SUM(S1469:S1480))-(SUM(B1469:F1480)-C1479))*N1468)+((SUM(B1480:F1480)-C1479)*N1468),SUM(B1480:F1480)*N1468),IF(SUM(B1469:F1480)&gt;(SUM(S1469:S1480)),S1480*N1468,SUM(B1480:F1480)*N1468)),2)))</f>
        <v>0</v>
      </c>
      <c r="O1480" s="21">
        <f>ROUND(SUM(B1480+C1480+F1480)*O1468,2)</f>
        <v>0</v>
      </c>
      <c r="P1480" s="25">
        <f t="shared" si="237"/>
        <v>0</v>
      </c>
      <c r="Q1480" s="11"/>
      <c r="R1480" s="140">
        <f>ROUND(IF(M1447="",R1463,R1463/M1447*P1457),2)</f>
        <v>5175</v>
      </c>
      <c r="S1480" s="140">
        <f>ROUND(IF(M1447="",R1464,R1464/M1447*P1457),2)</f>
        <v>7450</v>
      </c>
      <c r="U1480" s="950">
        <f t="shared" si="238"/>
        <v>0</v>
      </c>
      <c r="V1480" s="950">
        <f>SUM(B1469:F1480)</f>
        <v>0</v>
      </c>
    </row>
    <row r="1481" spans="1:24" s="1" customFormat="1" ht="15" customHeight="1" x14ac:dyDescent="0.2">
      <c r="A1481" s="2" t="s">
        <v>1</v>
      </c>
      <c r="B1481" s="25">
        <f t="shared" ref="B1481:G1481" si="239">SUM(B1469:B1480)</f>
        <v>0</v>
      </c>
      <c r="C1481" s="25">
        <f t="shared" si="239"/>
        <v>0</v>
      </c>
      <c r="D1481" s="25">
        <f t="shared" si="239"/>
        <v>0</v>
      </c>
      <c r="E1481" s="25">
        <f t="shared" si="239"/>
        <v>0</v>
      </c>
      <c r="F1481" s="25">
        <f t="shared" si="239"/>
        <v>0</v>
      </c>
      <c r="G1481" s="25">
        <f t="shared" si="239"/>
        <v>0</v>
      </c>
      <c r="H1481" s="1309">
        <f>SUM(H1469:N1480)</f>
        <v>0</v>
      </c>
      <c r="I1481" s="1310"/>
      <c r="J1481" s="1310"/>
      <c r="K1481" s="1310"/>
      <c r="L1481" s="1310"/>
      <c r="M1481" s="1310"/>
      <c r="N1481" s="1311"/>
      <c r="O1481" s="25">
        <f>SUM(O1469:O1480)</f>
        <v>0</v>
      </c>
      <c r="P1481" s="25">
        <f>SUM(P1469:P1480)</f>
        <v>0</v>
      </c>
    </row>
    <row r="1482" spans="1:24" s="1" customFormat="1" ht="12" customHeight="1" x14ac:dyDescent="0.2"/>
    <row r="1483" spans="1:24" s="1" customFormat="1" ht="14.25" customHeight="1" x14ac:dyDescent="0.2">
      <c r="B1483" s="906"/>
      <c r="H1483" s="905"/>
      <c r="I1483" s="62"/>
      <c r="J1483" s="914" t="s">
        <v>123</v>
      </c>
      <c r="L1483" s="900" t="s">
        <v>124</v>
      </c>
      <c r="M1483" s="974" t="str">
        <f>IF(IF(G1481=0,"",'päd.Personal - Leitung'!$M$43)=0,"",IF(G1481=0,"",'päd.Personal - Leitung'!$M$43))</f>
        <v/>
      </c>
      <c r="N1483" s="902" t="s">
        <v>125</v>
      </c>
      <c r="O1483" s="963" t="str">
        <f>IF(IF(G1481=0,"",'päd.Personal - Leitung'!$O$43)=0,"",IF(G1481=0,"",'päd.Personal - Leitung'!$O$43))</f>
        <v/>
      </c>
      <c r="P1483" s="25">
        <f>ROUND(IF(M1483="",0,G1481*M1483*O1483/1000),2)</f>
        <v>0</v>
      </c>
      <c r="Q1483" s="937"/>
      <c r="R1483" s="938">
        <v>2025</v>
      </c>
      <c r="S1483" s="939"/>
    </row>
    <row r="1484" spans="1:24" s="1" customFormat="1" ht="14.25" customHeight="1" x14ac:dyDescent="0.2">
      <c r="H1484" s="907"/>
      <c r="I1484" s="42"/>
      <c r="M1484" s="915" t="s">
        <v>129</v>
      </c>
      <c r="N1484" s="80" t="s">
        <v>125</v>
      </c>
      <c r="O1484" s="75" t="str">
        <f>IF(IF(G1481=0,"",'päd.Personal - Leitung'!$O$44)=0,"",IF(G1481=0,"",'päd.Personal - Leitung'!$O$44))</f>
        <v/>
      </c>
      <c r="P1484" s="25">
        <f>ROUND(IF(O1484="",0,G1481*O1484/1000),2)</f>
        <v>0</v>
      </c>
      <c r="Q1484" s="942" t="s">
        <v>737</v>
      </c>
      <c r="R1484" s="141">
        <f>'päd.Personal - Leitung'!$R$44</f>
        <v>556</v>
      </c>
      <c r="S1484" s="955">
        <f>'päd.Personal - Leitung'!$S$44</f>
        <v>12.82</v>
      </c>
    </row>
    <row r="1485" spans="1:24" s="1" customFormat="1" ht="14.25" customHeight="1" x14ac:dyDescent="0.2">
      <c r="H1485" s="912" t="s">
        <v>126</v>
      </c>
      <c r="I1485" s="1013" t="s">
        <v>127</v>
      </c>
      <c r="J1485" s="975" t="str">
        <f>IF(IF(G1481=0,"",'päd.Personal - Leitung'!$J$45)=0,"",IF(G1481=0,"",'päd.Personal - Leitung'!$J$45))</f>
        <v/>
      </c>
      <c r="K1485" s="902" t="s">
        <v>128</v>
      </c>
      <c r="L1485" s="964" t="str">
        <f>IF(IF(G1481=0,"",'päd.Personal - Leitung'!$L$45)=0,"",IF(G1481=0,"",'päd.Personal - Leitung'!$L$45))</f>
        <v/>
      </c>
      <c r="M1485" s="16"/>
      <c r="N1485" s="900" t="s">
        <v>132</v>
      </c>
      <c r="O1485" s="965" t="str">
        <f>IF(IF(G1481=0,"",'päd.Personal - Leitung'!$O$45)=0,"",IF(G1481=0,"",'päd.Personal - Leitung'!$O$45))</f>
        <v/>
      </c>
      <c r="P1485" s="25">
        <f>ROUND(IF(J1485="",0,(J1485*L1485/O1485)/M1449*M1450),2)</f>
        <v>0</v>
      </c>
      <c r="Q1485" s="942" t="s">
        <v>738</v>
      </c>
      <c r="R1485" s="140">
        <f>'päd.Personal - Leitung'!$R$45</f>
        <v>2000</v>
      </c>
      <c r="S1485" s="939"/>
    </row>
    <row r="1486" spans="1:24" s="1" customFormat="1" ht="14.25" customHeight="1" x14ac:dyDescent="0.2">
      <c r="D1486" s="16"/>
      <c r="I1486" s="16"/>
      <c r="J1486" s="16"/>
      <c r="K1486" s="63"/>
      <c r="L1486" s="67"/>
      <c r="M1486" s="915" t="s">
        <v>130</v>
      </c>
      <c r="N1486" s="80" t="s">
        <v>131</v>
      </c>
      <c r="O1486" s="904">
        <f>IF(IF(G1481="",0,'päd.Personal - Leitung'!$O$94)=0,0,IF(G1481="",0,'päd.Personal - Leitung'!$O$94))</f>
        <v>0</v>
      </c>
      <c r="P1486" s="21">
        <f>ROUND(IF(G1481=0,0,O1486/M1447*M1448),2)</f>
        <v>0</v>
      </c>
      <c r="Q1486" s="942" t="s">
        <v>740</v>
      </c>
      <c r="R1486" s="956">
        <f>'päd.Personal - Leitung'!$R$46</f>
        <v>0.40900000000000003</v>
      </c>
    </row>
    <row r="1487" spans="1:24" s="1" customFormat="1" ht="14.25" customHeight="1" x14ac:dyDescent="0.2">
      <c r="A1487" s="16"/>
      <c r="B1487" s="16"/>
      <c r="I1487" s="905"/>
      <c r="J1487" s="961" t="s">
        <v>176</v>
      </c>
      <c r="K1487" s="1312" t="str">
        <f>IF($K$47="","",$K$47)</f>
        <v/>
      </c>
      <c r="L1487" s="1312"/>
      <c r="M1487" s="1312"/>
      <c r="N1487" s="80" t="s">
        <v>131</v>
      </c>
      <c r="O1487" s="904">
        <f>IF(IF(G1481="",0,'päd.Personal - Leitung'!$O$95)=0,0,IF(G1481="",0,'päd.Personal - Leitung'!$O$95))</f>
        <v>0</v>
      </c>
      <c r="P1487" s="21">
        <f>ROUND(IF(G1481=0,0,O1487/M1447*M1448),2)</f>
        <v>0</v>
      </c>
      <c r="Q1487" s="942" t="s">
        <v>739</v>
      </c>
      <c r="R1487" s="940">
        <f>'päd.Personal - Leitung'!$R$47</f>
        <v>0.68459999999999999</v>
      </c>
      <c r="S1487" s="957">
        <f>'päd.Personal - Leitung'!$S$47</f>
        <v>0.28000000000000003</v>
      </c>
    </row>
    <row r="1488" spans="1:24" s="1" customFormat="1" ht="14.25" customHeight="1" x14ac:dyDescent="0.2">
      <c r="A1488" s="908"/>
      <c r="B1488" s="908"/>
      <c r="C1488" s="1013"/>
      <c r="D1488" s="1013"/>
      <c r="I1488" s="913"/>
      <c r="J1488" s="913"/>
      <c r="K1488" s="916"/>
      <c r="L1488" s="27"/>
      <c r="M1488" s="27"/>
      <c r="N1488" s="27"/>
      <c r="O1488" s="26" t="s">
        <v>0</v>
      </c>
      <c r="P1488" s="25">
        <f>P1481+SUM(P1483:P1487)</f>
        <v>0</v>
      </c>
    </row>
    <row r="1489" spans="1:19" s="10" customFormat="1" ht="13.5" customHeight="1" x14ac:dyDescent="0.2">
      <c r="A1489" s="1321" t="s">
        <v>17</v>
      </c>
      <c r="B1489" s="1321"/>
      <c r="C1489" s="1321"/>
      <c r="D1489" s="1320" t="str">
        <f>IF('päd.Personal - Leitung'!$D$1="","",'päd.Personal - Leitung'!$D$1)</f>
        <v/>
      </c>
      <c r="E1489" s="1320"/>
      <c r="F1489" s="1320"/>
      <c r="G1489" s="1320"/>
      <c r="H1489" s="1320"/>
      <c r="I1489" s="1320"/>
      <c r="J1489" s="1320"/>
      <c r="K1489" s="1320"/>
      <c r="L1489" s="1320"/>
      <c r="M1489" s="1320"/>
      <c r="N1489" s="1320"/>
    </row>
    <row r="1490" spans="1:19" s="10" customFormat="1" ht="15" customHeight="1" x14ac:dyDescent="0.2">
      <c r="A1490" s="1321" t="s">
        <v>16</v>
      </c>
      <c r="B1490" s="1321"/>
      <c r="C1490" s="1321" t="s">
        <v>14</v>
      </c>
      <c r="D1490" s="1320" t="str">
        <f>IF('päd.Personal - Leitung'!$D$2="","",'päd.Personal - Leitung'!$D$2)</f>
        <v/>
      </c>
      <c r="E1490" s="1320"/>
      <c r="F1490" s="1320"/>
      <c r="G1490" s="1320"/>
      <c r="H1490" s="1320"/>
      <c r="I1490" s="1320"/>
      <c r="J1490" s="1320"/>
      <c r="K1490" s="1320"/>
      <c r="L1490" s="1320"/>
      <c r="M1490" s="1320"/>
      <c r="N1490" s="1320"/>
    </row>
    <row r="1491" spans="1:19" s="10" customFormat="1" ht="15" customHeight="1" x14ac:dyDescent="0.2">
      <c r="A1491" s="1321" t="s">
        <v>15</v>
      </c>
      <c r="B1491" s="1321"/>
      <c r="C1491" s="1321" t="s">
        <v>14</v>
      </c>
      <c r="D1491" s="1320" t="str">
        <f>IF('päd.Personal - Leitung'!$D$3="","",'päd.Personal - Leitung'!$D$3)</f>
        <v/>
      </c>
      <c r="E1491" s="1320"/>
      <c r="F1491" s="1320"/>
      <c r="G1491" s="1320"/>
      <c r="H1491" s="1320"/>
      <c r="I1491" s="1320"/>
      <c r="J1491" s="1320"/>
      <c r="K1491" s="1321" t="s">
        <v>100</v>
      </c>
      <c r="L1491" s="1321"/>
      <c r="M1491" s="1321"/>
      <c r="N1491" s="38" t="str">
        <f>IF('päd.Personal - Leitung'!$N$3="","",'päd.Personal - Leitung'!$N$3)</f>
        <v/>
      </c>
    </row>
    <row r="1492" spans="1:19" s="923" customFormat="1" ht="7.5" customHeight="1" x14ac:dyDescent="0.15">
      <c r="A1492" s="1353"/>
      <c r="B1492" s="1353"/>
      <c r="C1492" s="1353"/>
      <c r="D1492" s="1354"/>
      <c r="E1492" s="1354"/>
      <c r="F1492" s="1354"/>
      <c r="G1492" s="1354"/>
      <c r="H1492" s="1354"/>
      <c r="I1492" s="1354"/>
      <c r="J1492" s="1354"/>
      <c r="K1492" s="922"/>
      <c r="L1492" s="922"/>
      <c r="M1492" s="922"/>
      <c r="N1492" s="922"/>
      <c r="O1492" s="922"/>
      <c r="P1492" s="922"/>
    </row>
    <row r="1493" spans="1:19" s="13" customFormat="1" ht="13.5" customHeight="1" x14ac:dyDescent="0.2">
      <c r="A1493" s="1355" t="s">
        <v>151</v>
      </c>
      <c r="B1493" s="1355"/>
      <c r="C1493" s="1355"/>
      <c r="D1493" s="1355"/>
      <c r="E1493" s="1355"/>
      <c r="F1493" s="1355"/>
      <c r="G1493" s="1355"/>
      <c r="H1493" s="1355"/>
      <c r="I1493" s="1355"/>
      <c r="J1493" s="1355"/>
      <c r="K1493" s="7"/>
      <c r="L1493" s="7"/>
      <c r="M1493" s="7"/>
      <c r="N1493" s="52"/>
      <c r="O1493" s="138">
        <f>'päd.Personal - Leitung'!$O$5</f>
        <v>2025</v>
      </c>
      <c r="P1493" s="52" t="s">
        <v>140</v>
      </c>
    </row>
    <row r="1494" spans="1:19" s="8" customFormat="1" ht="13.5" customHeight="1" x14ac:dyDescent="0.25">
      <c r="B1494" s="29"/>
      <c r="C1494" s="29"/>
      <c r="D1494" s="3" t="s">
        <v>186</v>
      </c>
      <c r="E1494" s="28"/>
      <c r="F1494" s="28"/>
      <c r="G1494" s="28"/>
      <c r="H1494" s="28"/>
      <c r="I1494" s="24"/>
      <c r="K1494" s="1327" t="s">
        <v>13</v>
      </c>
      <c r="L1494" s="1327"/>
      <c r="M1494" s="131"/>
      <c r="O1494" s="928" t="str">
        <f>A1517</f>
        <v>Jan 2025</v>
      </c>
      <c r="P1494" s="1402">
        <f>IF(M1496="","",M1496)</f>
        <v>0</v>
      </c>
    </row>
    <row r="1495" spans="1:19" s="5" customFormat="1" ht="13.5" customHeight="1" x14ac:dyDescent="0.25">
      <c r="A1495" s="1328" t="s">
        <v>754</v>
      </c>
      <c r="B1495" s="1328"/>
      <c r="C1495" s="1328"/>
      <c r="D1495" s="1345"/>
      <c r="E1495" s="1345"/>
      <c r="F1495" s="1345"/>
      <c r="G1495" s="1345"/>
      <c r="H1495" s="1345"/>
      <c r="I1495" s="1345"/>
      <c r="K1495" s="1327" t="s">
        <v>101</v>
      </c>
      <c r="L1495" s="1327"/>
      <c r="M1495" s="101"/>
      <c r="O1495" s="928" t="str">
        <f t="shared" ref="O1495:O1505" si="240">A1518</f>
        <v>Feb 2025</v>
      </c>
      <c r="P1495" s="1403">
        <f t="shared" ref="P1495:P1505" si="241">IF(P1494="","",P1494)</f>
        <v>0</v>
      </c>
    </row>
    <row r="1496" spans="1:19" s="1" customFormat="1" ht="13.5" customHeight="1" x14ac:dyDescent="0.2">
      <c r="A1496" s="1328" t="s">
        <v>12</v>
      </c>
      <c r="B1496" s="1328"/>
      <c r="C1496" s="1328"/>
      <c r="D1496" s="1345"/>
      <c r="E1496" s="1345"/>
      <c r="F1496" s="1345"/>
      <c r="G1496" s="1345"/>
      <c r="H1496" s="1345"/>
      <c r="I1496" s="1345"/>
      <c r="K1496" s="1327" t="s">
        <v>149</v>
      </c>
      <c r="L1496" s="1327"/>
      <c r="M1496" s="101">
        <f>IF((M1497+M1498)&gt;M1495,0,M1495-M1497-M1498)</f>
        <v>0</v>
      </c>
      <c r="O1496" s="928" t="str">
        <f t="shared" si="240"/>
        <v>Mrz 2025</v>
      </c>
      <c r="P1496" s="1403">
        <f t="shared" si="241"/>
        <v>0</v>
      </c>
    </row>
    <row r="1497" spans="1:19" s="1" customFormat="1" ht="13.5" customHeight="1" x14ac:dyDescent="0.2">
      <c r="A1497" s="1328" t="s">
        <v>11</v>
      </c>
      <c r="B1497" s="1328"/>
      <c r="C1497" s="1328"/>
      <c r="D1497" s="1345"/>
      <c r="E1497" s="1345"/>
      <c r="F1497" s="1345"/>
      <c r="G1497" s="1345"/>
      <c r="H1497" s="1345"/>
      <c r="I1497" s="1345"/>
      <c r="K1497" s="1327" t="s">
        <v>150</v>
      </c>
      <c r="L1497" s="1327"/>
      <c r="M1497" s="101"/>
      <c r="O1497" s="928" t="str">
        <f t="shared" si="240"/>
        <v>Apr 2025</v>
      </c>
      <c r="P1497" s="1403">
        <f t="shared" si="241"/>
        <v>0</v>
      </c>
    </row>
    <row r="1498" spans="1:19" s="1" customFormat="1" ht="13.5" customHeight="1" x14ac:dyDescent="0.2">
      <c r="A1498" s="1328" t="s">
        <v>18</v>
      </c>
      <c r="B1498" s="1328"/>
      <c r="C1498" s="1328"/>
      <c r="D1498" s="1345"/>
      <c r="E1498" s="1345"/>
      <c r="F1498" s="1345"/>
      <c r="G1498" s="1345"/>
      <c r="H1498" s="1345"/>
      <c r="I1498" s="1345"/>
      <c r="K1498" s="1327" t="s">
        <v>222</v>
      </c>
      <c r="L1498" s="1327"/>
      <c r="M1498" s="101"/>
      <c r="O1498" s="928" t="str">
        <f t="shared" si="240"/>
        <v>Mai 2025</v>
      </c>
      <c r="P1498" s="1403">
        <f t="shared" si="241"/>
        <v>0</v>
      </c>
    </row>
    <row r="1499" spans="1:19" s="1" customFormat="1" ht="13.5" customHeight="1" x14ac:dyDescent="0.2">
      <c r="B1499" s="6"/>
      <c r="C1499" s="1029" t="s">
        <v>147</v>
      </c>
      <c r="D1499" s="1324"/>
      <c r="E1499" s="1324"/>
      <c r="F1499" s="1359" t="s">
        <v>103</v>
      </c>
      <c r="G1499" s="1359"/>
      <c r="H1499" s="1361"/>
      <c r="I1499" s="1361"/>
      <c r="K1499" s="1327" t="s">
        <v>94</v>
      </c>
      <c r="L1499" s="1327"/>
      <c r="M1499" s="15" t="str">
        <f>IF(IF((COUNTIF(B1517:B1528,"&gt;0"))=0,0,(COUNTIF(B1517:B1528,"&gt;0")))&gt;Grundlagen!$C$26,Grundlagen!$C$26,IF((COUNTIF(B1517:B1528,"&gt;0"))=0,"",(COUNTIF(B1517:B1528,"&gt;0"))))</f>
        <v/>
      </c>
      <c r="O1499" s="928" t="str">
        <f t="shared" si="240"/>
        <v>Jun 2025</v>
      </c>
      <c r="P1499" s="1403">
        <f t="shared" si="241"/>
        <v>0</v>
      </c>
    </row>
    <row r="1500" spans="1:19" s="1" customFormat="1" ht="13.5" customHeight="1" x14ac:dyDescent="0.2">
      <c r="I1500" s="4"/>
      <c r="M1500" s="102" t="str">
        <f>IF((SUM(F1502:F1505))=0,"",IF(P1506&gt;M1496,M1496,IF(M1496="","",IF(M1499="","",P1506))))</f>
        <v/>
      </c>
      <c r="O1500" s="928" t="str">
        <f t="shared" si="240"/>
        <v>Jul 2025</v>
      </c>
      <c r="P1500" s="1403">
        <f t="shared" si="241"/>
        <v>0</v>
      </c>
    </row>
    <row r="1501" spans="1:19" s="46" customFormat="1" ht="13.5" customHeight="1" x14ac:dyDescent="0.2">
      <c r="A1501" s="54" t="s">
        <v>134</v>
      </c>
      <c r="B1501" s="1356" t="s">
        <v>135</v>
      </c>
      <c r="C1501" s="1356"/>
      <c r="D1501" s="55" t="s">
        <v>136</v>
      </c>
      <c r="E1501" s="56" t="s">
        <v>137</v>
      </c>
      <c r="F1501" s="57" t="str">
        <f>CONCATENATE("Entg. ",N1491," h/Wo")</f>
        <v>Entg.  h/Wo</v>
      </c>
      <c r="G1501" s="58" t="s">
        <v>138</v>
      </c>
      <c r="I1501" s="58" t="s">
        <v>139</v>
      </c>
      <c r="K1501" s="970"/>
      <c r="L1501" s="970"/>
      <c r="M1501" s="59"/>
      <c r="N1501" s="968"/>
      <c r="O1501" s="928" t="str">
        <f t="shared" si="240"/>
        <v>Aug 2025</v>
      </c>
      <c r="P1501" s="1403">
        <f t="shared" si="241"/>
        <v>0</v>
      </c>
      <c r="Q1501" s="85"/>
      <c r="R1501" s="85"/>
      <c r="S1501" s="85"/>
    </row>
    <row r="1502" spans="1:19" s="46" customFormat="1" ht="13.5" customHeight="1" x14ac:dyDescent="0.25">
      <c r="A1502" s="48" t="str">
        <f>'päd.Personal - Leitung'!$A$14</f>
        <v>Jan 2025</v>
      </c>
      <c r="B1502" s="1357" t="str">
        <f>IF($D$3="","",$D$3)</f>
        <v/>
      </c>
      <c r="C1502" s="1358"/>
      <c r="D1502" s="132"/>
      <c r="E1502" s="132"/>
      <c r="F1502" s="71"/>
      <c r="G1502" s="50">
        <f>IF(N1491="",0,F1502/N1491/4.348)</f>
        <v>0</v>
      </c>
      <c r="I1502" s="125">
        <f>SUM(J1502:M1502)</f>
        <v>0</v>
      </c>
      <c r="J1502" s="124"/>
      <c r="K1502" s="124"/>
      <c r="L1502" s="124"/>
      <c r="M1502" s="124"/>
      <c r="N1502" s="969"/>
      <c r="O1502" s="928" t="str">
        <f t="shared" si="240"/>
        <v>Sep 2025</v>
      </c>
      <c r="P1502" s="1403">
        <f t="shared" si="241"/>
        <v>0</v>
      </c>
      <c r="Q1502" s="85"/>
      <c r="R1502" s="85"/>
      <c r="S1502" s="85"/>
    </row>
    <row r="1503" spans="1:19" s="46" customFormat="1" ht="13.5" customHeight="1" x14ac:dyDescent="0.25">
      <c r="A1503" s="49"/>
      <c r="B1503" s="1322" t="str">
        <f>IF(A1503="","",B1502)</f>
        <v/>
      </c>
      <c r="C1503" s="1323"/>
      <c r="D1503" s="132"/>
      <c r="E1503" s="132"/>
      <c r="F1503" s="71"/>
      <c r="G1503" s="50">
        <f>IF(N1491="",0,F1503/N1491/4.348)</f>
        <v>0</v>
      </c>
      <c r="I1503" s="125">
        <f t="shared" ref="I1503:I1505" si="242">SUM(J1503:M1503)</f>
        <v>0</v>
      </c>
      <c r="J1503" s="124"/>
      <c r="K1503" s="124"/>
      <c r="L1503" s="124"/>
      <c r="M1503" s="124"/>
      <c r="N1503" s="969"/>
      <c r="O1503" s="928" t="str">
        <f t="shared" si="240"/>
        <v>Okt 2025</v>
      </c>
      <c r="P1503" s="1403">
        <f t="shared" si="241"/>
        <v>0</v>
      </c>
      <c r="Q1503" s="85"/>
      <c r="R1503" s="85"/>
      <c r="S1503" s="85"/>
    </row>
    <row r="1504" spans="1:19" s="46" customFormat="1" ht="13.5" customHeight="1" x14ac:dyDescent="0.25">
      <c r="A1504" s="49"/>
      <c r="B1504" s="1322" t="str">
        <f>IF(A1504="","",B1503)</f>
        <v/>
      </c>
      <c r="C1504" s="1323"/>
      <c r="D1504" s="132"/>
      <c r="E1504" s="132"/>
      <c r="F1504" s="71"/>
      <c r="G1504" s="50">
        <f>IF(N1491="",0,F1504/N1491/4.348)</f>
        <v>0</v>
      </c>
      <c r="I1504" s="125">
        <f t="shared" si="242"/>
        <v>0</v>
      </c>
      <c r="J1504" s="124"/>
      <c r="K1504" s="124"/>
      <c r="L1504" s="124"/>
      <c r="M1504" s="124"/>
      <c r="N1504" s="969"/>
      <c r="O1504" s="928" t="str">
        <f t="shared" si="240"/>
        <v>Nov 2025</v>
      </c>
      <c r="P1504" s="1403">
        <f t="shared" si="241"/>
        <v>0</v>
      </c>
      <c r="Q1504" s="85"/>
      <c r="R1504" s="85"/>
      <c r="S1504" s="85"/>
    </row>
    <row r="1505" spans="1:22" s="46" customFormat="1" ht="13.5" customHeight="1" x14ac:dyDescent="0.25">
      <c r="A1505" s="49"/>
      <c r="B1505" s="1322" t="str">
        <f>IF(A1505="","",B1504)</f>
        <v/>
      </c>
      <c r="C1505" s="1323"/>
      <c r="D1505" s="132"/>
      <c r="E1505" s="132"/>
      <c r="F1505" s="71"/>
      <c r="G1505" s="50">
        <f>IF(N1491="",0,F1505/N1491/4.348)</f>
        <v>0</v>
      </c>
      <c r="I1505" s="125">
        <f t="shared" si="242"/>
        <v>0</v>
      </c>
      <c r="J1505" s="124"/>
      <c r="K1505" s="124"/>
      <c r="L1505" s="124"/>
      <c r="M1505" s="124"/>
      <c r="N1505" s="969"/>
      <c r="O1505" s="928" t="str">
        <f t="shared" si="240"/>
        <v>Dez 2025</v>
      </c>
      <c r="P1505" s="1403">
        <f t="shared" si="241"/>
        <v>0</v>
      </c>
      <c r="Q1505" s="85"/>
      <c r="R1505" s="85"/>
      <c r="S1505" s="85"/>
    </row>
    <row r="1506" spans="1:22" s="46" customFormat="1" ht="13.5" customHeight="1" x14ac:dyDescent="0.25">
      <c r="B1506" s="972"/>
      <c r="C1506" s="972"/>
      <c r="E1506" s="972"/>
      <c r="F1506" s="972"/>
      <c r="I1506" s="930" t="s">
        <v>730</v>
      </c>
      <c r="J1506" s="1060"/>
      <c r="K1506" s="1060"/>
      <c r="L1506" s="1060"/>
      <c r="M1506" s="1060"/>
      <c r="N1506" s="971"/>
      <c r="O1506" s="126" t="s">
        <v>221</v>
      </c>
      <c r="P1506" s="127">
        <f>IF(M1499="",0,((IF(SUMIF(B1517,"&gt;0"),P1494,0))+(IF(SUMIF(B1518,"&gt;0"),P1495,0))+(IF(SUMIF(B1519,"&gt;0"),P1496,0))+(IF(SUMIF(B1520,"&gt;0"),P1497,0))+(IF(SUMIF(B1521,"&gt;0"),P1498,0))+(IF(SUMIF(B1522,"&gt;0"),P1499,0))+(IF(SUMIF(B1523,"&gt;0"),P1500,0))+(IF(SUMIF(B1524,"&gt;0"),P1501,0))+(IF(SUMIF(B1525,"&gt;0"),P1502,0))+(IF(SUMIF(B1526,"&gt;0"),P1503,0))+(IF(SUMIF(B1527,"&gt;0"),P1504,0))+(IF(SUMIF(B1528,"&gt;0"),P1505,0)))/Grundlagen!$C$26)</f>
        <v>0</v>
      </c>
      <c r="Q1506" s="958" t="str">
        <f>CONCATENATE("BBG"," anteilig ",O1508)</f>
        <v>BBG anteilig 2025</v>
      </c>
      <c r="R1506" s="931" t="s">
        <v>659</v>
      </c>
      <c r="S1506" s="931" t="s">
        <v>398</v>
      </c>
      <c r="T1506" s="107"/>
    </row>
    <row r="1507" spans="1:22" s="46" customFormat="1" ht="13.5" customHeight="1" x14ac:dyDescent="0.2">
      <c r="A1507" s="924" t="s">
        <v>732</v>
      </c>
      <c r="D1507" s="55" t="s">
        <v>369</v>
      </c>
      <c r="E1507" s="56" t="s">
        <v>368</v>
      </c>
      <c r="F1507" s="58"/>
      <c r="J1507" s="61"/>
      <c r="Q1507" s="932" t="s">
        <v>144</v>
      </c>
      <c r="R1507" s="140">
        <f>IF(M1496=0,R1511,IF(M1495="",R1511,(SUM(R1517:R1528)/M1499)))</f>
        <v>5175</v>
      </c>
      <c r="S1507" s="933">
        <f>IF(M1496=0,S1511,IF(M1495="",S1511,SUM(R1517:R1528)))</f>
        <v>0</v>
      </c>
      <c r="T1507" s="107"/>
    </row>
    <row r="1508" spans="1:22" s="46" customFormat="1" ht="13.5" customHeight="1" x14ac:dyDescent="0.25">
      <c r="A1508" s="60"/>
      <c r="B1508" s="1314" t="str">
        <f>IF($B$20="","",$B$20)</f>
        <v>Jahressonderzahlung (JSZ)</v>
      </c>
      <c r="C1508" s="1315"/>
      <c r="D1508" s="926"/>
      <c r="E1508" s="929" t="str">
        <f>IF(A1508="","",ROUND((((SUM(B1523:B1525)+SUM(F1523:F1525))/3)*D1508)/Grundlagen!$C$26*M1499,2))</f>
        <v/>
      </c>
      <c r="G1508" s="941" t="s">
        <v>733</v>
      </c>
      <c r="H1508" s="943"/>
      <c r="I1508" s="1316" t="str">
        <f>CONCATENATE(R1531,":"," Übergangsbereich von ",R1532+0.01," €"," bis ",R1533," €")</f>
        <v>2025: Übergangsbereich von 556,01 € bis 2000 €</v>
      </c>
      <c r="J1508" s="1317"/>
      <c r="K1508" s="1317"/>
      <c r="L1508" s="1067"/>
      <c r="M1508" s="1067"/>
      <c r="N1508" s="1068" t="s">
        <v>736</v>
      </c>
      <c r="O1508" s="1069">
        <f>P1508+1</f>
        <v>2025</v>
      </c>
      <c r="P1508" s="1069" t="s">
        <v>721</v>
      </c>
      <c r="Q1508" s="932" t="s">
        <v>145</v>
      </c>
      <c r="R1508" s="140">
        <f>IF(M1496=0,R1512,IF(M1495="",R1512,(SUM(S1517:S1528)/M1499)))</f>
        <v>7450</v>
      </c>
      <c r="S1508" s="933">
        <f>IF(M1496=0,S1512,IF(M1495="",S1512,SUM(S1517:S1528)))</f>
        <v>0</v>
      </c>
      <c r="T1508" s="109"/>
    </row>
    <row r="1509" spans="1:22" s="1" customFormat="1" ht="14.25" customHeight="1" x14ac:dyDescent="0.2">
      <c r="A1509" s="60"/>
      <c r="B1509" s="1314" t="str">
        <f>IF($B$21="","",$B$21)</f>
        <v>Leistungsentgelt (LOB)</v>
      </c>
      <c r="C1509" s="1315"/>
      <c r="D1509" s="926"/>
      <c r="E1509" s="929" t="str">
        <f>IF(A1509="","",ROUND(((B1529+F1529)*D1509)/Grundlagen!$C$26*M1499,2))</f>
        <v/>
      </c>
      <c r="G1509" s="941" t="str">
        <f>IF(OR(H1508="",H1508="nein")=TRUE,"","Faktor (F):")</f>
        <v/>
      </c>
      <c r="H1509" s="949" t="str">
        <f>IF(OR(H1508="",H1508="nein")=TRUE,"",IF(H1508="","",R1535))</f>
        <v/>
      </c>
      <c r="I1509" s="1318" t="str">
        <f>IF(OR(H1508="",H1508="nein")=TRUE,"",IF(H1509="","",CONCATENATE(S1535*100,"%"," / ","(",R1534*100,"%"," Gesamt-SV-Beitragssatz 2024)")))</f>
        <v/>
      </c>
      <c r="J1509" s="1319"/>
      <c r="K1509" s="1319"/>
      <c r="L1509" s="1070"/>
      <c r="M1509" s="1070"/>
      <c r="N1509" s="1071" t="s">
        <v>144</v>
      </c>
      <c r="O1509" s="1072">
        <f>'päd.Personal - Leitung'!$O$21</f>
        <v>5175</v>
      </c>
      <c r="P1509" s="1072">
        <f>'päd.Personal - Leitung'!$P$21</f>
        <v>5175</v>
      </c>
      <c r="Q1509" s="11"/>
      <c r="R1509" s="11"/>
      <c r="S1509" s="11"/>
      <c r="T1509" s="109"/>
    </row>
    <row r="1510" spans="1:22" s="1" customFormat="1" ht="14.25" customHeight="1" x14ac:dyDescent="0.2">
      <c r="C1510" s="925" t="s">
        <v>731</v>
      </c>
      <c r="L1510" s="1070"/>
      <c r="M1510" s="1070"/>
      <c r="N1510" s="1071" t="s">
        <v>145</v>
      </c>
      <c r="O1510" s="1073">
        <f>'päd.Personal - Leitung'!$O$22</f>
        <v>7450</v>
      </c>
      <c r="P1510" s="1073">
        <f>'päd.Personal - Leitung'!$P$22</f>
        <v>7450</v>
      </c>
      <c r="Q1510" s="958" t="str">
        <f>CONCATENATE("BBG"," ",O1508)</f>
        <v>BBG 2025</v>
      </c>
      <c r="R1510" s="11"/>
      <c r="S1510" s="11"/>
      <c r="T1510" s="109"/>
    </row>
    <row r="1511" spans="1:22" s="1" customFormat="1" ht="14.25" customHeight="1" x14ac:dyDescent="0.2">
      <c r="A1511" s="53" t="s">
        <v>141</v>
      </c>
      <c r="B1511" s="46"/>
      <c r="C1511" s="46"/>
      <c r="D1511" s="46"/>
      <c r="E1511" s="46"/>
      <c r="F1511" s="46"/>
      <c r="G1511" s="46"/>
      <c r="H1511" s="46"/>
      <c r="I1511" s="46"/>
      <c r="J1511" s="46"/>
      <c r="K1511" s="46"/>
      <c r="L1511" s="46"/>
      <c r="M1511" s="46"/>
      <c r="N1511" s="46"/>
      <c r="O1511" s="46"/>
      <c r="P1511" s="46"/>
      <c r="Q1511" s="932" t="s">
        <v>144</v>
      </c>
      <c r="R1511" s="141">
        <f>IF($O$21="",0,$O$21)</f>
        <v>5175</v>
      </c>
      <c r="S1511" s="933">
        <f>R1511*IF(M1499="",0,M1499)</f>
        <v>0</v>
      </c>
      <c r="T1511" s="295"/>
    </row>
    <row r="1512" spans="1:22" s="1" customFormat="1" ht="14.25" customHeight="1" x14ac:dyDescent="0.2">
      <c r="A1512" s="1346"/>
      <c r="B1512" s="1348" t="s">
        <v>8</v>
      </c>
      <c r="C1512" s="1349"/>
      <c r="D1512" s="1349"/>
      <c r="E1512" s="1349"/>
      <c r="F1512" s="1349"/>
      <c r="G1512" s="1350"/>
      <c r="H1512" s="1351" t="s">
        <v>113</v>
      </c>
      <c r="I1512" s="1352"/>
      <c r="J1512" s="1352"/>
      <c r="K1512" s="1352"/>
      <c r="L1512" s="1352"/>
      <c r="M1512" s="1352"/>
      <c r="N1512" s="1352"/>
      <c r="O1512" s="30"/>
      <c r="P1512" s="1330" t="s">
        <v>0</v>
      </c>
      <c r="Q1512" s="932" t="s">
        <v>145</v>
      </c>
      <c r="R1512" s="141">
        <f>IF($O$22="",0,$O$22)</f>
        <v>7450</v>
      </c>
      <c r="S1512" s="933">
        <f>R1512*IF(M1499="",0,M1499)</f>
        <v>0</v>
      </c>
      <c r="T1512" s="830"/>
    </row>
    <row r="1513" spans="1:22" s="1" customFormat="1" ht="14.25" customHeight="1" x14ac:dyDescent="0.2">
      <c r="A1513" s="1347"/>
      <c r="B1513" s="1333" t="s">
        <v>111</v>
      </c>
      <c r="C1513" s="1335" t="s">
        <v>743</v>
      </c>
      <c r="D1513" s="1337" t="s">
        <v>226</v>
      </c>
      <c r="E1513" s="1339" t="s">
        <v>133</v>
      </c>
      <c r="F1513" s="1030" t="s">
        <v>6</v>
      </c>
      <c r="G1513" s="1340" t="s">
        <v>5</v>
      </c>
      <c r="H1513" s="1339" t="s">
        <v>119</v>
      </c>
      <c r="I1513" s="1339" t="s">
        <v>4</v>
      </c>
      <c r="J1513" s="1339" t="s">
        <v>3</v>
      </c>
      <c r="K1513" s="1339" t="s">
        <v>2</v>
      </c>
      <c r="L1513" s="1339" t="s">
        <v>114</v>
      </c>
      <c r="M1513" s="1339" t="s">
        <v>115</v>
      </c>
      <c r="N1513" s="1339" t="s">
        <v>116</v>
      </c>
      <c r="O1513" s="1338" t="s">
        <v>109</v>
      </c>
      <c r="P1513" s="1331"/>
      <c r="Q1513" s="456"/>
      <c r="R1513" s="11"/>
      <c r="S1513" s="11"/>
      <c r="T1513" s="621"/>
    </row>
    <row r="1514" spans="1:22" s="1" customFormat="1" ht="14.25" customHeight="1" x14ac:dyDescent="0.2">
      <c r="A1514" s="1347"/>
      <c r="B1514" s="1333"/>
      <c r="C1514" s="1335"/>
      <c r="D1514" s="1338"/>
      <c r="E1514" s="1339"/>
      <c r="F1514" s="1343" t="str">
        <f>I1506</f>
        <v>Zuschläge / Zulagen / o.ä.:</v>
      </c>
      <c r="G1514" s="1340"/>
      <c r="H1514" s="1342" t="s">
        <v>117</v>
      </c>
      <c r="I1514" s="1342"/>
      <c r="J1514" s="1342"/>
      <c r="K1514" s="1342"/>
      <c r="L1514" s="1342"/>
      <c r="M1514" s="1342"/>
      <c r="N1514" s="1342"/>
      <c r="O1514" s="1338"/>
      <c r="P1514" s="1331"/>
      <c r="Q1514" s="456"/>
      <c r="R1514" s="1306" t="str">
        <f>Q1506</f>
        <v>BBG anteilig 2025</v>
      </c>
      <c r="S1514" s="1306"/>
      <c r="T1514" s="829"/>
    </row>
    <row r="1515" spans="1:22" s="1" customFormat="1" ht="14.25" customHeight="1" x14ac:dyDescent="0.2">
      <c r="A1515" s="1347"/>
      <c r="B1515" s="1333"/>
      <c r="C1515" s="1335"/>
      <c r="D1515" s="1338"/>
      <c r="E1515" s="1339"/>
      <c r="F1515" s="1343"/>
      <c r="G1515" s="1340"/>
      <c r="H1515" s="39" t="str">
        <f>'päd.Personal - Leitung'!$H$27</f>
        <v>(7,30% + Zusatz)</v>
      </c>
      <c r="I1515" s="39" t="str">
        <f>'päd.Personal - Leitung'!$I$27</f>
        <v xml:space="preserve"> (2024: 9,30%)</v>
      </c>
      <c r="J1515" s="39" t="str">
        <f>'päd.Personal - Leitung'!$J$27</f>
        <v>(2024: 1,30%)</v>
      </c>
      <c r="K1515" s="39" t="str">
        <f>'päd.Personal - Leitung'!$K$27</f>
        <v>(2024: 1,700%)</v>
      </c>
      <c r="L1515" s="39"/>
      <c r="M1515" s="39"/>
      <c r="N1515" s="39" t="str">
        <f>'päd.Personal - Leitung'!$N$27</f>
        <v>(2024: 0,06%)</v>
      </c>
      <c r="O1515" s="1338"/>
      <c r="P1515" s="1331"/>
      <c r="Q1515" s="456"/>
      <c r="R1515" s="1307" t="s">
        <v>659</v>
      </c>
      <c r="S1515" s="1307"/>
      <c r="T1515" s="829"/>
      <c r="U1515" s="1308" t="s">
        <v>1</v>
      </c>
      <c r="V1515" s="1308" t="s">
        <v>741</v>
      </c>
    </row>
    <row r="1516" spans="1:22" s="1" customFormat="1" x14ac:dyDescent="0.2">
      <c r="A1516" s="1347"/>
      <c r="B1516" s="1334"/>
      <c r="C1516" s="1336"/>
      <c r="D1516" s="45"/>
      <c r="E1516" s="45"/>
      <c r="F1516" s="1344"/>
      <c r="G1516" s="1341"/>
      <c r="H1516" s="74"/>
      <c r="I1516" s="99">
        <f>'päd.Personal - Leitung'!$I$28</f>
        <v>0</v>
      </c>
      <c r="J1516" s="99">
        <f>'päd.Personal - Leitung'!$J$28</f>
        <v>0</v>
      </c>
      <c r="K1516" s="40">
        <f>'päd.Personal - Leitung'!$K$28</f>
        <v>0</v>
      </c>
      <c r="L1516" s="19"/>
      <c r="M1516" s="19"/>
      <c r="N1516" s="99">
        <f>'päd.Personal - Leitung'!$N$28</f>
        <v>0</v>
      </c>
      <c r="O1516" s="23"/>
      <c r="P1516" s="1332"/>
      <c r="Q1516" s="456"/>
      <c r="R1516" s="935" t="s">
        <v>144</v>
      </c>
      <c r="S1516" s="935" t="s">
        <v>145</v>
      </c>
      <c r="T1516" s="829"/>
      <c r="U1516" s="1308"/>
      <c r="V1516" s="1308"/>
    </row>
    <row r="1517" spans="1:22" s="1" customFormat="1" x14ac:dyDescent="0.2">
      <c r="A1517" s="76" t="str">
        <f>CONCATENATE("Jan ",O1493)</f>
        <v>Jan 2025</v>
      </c>
      <c r="B1517" s="22">
        <f>ROUND(IF(P1494=0,0,(LOOKUP(2,1/(A1502:A1505=A1517),G1502:G1505))*P1494*4.348),2)</f>
        <v>0</v>
      </c>
      <c r="C1517" s="21">
        <f>ROUND(IFERROR((LOOKUP(2,1/(A1508=A1517),E1508)),0)+IFERROR((LOOKUP(2,1/(A1509=A1517),E1509)),0),2)</f>
        <v>0</v>
      </c>
      <c r="D1517" s="21">
        <f>ROUND(IF(B1517=0,0,D1516/M1495*P1494),2)</f>
        <v>0</v>
      </c>
      <c r="E1517" s="21">
        <f>ROUND(IF(B1517=0,0,E1516/N1491*P1494),2)</f>
        <v>0</v>
      </c>
      <c r="F1517" s="22">
        <f>ROUND(IF(P1494=0,0,(LOOKUP(2,1/(A1502:A1505=A1517),I1502:I1505))/N1491*P1494),2)</f>
        <v>0</v>
      </c>
      <c r="G1517" s="25">
        <f t="shared" ref="G1517:G1528" si="243">SUM(B1517+C1517+E1517+F1517)</f>
        <v>0</v>
      </c>
      <c r="H1517" s="64">
        <f>IF(B1517=0,0,IF(AND(H1508="ja",((U1517)&lt;R1533)),ROUND(((R1535*R1532+((R1533/(R1533-R1532))-(R1532/(R1533-R1532))*R1535)*((U1517)-R1532))*(H1516*2))-(((R1533/(R1533-R1532))*((U1517)-R1532))*H1516),2),ROUND(IF((U1517)&gt;R1517,R1517*H1516,U1517*H1516),2)))</f>
        <v>0</v>
      </c>
      <c r="I1517" s="64">
        <f>IF(B1517=0,0,IF(AND(H1508="ja",((U1517)&lt;R1533)),ROUND(((R1535*R1532+((R1533/(R1533-R1532))-(R1532/(R1533-R1532))*R1535)*((U1517)-R1532))*(I1516*2))-(((R1533/(R1533-R1532))*((U1517)-R1532))*I1516),2),ROUND(IF((U1517)&gt;S1517,S1517*I1516,U1517*I1516),2)))</f>
        <v>0</v>
      </c>
      <c r="J1517" s="64">
        <f>IF(B1517=0,0,IF(AND(H1508="ja",((U1517)&lt;R1533)),ROUND(((R1535*R1532+((R1533/(R1533-R1532))-(R1532/(R1533-R1532))*R1535)*((U1517)-R1532))*(J1516*2))-(((R1533/(R1533-R1532))*((U1517)-R1532))*J1516),2),ROUND(IF((U1517)&gt;S1517,S1517*J1516,U1517*J1516),2)))</f>
        <v>0</v>
      </c>
      <c r="K1517" s="64">
        <f>IF(B1517=0,0,IF(AND(H1508="ja",((U1517)&lt;R1533)),ROUND(((R1535*R1532+((R1533/(R1533-R1532))-(R1532/(R1533-R1532))*R1535)*((U1517)-R1532))*(K1516*2))-(((R1533/(R1533-R1532))*((U1517)-R1532))*K1516),2),ROUND(IF((U1517)&gt;R1517,R1517*K1516,U1517*K1516),2)))</f>
        <v>0</v>
      </c>
      <c r="L1517" s="64">
        <f>IF(B1517=0,0,IF(AND(H1508="ja",((U1517-C1517)&lt;R1533)),ROUND(((R1535*R1532+((R1533/(R1533-R1532))-(R1532/(R1533-R1532))*R1535)*((U1517-C1517)-R1532))*(L1516)),2),ROUND(IF((SUM(B1517:F1517))&gt;S1517,S1517*L1516,(SUM(B1517:F1517)-C1517)*L1516),2)))</f>
        <v>0</v>
      </c>
      <c r="M1517" s="64">
        <f>IF(B1517=0,0,IF(AND(H1508="ja",((U1517-C1517)&lt;R1533)),ROUND(((R1535*R1532+((R1533/(R1533-R1532))-(R1532/(R1533-R1532))*R1535)*((U1517-C1517)-R1532))*(M1516)),2),ROUND(IF((SUM(B1517:F1517))&gt;S1517,S1517*M1516,(SUM(B1517:F1517)-C1517)*M1516),2)))</f>
        <v>0</v>
      </c>
      <c r="N1517" s="64">
        <f>IF(B1517=0,0,IF(AND(H1508="ja",((U1517)&lt;R1533)),ROUND(((R1535*R1532+((R1533/(R1533-R1532))-(R1532/(R1533-R1532))*R1535)*((U1517)-R1532))*(N1516)),2),ROUND(IF((SUM(B1517:F1517))&gt;S1517,S1517*N1516,SUM(B1517:F1517)*N1516),2)))</f>
        <v>0</v>
      </c>
      <c r="O1517" s="21">
        <f>ROUND(SUM(B1517+C1517+F1517)*O1516,2)</f>
        <v>0</v>
      </c>
      <c r="P1517" s="25">
        <f>SUM(G1517:O1517)</f>
        <v>0</v>
      </c>
      <c r="Q1517" s="456"/>
      <c r="R1517" s="140">
        <f>ROUND(IF(M1495="",R1511,R1511/M1495*P1494),2)</f>
        <v>5175</v>
      </c>
      <c r="S1517" s="140">
        <f>ROUND(IF(M1495="",R1512,R1512/M1495*P1494),2)</f>
        <v>7450</v>
      </c>
      <c r="U1517" s="950">
        <f>SUM(B1517:F1517)</f>
        <v>0</v>
      </c>
      <c r="V1517" s="950">
        <f>SUM(B1517:F1517)</f>
        <v>0</v>
      </c>
    </row>
    <row r="1518" spans="1:22" s="1" customFormat="1" x14ac:dyDescent="0.2">
      <c r="A1518" s="76" t="str">
        <f>CONCATENATE("Feb ",O1493)</f>
        <v>Feb 2025</v>
      </c>
      <c r="B1518" s="22">
        <f>ROUND(IF(P1495=0,0,IFERROR(((LOOKUP(2,1/(A1502:A1505=A1518),G1502:G1505))*P1495*4.348),B1517/P1494*P1495)),2)</f>
        <v>0</v>
      </c>
      <c r="C1518" s="21">
        <f>ROUND(IFERROR((LOOKUP(2,1/(A1508=A1518),E1508)),0)+IFERROR((LOOKUP(2,1/(A1509=A1518),E1509)),0),2)</f>
        <v>0</v>
      </c>
      <c r="D1518" s="21">
        <f>ROUND(IF(B1518=0,0,D1516/M1495*P1495),2)</f>
        <v>0</v>
      </c>
      <c r="E1518" s="21">
        <f>ROUND(IF(B1518=0,0,E1516/N1491*P1495),2)</f>
        <v>0</v>
      </c>
      <c r="F1518" s="22">
        <f>ROUND(IF(P1495=0,0,IFERROR(((LOOKUP(2,1/(A1502:A1505=A1518),I1502:I1505))/N1491*P1495),F1517/P1494*P1495)),2)</f>
        <v>0</v>
      </c>
      <c r="G1518" s="25">
        <f t="shared" si="243"/>
        <v>0</v>
      </c>
      <c r="H1518" s="64">
        <f>IF(B1518=0,0,IF(AND(H1508="ja",((U1518)&lt;R1533)),ROUND(((R1535*R1532+((R1533/(R1533-R1532))-(R1532/(R1533-R1532))*R1535)*((U1518)-R1532))*(H1516*2))-(((R1533/(R1533-R1532))*((U1518)-R1532))*H1516),2),ROUND(IF(U1517&lt;(R1517),IF((V1518)&gt;(SUM(R1517:R1518)),(((SUM(R1517:R1518))-(V1518-C1517))*H1516)+((U1518-C1517)*H1516),U1518*H1516),IF(V1518&gt;(SUM(R1517:R1518)),R1518*H1516,U1518*H1516)),2)))</f>
        <v>0</v>
      </c>
      <c r="I1518" s="64">
        <f>IF(B1518=0,0,IF(AND(H1508="ja",((U1518)&lt;R1533)),ROUND(((R1535*R1532+((R1533/(R1533-R1532))-(R1532/(R1533-R1532))*R1535)*((U1518)-R1532))*(I1516*2))-(((R1533/(R1533-R1532))*((U1518)-R1532))*I1516),2),ROUND(IF(U1517&lt;(S1517),IF((V1518)&gt;(SUM(S1517:S1518)),(((SUM(S1517:S1518))-(V1518-C1517))*I1516)+((U1518-C1517)*I1516),U1518*I1516),IF(V1518&gt;(SUM(S1517:S1518)),S1518*I1516,U1518*I1516)),2)))</f>
        <v>0</v>
      </c>
      <c r="J1518" s="64">
        <f>IF(B1518=0,0,IF(AND(H1508="ja",((U1518)&lt;R1533)),ROUND(((R1535*R1532+((R1533/(R1533-R1532))-(R1532/(R1533-R1532))*R1535)*((U1518)-R1532))*(J1516*2))-(((R1533/(R1533-R1532))*((U1518)-R1532))*J1516),2),ROUND(IF(U1517&lt;(S1517),IF((V1518)&gt;(SUM(S1517:S1518)),(((SUM(S1517:S1518))-(V1518-C1517))*J1516)+((U1518-C1517)*J1516),U1518*J1516),IF(V1518&gt;(SUM(S1517:S1518)),S1518*J1516,U1518*J1516)),2)))</f>
        <v>0</v>
      </c>
      <c r="K1518" s="64">
        <f>IF(B1518=0,0,IF(AND(H1508="ja",((U1518)&lt;R1533)),ROUND(((R1535*R1532+((R1533/(R1533-R1532))-(R1532/(R1533-R1532))*R1535)*((U1518)-R1532))*(K1516*2))-(((R1533/(R1533-R1532))*((U1518)-R1532))*K1516),2),ROUND(IF(U1517&lt;(R1517),IF((V1518)&gt;(SUM(R1517:R1518)),(((SUM(R1517:R1518))-(V1518-C1517))*K1516)+((U1518-C1517)*K1516),U1518*K1516),IF(V1518&gt;(SUM(R1517:R1518)),R1518*K1516,U1518*K1516)),2)))</f>
        <v>0</v>
      </c>
      <c r="L1518" s="64">
        <f>IF(B1518=0,0,IF(AND(H1508="ja",((U1518-C1518)&lt;R1533)),ROUND(((R1535*R1532+((R1533/(R1533-R1532))-(R1532/(R1533-R1532))*R1535)*((U1518-C1518)-R1532))*(L1516)),2),ROUND(IF(SUM(B1517:F1517)&lt;(S1517),IF((SUM(B1517:F1518))&gt;(SUM(S1517:S1518)),(((SUM(S1517:S1518))-(SUM(B1517:F1518)-C1518))*L1516)+((SUM(B1518:F1518)-C1518)*L1516),(SUM(B1518:F1518)-C1518)*L1516),IF(SUM(B1517:F1518)&gt;(SUM(S1517:S1518)),S1518*L1516,SUM(B1518:F1518)*L1516)),2)))</f>
        <v>0</v>
      </c>
      <c r="M1518" s="64">
        <f>IF(B1518=0,0,IF(AND(H1508="ja",((U1518-C1518)&lt;R1533)),ROUND(((R1535*R1532+((R1533/(R1533-R1532))-(R1532/(R1533-R1532))*R1535)*((U1518-C1518)-R1532))*(M1516)),2),ROUND(IF(SUM(B1517:F1517)&lt;(S1517),IF((SUM(B1517:F1518))&gt;(SUM(S1517:S1518)),(((SUM(S1517:S1518))-(SUM(B1517:F1518)-C1518))*M1516)+((SUM(B1518:F1518)-C1518)*M1516),(SUM(B1518:F1518)-C1518)*M1516),IF(SUM(B1517:F1518)&gt;(SUM(S1517:S1518)),S1518*M1516,SUM(B1518:F1518)*M1516)),2)))</f>
        <v>0</v>
      </c>
      <c r="N1518" s="64">
        <f>IF(B1518=0,0,IF(AND(H1508="ja",((U1518)&lt;R1533)),ROUND(((R1535*R1532+((R1533/(R1533-R1532))-(R1532/(R1533-R1532))*R1535)*((U1518)-R1532))*(N1516)),2),ROUND(IF(SUM(B1517:F1517)&lt;(S1517),IF((SUM(B1517:F1518))&gt;(SUM(S1517:S1518)),(((SUM(S1517:S1518))-(SUM(B1517:F1518)-C1517))*N1516)+((SUM(B1518:F1518)-C1517)*N1516),SUM(B1518:F1518)*N1516),IF(SUM(B1517:F1518)&gt;(SUM(S1517:S1518)),S1518*N1516,SUM(B1518:F1518)*N1516)),2)))</f>
        <v>0</v>
      </c>
      <c r="O1518" s="21">
        <f>ROUND(SUM(B1518+C1518+F1518)*O1516,2)</f>
        <v>0</v>
      </c>
      <c r="P1518" s="25">
        <f t="shared" ref="P1518:P1528" si="244">SUM(G1518:O1518)</f>
        <v>0</v>
      </c>
      <c r="Q1518" s="456"/>
      <c r="R1518" s="140">
        <f>ROUND(IF(M1495="",R1511,R1511/M1495*P1495),2)</f>
        <v>5175</v>
      </c>
      <c r="S1518" s="140">
        <f>ROUND(IF(M1495="",R1512,R1512/M1495*P1495),2)</f>
        <v>7450</v>
      </c>
      <c r="U1518" s="950">
        <f t="shared" ref="U1518:U1528" si="245">SUM(B1518:F1518)</f>
        <v>0</v>
      </c>
      <c r="V1518" s="950">
        <f>SUM(B1517:F1518)</f>
        <v>0</v>
      </c>
    </row>
    <row r="1519" spans="1:22" s="1" customFormat="1" x14ac:dyDescent="0.2">
      <c r="A1519" s="76" t="str">
        <f>CONCATENATE("Mrz ",O1493)</f>
        <v>Mrz 2025</v>
      </c>
      <c r="B1519" s="22">
        <f>ROUND(IF(P1496=0,0,IFERROR(((LOOKUP(2,1/(A1502:A1505=A1519),G1502:G1505))*P1496*4.348),B1518/P1495*P1496)),2)</f>
        <v>0</v>
      </c>
      <c r="C1519" s="21">
        <f>ROUND(IFERROR((LOOKUP(2,1/(A1508=A1519),E1508)),0)+IFERROR((LOOKUP(2,1/(A1509=A1519),E1509)),0),2)</f>
        <v>0</v>
      </c>
      <c r="D1519" s="21">
        <f>ROUND(IF(B1519=0,0,D1516/M1495*P1496),2)</f>
        <v>0</v>
      </c>
      <c r="E1519" s="21">
        <f>ROUND(IF(B1519=0,0,E1516/N1491*P1496),2)</f>
        <v>0</v>
      </c>
      <c r="F1519" s="22">
        <f>ROUND(IF(P1496=0,0,IFERROR(((LOOKUP(2,1/(A1502:A1505=A1519),I1502:I1505))/N1491*P1496),F1518/P1495*P1496)),2)</f>
        <v>0</v>
      </c>
      <c r="G1519" s="25">
        <f t="shared" si="243"/>
        <v>0</v>
      </c>
      <c r="H1519" s="64">
        <f>IF(B1519=0,0,IF(AND(H1508="ja",((U1519)&lt;R1533)),ROUND(((R1535*R1532+((R1533/(R1533-R1532))-(R1532/(R1533-R1532))*R1535)*((U1519)-R1532))*(H1516*2))-(((R1533/(R1533-R1532))*((U1519)-R1532))*H1516),2),ROUND(IF(V1518&lt;(SUM(R1517:R1518)),IF((V1519)&gt;(SUM(R1517:R1519)),(((SUM(R1517:R1519))-(V1519-C1518))*H1516)+((U1519-C1518)*H1516),U1519*H1516),IF(V1519&gt;(SUM(R1517:R1519)),R1519*H1516,U1519*H1516)),2)))</f>
        <v>0</v>
      </c>
      <c r="I1519" s="64">
        <f>IF(B1519=0,0,IF(AND(H1508="ja",((U1519)&lt;R1533)),ROUND(((R1535*R1532+((R1533/(R1533-R1532))-(R1532/(R1533-R1532))*R1535)*((U1519)-R1532))*(I1516*2))-(((R1533/(R1533-R1532))*((U1519)-R1532))*I1516),2),ROUND(IF(V1518&lt;(SUM(S1517:S1518)),IF((V1519)&gt;(SUM(S1517:S1519)),(((SUM(S1517:S1519))-(V1519-C1518))*I1516)+((U1519-C1518)*I1516),U1519*I1516),IF(V1519&gt;(SUM(S1517:S1519)),S1519*I1516,U1519*I1516)),2)))</f>
        <v>0</v>
      </c>
      <c r="J1519" s="64">
        <f>IF(B1519=0,0,IF(AND(H1508="ja",((U1519)&lt;R1533)),ROUND(((R1535*R1532+((R1533/(R1533-R1532))-(R1532/(R1533-R1532))*R1535)*((U1519)-R1532))*(J1516*2))-(((R1533/(R1533-R1532))*((U1519)-R1532))*J1516),2),ROUND(IF(V1518&lt;(SUM(S1517:S1518)),IF((V1519)&gt;(SUM(S1517:S1519)),(((SUM(S1517:S1519))-(V1519-C1518))*J1516)+((U1519-C1518)*J1516),U1519*J1516),IF(V1519&gt;(SUM(S1517:S1519)),S1519*J1516,U1519*J1516)),2)))</f>
        <v>0</v>
      </c>
      <c r="K1519" s="64">
        <f>IF(B1519=0,0,IF(AND(H1508="ja",((U1519)&lt;R1533)),ROUND(((R1535*R1532+((R1533/(R1533-R1532))-(R1532/(R1533-R1532))*R1535)*((U1519)-R1532))*(K1516*2))-(((R1533/(R1533-R1532))*((U1519)-R1532))*K1516),2),ROUND(IF(V1518&lt;(SUM(R1517:R1518)),IF((V1519)&gt;(SUM(R1517:R1519)),(((SUM(R1517:R1519))-(V1519-C1518))*K1516)+((U1519-C1518)*K1516),U1519*K1516),IF(V1519&gt;(SUM(R1517:R1519)),R1519*K1516,U1519*K1516)),2)))</f>
        <v>0</v>
      </c>
      <c r="L1519" s="64">
        <f>IF(B1519=0,0,IF(AND(H1508="ja",((U1519-C1519)&lt;R1533)),ROUND(((R1535*R1532+((R1533/(R1533-R1532))-(R1532/(R1533-R1532))*R1535)*((U1519-C1519)-R1532))*(L1516)),2),ROUND(IF(SUM(B1517:F1518)&lt;(SUM(S1517:S1518)),IF((SUM(B1517:F1519))&gt;(SUM(S1517:S1519)),(((SUM(S1517:S1519))-(SUM(B1517:F1519)-C1519))*L1516)+((SUM(B1519:F1519)-C1519)*L1516),(SUM(B1519:F1519)-C1519)*L1516),IF(SUM(B1517:F1519)&gt;(SUM(S1517:S1519)),S1519*L1516,SUM(B1519:F1519)*L1516)),2)))</f>
        <v>0</v>
      </c>
      <c r="M1519" s="64">
        <f>IF(B1519=0,0,IF(AND(H1508="ja",((U1519-C1519)&lt;R1533)),ROUND(((R1535*R1532+((R1533/(R1533-R1532))-(R1532/(R1533-R1532))*R1535)*((U1519-C1519)-R1532))*(M1516)),2),ROUND(IF(SUM(B1517:F1518)&lt;(SUM(S1517:S1518)),IF((SUM(B1517:F1519))&gt;(SUM(S1517:S1519)),(((SUM(S1517:S1519))-(SUM(B1517:F1519)-C1519))*M1516)+((SUM(B1519:F1519)-C1519)*M1516),(SUM(B1519:F1519)-C1519)*M1516),IF(SUM(B1517:F1519)&gt;(SUM(S1517:S1519)),S1519*M1516,SUM(B1519:F1519)*M1516)),2)))</f>
        <v>0</v>
      </c>
      <c r="N1519" s="64">
        <f>IF(B1519=0,0,IF(AND(H1508="ja",((U1519)&lt;R1533)),ROUND(((R1535*R1532+((R1533/(R1533-R1532))-(R1532/(R1533-R1532))*R1535)*((U1519)-R1532))*(N1516)),2),ROUND(IF(SUM(B1517:F1518)&lt;(SUM(S1517:S1518)),IF((SUM(B1517:F1519))&gt;(SUM(S1517:S1519)),(((SUM(S1517:S1519))-(SUM(B1517:F1519)-C1518))*N1516)+((SUM(B1519:F1519)-C1518)*N1516),SUM(B1519:F1519)*N1516),IF(SUM(B1517:F1519)&gt;(SUM(S1517:S1519)),S1519*N1516,SUM(B1519:F1519)*N1516)),2)))</f>
        <v>0</v>
      </c>
      <c r="O1519" s="21">
        <f>ROUND(SUM(B1519+C1519+F1519)*O1516,2)</f>
        <v>0</v>
      </c>
      <c r="P1519" s="25">
        <f t="shared" si="244"/>
        <v>0</v>
      </c>
      <c r="Q1519" s="456"/>
      <c r="R1519" s="140">
        <f>ROUND(IF(M1495="",R1511,R1511/M1495*P1496),2)</f>
        <v>5175</v>
      </c>
      <c r="S1519" s="140">
        <f>ROUND(IF(M1495="",R1512,R1512/M1495*P1496),2)</f>
        <v>7450</v>
      </c>
      <c r="U1519" s="950">
        <f t="shared" si="245"/>
        <v>0</v>
      </c>
      <c r="V1519" s="950">
        <f>SUM(B1517:F1519)</f>
        <v>0</v>
      </c>
    </row>
    <row r="1520" spans="1:22" s="1" customFormat="1" x14ac:dyDescent="0.2">
      <c r="A1520" s="76" t="str">
        <f>CONCATENATE("Apr ",O1493)</f>
        <v>Apr 2025</v>
      </c>
      <c r="B1520" s="22">
        <f>ROUND(IF(P1497=0,0,IFERROR(((LOOKUP(2,1/(A1502:A1505=A1520),G1502:G1505))*P1497*4.348),B1519/P1496*P1497)),2)</f>
        <v>0</v>
      </c>
      <c r="C1520" s="21">
        <f>ROUND(IFERROR((LOOKUP(2,1/(A1508=A1520),E1508)),0)+IFERROR((LOOKUP(2,1/(A1509=A1520),E1509)),0),2)</f>
        <v>0</v>
      </c>
      <c r="D1520" s="21">
        <f>ROUND(IF(B1520=0,0,D1516/M1495*P1497),2)</f>
        <v>0</v>
      </c>
      <c r="E1520" s="21">
        <f>ROUND(IF(B1520=0,0,E1516/N1491*P1497),2)</f>
        <v>0</v>
      </c>
      <c r="F1520" s="22">
        <f>ROUND(IF(P1497=0,0,IFERROR(((LOOKUP(2,1/(A1502:A1505=A1520),I1502:I1505))/N1491*P1497),F1519/P1496*P1497)),2)</f>
        <v>0</v>
      </c>
      <c r="G1520" s="25">
        <f t="shared" si="243"/>
        <v>0</v>
      </c>
      <c r="H1520" s="64">
        <f>IF(B1520=0,0,IF(AND(H1508="ja",((U1520)&lt;R1533)),ROUND(((R1535*R1532+((R1533/(R1533-R1532))-(R1532/(R1533-R1532))*R1535)*((U1520)-R1532))*(H1516*2))-(((R1533/(R1533-R1532))*((U1520)-R1532))*H1516),2),ROUND(IF(V1519&lt;(SUM(R1517:R1519)),IF((V1520)&gt;(SUM(R1517:R1520)),(((SUM(R1517:R1520))-(V1520-C1519))*H1516)+((U1520-C1519)*H1516),U1520*H1516),IF(V1520&gt;(SUM(R1517:R1520)),R1520*H1516,U1520*H1516)),2)))</f>
        <v>0</v>
      </c>
      <c r="I1520" s="64">
        <f>IF(B1520=0,0,IF(AND(H1508="ja",((U1520)&lt;R1533)),ROUND(((R1535*R1532+((R1533/(R1533-R1532))-(R1532/(R1533-R1532))*R1535)*((U1520)-R1532))*(I1516*2))-(((R1533/(R1533-R1532))*((U1520)-R1532))*I1516),2),ROUND(IF(V1519&lt;(SUM(S1517:S1519)),IF((V1520)&gt;(SUM(S1517:S1520)),(((SUM(S1517:S1520))-(V1520-C1519))*I1516)+((U1520-C1519)*I1516),U1520*I1516),IF(V1520&gt;(SUM(S1517:S1520)),S1520*I1516,U1520*I1516)),2)))</f>
        <v>0</v>
      </c>
      <c r="J1520" s="64">
        <f>IF(B1520=0,0,IF(AND(H1508="ja",((U1520)&lt;R1533)),ROUND(((R1535*R1532+((R1533/(R1533-R1532))-(R1532/(R1533-R1532))*R1535)*((U1520)-R1532))*(J1516*2))-(((R1533/(R1533-R1532))*((U1520)-R1532))*J1516),2),ROUND(IF(U1519&lt;(SUM(S1517:S1519)),IF((V1520)&gt;(SUM(S1517:S1520)),(((SUM(S1517:S1520))-(V1520-C1519))*J1516)+((U1520-C1519)*J1516),U1520*J1516),IF(V1520&gt;(SUM(S1517:S1520)),S1520*J1516,U1520*J1516)),2)))</f>
        <v>0</v>
      </c>
      <c r="K1520" s="64">
        <f>IF(B1520=0,0,IF(AND(H1508="ja",((U1520)&lt;R1533)),ROUND(((R1535*R1532+((R1533/(R1533-R1532))-(R1532/(R1533-R1532))*R1535)*((U1520)-R1532))*(K1516*2))-(((R1533/(R1533-R1532))*((U1520)-R1532))*K1516),2),ROUND(IF(V1519&lt;(SUM(R1517:R1519)),IF((V1520)&gt;(SUM(R1517:R1520)),(((SUM(R1517:R1520))-(V1520-C1519))*K1516)+((U1520-C1519)*K1516),U1520*K1516),IF(V1520&gt;(SUM(R1517:R1520)),R1520*K1516,U1520*K1516)),2)))</f>
        <v>0</v>
      </c>
      <c r="L1520" s="64">
        <f>IF(B1520=0,0,IF(AND(H1508="ja",((U1520-C1520)&lt;R1533)),ROUND(((R1535*R1532+((R1533/(R1533-R1532))-(R1532/(R1533-R1532))*R1535)*((U1520-C1520)-R1532))*(L1516)),2),ROUND(IF(SUM(B1517:F1519)&lt;(SUM(S1517:S1519)),IF((SUM(B1517:F1520))&gt;(SUM(S1517:S1520)),(((SUM(S1517:S1520))-(SUM(B1517:F1520)-C1520))*L1516)+((SUM(B1520:F1520)-C1520)*L1516),(SUM(B1520:F1520)-C1520)*L1516),IF(SUM(B1517:F1520)&gt;(SUM(S1517:S1520)),S1520*L1516,SUM(B1520:F1520)*L1516)),2)))</f>
        <v>0</v>
      </c>
      <c r="M1520" s="64">
        <f>IF(B1520=0,0,IF(AND(H1508="ja",((U1520-C1520)&lt;R1533)),ROUND(((R1535*R1532+((R1533/(R1533-R1532))-(R1532/(R1533-R1532))*R1535)*((U1520-C1520)-R1532))*(M1516)),2),ROUND(IF(SUM(B1517:F1519)&lt;(SUM(S1517:S1519)),IF((SUM(B1517:F1520))&gt;(SUM(S1517:S1520)),(((SUM(S1517:S1520))-(SUM(B1517:F1520)-C1520))*M1516)+((SUM(B1520:F1520)-C1520)*M1516),(SUM(B1520:F1520)-C1520)*M1516),IF(SUM(B1517:F1520)&gt;(SUM(S1517:S1520)),S1520*M1516,SUM(B1520:F1520)*M1516)),2)))</f>
        <v>0</v>
      </c>
      <c r="N1520" s="64">
        <f>IF(B1520=0,0,IF(AND(H1508="ja",((U1520)&lt;R1533)),ROUND(((R1535*R1532+((R1533/(R1533-R1532))-(R1532/(R1533-R1532))*R1535)*((U1520)-R1532))*(N1516)),2),ROUND(IF(SUM(B1517:F1519)&lt;(SUM(S1517:S1519)),IF((SUM(B1517:F1520))&gt;(SUM(S1517:S1520)),(((SUM(S1517:S1520))-(SUM(B1517:F1520)-C1519))*N1516)+((SUM(B1520:F1520)-C1519)*N1516),SUM(B1520:F1520)*N1516),IF(SUM(B1517:F1520)&gt;(SUM(S1517:S1520)),S1520*N1516,SUM(B1520:F1520)*N1516)),2)))</f>
        <v>0</v>
      </c>
      <c r="O1520" s="21">
        <f>ROUND(SUM(B1520+C1520+F1520)*O1516,2)</f>
        <v>0</v>
      </c>
      <c r="P1520" s="25">
        <f t="shared" si="244"/>
        <v>0</v>
      </c>
      <c r="Q1520" s="456"/>
      <c r="R1520" s="140">
        <f>ROUND(IF(M1495="",R1511,R1511/M1495*P1497),2)</f>
        <v>5175</v>
      </c>
      <c r="S1520" s="140">
        <f>ROUND(IF(M1495="",R1512,R1512/M1495*P1497),2)</f>
        <v>7450</v>
      </c>
      <c r="U1520" s="950">
        <f t="shared" si="245"/>
        <v>0</v>
      </c>
      <c r="V1520" s="950">
        <f>SUM(B1517:F1520)</f>
        <v>0</v>
      </c>
    </row>
    <row r="1521" spans="1:24" s="1" customFormat="1" x14ac:dyDescent="0.2">
      <c r="A1521" s="76" t="str">
        <f>CONCATENATE("Mai ",O1493)</f>
        <v>Mai 2025</v>
      </c>
      <c r="B1521" s="22">
        <f>ROUND(IF(P1498=0,0,IFERROR(((LOOKUP(2,1/(A1502:A1505=A1521),G1502:G1505))*P1498*4.348),B1520/P1497*P1498)),2)</f>
        <v>0</v>
      </c>
      <c r="C1521" s="21">
        <f>ROUND(IFERROR((LOOKUP(2,1/(A1508=A1521),E1508)),0)+IFERROR((LOOKUP(2,1/(A1509=A1521),E1509)),0),2)</f>
        <v>0</v>
      </c>
      <c r="D1521" s="21">
        <f>ROUND(IF(B1521=0,0,D1516/M1495*P1498),2)</f>
        <v>0</v>
      </c>
      <c r="E1521" s="21">
        <f>ROUND(IF(B1521=0,0,E1516/N1491*P1498),2)</f>
        <v>0</v>
      </c>
      <c r="F1521" s="22">
        <f>ROUND(IF(P1498=0,0,IFERROR(((LOOKUP(2,1/(A1502:A1505=A1521),I1502:I1505))/N1491*P1498),F1520/P1497*P1498)),2)</f>
        <v>0</v>
      </c>
      <c r="G1521" s="25">
        <f t="shared" si="243"/>
        <v>0</v>
      </c>
      <c r="H1521" s="64">
        <f>IF(B1521=0,0,IF(AND(H1508="ja",((U1521)&lt;R1533)),ROUND(((R1535*R1532+((R1533/(R1533-R1532))-(R1532/(R1533-R1532))*R1535)*((U1521)-R1532))*(H1516*2))-(((R1533/(R1533-R1532))*((U1521)-R1532))*H1516),2),ROUND(IF(V1520&lt;(SUM(R1517:R1520)),IF((V1521)&gt;(SUM(R1517:R1521)),(((SUM(R1517:R1521))-(V1521-C1520))*H1516)+((U1521-C1520)*H1516),U1521*H1516),IF(V1521&gt;(SUM(R1517:R1521)),R1521*H1516,U1521*H1516)),2)))</f>
        <v>0</v>
      </c>
      <c r="I1521" s="64">
        <f>IF(B1521=0,0,IF(AND(H1508="ja",((U1521)&lt;R1533)),ROUND(((R1535*R1532+((R1533/(R1533-R1532))-(R1532/(R1533-R1532))*R1535)*((U1521)-R1532))*(I1516*2))-(((R1533/(R1533-R1532))*((U1521)-R1532))*I1516),2),ROUND(IF(V1520&lt;(SUM(S1517:S1520)),IF((V1521)&gt;(SUM(S1517:S1521)),(((SUM(S1517:S1521))-(V1521-C1520))*I1516)+((U1521-C1520)*I1516),U1521*I1516),IF(V1521&gt;(SUM(S1517:S1521)),S1521*I1516,U1521*I1516)),2)))</f>
        <v>0</v>
      </c>
      <c r="J1521" s="64">
        <f>IF(B1521=0,0,IF(AND(H1508="ja",((U1521)&lt;R1533)),ROUND(((R1535*R1532+((R1533/(R1533-R1532))-(R1532/(R1533-R1532))*R1535)*((U1521)-R1532))*(J1516*2))-(((R1533/(R1533-R1532))*((U1521)-R1532))*J1516),2),ROUND(IF(V1520&lt;(SUM(S1517:S1520)),IF((V1521)&gt;(SUM(S1517:S1521)),(((SUM(S1517:S1521))-(V1521-C1520))*J1516)+((U1521-C1520)*J1516),U1521*J1516),IF(V1521&gt;(SUM(S1517:S1521)),S1521*J1516,U1521*J1516)),2)))</f>
        <v>0</v>
      </c>
      <c r="K1521" s="64">
        <f>IF(B1521=0,0,IF(AND(H1508="ja",((U1521)&lt;R1533)),ROUND(((R1535*R1532+((R1533/(R1533-R1532))-(R1532/(R1533-R1532))*R1535)*((U1521)-R1532))*(K1516*2))-(((R1533/(R1533-R1532))*((U1521)-R1532))*K1516),2),ROUND(IF(V1520&lt;(SUM(R1517:R1520)),IF((V1521)&gt;(SUM(R1517:R1521)),(((SUM(R1517:R1521))-(V1521-C1520))*K1516)+((U1521-C1520)*K1516),U1521*K1516),IF(V1521&gt;(SUM(R1517:R1521)),R1521*K1516,U1521*K1516)),2)))</f>
        <v>0</v>
      </c>
      <c r="L1521" s="64">
        <f>IF(B1521=0,0,IF(AND(H1508="ja",((U1521-C1521)&lt;R1533)),ROUND(((R1535*R1532+((R1533/(R1533-R1532))-(R1532/(R1533-R1532))*R1535)*((U1521-C1521)-R1532))*(L1516)),2),ROUND(IF(SUM(B1517:F1520)&lt;(SUM(S1517:S1520)),IF((SUM(B1517:F1521))&gt;(SUM(S1517:S1521)),(((SUM(S1517:S1521))-(SUM(B1517:F1521)-C1521))*L1516)+((SUM(B1521:F1521)-C1521)*L1516),(SUM(B1521:F1521)-C1521)*L1516),IF(SUM(B1517:F1521)&gt;(SUM(S1517:S1521)),S1521*L1516,SUM(B1521:F1521)*L1516)),2)))</f>
        <v>0</v>
      </c>
      <c r="M1521" s="64">
        <f>IF(B1521=0,0,IF(AND(H1508="ja",((U1521-C1521)&lt;R1533)),ROUND(((R1535*R1532+((R1533/(R1533-R1532))-(R1532/(R1533-R1532))*R1535)*((U1521-C1521)-R1532))*(M1516)),2),ROUND(IF(SUM(B1517:F1520)&lt;(SUM(S1517:S1520)),IF((SUM(B1517:F1521))&gt;(SUM(S1517:S1521)),(((SUM(S1517:S1521))-(SUM(B1517:F1521)-C1521))*M1516)+((SUM(B1521:F1521)-C1521)*M1516),(SUM(B1521:F1521)-C1521)*M1516),IF(SUM(B1517:F1521)&gt;(SUM(S1517:S1521)),S1521*M1516,SUM(B1521:F1521)*M1516)),2)))</f>
        <v>0</v>
      </c>
      <c r="N1521" s="64">
        <f>IF(B1521=0,0,IF(AND(H1508="ja",((U1521)&lt;R1533)),ROUND(((R1535*R1532+((R1533/(R1533-R1532))-(R1532/(R1533-R1532))*R1535)*((U1521)-R1532))*(N1516)),2),ROUND(IF(SUM(B1517:F1520)&lt;(SUM(S1517:S1520)),IF((SUM(B1517:F1521))&gt;(SUM(S1517:S1521)),(((SUM(S1517:S1521))-(SUM(B1517:F1521)-C1520))*N1516)+((SUM(B1521:F1521)-C1520)*N1516),SUM(B1521:F1521)*N1516),IF(SUM(B1517:F1521)&gt;(SUM(S1517:S1521)),S1521*N1516,SUM(B1521:F1521)*N1516)),2)))</f>
        <v>0</v>
      </c>
      <c r="O1521" s="21">
        <f>ROUND(SUM(B1521+C1521+F1521)*O1516,2)</f>
        <v>0</v>
      </c>
      <c r="P1521" s="25">
        <f t="shared" si="244"/>
        <v>0</v>
      </c>
      <c r="Q1521" s="456"/>
      <c r="R1521" s="140">
        <f>ROUND(IF(M1495="",R1511,R1511/M1495*P1498),2)</f>
        <v>5175</v>
      </c>
      <c r="S1521" s="140">
        <f>ROUND(IF(M1495="",R1512,R1512/M1495*P1498),2)</f>
        <v>7450</v>
      </c>
      <c r="U1521" s="950">
        <f t="shared" si="245"/>
        <v>0</v>
      </c>
      <c r="V1521" s="950">
        <f>SUM(B1517:F1521)</f>
        <v>0</v>
      </c>
    </row>
    <row r="1522" spans="1:24" s="1" customFormat="1" x14ac:dyDescent="0.2">
      <c r="A1522" s="76" t="str">
        <f>CONCATENATE("Jun ",O1493)</f>
        <v>Jun 2025</v>
      </c>
      <c r="B1522" s="22">
        <f>ROUND(IF(P1499=0,0,IFERROR(((LOOKUP(2,1/(A1502:A1505=A1522),G1502:G1505))*P1499*4.348),B1521/P1498*P1499)),2)</f>
        <v>0</v>
      </c>
      <c r="C1522" s="21">
        <f>ROUND(IFERROR((LOOKUP(2,1/(A1508=A1522),E1508)),0)+IFERROR((LOOKUP(2,1/(A1509=A1522),E1509)),0),2)</f>
        <v>0</v>
      </c>
      <c r="D1522" s="21">
        <f>ROUND(IF(B1522=0,0,D1516/M1495*P1499),2)</f>
        <v>0</v>
      </c>
      <c r="E1522" s="21">
        <f>ROUND(IF(B1522=0,0,E1516/N1491*P1499),2)</f>
        <v>0</v>
      </c>
      <c r="F1522" s="22">
        <f>ROUND(IF(P1499=0,0,IFERROR(((LOOKUP(2,1/(A1502:A1505=A1522),I1502:I1505))/N1491*P1499),F1521/P1498*P1499)),2)</f>
        <v>0</v>
      </c>
      <c r="G1522" s="25">
        <f t="shared" si="243"/>
        <v>0</v>
      </c>
      <c r="H1522" s="64">
        <f>IF(B1522=0,0,IF(AND(H1508="ja",((U1522)&lt;R1533)),ROUND(((R1535*R1532+((R1533/(R1533-R1532))-(R1532/(R1533-R1532))*R1535)*((U1522)-R1532))*(H1516*2))-(((R1533/(R1533-R1532))*((U1522)-R1532))*H1516),2),ROUND(IF(V1521&lt;(SUM(R1517:R1521)),IF((V1522)&gt;(SUM(R1517:R1522)),(((SUM(R1517:R1522))-(V1522-C1521))*H1516)+((U1522-C1521)*H1516),U1522*H1516),IF(V1522&gt;(SUM(R1517:R1522)),R1522*H1516,U1522*H1516)),2)))</f>
        <v>0</v>
      </c>
      <c r="I1522" s="64">
        <f>IF(B1522=0,0,IF(AND(H1508="ja",((U1522)&lt;R1533)),ROUND(((R1535*R1532+((R1533/(R1533-R1532))-(R1532/(R1533-R1532))*R1535)*((U1522)-R1532))*(I1516*2))-(((R1533/(R1533-R1532))*((U1522)-R1532))*I1516),2),ROUND(IF(V1521&lt;(SUM(S1517:S1521)),IF((V1522)&gt;(SUM(S1517:S1522)),(((SUM(S1517:S1522))-(V1522-C1521))*I1516)+((U1522-C1521)*I1516),U1522*I1516),IF(V1522&gt;(SUM(S1517:S1522)),S1522*I1516,U1522*I1516)),2)))</f>
        <v>0</v>
      </c>
      <c r="J1522" s="64">
        <f>IF(B1522=0,0,IF(AND(H1508="ja",((U1522)&lt;R1533)),ROUND(((R1535*R1532+((R1533/(R1533-R1532))-(R1532/(R1533-R1532))*R1535)*((U1522)-R1532))*(J1516*2))-(((R1533/(R1533-R1532))*((U1522)-R1532))*J1516),2),ROUND(IF(V1521&lt;(SUM(S1517:S1521)),IF((V1522)&gt;(SUM(S1517:S1522)),(((SUM(S1517:S1522))-(V1522-C1521))*J1516)+((U1522-C1521)*J1516),U1522*J1516),IF(V1522&gt;(SUM(S1517:S1522)),S1522*J1516,U1522*J1516)),2)))</f>
        <v>0</v>
      </c>
      <c r="K1522" s="64">
        <f>IF(B1522=0,0,IF(AND(H1508="ja",((U1522)&lt;R1533)),ROUND(((R1535*R1532+((R1533/(R1533-R1532))-(R1532/(R1533-R1532))*R1535)*((U1522)-R1532))*(K1516*2))-(((R1533/(R1533-R1532))*((U1522)-R1532))*K1516),2),ROUND(IF(V1521&lt;(SUM(R1517:R1521)),IF((V1522)&gt;(SUM(R1517:R1522)),(((SUM(R1517:R1522))-(V1522-C1521))*K1516)+((U1522-C1521)*K1516),U1522*K1516),IF(V1522&gt;(SUM(R1517:R1522)),R1522*K1516,U1522*K1516)),2)))</f>
        <v>0</v>
      </c>
      <c r="L1522" s="64">
        <f>IF(B1522=0,0,IF(AND(H1508="ja",((U1522-C1522)&lt;R1533)),ROUND(((R1535*R1532+((R1533/(R1533-R1532))-(R1532/(R1533-R1532))*R1535)*((U1522-C1522)-R1532))*(L1516)),2),ROUND(IF(SUM(B1517:F1521)&lt;(SUM(S1517:S1521)),IF((SUM(B1517:F1522))&gt;(SUM(S1517:S1522)),(((SUM(S1517:S1522))-(SUM(B1517:F1522)-C1522))*L1516)+((SUM(B1522:F1522)-C1522)*L1516),(SUM(B1522:F1522)-C1522)*L1516),IF(SUM(B1517:F1522)&gt;(SUM(S1517:S1522)),S1522*L1516,SUM(B1522:F1522)*L1516)),2)))</f>
        <v>0</v>
      </c>
      <c r="M1522" s="64">
        <f>IF(B1522=0,0,IF(AND(H1508="ja",((U1522-C1522)&lt;R1533)),ROUND(((R1535*R1532+((R1533/(R1533-R1532))-(R1532/(R1533-R1532))*R1535)*((U1522-C1522)-R1532))*(M1516)),2),ROUND(IF(SUM(B1517:F1521)&lt;(SUM(S1517:S1521)),IF((SUM(B1517:F1522))&gt;(SUM(S1517:S1522)),(((SUM(S1517:S1522))-(SUM(B1517:F1522)-C1522))*M1516)+((SUM(B1522:F1522)-C1522)*M1516),(SUM(B1522:F1522)-C1522)*M1516),IF(SUM(B1517:F1522)&gt;(SUM(S1517:S1522)),S1522*M1516,SUM(B1522:F1522)*M1516)),2)))</f>
        <v>0</v>
      </c>
      <c r="N1522" s="64">
        <f>IF(B1522=0,0,IF(AND(H1508="ja",((U1522)&lt;R1533)),ROUND(((R1535*R1532+((R1533/(R1533-R1532))-(R1532/(R1533-R1532))*R1535)*((U1522)-R1532))*(N1516)),2),ROUND(IF(SUM(B1517:F1521)&lt;(SUM(S1517:S1521)),IF((SUM(B1517:F1522))&gt;(SUM(S1517:S1522)),(((SUM(S1517:S1522))-(SUM(B1517:F1522)-C1521))*N1516)+((SUM(B1522:F1522)-C1521)*N1516),SUM(B1522:F1522)*N1516),IF(SUM(B1517:F1522)&gt;(SUM(S1517:S1522)),S1522*N1516,SUM(B1522:F1522)*N1516)),2)))</f>
        <v>0</v>
      </c>
      <c r="O1522" s="21">
        <f>ROUND(SUM(B1522+C1522+F1522)*O1516,2)</f>
        <v>0</v>
      </c>
      <c r="P1522" s="25">
        <f t="shared" si="244"/>
        <v>0</v>
      </c>
      <c r="Q1522" s="456"/>
      <c r="R1522" s="140">
        <f>ROUND(IF(M1495="",R1511,R1511/M1495*P1499),2)</f>
        <v>5175</v>
      </c>
      <c r="S1522" s="140">
        <f>ROUND(IF(M1495="",R1512,R1512/M1495*P1499),2)</f>
        <v>7450</v>
      </c>
      <c r="U1522" s="950">
        <f t="shared" si="245"/>
        <v>0</v>
      </c>
      <c r="V1522" s="950">
        <f>SUM(B1517:F1522)</f>
        <v>0</v>
      </c>
    </row>
    <row r="1523" spans="1:24" s="1" customFormat="1" x14ac:dyDescent="0.2">
      <c r="A1523" s="76" t="str">
        <f>CONCATENATE("Jul ",O1493)</f>
        <v>Jul 2025</v>
      </c>
      <c r="B1523" s="22">
        <f>ROUND(IF(P1500=0,0,IFERROR(((LOOKUP(2,1/(A1502:A1505=A1523),G1502:G1505))*P1500*4.348),B1522/P1499*P1500)),2)</f>
        <v>0</v>
      </c>
      <c r="C1523" s="21">
        <f>ROUND(IFERROR((LOOKUP(2,1/(A1508=A1523),E1508)),0)+IFERROR((LOOKUP(2,1/(A1509=A1523),E1509)),0),2)</f>
        <v>0</v>
      </c>
      <c r="D1523" s="21">
        <f>ROUND(IF(B1523=0,0,D1516/M1495*P1500),2)</f>
        <v>0</v>
      </c>
      <c r="E1523" s="21">
        <f>ROUND(IF(B1523=0,0,E1516/N1491*P1500),2)</f>
        <v>0</v>
      </c>
      <c r="F1523" s="22">
        <f>ROUND(IF(P1500=0,0,IFERROR(((LOOKUP(2,1/(A1502:A1505=A1523),I1502:I1505))/N1491*P1500),F1522/P1499*P1500)),2)</f>
        <v>0</v>
      </c>
      <c r="G1523" s="25">
        <f t="shared" si="243"/>
        <v>0</v>
      </c>
      <c r="H1523" s="64">
        <f>IF(B1523=0,0,IF(AND(H1508="ja",((U1523)&lt;R1533)),ROUND(((R1535*R1532+((R1533/(R1533-R1532))-(R1532/(R1533-R1532))*R1535)*((U1523)-R1532))*(H1516*2))-(((R1533/(R1533-R1532))*((U1523)-R1532))*H1516),2),ROUND(IF(V1522&lt;(SUM(R1517:R1522)),IF((V1523)&gt;(SUM(R1517:R1523)),(((SUM(R1517:R1523))-(V1523-C1522))*H1516)+((U1523-C1522)*H1516),U1523*H1516),IF(V1523&gt;(SUM(R1517:R1523)),R1523*H1516,U1523*H1516)),2)))</f>
        <v>0</v>
      </c>
      <c r="I1523" s="64">
        <f>IF(B1523=0,0,IF(AND(H1508="ja",((U1523)&lt;R1533)),ROUND(((R1535*R1532+((R1533/(R1533-R1532))-(R1532/(R1533-R1532))*R1535)*((U1523)-R1532))*(I1516*2))-(((R1533/(R1533-R1532))*((U1523)-R1532))*I1516),2),ROUND(IF(V1522&lt;(SUM(S1517:S1522)),IF((V1523)&gt;(SUM(S1517:S1523)),(((SUM(S1517:S1523))-(V1523-C1522))*I1516)+((U1523-C1522)*I1516),U1523*I1516),IF(V1523&gt;(SUM(S1517:S1523)),S1523*I1516,U1523*I1516)),2)))</f>
        <v>0</v>
      </c>
      <c r="J1523" s="64">
        <f>IF(B1523=0,0,IF(AND(H1508="ja",((U1523)&lt;R1533)),ROUND(((R1535*R1532+((R1533/(R1533-R1532))-(R1532/(R1533-R1532))*R1535)*((U1523)-R1532))*(J1516*2))-(((R1533/(R1533-R1532))*((U1523)-R1532))*J1516),2),ROUND(IF(V1522&lt;(SUM(S1517:S1522)),IF((V1523)&gt;(SUM(S1517:S1523)),(((SUM(S1517:S1523))-(V1523-C1522))*J1516)+((U1523-C1522)*J1516),U1523*J1516),IF(V1523&gt;(SUM(S1517:S1523)),S1523*J1516,U1523*J1516)),2)))</f>
        <v>0</v>
      </c>
      <c r="K1523" s="64">
        <f>IF(B1523=0,0,IF(AND(H1508="ja",((U1523)&lt;R1533)),ROUND(((R1535*R1532+((R1533/(R1533-R1532))-(R1532/(R1533-R1532))*R1535)*((U1523)-R1532))*(K1516*2))-(((R1533/(R1533-R1532))*((U1523)-R1532))*K1516),2),ROUND(IF(V1522&lt;(SUM(R1517:R1522)),IF((V1523)&gt;(SUM(R1517:R1523)),(((SUM(R1517:R1523))-(V1523-C1522))*K1516)+((U1523-C1522)*K1516),U1523*K1516),IF(V1523&gt;(SUM(R1517:R1523)),R1523*K1516,U1523*K1516)),2)))</f>
        <v>0</v>
      </c>
      <c r="L1523" s="64">
        <f>IF(B1523=0,0,IF(AND(H1508="ja",((U1523-C1523)&lt;R1533)),ROUND(((R1535*R1532+((R1533/(R1533-R1532))-(R1532/(R1533-R1532))*R1535)*((U1523-C1523)-R1532))*(L1516)),2),ROUND(IF(SUM(B1517:F1522)&lt;(SUM(S1517:S1522)),IF((SUM(B1517:F1523))&gt;(SUM(S1517:S1523)),(((SUM(S1517:S1523))-(SUM(B1517:F1523)-C1523))*L1516)+((SUM(B1523:F1523)-C1523)*L1516),(SUM(B1523:F1523)-C1523)*L1516),IF(SUM(B1517:F1523)&gt;(SUM(S1517:S1523)),S1523*L1516,SUM(B1523:F1523)*L1516)),2)))</f>
        <v>0</v>
      </c>
      <c r="M1523" s="64">
        <f>IF(B1523=0,0,IF(AND(H1508="ja",((U1523-C1523)&lt;R1533)),ROUND(((R1535*R1532+((R1533/(R1533-R1532))-(R1532/(R1533-R1532))*R1535)*((U1523-C1523)-R1532))*(M1516)),2),ROUND(IF(SUM(B1517:F1522)&lt;(SUM(S1517:S1522)),IF((SUM(B1517:F1523))&gt;(SUM(S1517:S1523)),(((SUM(S1517:S1523))-(SUM(B1517:F1523)-C1523))*M1516)+((SUM(B1523:F1523)-C1523)*M1516),(SUM(B1523:F1523)-C1523)*M1516),IF(SUM(B1517:F1523)&gt;(SUM(S1517:S1523)),S1523*M1516,SUM(B1523:F1523)*M1516)),2)))</f>
        <v>0</v>
      </c>
      <c r="N1523" s="64">
        <f>IF(B1523=0,0,IF(AND(H1508="ja",((U1523)&lt;R1533)),ROUND(((R1535*R1532+((R1533/(R1533-R1532))-(R1532/(R1533-R1532))*R1535)*((U1523)-R1532))*(N1516)),2),ROUND(IF(SUM(B1517:F1522)&lt;(SUM(S1517:S1522)),IF((SUM(B1517:F1523))&gt;(SUM(S1517:S1523)),(((SUM(S1517:S1523))-(SUM(B1517:F1523)-C1522))*N1516)+((SUM(B1523:F1523)-C1522)*N1516),SUM(B1523:F1523)*N1516),IF(SUM(B1517:F1523)&gt;(SUM(S1517:S1523)),S1523*N1516,SUM(B1523:F1523)*N1516)),2)))</f>
        <v>0</v>
      </c>
      <c r="O1523" s="21">
        <f>ROUND(SUM(B1523+C1523+F1523)*O1516,2)</f>
        <v>0</v>
      </c>
      <c r="P1523" s="25">
        <f t="shared" si="244"/>
        <v>0</v>
      </c>
      <c r="Q1523" s="456"/>
      <c r="R1523" s="140">
        <f>ROUND(IF(M1495="",R1511,R1511/M1495*P1500),2)</f>
        <v>5175</v>
      </c>
      <c r="S1523" s="140">
        <f>ROUND(IF(M1495="",R1512,R1512/M1495*P1500),2)</f>
        <v>7450</v>
      </c>
      <c r="U1523" s="950">
        <f t="shared" si="245"/>
        <v>0</v>
      </c>
      <c r="V1523" s="950">
        <f>SUM(B1517:F1523)</f>
        <v>0</v>
      </c>
    </row>
    <row r="1524" spans="1:24" s="1" customFormat="1" x14ac:dyDescent="0.2">
      <c r="A1524" s="76" t="str">
        <f>CONCATENATE("Aug ",O1493)</f>
        <v>Aug 2025</v>
      </c>
      <c r="B1524" s="22">
        <f>ROUND(IF(P1501=0,0,IFERROR(((LOOKUP(2,1/(A1502:A1505=A1524),G1502:G1505))*P1501*4.348),B1523/P1500*P1501)),2)</f>
        <v>0</v>
      </c>
      <c r="C1524" s="21">
        <f>ROUND(IFERROR((LOOKUP(2,1/(A1508=A1524),E1508)),0)+IFERROR((LOOKUP(2,1/(A1509=A1524),E1509)),0),2)</f>
        <v>0</v>
      </c>
      <c r="D1524" s="21">
        <f>ROUND(IF(B1524=0,0,D1516/M1495*P1501),2)</f>
        <v>0</v>
      </c>
      <c r="E1524" s="21">
        <f>ROUND(IF(B1524=0,0,E1516/N1491*P1501),2)</f>
        <v>0</v>
      </c>
      <c r="F1524" s="22">
        <f>ROUND(IF(P1501=0,0,IFERROR(((LOOKUP(2,1/(A1502:A1505=A1524),I1502:I1505))/N1491*P1501),F1523/P1500*P1501)),2)</f>
        <v>0</v>
      </c>
      <c r="G1524" s="25">
        <f t="shared" si="243"/>
        <v>0</v>
      </c>
      <c r="H1524" s="64">
        <f>IF(B1524=0,0,IF(AND(H1508="ja",((U1524)&lt;R1533)),ROUND(((R1535*R1532+((R1533/(R1533-R1532))-(R1532/(R1533-R1532))*R1535)*((U1524)-R1532))*(H1516*2))-(((R1533/(R1533-R1532))*((U1524)-R1532))*H1516),2),ROUND(IF(V1523&lt;(SUM(R1517:R1523)),IF((V1524)&gt;(SUM(R1517:R1524)),(((SUM(R1517:R1524))-(V1524-C1523))*H1516)+((U1524-C1523)*H1516),U1524*H1516),IF(V1524&gt;(SUM(R1517:R1524)),R1524*H1516,U1524*H1516)),2)))</f>
        <v>0</v>
      </c>
      <c r="I1524" s="64">
        <f>IF(B1524=0,0,IF(AND(H1508="ja",((U1524)&lt;R1533)),ROUND(((R1535*R1532+((R1533/(R1533-R1532))-(R1532/(R1533-R1532))*R1535)*((U1524)-R1532))*(I1516*2))-(((R1533/(R1533-R1532))*((U1524)-R1532))*I1516),2),ROUND(IF(V1523&lt;(SUM(S1517:S1523)),IF((V1524)&gt;(SUM(S1517:S1524)),(((SUM(S1517:S1524))-(V1524-C1523))*I1516)+((U1524-C1523)*I1516),U1524*I1516),IF(V1524&gt;(SUM(S1517:S1524)),S1524*I1516,U1524*I1516)),2)))</f>
        <v>0</v>
      </c>
      <c r="J1524" s="64">
        <f>IF(B1524=0,0,IF(AND(H1508="ja",((U1524)&lt;R1533)),ROUND(((R1535*R1532+((R1533/(R1533-R1532))-(R1532/(R1533-R1532))*R1535)*((U1524)-R1532))*(J1516*2))-(((R1533/(R1533-R1532))*((U1524)-R1532))*J1516),2),ROUND(IF(V1523&lt;(SUM(S1517:S1523)),IF((V1524)&gt;(SUM(S1517:S1524)),(((SUM(S1517:S1524))-(V1524-C1523))*J1516)+((U1524-C1523)*J1516),U1524*J1516),IF(V1524&gt;(SUM(S1517:S1524)),S1524*J1516,U1524*J1516)),2)))</f>
        <v>0</v>
      </c>
      <c r="K1524" s="64">
        <f>IF(B1524=0,0,IF(AND(H1508="ja",((U1524)&lt;R1533)),ROUND(((R1535*R1532+((R1533/(R1533-R1532))-(R1532/(R1533-R1532))*R1535)*((U1524)-R1532))*(K1516*2))-(((R1533/(R1533-R1532))*((U1524)-R1532))*K1516),2),ROUND(IF(V1523&lt;(SUM(R1517:R1523)),IF((V1524)&gt;(SUM(R1517:R1524)),(((SUM(R1517:R1524))-(V1524-C1523))*K1516)+((U1524-C1523)*K1516),U1524*K1516),IF(V1524&gt;(SUM(R1517:R1524)),R1524*K1516,U1524*K1516)),2)))</f>
        <v>0</v>
      </c>
      <c r="L1524" s="64">
        <f>IF(B1524=0,0,IF(AND(H1508="ja",((U1524-C1524)&lt;R1533)),ROUND(((R1535*R1532+((R1533/(R1533-R1532))-(R1532/(R1533-R1532))*R1535)*((U1524-C1524)-R1532))*(L1516)),2),ROUND(IF(SUM(B1517:F1523)&lt;(SUM(S1517:S1523)),IF((SUM(B1517:F1524))&gt;(SUM(S1517:S1524)),(((SUM(S1517:S1524))-(SUM(B1517:F1524)-C1524))*L1516)+((SUM(B1524:F1524)-C1524)*L1516),(SUM(B1524:F1524)-C1524)*L1516),IF(SUM(B1517:F1524)&gt;(SUM(S1517:S1524)),S1524*L1516,SUM(B1524:F1524)*L1516)),2)))</f>
        <v>0</v>
      </c>
      <c r="M1524" s="64">
        <f>IF(B1524=0,0,IF(AND(H1508="ja",((U1524-C1524)&lt;R1533)),ROUND(((R1535*R1532+((R1533/(R1533-R1532))-(R1532/(R1533-R1532))*R1535)*((U1524-C1524)-R1532))*(M1516)),2),ROUND(IF(SUM(B1517:F1523)&lt;(SUM(S1517:S1523)),IF((SUM(B1517:F1524))&gt;(SUM(S1517:S1524)),(((SUM(S1517:S1524))-(SUM(B1517:F1524)-C1524))*M1516)+((SUM(B1524:F1524)-C1524)*M1516),(SUM(B1524:F1524)-C1524)*M1516),IF(SUM(B1517:F1524)&gt;(SUM(S1517:S1524)),S1524*M1516,SUM(B1524:F1524)*M1516)),2)))</f>
        <v>0</v>
      </c>
      <c r="N1524" s="64">
        <f>IF(B1524=0,0,IF(AND(H1508="ja",((U1524)&lt;R1533)),ROUND(((R1535*R1532+((R1533/(R1533-R1532))-(R1532/(R1533-R1532))*R1535)*((U1524)-R1532))*(N1516)),2),ROUND(IF(SUM(B1517:F1523)&lt;(SUM(S1517:S1523)),IF((SUM(B1517:F1524))&gt;(SUM(S1517:S1524)),(((SUM(S1517:S1524))-(SUM(B1517:F1524)-C1523))*N1516)+((SUM(B1524:F1524)-C1523)*N1516),SUM(B1524:F1524)*N1516),IF(SUM(B1517:F1524)&gt;(SUM(S1517:S1524)),S1524*N1516,SUM(B1524:F1524)*N1516)),2)))</f>
        <v>0</v>
      </c>
      <c r="O1524" s="21">
        <f>ROUND(SUM(B1524+C1524+F1524)*O1516,2)</f>
        <v>0</v>
      </c>
      <c r="P1524" s="25">
        <f t="shared" si="244"/>
        <v>0</v>
      </c>
      <c r="Q1524" s="456"/>
      <c r="R1524" s="140">
        <f>ROUND(IF(M1495="",R1511,R1511/M1495*P1501),2)</f>
        <v>5175</v>
      </c>
      <c r="S1524" s="140">
        <f>ROUND(IF(M1495="",R1512,R1512/M1495*P1501),2)</f>
        <v>7450</v>
      </c>
      <c r="U1524" s="950">
        <f t="shared" si="245"/>
        <v>0</v>
      </c>
      <c r="V1524" s="950">
        <f>SUM(B1517:F1524)</f>
        <v>0</v>
      </c>
    </row>
    <row r="1525" spans="1:24" s="1" customFormat="1" x14ac:dyDescent="0.2">
      <c r="A1525" s="76" t="str">
        <f>CONCATENATE("Sep ",O1493)</f>
        <v>Sep 2025</v>
      </c>
      <c r="B1525" s="22">
        <f>ROUND(IF(P1502=0,0,IFERROR(((LOOKUP(2,1/(A1502:A1505=A1525),G1502:G1505))*P1502*4.348),B1524/P1501*P1502)),2)</f>
        <v>0</v>
      </c>
      <c r="C1525" s="21">
        <f>ROUND(IFERROR((LOOKUP(2,1/(A1508=A1525),E1508)),0)+IFERROR((LOOKUP(2,1/(A1509=A1525),E1509)),0),2)</f>
        <v>0</v>
      </c>
      <c r="D1525" s="21">
        <f>ROUND(IF(B1525=0,0,D1516/M1495*P1502),2)</f>
        <v>0</v>
      </c>
      <c r="E1525" s="21">
        <f>ROUND(IF(B1525=0,0,E1516/N1491*P1502),2)</f>
        <v>0</v>
      </c>
      <c r="F1525" s="22">
        <f>ROUND(IF(P1502=0,0,IFERROR(((LOOKUP(2,1/(A1502:A1505=A1525),I1502:I1505))/N1491*P1502),F1524/P1501*P1502)),2)</f>
        <v>0</v>
      </c>
      <c r="G1525" s="25">
        <f t="shared" si="243"/>
        <v>0</v>
      </c>
      <c r="H1525" s="64">
        <f>IF(B1525=0,0,IF(AND(H1508="ja",((U1525)&lt;R1533)),ROUND(((R1535*R1532+((R1533/(R1533-R1532))-(R1532/(R1533-R1532))*R1535)*((U1525)-R1532))*(H1516*2))-(((R1533/(R1533-R1532))*((U1525)-R1532))*H1516),2),ROUND(IF(V1524&lt;(SUM(R1517:R1524)),IF((V1525)&gt;(SUM(R1517:R1525)),(((SUM(R1517:R1525))-(V1525-C1524))*H1516)+((U1525-C1524)*H1516),U1525*H1516),IF(V1525&gt;(SUM(R1517:R1525)),R1525*H1516,U1525*H1516)),2)))</f>
        <v>0</v>
      </c>
      <c r="I1525" s="64">
        <f>IF(B1525=0,0,IF(AND(H1508="ja",((U1525)&lt;R1533)),ROUND(((R1535*R1532+((R1533/(R1533-R1532))-(R1532/(R1533-R1532))*R1535)*((U1525)-R1532))*(I1516*2))-(((R1533/(R1533-R1532))*((U1525)-R1532))*I1516),2),ROUND(IF(V1524&lt;(SUM(S1517:S1524)),IF((V1525)&gt;(SUM(S1517:S1525)),(((SUM(S1517:S1525))-(V1525-C1524))*I1516)+((U1525-C1524)*I1516),U1525*I1516),IF(V1525&gt;(SUM(S1517:S1525)),S1525*I1516,U1525*I1516)),2)))</f>
        <v>0</v>
      </c>
      <c r="J1525" s="64">
        <f>IF(B1525=0,0,IF(AND(H1508="ja",((U1525)&lt;R1533)),ROUND(((R1535*R1532+((R1533/(R1533-R1532))-(R1532/(R1533-R1532))*R1535)*((U1525)-R1532))*(J1516*2))-(((R1533/(R1533-R1532))*((U1525)-R1532))*J1516),2),ROUND(IF(V1524&lt;(SUM(S1517:S1524)),IF((V1525)&gt;(SUM(S1517:S1525)),(((SUM(S1517:S1525))-(V1525-C1524))*J1516)+((U1525-C1524)*J1516),U1525*J1516),IF(V1525&gt;(SUM(S1517:S1525)),S1525*J1516,U1525*J1516)),2)))</f>
        <v>0</v>
      </c>
      <c r="K1525" s="64">
        <f>IF(B1525=0,0,IF(AND(H1508="ja",((U1525)&lt;R1533)),ROUND(((R1535*R1532+((R1533/(R1533-R1532))-(R1532/(R1533-R1532))*R1535)*((U1525)-R1532))*(K1516*2))-(((R1533/(R1533-R1532))*((U1525)-R1532))*K1516),2),ROUND(IF(V1524&lt;(SUM(R1517:R1524)),IF((V1525)&gt;(SUM(R1517:R1525)),(((SUM(R1517:R1525))-(V1525-C1524))*K1516)+((U1525-C1524)*K1516),U1525*K1516),IF(V1525&gt;(SUM(R1517:R1525)),R1525*K1516,U1525*K1516)),2)))</f>
        <v>0</v>
      </c>
      <c r="L1525" s="64">
        <f>IF(B1525=0,0,IF(AND(H1508="ja",((U1525-C1525)&lt;R1533)),ROUND(((R1535*R1532+((R1533/(R1533-R1532))-(R1532/(R1533-R1532))*R1535)*((U1525-C1525)-R1532))*(L1516)),2),ROUND(IF(SUM(B1517:F1524)&lt;(SUM(S1517:S1524)),IF((SUM(B1517:F1525))&gt;(SUM(S1517:S1525)),(((SUM(S1517:S1525))-(SUM(B1517:F1525)-C1525))*L1516)+((SUM(B1525:F1525)-C1525)*L1516),(SUM(B1525:F1525)-C1525)*L1516),IF(SUM(B1517:F1525)&gt;(SUM(S1517:S1525)),S1525*L1516,SUM(B1525:F1525)*L1516)),2)))</f>
        <v>0</v>
      </c>
      <c r="M1525" s="64">
        <f>IF(B1525=0,0,IF(AND(H1508="ja",((U1525-C1525)&lt;R1533)),ROUND(((R1535*R1532+((R1533/(R1533-R1532))-(R1532/(R1533-R1532))*R1535)*((U1525-C1525)-R1532))*(M1516)),2),ROUND(IF(SUM(B1517:F1524)&lt;(SUM(S1517:S1524)),IF((SUM(B1517:F1525))&gt;(SUM(S1517:S1525)),(((SUM(S1517:S1525))-(SUM(B1517:F1525)-C1525))*M1516)+((SUM(B1525:F1525)-C1525)*M1516),(SUM(B1525:F1525)-C1525)*M1516),IF(SUM(B1517:F1525)&gt;(SUM(S1517:S1525)),S1525*M1516,SUM(B1525:F1525)*M1516)),2)))</f>
        <v>0</v>
      </c>
      <c r="N1525" s="64">
        <f>IF(B1525=0,0,IF(AND(H1508="ja",((U1525)&lt;R1533)),ROUND(((R1535*R1532+((R1533/(R1533-R1532))-(R1532/(R1533-R1532))*R1535)*((U1525)-R1532))*(N1516)),2),ROUND(IF(SUM(B1517:F1524)&lt;(SUM(S1517:S1524)),IF((SUM(B1517:F1525))&gt;(SUM(S1517:S1525)),(((SUM(S1517:S1525))-(SUM(B1517:F1525)-C1524))*N1516)+((SUM(B1525:F1525)-C1524)*N1516),SUM(B1525:F1525)*N1516),IF(SUM(B1517:F1525)&gt;(SUM(S1517:S1525)),S1525*N1516,SUM(B1525:F1525)*N1516)),2)))</f>
        <v>0</v>
      </c>
      <c r="O1525" s="21">
        <f>ROUND(SUM(B1525+C1525+F1525)*O1516,2)</f>
        <v>0</v>
      </c>
      <c r="P1525" s="25">
        <f t="shared" si="244"/>
        <v>0</v>
      </c>
      <c r="Q1525" s="456"/>
      <c r="R1525" s="140">
        <f>ROUND(IF(M1495="",R1511,R1511/M1495*P1502),2)</f>
        <v>5175</v>
      </c>
      <c r="S1525" s="140">
        <f>ROUND(IF(M1495="",R1512,R1512/M1495*P1502),2)</f>
        <v>7450</v>
      </c>
      <c r="U1525" s="950">
        <f t="shared" si="245"/>
        <v>0</v>
      </c>
      <c r="V1525" s="950">
        <f>SUM(B1517:F1525)</f>
        <v>0</v>
      </c>
    </row>
    <row r="1526" spans="1:24" s="12" customFormat="1" ht="15" x14ac:dyDescent="0.25">
      <c r="A1526" s="76" t="str">
        <f>CONCATENATE("Okt ",O1493)</f>
        <v>Okt 2025</v>
      </c>
      <c r="B1526" s="22">
        <f>ROUND(IF(P1503=0,0,IFERROR(((LOOKUP(2,1/(A1502:A1505=A1526),G1502:G1505))*P1503*4.348),B1525/P1502*P1503)),2)</f>
        <v>0</v>
      </c>
      <c r="C1526" s="21">
        <f>ROUND(IFERROR((LOOKUP(2,1/(A1508=A1526),E1508)),0)+IFERROR((LOOKUP(2,1/(A1509=A1526),E1509)),0),2)</f>
        <v>0</v>
      </c>
      <c r="D1526" s="21">
        <f>ROUND(IF(B1526=0,0,D1516/M1495*P1503),2)</f>
        <v>0</v>
      </c>
      <c r="E1526" s="21">
        <f>ROUND(IF(B1526=0,0,E1516/N1491*P1503),2)</f>
        <v>0</v>
      </c>
      <c r="F1526" s="22">
        <f>ROUND(IF(P1503=0,0,IFERROR(((LOOKUP(2,1/(A1502:A1505=A1526),I1502:I1505))/N1491*P1503),F1525/P1502*P1503)),2)</f>
        <v>0</v>
      </c>
      <c r="G1526" s="25">
        <f t="shared" si="243"/>
        <v>0</v>
      </c>
      <c r="H1526" s="64">
        <f>IF(B1526=0,0,IF(AND(H1508="ja",((U1526)&lt;R1533)),ROUND(((R1535*R1532+((R1533/(R1533-R1532))-(R1532/(R1533-R1532))*R1535)*((U1526)-R1532))*(H1516*2))-(((R1533/(R1533-R1532))*((U1526)-R1532))*H1516),2),ROUND(IF(V1525&lt;(SUM(R1517:R1525)),IF((V1526)&gt;(SUM(R1517:R1526)),(((SUM(R1517:R1526))-(V1526-C1525))*H1516)+((U1526-C1525)*H1516),U1526*H1516),IF(V1526&gt;(SUM(R1517:R1526)),R1526*H1516,U1526*H1516)),2)))</f>
        <v>0</v>
      </c>
      <c r="I1526" s="64">
        <f>IF(B1526=0,0,IF(AND(H1508="ja",((U1526)&lt;R1533)),ROUND(((R1535*R1532+((R1533/(R1533-R1532))-(R1532/(R1533-R1532))*R1535)*((U1526)-R1532))*(I1516*2))-(((R1533/(R1533-R1532))*((U1526)-R1532))*I1516),2),ROUND(IF(V1525&lt;(SUM(S1517:S1525)),IF((V1526)&gt;(SUM(S1517:S1526)),(((SUM(S1517:S1526))-(V1526-C1525))*I1516)+((U1526-C1525)*I1516),U1526*I1516),IF(V1526&gt;(SUM(S1517:S1526)),S1526*I1516,U1526*I1516)),2)))</f>
        <v>0</v>
      </c>
      <c r="J1526" s="64">
        <f>IF(B1526=0,0,IF(AND(H1508="ja",((U1526)&lt;R1533)),ROUND(((R1535*R1532+((R1533/(R1533-R1532))-(R1532/(R1533-R1532))*R1535)*((U1526)-R1532))*(J1516*2))-(((R1533/(R1533-R1532))*((U1526)-R1532))*J1516),2),ROUND(IF(V1525&lt;(SUM(S1517:S1525)),IF((V1526)&gt;(SUM(S1517:S1526)),(((SUM(S1517:S1526))-(V1526-C1525))*J1516)+((U1526-C1525)*J1516),U1526*J1516),IF(V1526&gt;(SUM(S1517:S1526)),S1526*J1516,U1526*J1516)),2)))</f>
        <v>0</v>
      </c>
      <c r="K1526" s="64">
        <f>IF(B1526=0,0,IF(AND(H1508="ja",((U1526)&lt;R1533)),ROUND(((R1535*R1532+((R1533/(R1533-R1532))-(R1532/(R1533-R1532))*R1535)*((U1526)-R1532))*(K1516*2))-(((R1533/(R1533-R1532))*((U1526)-R1532))*K1516),2),ROUND(IF(V1525&lt;(SUM(R1517:R1525)),IF((V1526)&gt;(SUM(R1517:R1526)),(((SUM(R1517:R1526))-(V1526-C1525))*K1516)+((U1526-C1525)*K1516),U1526*K1516),IF(V1526&gt;(SUM(R1517:R1526)),R1526*K1516,U1526*K1516)),2)))</f>
        <v>0</v>
      </c>
      <c r="L1526" s="64">
        <f>IF(B1526=0,0,IF(AND(H1508="ja",((U1526-C1526)&lt;R1533)),ROUND(((R1535*R1532+((R1533/(R1533-R1532))-(R1532/(R1533-R1532))*R1535)*((U1526-C1526)-R1532))*(L1516)),2),ROUND(IF(SUM(B1517:F1525)&lt;(SUM(S1517:S1525)),IF((SUM(B1517:F1526))&gt;(SUM(S1517:S1526)),(((SUM(S1517:S1526))-(SUM(B1517:F1526)-C1526))*L1516)+((SUM(B1526:F1526)-C1526)*L1516),(SUM(B1526:F1526)-C1526)*L1516),IF(SUM(B1517:F1526)&gt;(SUM(S1517:S1526)),S1526*L1516,SUM(B1526:F1526)*L1516)),2)))</f>
        <v>0</v>
      </c>
      <c r="M1526" s="64">
        <f>IF(B1526=0,0,IF(AND(H1508="ja",((U1526-C1526)&lt;R1533)),ROUND(((R1535*R1532+((R1533/(R1533-R1532))-(R1532/(R1533-R1532))*R1535)*((U1526-C1526)-R1532))*(M1516)),2),ROUND(IF(SUM(B1517:F1525)&lt;(SUM(S1517:S1525)),IF((SUM(B1517:F1526))&gt;(SUM(S1517:S1526)),(((SUM(S1517:S1526))-(SUM(B1517:F1526)-C1526))*M1516)+((SUM(B1526:F1526)-C1526)*M1516),(SUM(B1526:F1526)-C1526)*M1516),IF(SUM(B1517:F1526)&gt;(SUM(S1517:S1526)),S1526*M1516,SUM(B1526:F1526)*M1516)),2)))</f>
        <v>0</v>
      </c>
      <c r="N1526" s="64">
        <f>IF(B1526=0,0,IF(AND(H1508="ja",((U1526)&lt;R1533)),ROUND(((R1535*R1532+((R1533/(R1533-R1532))-(R1532/(R1533-R1532))*R1535)*((U1526)-R1532))*(N1516)),2),ROUND(IF(SUM(B1517:F1525)&lt;(SUM(S1517:S1525)),IF((SUM(B1517:F1526))&gt;(SUM(S1517:S1526)),(((SUM(S1517:S1526))-(SUM(B1517:F1526)-C1525))*N1516)+((SUM(B1526:F1526)-C1525)*N1516),SUM(B1526:F1526)*N1516),IF(SUM(B1517:F1526)&gt;(SUM(S1517:S1526)),S1526*N1516,SUM(B1526:F1526)*N1516)),2)))</f>
        <v>0</v>
      </c>
      <c r="O1526" s="21">
        <f>ROUND(SUM(B1526+C1526+F1526)*O1516,2)</f>
        <v>0</v>
      </c>
      <c r="P1526" s="25">
        <f t="shared" si="244"/>
        <v>0</v>
      </c>
      <c r="Q1526" s="936"/>
      <c r="R1526" s="140">
        <f>ROUND(IF(M1495="",R1511,R1511/M1495*P1503),2)</f>
        <v>5175</v>
      </c>
      <c r="S1526" s="140">
        <f>ROUND(IF(M1495="",R1512,R1512/M1495*P1503),2)</f>
        <v>7450</v>
      </c>
      <c r="U1526" s="950">
        <f t="shared" si="245"/>
        <v>0</v>
      </c>
      <c r="V1526" s="950">
        <f>SUM(B1517:F1526)</f>
        <v>0</v>
      </c>
      <c r="X1526" s="1"/>
    </row>
    <row r="1527" spans="1:24" s="11" customFormat="1" x14ac:dyDescent="0.2">
      <c r="A1527" s="76" t="str">
        <f>CONCATENATE("Nov ",O1493)</f>
        <v>Nov 2025</v>
      </c>
      <c r="B1527" s="22">
        <f>ROUND(IF(P1504=0,0,IFERROR(((LOOKUP(2,1/(A1502:A1505=A1527),G1502:G1505))*P1504*4.348),B1526/P1503*P1504)),2)</f>
        <v>0</v>
      </c>
      <c r="C1527" s="21">
        <f>ROUND(IFERROR((LOOKUP(2,1/(A1508=A1527),E1508)),0)+(IFERROR((LOOKUP(2,1/(A1509=A1527),E1509)),0)),2)</f>
        <v>0</v>
      </c>
      <c r="D1527" s="21">
        <f>ROUND(IF(B1527=0,0,D1516/M1495*P1504),2)</f>
        <v>0</v>
      </c>
      <c r="E1527" s="21">
        <f>ROUND(IF(B1527=0,0,E1516/N1491*P1504),2)</f>
        <v>0</v>
      </c>
      <c r="F1527" s="22">
        <f>ROUND(IF(P1504=0,0,IFERROR(((LOOKUP(2,1/(A1502:A1505=A1527),I1502:I1505))/N1491*P1504),F1526/P1503*P1504)),2)</f>
        <v>0</v>
      </c>
      <c r="G1527" s="25">
        <f t="shared" si="243"/>
        <v>0</v>
      </c>
      <c r="H1527" s="64">
        <f>IF(B1527=0,0,IF(AND(H1508="ja",((U1527)&lt;R1533)),ROUND(((R1535*R1532+((R1533/(R1533-R1532))-(R1532/(R1533-R1532))*R1535)*((U1527)-R1532))*(H1516*2))-(((R1533/(R1533-R1532))*((U1527)-R1532))*H1516),2),ROUND(IF(V1526&lt;(SUM(R1517:R1526)),IF((V1527)&gt;(SUM(R1517:R1527)),(((SUM(R1517:R1527))-(V1527-C1526))*H1516)+((U1527-C1526)*H1516),U1527*H1516),IF(V1527&gt;(SUM(R1517:R1527)),R1527*H1516,U1527*H1516)),2)))</f>
        <v>0</v>
      </c>
      <c r="I1527" s="64">
        <f>IF(B1527=0,0,IF(AND(H1508="ja",((U1527)&lt;R1533)),ROUND(((R1535*R1532+((R1533/(R1533-R1532))-(R1532/(R1533-R1532))*R1535)*((U1527)-R1532))*(I1516*2))-(((R1533/(R1533-R1532))*((U1527)-R1532))*I1516),2),ROUND(IF(V1526&lt;(SUM(S1517:S1526)),IF((V1527)&gt;(SUM(S1517:S1527)),(((SUM(S1517:S1527))-(V1527-C1526))*I1516)+((U1527-C1526)*I1516),U1527*I1516),IF(V1527&gt;(SUM(S1517:S1527)),S1527*I1516,U1527*I1516)),2)))</f>
        <v>0</v>
      </c>
      <c r="J1527" s="64">
        <f>IF(B1527=0,0,IF(AND(H1508="ja",((U1527)&lt;R1533)),ROUND(((R1535*R1532+((R1533/(R1533-R1532))-(R1532/(R1533-R1532))*R1535)*((U1527)-R1532))*(J1516*2))-(((R1533/(R1533-R1532))*((U1527)-R1532))*J1516),2),ROUND(IF(V1526&lt;(SUM(S1517:S1526)),IF((V1527)&gt;(SUM(S1517:S1527)),(((SUM(S1517:S1527))-(V1527-C1526))*J1516)+((U1527-C1526)*J1516),U1527*J1516),IF(V1527&gt;(SUM(S1517:S1527)),S1527*J1516,U1527*J1516)),2)))</f>
        <v>0</v>
      </c>
      <c r="K1527" s="64">
        <f>IF(B1527=0,0,IF(AND(H1508="ja",((U1527)&lt;R1533)),ROUND(((R1535*R1532+((R1533/(R1533-R1532))-(R1532/(R1533-R1532))*R1535)*((U1527)-R1532))*(K1516*2))-(((R1533/(R1533-R1532))*((U1527)-R1532))*K1516),2),ROUND(IF(V1526&lt;(SUM(R1517:R1526)),IF((V1527)&gt;(SUM(R1517:R1527)),(((SUM(R1517:R1527))-(V1527-C1526))*K1516)+((U1527-C1526)*K1516),U1527*K1516),IF(V1527&gt;(SUM(R1517:R1527)),R1527*K1516,U1527*K1516)),2)))</f>
        <v>0</v>
      </c>
      <c r="L1527" s="64">
        <f>IF(B1527=0,0,IF(AND(H1508="ja",((U1527-C1527)&lt;R1533)),ROUND(((R1535*R1532+((R1533/(R1533-R1532))-(R1532/(R1533-R1532))*R1535)*((U1527-C1527)-R1532))*(L1516)),2),ROUND(IF(SUM(B1517:F1526)&lt;(SUM(S1517:S1526)),IF((SUM(B1517:F1527))&gt;(SUM(S1517:S1527)),(((SUM(S1517:S1527))-(SUM(B1517:F1527)-C1527))*L1516)+((SUM(B1527:F1527)-C1527)*L1516),(SUM(B1527:F1527)-C1527)*L1516),IF(SUM(B1517:F1527)&gt;(SUM(S1517:S1527)),S1527*L1516,SUM(B1527:F1527)*L1516)),2)))</f>
        <v>0</v>
      </c>
      <c r="M1527" s="64">
        <f>IF(B1527=0,0,IF(AND(H1508="ja",((U1527-C1527)&lt;R1533)),ROUND(((R1535*R1532+((R1533/(R1533-R1532))-(R1532/(R1533-R1532))*R1535)*((U1527-C1527)-R1532))*(M1516)),2),ROUND(IF(SUM(B1517:F1526)&lt;(SUM(S1517:S1526)),IF((SUM(B1517:F1527))&gt;(SUM(S1517:S1527)),(((SUM(S1517:S1527))-(SUM(B1517:F1527)-C1527))*M1516)+((SUM(B1527:F1527)-C1527)*M1516),(SUM(B1527:F1527)-C1527)*M1516),IF(SUM(B1517:F1527)&gt;(SUM(S1517:S1527)),S1527*M1516,SUM(B1527:F1527)*M1516)),2)))</f>
        <v>0</v>
      </c>
      <c r="N1527" s="64">
        <f>IF(B1527=0,0,IF(AND(H1508="ja",((U1527)&lt;R1533)),ROUND(((R1535*R1532+((R1533/(R1533-R1532))-(R1532/(R1533-R1532))*R1535)*((U1527)-R1532))*(N1516)),2),ROUND(IF(SUM(B1517:F1526)&lt;(SUM(S1517:S1526)),IF((SUM(B1517:F1527))&gt;(SUM(S1517:S1527)),(((SUM(S1517:S1527))-(SUM(B1517:F1527)-C1526))*N1516)+((SUM(B1527:F1527)-C1526)*N1516),SUM(B1527:F1527)*N1516),IF(SUM(B1517:F1527)&gt;(SUM(S1517:S1527)),S1527*N1516,SUM(B1527:F1527)*N1516)),2)))</f>
        <v>0</v>
      </c>
      <c r="O1527" s="21">
        <f>ROUND(SUM(B1527+C1527+F1527)*O1516,2)</f>
        <v>0</v>
      </c>
      <c r="P1527" s="25">
        <f t="shared" si="244"/>
        <v>0</v>
      </c>
      <c r="R1527" s="140">
        <f>ROUND(IF(M1495="",R1511,R1511/M1495*P1504),2)</f>
        <v>5175</v>
      </c>
      <c r="S1527" s="140">
        <f>ROUND(IF(M1495="",R1512,R1512/M1495*P1504),2)</f>
        <v>7450</v>
      </c>
      <c r="U1527" s="950">
        <f t="shared" si="245"/>
        <v>0</v>
      </c>
      <c r="V1527" s="950">
        <f>SUM(B1517:F1527)</f>
        <v>0</v>
      </c>
      <c r="X1527" s="1"/>
    </row>
    <row r="1528" spans="1:24" s="1" customFormat="1" ht="14.25" customHeight="1" x14ac:dyDescent="0.2">
      <c r="A1528" s="76" t="str">
        <f>CONCATENATE("Dez ",O1493)</f>
        <v>Dez 2025</v>
      </c>
      <c r="B1528" s="22">
        <f>ROUND(IF(P1505=0,0,IFERROR(((LOOKUP(2,1/(A1502:A1505=A1528),G1502:G1505))*P1505*4.348),B1527/P1504*P1505)),2)</f>
        <v>0</v>
      </c>
      <c r="C1528" s="21">
        <f>ROUND(IFERROR((LOOKUP(2,1/(A1508=A1528),E1508)),0)+IFERROR((LOOKUP(2,1/(A1509=A1528),E1509)),0),2)</f>
        <v>0</v>
      </c>
      <c r="D1528" s="21">
        <f>ROUND(IF(B1528=0,0,D1516/M1495*P1505),2)</f>
        <v>0</v>
      </c>
      <c r="E1528" s="21">
        <f>ROUND(IF(B1528=0,0,E1516/N1491*P1505),2)</f>
        <v>0</v>
      </c>
      <c r="F1528" s="22">
        <f>ROUND(IF(P1505=0,0,IFERROR(((LOOKUP(2,1/(A1502:A1505=A1528),I1502:I1505))/N1491*P1505),F1527/P1504*P1505)),2)</f>
        <v>0</v>
      </c>
      <c r="G1528" s="25">
        <f t="shared" si="243"/>
        <v>0</v>
      </c>
      <c r="H1528" s="64">
        <f>IF(B1528=0,0,IF(AND(H1508="ja",((U1528)&lt;R1533)),ROUND(((R1535*R1532+((R1533/(R1533-R1532))-(R1532/(R1533-R1532))*R1535)*((U1528)-R1532))*(H1516*2))-(((R1533/(R1533-R1532))*((U1528)-R1532))*H1516),2),ROUND(IF(V1527&lt;(SUM(R1517:R1527)),IF((V1528)&gt;(SUM(R1517:R1528)),(((SUM(R1517:R1528))-(V1528-C1527))*H1516)+((U1528-C1527)*H1516),U1528*H1516),IF(V1528&gt;(SUM(R1517:R1528)),R1528*H1516,U1528*H1516)),2)))</f>
        <v>0</v>
      </c>
      <c r="I1528" s="64">
        <f>IF(B1528=0,0,IF(AND(H1508="ja",((U1528)&lt;R1533)),ROUND(((R1535*R1532+((R1533/(R1533-R1532))-(R1532/(R1533-R1532))*R1535)*((U1528)-R1532))*(I1516*2))-(((R1533/(R1533-R1532))*((U1528)-R1532))*I1516),2),ROUND(IF(V1527&lt;(SUM(S1517:S1527)),IF((V1528)&gt;(SUM(S1517:S1528)),(((SUM(S1517:S1528))-(V1528-C1527))*I1516)+((U1528-C1527)*I1516),U1528*I1516),IF(V1528&gt;(SUM(S1517:S1528)),S1528*I1516,U1528*I1516)),2)))</f>
        <v>0</v>
      </c>
      <c r="J1528" s="64">
        <f>IF(B1528=0,0,IF(AND(H1508="ja",((U1528)&lt;R1533)),ROUND(((R1535*R1532+((R1533/(R1533-R1532))-(R1532/(R1533-R1532))*R1535)*((U1528)-R1532))*(J1516*2))-(((R1533/(R1533-R1532))*((U1528)-R1532))*J1516),2),ROUND(IF(V1527&lt;(SUM(S1517:S1527)),IF((V1528)&gt;(SUM(S1517:S1528)),(((SUM(S1517:S1528))-(V1528-C1527))*J1516)+((U1528-C1527)*J1516),U1528*J1516),IF(V1528&gt;(SUM(S1517:S1528)),S1528*J1516,U1528*J1516)),2)))</f>
        <v>0</v>
      </c>
      <c r="K1528" s="64">
        <f>IF(B1528=0,0,IF(AND(H1508="ja",((U1528)&lt;R1533)),ROUND(((R1535*R1532+((R1533/(R1533-R1532))-(R1532/(R1533-R1532))*R1535)*((U1528)-R1532))*(K1516*2))-(((R1533/(R1533-R1532))*((U1528)-R1532))*K1516),2),ROUND(IF(V1527&lt;(SUM(R1517:R1527)),IF((V1528)&gt;(SUM(R1517:R1528)),(((SUM(R1517:R1528))-(V1528-C1527))*K1516)+((U1528-C1527)*K1516),U1528*K1516),IF(V1528&gt;(SUM(R1517:R1528)),R1528*K1516,U1528*K1516)),2)))</f>
        <v>0</v>
      </c>
      <c r="L1528" s="64">
        <f>IF(B1528=0,0,IF(AND(H1508="ja",((U1528-C1528)&lt;R1533)),ROUND(((R1535*R1532+((R1533/(R1533-R1532))-(R1532/(R1533-R1532))*R1535)*((U1528-C1528)-R1532))*(L1516)),2),ROUND(IF(SUM(B1517:F1527)&lt;(SUM(S1517:S1527)),IF((SUM(B1517:F1528))&gt;(SUM(S1517:S1528)),(((SUM(S1517:S1528))-(SUM(B1517:F1528)-C1528))*L1516)+((SUM(B1528:F1528)-C1528)*L1516),(SUM(B1528:F1528)-C1528)*L1516),IF(SUM(B1517:F1528)&gt;(SUM(S1517:S1528)),S1528*L1516,SUM(B1528:F1528)*L1516)),2)))</f>
        <v>0</v>
      </c>
      <c r="M1528" s="64">
        <f>IF(B1528=0,0,IF(AND(H1508="ja",((U1528-C1528)&lt;R1533)),ROUND(((R1535*R1532+((R1533/(R1533-R1532))-(R1532/(R1533-R1532))*R1535)*((U1528-C1528)-R1532))*(M1516)),2),ROUND(IF(SUM(B1517:F1527)&lt;(SUM(S1517:S1527)),IF((SUM(B1517:F1528))&gt;(SUM(S1517:S1528)),(((SUM(S1517:S1528))-(SUM(B1517:F1528)-C1528))*M1516)+((SUM(B1528:F1528)-C1528)*M1516),(SUM(B1528:F1528)-C1528)*M1516),IF(SUM(B1517:F1528)&gt;(SUM(S1517:S1528)),S1528*M1516,SUM(B1528:F1528)*M1516)),2)))</f>
        <v>0</v>
      </c>
      <c r="N1528" s="64">
        <f>IF(B1528=0,0,IF(AND(H1508="ja",((U1528)&lt;R1533)),ROUND(((R1535*R1532+((R1533/(R1533-R1532))-(R1532/(R1533-R1532))*R1535)*((U1528)-R1532))*(N1516)),2),ROUND(IF(SUM(B1517:F1527)&lt;(SUM(S1517:S1527)),IF((SUM(B1517:F1528))&gt;(SUM(S1517:S1528)),(((SUM(S1517:S1528))-(SUM(B1517:F1528)-C1527))*N1516)+((SUM(B1528:F1528)-C1527)*N1516),SUM(B1528:F1528)*N1516),IF(SUM(B1517:F1528)&gt;(SUM(S1517:S1528)),S1528*N1516,SUM(B1528:F1528)*N1516)),2)))</f>
        <v>0</v>
      </c>
      <c r="O1528" s="21">
        <f>ROUND(SUM(B1528+C1528+F1528)*O1516,2)</f>
        <v>0</v>
      </c>
      <c r="P1528" s="25">
        <f t="shared" si="244"/>
        <v>0</v>
      </c>
      <c r="Q1528" s="11"/>
      <c r="R1528" s="140">
        <f>ROUND(IF(M1495="",R1511,R1511/M1495*P1505),2)</f>
        <v>5175</v>
      </c>
      <c r="S1528" s="140">
        <f>ROUND(IF(M1495="",R1512,R1512/M1495*P1505),2)</f>
        <v>7450</v>
      </c>
      <c r="U1528" s="950">
        <f t="shared" si="245"/>
        <v>0</v>
      </c>
      <c r="V1528" s="950">
        <f>SUM(B1517:F1528)</f>
        <v>0</v>
      </c>
    </row>
    <row r="1529" spans="1:24" s="1" customFormat="1" ht="15" customHeight="1" x14ac:dyDescent="0.2">
      <c r="A1529" s="2" t="s">
        <v>1</v>
      </c>
      <c r="B1529" s="25">
        <f t="shared" ref="B1529:G1529" si="246">SUM(B1517:B1528)</f>
        <v>0</v>
      </c>
      <c r="C1529" s="25">
        <f t="shared" si="246"/>
        <v>0</v>
      </c>
      <c r="D1529" s="25">
        <f t="shared" si="246"/>
        <v>0</v>
      </c>
      <c r="E1529" s="25">
        <f t="shared" si="246"/>
        <v>0</v>
      </c>
      <c r="F1529" s="25">
        <f t="shared" si="246"/>
        <v>0</v>
      </c>
      <c r="G1529" s="25">
        <f t="shared" si="246"/>
        <v>0</v>
      </c>
      <c r="H1529" s="1309">
        <f>SUM(H1517:N1528)</f>
        <v>0</v>
      </c>
      <c r="I1529" s="1310"/>
      <c r="J1529" s="1310"/>
      <c r="K1529" s="1310"/>
      <c r="L1529" s="1310"/>
      <c r="M1529" s="1310"/>
      <c r="N1529" s="1311"/>
      <c r="O1529" s="25">
        <f>SUM(O1517:O1528)</f>
        <v>0</v>
      </c>
      <c r="P1529" s="25">
        <f>SUM(P1517:P1528)</f>
        <v>0</v>
      </c>
    </row>
    <row r="1530" spans="1:24" s="1" customFormat="1" ht="12" customHeight="1" x14ac:dyDescent="0.2"/>
    <row r="1531" spans="1:24" s="1" customFormat="1" ht="14.25" customHeight="1" x14ac:dyDescent="0.2">
      <c r="B1531" s="906"/>
      <c r="H1531" s="905"/>
      <c r="I1531" s="62"/>
      <c r="J1531" s="914" t="s">
        <v>123</v>
      </c>
      <c r="L1531" s="900" t="s">
        <v>124</v>
      </c>
      <c r="M1531" s="974" t="str">
        <f>IF(IF(G1529=0,"",'päd.Personal - Leitung'!$M$43)=0,"",IF(G1529=0,"",'päd.Personal - Leitung'!$M$43))</f>
        <v/>
      </c>
      <c r="N1531" s="902" t="s">
        <v>125</v>
      </c>
      <c r="O1531" s="963" t="str">
        <f>IF(IF(G1529=0,"",'päd.Personal - Leitung'!$O$43)=0,"",IF(G1529=0,"",'päd.Personal - Leitung'!$O$43))</f>
        <v/>
      </c>
      <c r="P1531" s="25">
        <f>ROUND(IF(M1531="",0,G1529*M1531*O1531/1000),2)</f>
        <v>0</v>
      </c>
      <c r="Q1531" s="937"/>
      <c r="R1531" s="938">
        <v>2025</v>
      </c>
      <c r="S1531" s="939"/>
    </row>
    <row r="1532" spans="1:24" s="1" customFormat="1" ht="14.25" customHeight="1" x14ac:dyDescent="0.2">
      <c r="H1532" s="907"/>
      <c r="I1532" s="42"/>
      <c r="M1532" s="915" t="s">
        <v>129</v>
      </c>
      <c r="N1532" s="80" t="s">
        <v>125</v>
      </c>
      <c r="O1532" s="75" t="str">
        <f>IF(IF(G1529=0,"",'päd.Personal - Leitung'!$O$44)=0,"",IF(G1529=0,"",'päd.Personal - Leitung'!$O$44))</f>
        <v/>
      </c>
      <c r="P1532" s="25">
        <f>ROUND(IF(O1532="",0,G1529*O1532/1000),2)</f>
        <v>0</v>
      </c>
      <c r="Q1532" s="942" t="s">
        <v>737</v>
      </c>
      <c r="R1532" s="141">
        <f>'päd.Personal - Leitung'!$R$44</f>
        <v>556</v>
      </c>
      <c r="S1532" s="955">
        <f>'päd.Personal - Leitung'!$S$44</f>
        <v>12.82</v>
      </c>
    </row>
    <row r="1533" spans="1:24" s="1" customFormat="1" ht="14.25" customHeight="1" x14ac:dyDescent="0.2">
      <c r="H1533" s="912" t="s">
        <v>126</v>
      </c>
      <c r="I1533" s="1013" t="s">
        <v>127</v>
      </c>
      <c r="J1533" s="975" t="str">
        <f>IF(IF(G1529=0,"",'päd.Personal - Leitung'!$J$45)=0,"",IF(G1529=0,"",'päd.Personal - Leitung'!$J$45))</f>
        <v/>
      </c>
      <c r="K1533" s="902" t="s">
        <v>128</v>
      </c>
      <c r="L1533" s="964" t="str">
        <f>IF(IF(G1529=0,"",'päd.Personal - Leitung'!$L$45)=0,"",IF(G1529=0,"",'päd.Personal - Leitung'!$L$45))</f>
        <v/>
      </c>
      <c r="M1533" s="16"/>
      <c r="N1533" s="900" t="s">
        <v>132</v>
      </c>
      <c r="O1533" s="965" t="str">
        <f>IF(IF(G1529=0,"",'päd.Personal - Leitung'!$O$45)=0,"",IF(G1529=0,"",'päd.Personal - Leitung'!$O$45))</f>
        <v/>
      </c>
      <c r="P1533" s="25">
        <f>ROUND(IF(J1533="",0,(J1533*L1533/O1533)/M1497*M1498),2)</f>
        <v>0</v>
      </c>
      <c r="Q1533" s="942" t="s">
        <v>738</v>
      </c>
      <c r="R1533" s="140">
        <f>'päd.Personal - Leitung'!$R$45</f>
        <v>2000</v>
      </c>
      <c r="S1533" s="939"/>
    </row>
    <row r="1534" spans="1:24" s="1" customFormat="1" ht="14.25" customHeight="1" x14ac:dyDescent="0.2">
      <c r="D1534" s="16"/>
      <c r="I1534" s="16"/>
      <c r="J1534" s="16"/>
      <c r="K1534" s="63"/>
      <c r="L1534" s="67"/>
      <c r="M1534" s="915" t="s">
        <v>130</v>
      </c>
      <c r="N1534" s="80" t="s">
        <v>131</v>
      </c>
      <c r="O1534" s="904">
        <f>IF(IF(G1529="",0,'päd.Personal - Leitung'!$O$94)=0,0,IF(G1529="",0,'päd.Personal - Leitung'!$O$94))</f>
        <v>0</v>
      </c>
      <c r="P1534" s="21">
        <f>ROUND(IF(G1529=0,0,O1534/M1495*M1496),2)</f>
        <v>0</v>
      </c>
      <c r="Q1534" s="942" t="s">
        <v>740</v>
      </c>
      <c r="R1534" s="956">
        <f>'päd.Personal - Leitung'!$R$46</f>
        <v>0.40900000000000003</v>
      </c>
    </row>
    <row r="1535" spans="1:24" s="1" customFormat="1" ht="14.25" customHeight="1" x14ac:dyDescent="0.2">
      <c r="A1535" s="16"/>
      <c r="B1535" s="16"/>
      <c r="I1535" s="905"/>
      <c r="J1535" s="961" t="s">
        <v>176</v>
      </c>
      <c r="K1535" s="1312" t="str">
        <f>IF($K$47="","",$K$47)</f>
        <v/>
      </c>
      <c r="L1535" s="1312"/>
      <c r="M1535" s="1312"/>
      <c r="N1535" s="80" t="s">
        <v>131</v>
      </c>
      <c r="O1535" s="904">
        <f>IF(IF(G1529="",0,'päd.Personal - Leitung'!$O$95)=0,0,IF(G1529="",0,'päd.Personal - Leitung'!$O$95))</f>
        <v>0</v>
      </c>
      <c r="P1535" s="21">
        <f>ROUND(IF(G1529=0,0,O1535/M1495*M1496),2)</f>
        <v>0</v>
      </c>
      <c r="Q1535" s="942" t="s">
        <v>739</v>
      </c>
      <c r="R1535" s="940">
        <f>'päd.Personal - Leitung'!$R$47</f>
        <v>0.68459999999999999</v>
      </c>
      <c r="S1535" s="957">
        <f>'päd.Personal - Leitung'!$S$47</f>
        <v>0.28000000000000003</v>
      </c>
    </row>
    <row r="1536" spans="1:24" s="1" customFormat="1" ht="14.25" customHeight="1" x14ac:dyDescent="0.2">
      <c r="A1536" s="908"/>
      <c r="B1536" s="908"/>
      <c r="C1536" s="1013"/>
      <c r="D1536" s="1013"/>
      <c r="I1536" s="913"/>
      <c r="J1536" s="913"/>
      <c r="K1536" s="916"/>
      <c r="L1536" s="27"/>
      <c r="M1536" s="27"/>
      <c r="N1536" s="27"/>
      <c r="O1536" s="26" t="s">
        <v>0</v>
      </c>
      <c r="P1536" s="25">
        <f>P1529+SUM(P1531:P1535)</f>
        <v>0</v>
      </c>
    </row>
    <row r="1537" spans="1:19" s="10" customFormat="1" ht="13.5" customHeight="1" x14ac:dyDescent="0.2">
      <c r="A1537" s="1321" t="s">
        <v>17</v>
      </c>
      <c r="B1537" s="1321"/>
      <c r="C1537" s="1321"/>
      <c r="D1537" s="1320" t="str">
        <f>IF('päd.Personal - Leitung'!$D$1="","",'päd.Personal - Leitung'!$D$1)</f>
        <v/>
      </c>
      <c r="E1537" s="1320"/>
      <c r="F1537" s="1320"/>
      <c r="G1537" s="1320"/>
      <c r="H1537" s="1320"/>
      <c r="I1537" s="1320"/>
      <c r="J1537" s="1320"/>
      <c r="K1537" s="1320"/>
      <c r="L1537" s="1320"/>
      <c r="M1537" s="1320"/>
      <c r="N1537" s="1320"/>
    </row>
    <row r="1538" spans="1:19" s="10" customFormat="1" ht="15" customHeight="1" x14ac:dyDescent="0.2">
      <c r="A1538" s="1321" t="s">
        <v>16</v>
      </c>
      <c r="B1538" s="1321"/>
      <c r="C1538" s="1321" t="s">
        <v>14</v>
      </c>
      <c r="D1538" s="1320" t="str">
        <f>IF('päd.Personal - Leitung'!$D$2="","",'päd.Personal - Leitung'!$D$2)</f>
        <v/>
      </c>
      <c r="E1538" s="1320"/>
      <c r="F1538" s="1320"/>
      <c r="G1538" s="1320"/>
      <c r="H1538" s="1320"/>
      <c r="I1538" s="1320"/>
      <c r="J1538" s="1320"/>
      <c r="K1538" s="1320"/>
      <c r="L1538" s="1320"/>
      <c r="M1538" s="1320"/>
      <c r="N1538" s="1320"/>
    </row>
    <row r="1539" spans="1:19" s="10" customFormat="1" ht="15" customHeight="1" x14ac:dyDescent="0.2">
      <c r="A1539" s="1321" t="s">
        <v>15</v>
      </c>
      <c r="B1539" s="1321"/>
      <c r="C1539" s="1321" t="s">
        <v>14</v>
      </c>
      <c r="D1539" s="1320" t="str">
        <f>IF('päd.Personal - Leitung'!$D$3="","",'päd.Personal - Leitung'!$D$3)</f>
        <v/>
      </c>
      <c r="E1539" s="1320"/>
      <c r="F1539" s="1320"/>
      <c r="G1539" s="1320"/>
      <c r="H1539" s="1320"/>
      <c r="I1539" s="1320"/>
      <c r="J1539" s="1320"/>
      <c r="K1539" s="1321" t="s">
        <v>100</v>
      </c>
      <c r="L1539" s="1321"/>
      <c r="M1539" s="1321"/>
      <c r="N1539" s="38" t="str">
        <f>IF('päd.Personal - Leitung'!$N$3="","",'päd.Personal - Leitung'!$N$3)</f>
        <v/>
      </c>
    </row>
    <row r="1540" spans="1:19" s="923" customFormat="1" ht="7.5" customHeight="1" x14ac:dyDescent="0.15">
      <c r="A1540" s="1353"/>
      <c r="B1540" s="1353"/>
      <c r="C1540" s="1353"/>
      <c r="D1540" s="1354"/>
      <c r="E1540" s="1354"/>
      <c r="F1540" s="1354"/>
      <c r="G1540" s="1354"/>
      <c r="H1540" s="1354"/>
      <c r="I1540" s="1354"/>
      <c r="J1540" s="1354"/>
      <c r="K1540" s="922"/>
      <c r="L1540" s="922"/>
      <c r="M1540" s="922"/>
      <c r="N1540" s="922"/>
      <c r="O1540" s="922"/>
      <c r="P1540" s="922"/>
    </row>
    <row r="1541" spans="1:19" s="13" customFormat="1" ht="13.5" customHeight="1" x14ac:dyDescent="0.2">
      <c r="A1541" s="1355" t="s">
        <v>151</v>
      </c>
      <c r="B1541" s="1355"/>
      <c r="C1541" s="1355"/>
      <c r="D1541" s="1355"/>
      <c r="E1541" s="1355"/>
      <c r="F1541" s="1355"/>
      <c r="G1541" s="1355"/>
      <c r="H1541" s="1355"/>
      <c r="I1541" s="1355"/>
      <c r="J1541" s="1355"/>
      <c r="K1541" s="7"/>
      <c r="L1541" s="7"/>
      <c r="M1541" s="7"/>
      <c r="N1541" s="52"/>
      <c r="O1541" s="138">
        <f>'päd.Personal - Leitung'!$O$5</f>
        <v>2025</v>
      </c>
      <c r="P1541" s="52" t="s">
        <v>140</v>
      </c>
    </row>
    <row r="1542" spans="1:19" s="8" customFormat="1" ht="13.5" customHeight="1" x14ac:dyDescent="0.25">
      <c r="B1542" s="29"/>
      <c r="C1542" s="29"/>
      <c r="D1542" s="3" t="s">
        <v>187</v>
      </c>
      <c r="E1542" s="28"/>
      <c r="F1542" s="28"/>
      <c r="G1542" s="28"/>
      <c r="H1542" s="28"/>
      <c r="I1542" s="24"/>
      <c r="K1542" s="1327" t="s">
        <v>13</v>
      </c>
      <c r="L1542" s="1327"/>
      <c r="M1542" s="131"/>
      <c r="O1542" s="928" t="str">
        <f>A1565</f>
        <v>Jan 2025</v>
      </c>
      <c r="P1542" s="1402">
        <f>IF(M1544="","",M1544)</f>
        <v>0</v>
      </c>
    </row>
    <row r="1543" spans="1:19" s="5" customFormat="1" ht="13.5" customHeight="1" x14ac:dyDescent="0.25">
      <c r="A1543" s="1328" t="s">
        <v>754</v>
      </c>
      <c r="B1543" s="1328"/>
      <c r="C1543" s="1328"/>
      <c r="D1543" s="1345"/>
      <c r="E1543" s="1345"/>
      <c r="F1543" s="1345"/>
      <c r="G1543" s="1345"/>
      <c r="H1543" s="1345"/>
      <c r="I1543" s="1345"/>
      <c r="K1543" s="1327" t="s">
        <v>101</v>
      </c>
      <c r="L1543" s="1327"/>
      <c r="M1543" s="101"/>
      <c r="O1543" s="928" t="str">
        <f t="shared" ref="O1543:O1553" si="247">A1566</f>
        <v>Feb 2025</v>
      </c>
      <c r="P1543" s="1403">
        <f t="shared" ref="P1543:P1553" si="248">IF(P1542="","",P1542)</f>
        <v>0</v>
      </c>
    </row>
    <row r="1544" spans="1:19" s="1" customFormat="1" ht="13.5" customHeight="1" x14ac:dyDescent="0.2">
      <c r="A1544" s="1328" t="s">
        <v>12</v>
      </c>
      <c r="B1544" s="1328"/>
      <c r="C1544" s="1328"/>
      <c r="D1544" s="1345"/>
      <c r="E1544" s="1345"/>
      <c r="F1544" s="1345"/>
      <c r="G1544" s="1345"/>
      <c r="H1544" s="1345"/>
      <c r="I1544" s="1345"/>
      <c r="K1544" s="1327" t="s">
        <v>149</v>
      </c>
      <c r="L1544" s="1327"/>
      <c r="M1544" s="101">
        <f>IF((M1545+M1546)&gt;M1543,0,M1543-M1545-M1546)</f>
        <v>0</v>
      </c>
      <c r="O1544" s="928" t="str">
        <f t="shared" si="247"/>
        <v>Mrz 2025</v>
      </c>
      <c r="P1544" s="1403">
        <f t="shared" si="248"/>
        <v>0</v>
      </c>
    </row>
    <row r="1545" spans="1:19" s="1" customFormat="1" ht="13.5" customHeight="1" x14ac:dyDescent="0.2">
      <c r="A1545" s="1328" t="s">
        <v>11</v>
      </c>
      <c r="B1545" s="1328"/>
      <c r="C1545" s="1328"/>
      <c r="D1545" s="1345"/>
      <c r="E1545" s="1345"/>
      <c r="F1545" s="1345"/>
      <c r="G1545" s="1345"/>
      <c r="H1545" s="1345"/>
      <c r="I1545" s="1345"/>
      <c r="K1545" s="1327" t="s">
        <v>150</v>
      </c>
      <c r="L1545" s="1327"/>
      <c r="M1545" s="101"/>
      <c r="O1545" s="928" t="str">
        <f t="shared" si="247"/>
        <v>Apr 2025</v>
      </c>
      <c r="P1545" s="1403">
        <f t="shared" si="248"/>
        <v>0</v>
      </c>
    </row>
    <row r="1546" spans="1:19" s="1" customFormat="1" ht="13.5" customHeight="1" x14ac:dyDescent="0.2">
      <c r="A1546" s="1328" t="s">
        <v>18</v>
      </c>
      <c r="B1546" s="1328"/>
      <c r="C1546" s="1328"/>
      <c r="D1546" s="1345"/>
      <c r="E1546" s="1345"/>
      <c r="F1546" s="1345"/>
      <c r="G1546" s="1345"/>
      <c r="H1546" s="1345"/>
      <c r="I1546" s="1345"/>
      <c r="K1546" s="1327" t="s">
        <v>222</v>
      </c>
      <c r="L1546" s="1327"/>
      <c r="M1546" s="101"/>
      <c r="O1546" s="928" t="str">
        <f t="shared" si="247"/>
        <v>Mai 2025</v>
      </c>
      <c r="P1546" s="1403">
        <f t="shared" si="248"/>
        <v>0</v>
      </c>
    </row>
    <row r="1547" spans="1:19" s="1" customFormat="1" ht="13.5" customHeight="1" x14ac:dyDescent="0.2">
      <c r="B1547" s="6"/>
      <c r="C1547" s="1029" t="s">
        <v>147</v>
      </c>
      <c r="D1547" s="1324"/>
      <c r="E1547" s="1324"/>
      <c r="F1547" s="1359" t="s">
        <v>103</v>
      </c>
      <c r="G1547" s="1359"/>
      <c r="H1547" s="1361"/>
      <c r="I1547" s="1361"/>
      <c r="K1547" s="1327" t="s">
        <v>94</v>
      </c>
      <c r="L1547" s="1327"/>
      <c r="M1547" s="15" t="str">
        <f>IF(IF((COUNTIF(B1565:B1576,"&gt;0"))=0,0,(COUNTIF(B1565:B1576,"&gt;0")))&gt;Grundlagen!$C$26,Grundlagen!$C$26,IF((COUNTIF(B1565:B1576,"&gt;0"))=0,"",(COUNTIF(B1565:B1576,"&gt;0"))))</f>
        <v/>
      </c>
      <c r="O1547" s="928" t="str">
        <f t="shared" si="247"/>
        <v>Jun 2025</v>
      </c>
      <c r="P1547" s="1403">
        <f t="shared" si="248"/>
        <v>0</v>
      </c>
    </row>
    <row r="1548" spans="1:19" s="1" customFormat="1" ht="13.5" customHeight="1" x14ac:dyDescent="0.2">
      <c r="I1548" s="4"/>
      <c r="M1548" s="102" t="str">
        <f>IF((SUM(F1550:F1553))=0,"",IF(P1554&gt;M1544,M1544,IF(M1544="","",IF(M1547="","",P1554))))</f>
        <v/>
      </c>
      <c r="O1548" s="928" t="str">
        <f t="shared" si="247"/>
        <v>Jul 2025</v>
      </c>
      <c r="P1548" s="1403">
        <f t="shared" si="248"/>
        <v>0</v>
      </c>
    </row>
    <row r="1549" spans="1:19" s="46" customFormat="1" ht="13.5" customHeight="1" x14ac:dyDescent="0.2">
      <c r="A1549" s="54" t="s">
        <v>134</v>
      </c>
      <c r="B1549" s="1356" t="s">
        <v>135</v>
      </c>
      <c r="C1549" s="1356"/>
      <c r="D1549" s="55" t="s">
        <v>136</v>
      </c>
      <c r="E1549" s="56" t="s">
        <v>137</v>
      </c>
      <c r="F1549" s="57" t="str">
        <f>CONCATENATE("Entg. ",N1539," h/Wo")</f>
        <v>Entg.  h/Wo</v>
      </c>
      <c r="G1549" s="58" t="s">
        <v>138</v>
      </c>
      <c r="I1549" s="58" t="s">
        <v>139</v>
      </c>
      <c r="K1549" s="970"/>
      <c r="L1549" s="970"/>
      <c r="M1549" s="59"/>
      <c r="N1549" s="968"/>
      <c r="O1549" s="928" t="str">
        <f t="shared" si="247"/>
        <v>Aug 2025</v>
      </c>
      <c r="P1549" s="1403">
        <f t="shared" si="248"/>
        <v>0</v>
      </c>
      <c r="Q1549" s="85"/>
      <c r="R1549" s="85"/>
      <c r="S1549" s="85"/>
    </row>
    <row r="1550" spans="1:19" s="46" customFormat="1" ht="13.5" customHeight="1" x14ac:dyDescent="0.25">
      <c r="A1550" s="48" t="str">
        <f>'päd.Personal - Leitung'!$A$14</f>
        <v>Jan 2025</v>
      </c>
      <c r="B1550" s="1357" t="str">
        <f>IF($D$3="","",$D$3)</f>
        <v/>
      </c>
      <c r="C1550" s="1358"/>
      <c r="D1550" s="132"/>
      <c r="E1550" s="132"/>
      <c r="F1550" s="71"/>
      <c r="G1550" s="50">
        <f>IF(N1539="",0,F1550/N1539/4.348)</f>
        <v>0</v>
      </c>
      <c r="I1550" s="125">
        <f>SUM(J1550:M1550)</f>
        <v>0</v>
      </c>
      <c r="J1550" s="124"/>
      <c r="K1550" s="124"/>
      <c r="L1550" s="124"/>
      <c r="M1550" s="124"/>
      <c r="N1550" s="969"/>
      <c r="O1550" s="928" t="str">
        <f t="shared" si="247"/>
        <v>Sep 2025</v>
      </c>
      <c r="P1550" s="1403">
        <f t="shared" si="248"/>
        <v>0</v>
      </c>
      <c r="Q1550" s="85"/>
      <c r="R1550" s="85"/>
      <c r="S1550" s="85"/>
    </row>
    <row r="1551" spans="1:19" s="46" customFormat="1" ht="13.5" customHeight="1" x14ac:dyDescent="0.25">
      <c r="A1551" s="49"/>
      <c r="B1551" s="1322" t="str">
        <f>IF(A1551="","",B1550)</f>
        <v/>
      </c>
      <c r="C1551" s="1323"/>
      <c r="D1551" s="132"/>
      <c r="E1551" s="132"/>
      <c r="F1551" s="71"/>
      <c r="G1551" s="50">
        <f>IF(N1539="",0,F1551/N1539/4.348)</f>
        <v>0</v>
      </c>
      <c r="I1551" s="125">
        <f t="shared" ref="I1551:I1553" si="249">SUM(J1551:M1551)</f>
        <v>0</v>
      </c>
      <c r="J1551" s="124"/>
      <c r="K1551" s="124"/>
      <c r="L1551" s="124"/>
      <c r="M1551" s="124"/>
      <c r="N1551" s="969"/>
      <c r="O1551" s="928" t="str">
        <f t="shared" si="247"/>
        <v>Okt 2025</v>
      </c>
      <c r="P1551" s="1403">
        <f t="shared" si="248"/>
        <v>0</v>
      </c>
      <c r="Q1551" s="85"/>
      <c r="R1551" s="85"/>
      <c r="S1551" s="85"/>
    </row>
    <row r="1552" spans="1:19" s="46" customFormat="1" ht="13.5" customHeight="1" x14ac:dyDescent="0.25">
      <c r="A1552" s="49"/>
      <c r="B1552" s="1322" t="str">
        <f>IF(A1552="","",B1551)</f>
        <v/>
      </c>
      <c r="C1552" s="1323"/>
      <c r="D1552" s="132"/>
      <c r="E1552" s="132"/>
      <c r="F1552" s="71"/>
      <c r="G1552" s="50">
        <f>IF(N1539="",0,F1552/N1539/4.348)</f>
        <v>0</v>
      </c>
      <c r="I1552" s="125">
        <f t="shared" si="249"/>
        <v>0</v>
      </c>
      <c r="J1552" s="124"/>
      <c r="K1552" s="124"/>
      <c r="L1552" s="124"/>
      <c r="M1552" s="124"/>
      <c r="N1552" s="969"/>
      <c r="O1552" s="928" t="str">
        <f t="shared" si="247"/>
        <v>Nov 2025</v>
      </c>
      <c r="P1552" s="1403">
        <f t="shared" si="248"/>
        <v>0</v>
      </c>
      <c r="Q1552" s="85"/>
      <c r="R1552" s="85"/>
      <c r="S1552" s="85"/>
    </row>
    <row r="1553" spans="1:22" s="46" customFormat="1" ht="13.5" customHeight="1" x14ac:dyDescent="0.25">
      <c r="A1553" s="49"/>
      <c r="B1553" s="1322" t="str">
        <f>IF(A1553="","",B1552)</f>
        <v/>
      </c>
      <c r="C1553" s="1323"/>
      <c r="D1553" s="132"/>
      <c r="E1553" s="132"/>
      <c r="F1553" s="71"/>
      <c r="G1553" s="50">
        <f>IF(N1539="",0,F1553/N1539/4.348)</f>
        <v>0</v>
      </c>
      <c r="I1553" s="125">
        <f t="shared" si="249"/>
        <v>0</v>
      </c>
      <c r="J1553" s="124"/>
      <c r="K1553" s="124"/>
      <c r="L1553" s="124"/>
      <c r="M1553" s="124"/>
      <c r="N1553" s="969"/>
      <c r="O1553" s="928" t="str">
        <f t="shared" si="247"/>
        <v>Dez 2025</v>
      </c>
      <c r="P1553" s="1403">
        <f t="shared" si="248"/>
        <v>0</v>
      </c>
      <c r="Q1553" s="85"/>
      <c r="R1553" s="85"/>
      <c r="S1553" s="85"/>
    </row>
    <row r="1554" spans="1:22" s="46" customFormat="1" ht="13.5" customHeight="1" x14ac:dyDescent="0.25">
      <c r="B1554" s="972"/>
      <c r="C1554" s="972"/>
      <c r="E1554" s="972"/>
      <c r="F1554" s="972"/>
      <c r="I1554" s="930" t="s">
        <v>730</v>
      </c>
      <c r="J1554" s="1060"/>
      <c r="K1554" s="1060"/>
      <c r="L1554" s="1060"/>
      <c r="M1554" s="1060"/>
      <c r="N1554" s="971"/>
      <c r="O1554" s="126" t="s">
        <v>221</v>
      </c>
      <c r="P1554" s="127">
        <f>IF(M1547="",0,((IF(SUMIF(B1565,"&gt;0"),P1542,0))+(IF(SUMIF(B1566,"&gt;0"),P1543,0))+(IF(SUMIF(B1567,"&gt;0"),P1544,0))+(IF(SUMIF(B1568,"&gt;0"),P1545,0))+(IF(SUMIF(B1569,"&gt;0"),P1546,0))+(IF(SUMIF(B1570,"&gt;0"),P1547,0))+(IF(SUMIF(B1571,"&gt;0"),P1548,0))+(IF(SUMIF(B1572,"&gt;0"),P1549,0))+(IF(SUMIF(B1573,"&gt;0"),P1550,0))+(IF(SUMIF(B1574,"&gt;0"),P1551,0))+(IF(SUMIF(B1575,"&gt;0"),P1552,0))+(IF(SUMIF(B1576,"&gt;0"),P1553,0)))/Grundlagen!$C$26)</f>
        <v>0</v>
      </c>
      <c r="Q1554" s="958" t="str">
        <f>CONCATENATE("BBG"," anteilig ",O1556)</f>
        <v>BBG anteilig 2025</v>
      </c>
      <c r="R1554" s="931" t="s">
        <v>659</v>
      </c>
      <c r="S1554" s="931" t="s">
        <v>398</v>
      </c>
      <c r="T1554" s="107"/>
    </row>
    <row r="1555" spans="1:22" s="46" customFormat="1" ht="13.5" customHeight="1" x14ac:dyDescent="0.2">
      <c r="A1555" s="924" t="s">
        <v>732</v>
      </c>
      <c r="D1555" s="55" t="s">
        <v>369</v>
      </c>
      <c r="E1555" s="56" t="s">
        <v>368</v>
      </c>
      <c r="F1555" s="58"/>
      <c r="J1555" s="61"/>
      <c r="Q1555" s="932" t="s">
        <v>144</v>
      </c>
      <c r="R1555" s="140">
        <f>IF(M1544=0,R1559,IF(M1543="",R1559,(SUM(R1565:R1576)/M1547)))</f>
        <v>5175</v>
      </c>
      <c r="S1555" s="933">
        <f>IF(M1544=0,S1559,IF(M1543="",S1559,SUM(R1565:R1576)))</f>
        <v>0</v>
      </c>
      <c r="T1555" s="107"/>
    </row>
    <row r="1556" spans="1:22" s="46" customFormat="1" ht="13.5" customHeight="1" x14ac:dyDescent="0.25">
      <c r="A1556" s="60"/>
      <c r="B1556" s="1314" t="str">
        <f>IF($B$20="","",$B$20)</f>
        <v>Jahressonderzahlung (JSZ)</v>
      </c>
      <c r="C1556" s="1315"/>
      <c r="D1556" s="926"/>
      <c r="E1556" s="929" t="str">
        <f>IF(A1556="","",ROUND((((SUM(B1571:B1573)+SUM(F1571:F1573))/3)*D1556)/Grundlagen!$C$26*M1547,2))</f>
        <v/>
      </c>
      <c r="G1556" s="941" t="s">
        <v>733</v>
      </c>
      <c r="H1556" s="943"/>
      <c r="I1556" s="1316" t="str">
        <f>CONCATENATE(R1579,":"," Übergangsbereich von ",R1580+0.01," €"," bis ",R1581," €")</f>
        <v>2025: Übergangsbereich von 556,01 € bis 2000 €</v>
      </c>
      <c r="J1556" s="1317"/>
      <c r="K1556" s="1317"/>
      <c r="L1556" s="1067"/>
      <c r="M1556" s="1067"/>
      <c r="N1556" s="1068" t="s">
        <v>736</v>
      </c>
      <c r="O1556" s="1069">
        <f>P1556+1</f>
        <v>2025</v>
      </c>
      <c r="P1556" s="1069" t="s">
        <v>721</v>
      </c>
      <c r="Q1556" s="932" t="s">
        <v>145</v>
      </c>
      <c r="R1556" s="140">
        <f>IF(M1544=0,R1560,IF(M1543="",R1560,(SUM(S1565:S1576)/M1547)))</f>
        <v>7450</v>
      </c>
      <c r="S1556" s="933">
        <f>IF(M1544=0,S1560,IF(M1543="",S1560,SUM(S1565:S1576)))</f>
        <v>0</v>
      </c>
      <c r="T1556" s="109"/>
    </row>
    <row r="1557" spans="1:22" s="1" customFormat="1" ht="14.25" customHeight="1" x14ac:dyDescent="0.2">
      <c r="A1557" s="60"/>
      <c r="B1557" s="1314" t="str">
        <f>IF($B$21="","",$B$21)</f>
        <v>Leistungsentgelt (LOB)</v>
      </c>
      <c r="C1557" s="1315"/>
      <c r="D1557" s="926"/>
      <c r="E1557" s="929" t="str">
        <f>IF(A1557="","",ROUND(((B1577+F1577)*D1557)/Grundlagen!$C$26*M1547,2))</f>
        <v/>
      </c>
      <c r="G1557" s="941" t="str">
        <f>IF(OR(H1556="",H1556="nein")=TRUE,"","Faktor (F):")</f>
        <v/>
      </c>
      <c r="H1557" s="949" t="str">
        <f>IF(OR(H1556="",H1556="nein")=TRUE,"",IF(H1556="","",R1583))</f>
        <v/>
      </c>
      <c r="I1557" s="1318" t="str">
        <f>IF(OR(H1556="",H1556="nein")=TRUE,"",IF(H1557="","",CONCATENATE(S1583*100,"%"," / ","(",R1582*100,"%"," Gesamt-SV-Beitragssatz 2024)")))</f>
        <v/>
      </c>
      <c r="J1557" s="1319"/>
      <c r="K1557" s="1319"/>
      <c r="L1557" s="1070"/>
      <c r="M1557" s="1070"/>
      <c r="N1557" s="1071" t="s">
        <v>144</v>
      </c>
      <c r="O1557" s="1072">
        <f>'päd.Personal - Leitung'!$O$21</f>
        <v>5175</v>
      </c>
      <c r="P1557" s="1072">
        <f>'päd.Personal - Leitung'!$P$21</f>
        <v>5175</v>
      </c>
      <c r="Q1557" s="11"/>
      <c r="R1557" s="11"/>
      <c r="S1557" s="11"/>
      <c r="T1557" s="109"/>
    </row>
    <row r="1558" spans="1:22" s="1" customFormat="1" ht="14.25" customHeight="1" x14ac:dyDescent="0.2">
      <c r="C1558" s="925" t="s">
        <v>731</v>
      </c>
      <c r="L1558" s="1070"/>
      <c r="M1558" s="1070"/>
      <c r="N1558" s="1071" t="s">
        <v>145</v>
      </c>
      <c r="O1558" s="1073">
        <f>'päd.Personal - Leitung'!$O$22</f>
        <v>7450</v>
      </c>
      <c r="P1558" s="1073">
        <f>'päd.Personal - Leitung'!$P$22</f>
        <v>7450</v>
      </c>
      <c r="Q1558" s="958" t="str">
        <f>CONCATENATE("BBG"," ",O1556)</f>
        <v>BBG 2025</v>
      </c>
      <c r="R1558" s="11"/>
      <c r="S1558" s="11"/>
      <c r="T1558" s="109"/>
    </row>
    <row r="1559" spans="1:22" s="1" customFormat="1" ht="14.25" customHeight="1" x14ac:dyDescent="0.2">
      <c r="A1559" s="53" t="s">
        <v>141</v>
      </c>
      <c r="B1559" s="46"/>
      <c r="C1559" s="46"/>
      <c r="D1559" s="46"/>
      <c r="E1559" s="46"/>
      <c r="F1559" s="46"/>
      <c r="G1559" s="46"/>
      <c r="H1559" s="46"/>
      <c r="I1559" s="46"/>
      <c r="J1559" s="46"/>
      <c r="K1559" s="46"/>
      <c r="L1559" s="46"/>
      <c r="M1559" s="46"/>
      <c r="N1559" s="46"/>
      <c r="O1559" s="46"/>
      <c r="P1559" s="46"/>
      <c r="Q1559" s="932" t="s">
        <v>144</v>
      </c>
      <c r="R1559" s="141">
        <f>IF($O$21="",0,$O$21)</f>
        <v>5175</v>
      </c>
      <c r="S1559" s="933">
        <f>R1559*IF(M1547="",0,M1547)</f>
        <v>0</v>
      </c>
      <c r="T1559" s="295"/>
    </row>
    <row r="1560" spans="1:22" s="1" customFormat="1" ht="14.25" customHeight="1" x14ac:dyDescent="0.2">
      <c r="A1560" s="1346"/>
      <c r="B1560" s="1348" t="s">
        <v>8</v>
      </c>
      <c r="C1560" s="1349"/>
      <c r="D1560" s="1349"/>
      <c r="E1560" s="1349"/>
      <c r="F1560" s="1349"/>
      <c r="G1560" s="1350"/>
      <c r="H1560" s="1351" t="s">
        <v>113</v>
      </c>
      <c r="I1560" s="1352"/>
      <c r="J1560" s="1352"/>
      <c r="K1560" s="1352"/>
      <c r="L1560" s="1352"/>
      <c r="M1560" s="1352"/>
      <c r="N1560" s="1352"/>
      <c r="O1560" s="30"/>
      <c r="P1560" s="1330" t="s">
        <v>0</v>
      </c>
      <c r="Q1560" s="932" t="s">
        <v>145</v>
      </c>
      <c r="R1560" s="141">
        <f>IF($O$22="",0,$O$22)</f>
        <v>7450</v>
      </c>
      <c r="S1560" s="933">
        <f>R1560*IF(M1547="",0,M1547)</f>
        <v>0</v>
      </c>
      <c r="T1560" s="830"/>
    </row>
    <row r="1561" spans="1:22" s="1" customFormat="1" ht="14.25" customHeight="1" x14ac:dyDescent="0.2">
      <c r="A1561" s="1347"/>
      <c r="B1561" s="1333" t="s">
        <v>111</v>
      </c>
      <c r="C1561" s="1335" t="s">
        <v>743</v>
      </c>
      <c r="D1561" s="1337" t="s">
        <v>226</v>
      </c>
      <c r="E1561" s="1339" t="s">
        <v>133</v>
      </c>
      <c r="F1561" s="1030" t="s">
        <v>6</v>
      </c>
      <c r="G1561" s="1340" t="s">
        <v>5</v>
      </c>
      <c r="H1561" s="1339" t="s">
        <v>119</v>
      </c>
      <c r="I1561" s="1339" t="s">
        <v>4</v>
      </c>
      <c r="J1561" s="1339" t="s">
        <v>3</v>
      </c>
      <c r="K1561" s="1339" t="s">
        <v>2</v>
      </c>
      <c r="L1561" s="1339" t="s">
        <v>114</v>
      </c>
      <c r="M1561" s="1339" t="s">
        <v>115</v>
      </c>
      <c r="N1561" s="1339" t="s">
        <v>116</v>
      </c>
      <c r="O1561" s="1338" t="s">
        <v>109</v>
      </c>
      <c r="P1561" s="1331"/>
      <c r="Q1561" s="456"/>
      <c r="R1561" s="11"/>
      <c r="S1561" s="11"/>
      <c r="T1561" s="621"/>
    </row>
    <row r="1562" spans="1:22" s="1" customFormat="1" ht="14.25" customHeight="1" x14ac:dyDescent="0.2">
      <c r="A1562" s="1347"/>
      <c r="B1562" s="1333"/>
      <c r="C1562" s="1335"/>
      <c r="D1562" s="1338"/>
      <c r="E1562" s="1339"/>
      <c r="F1562" s="1343" t="str">
        <f>I1554</f>
        <v>Zuschläge / Zulagen / o.ä.:</v>
      </c>
      <c r="G1562" s="1340"/>
      <c r="H1562" s="1342" t="s">
        <v>117</v>
      </c>
      <c r="I1562" s="1342"/>
      <c r="J1562" s="1342"/>
      <c r="K1562" s="1342"/>
      <c r="L1562" s="1342"/>
      <c r="M1562" s="1342"/>
      <c r="N1562" s="1342"/>
      <c r="O1562" s="1338"/>
      <c r="P1562" s="1331"/>
      <c r="Q1562" s="456"/>
      <c r="R1562" s="1306" t="str">
        <f>Q1554</f>
        <v>BBG anteilig 2025</v>
      </c>
      <c r="S1562" s="1306"/>
      <c r="T1562" s="829"/>
    </row>
    <row r="1563" spans="1:22" s="1" customFormat="1" ht="14.25" customHeight="1" x14ac:dyDescent="0.2">
      <c r="A1563" s="1347"/>
      <c r="B1563" s="1333"/>
      <c r="C1563" s="1335"/>
      <c r="D1563" s="1338"/>
      <c r="E1563" s="1339"/>
      <c r="F1563" s="1343"/>
      <c r="G1563" s="1340"/>
      <c r="H1563" s="39" t="str">
        <f>'päd.Personal - Leitung'!$H$27</f>
        <v>(7,30% + Zusatz)</v>
      </c>
      <c r="I1563" s="39" t="str">
        <f>'päd.Personal - Leitung'!$I$27</f>
        <v xml:space="preserve"> (2024: 9,30%)</v>
      </c>
      <c r="J1563" s="39" t="str">
        <f>'päd.Personal - Leitung'!$J$27</f>
        <v>(2024: 1,30%)</v>
      </c>
      <c r="K1563" s="39" t="str">
        <f>'päd.Personal - Leitung'!$K$27</f>
        <v>(2024: 1,700%)</v>
      </c>
      <c r="L1563" s="39"/>
      <c r="M1563" s="39"/>
      <c r="N1563" s="39" t="str">
        <f>'päd.Personal - Leitung'!$N$27</f>
        <v>(2024: 0,06%)</v>
      </c>
      <c r="O1563" s="1338"/>
      <c r="P1563" s="1331"/>
      <c r="Q1563" s="456"/>
      <c r="R1563" s="1307" t="s">
        <v>659</v>
      </c>
      <c r="S1563" s="1307"/>
      <c r="T1563" s="829"/>
      <c r="U1563" s="1308" t="s">
        <v>1</v>
      </c>
      <c r="V1563" s="1308" t="s">
        <v>741</v>
      </c>
    </row>
    <row r="1564" spans="1:22" s="1" customFormat="1" x14ac:dyDescent="0.2">
      <c r="A1564" s="1347"/>
      <c r="B1564" s="1334"/>
      <c r="C1564" s="1336"/>
      <c r="D1564" s="45"/>
      <c r="E1564" s="45"/>
      <c r="F1564" s="1344"/>
      <c r="G1564" s="1341"/>
      <c r="H1564" s="74"/>
      <c r="I1564" s="99">
        <f>'päd.Personal - Leitung'!$I$28</f>
        <v>0</v>
      </c>
      <c r="J1564" s="99">
        <f>'päd.Personal - Leitung'!$J$28</f>
        <v>0</v>
      </c>
      <c r="K1564" s="40">
        <f>'päd.Personal - Leitung'!$K$28</f>
        <v>0</v>
      </c>
      <c r="L1564" s="19"/>
      <c r="M1564" s="19"/>
      <c r="N1564" s="99">
        <f>'päd.Personal - Leitung'!$N$28</f>
        <v>0</v>
      </c>
      <c r="O1564" s="23"/>
      <c r="P1564" s="1332"/>
      <c r="Q1564" s="456"/>
      <c r="R1564" s="935" t="s">
        <v>144</v>
      </c>
      <c r="S1564" s="935" t="s">
        <v>145</v>
      </c>
      <c r="T1564" s="829"/>
      <c r="U1564" s="1308"/>
      <c r="V1564" s="1308"/>
    </row>
    <row r="1565" spans="1:22" s="1" customFormat="1" x14ac:dyDescent="0.2">
      <c r="A1565" s="76" t="str">
        <f>CONCATENATE("Jan ",O1541)</f>
        <v>Jan 2025</v>
      </c>
      <c r="B1565" s="22">
        <f>ROUND(IF(P1542=0,0,(LOOKUP(2,1/(A1550:A1553=A1565),G1550:G1553))*P1542*4.348),2)</f>
        <v>0</v>
      </c>
      <c r="C1565" s="21">
        <f>ROUND(IFERROR((LOOKUP(2,1/(A1556=A1565),E1556)),0)+IFERROR((LOOKUP(2,1/(A1557=A1565),E1557)),0),2)</f>
        <v>0</v>
      </c>
      <c r="D1565" s="21">
        <f>ROUND(IF(B1565=0,0,D1564/M1543*P1542),2)</f>
        <v>0</v>
      </c>
      <c r="E1565" s="21">
        <f>ROUND(IF(B1565=0,0,E1564/N1539*P1542),2)</f>
        <v>0</v>
      </c>
      <c r="F1565" s="22">
        <f>ROUND(IF(P1542=0,0,(LOOKUP(2,1/(A1550:A1553=A1565),I1550:I1553))/N1539*P1542),2)</f>
        <v>0</v>
      </c>
      <c r="G1565" s="25">
        <f t="shared" ref="G1565:G1576" si="250">SUM(B1565+C1565+E1565+F1565)</f>
        <v>0</v>
      </c>
      <c r="H1565" s="64">
        <f>IF(B1565=0,0,IF(AND(H1556="ja",((U1565)&lt;R1581)),ROUND(((R1583*R1580+((R1581/(R1581-R1580))-(R1580/(R1581-R1580))*R1583)*((U1565)-R1580))*(H1564*2))-(((R1581/(R1581-R1580))*((U1565)-R1580))*H1564),2),ROUND(IF((U1565)&gt;R1565,R1565*H1564,U1565*H1564),2)))</f>
        <v>0</v>
      </c>
      <c r="I1565" s="64">
        <f>IF(B1565=0,0,IF(AND(H1556="ja",((U1565)&lt;R1581)),ROUND(((R1583*R1580+((R1581/(R1581-R1580))-(R1580/(R1581-R1580))*R1583)*((U1565)-R1580))*(I1564*2))-(((R1581/(R1581-R1580))*((U1565)-R1580))*I1564),2),ROUND(IF((U1565)&gt;S1565,S1565*I1564,U1565*I1564),2)))</f>
        <v>0</v>
      </c>
      <c r="J1565" s="64">
        <f>IF(B1565=0,0,IF(AND(H1556="ja",((U1565)&lt;R1581)),ROUND(((R1583*R1580+((R1581/(R1581-R1580))-(R1580/(R1581-R1580))*R1583)*((U1565)-R1580))*(J1564*2))-(((R1581/(R1581-R1580))*((U1565)-R1580))*J1564),2),ROUND(IF((U1565)&gt;S1565,S1565*J1564,U1565*J1564),2)))</f>
        <v>0</v>
      </c>
      <c r="K1565" s="64">
        <f>IF(B1565=0,0,IF(AND(H1556="ja",((U1565)&lt;R1581)),ROUND(((R1583*R1580+((R1581/(R1581-R1580))-(R1580/(R1581-R1580))*R1583)*((U1565)-R1580))*(K1564*2))-(((R1581/(R1581-R1580))*((U1565)-R1580))*K1564),2),ROUND(IF((U1565)&gt;R1565,R1565*K1564,U1565*K1564),2)))</f>
        <v>0</v>
      </c>
      <c r="L1565" s="64">
        <f>IF(B1565=0,0,IF(AND(H1556="ja",((U1565-C1565)&lt;R1581)),ROUND(((R1583*R1580+((R1581/(R1581-R1580))-(R1580/(R1581-R1580))*R1583)*((U1565-C1565)-R1580))*(L1564)),2),ROUND(IF((SUM(B1565:F1565))&gt;S1565,S1565*L1564,(SUM(B1565:F1565)-C1565)*L1564),2)))</f>
        <v>0</v>
      </c>
      <c r="M1565" s="64">
        <f>IF(B1565=0,0,IF(AND(H1556="ja",((U1565-C1565)&lt;R1581)),ROUND(((R1583*R1580+((R1581/(R1581-R1580))-(R1580/(R1581-R1580))*R1583)*((U1565-C1565)-R1580))*(M1564)),2),ROUND(IF((SUM(B1565:F1565))&gt;S1565,S1565*M1564,(SUM(B1565:F1565)-C1565)*M1564),2)))</f>
        <v>0</v>
      </c>
      <c r="N1565" s="64">
        <f>IF(B1565=0,0,IF(AND(H1556="ja",((U1565)&lt;R1581)),ROUND(((R1583*R1580+((R1581/(R1581-R1580))-(R1580/(R1581-R1580))*R1583)*((U1565)-R1580))*(N1564)),2),ROUND(IF((SUM(B1565:F1565))&gt;S1565,S1565*N1564,SUM(B1565:F1565)*N1564),2)))</f>
        <v>0</v>
      </c>
      <c r="O1565" s="21">
        <f>ROUND(SUM(B1565+C1565+F1565)*O1564,2)</f>
        <v>0</v>
      </c>
      <c r="P1565" s="25">
        <f>SUM(G1565:O1565)</f>
        <v>0</v>
      </c>
      <c r="Q1565" s="456"/>
      <c r="R1565" s="140">
        <f>ROUND(IF(M1543="",R1559,R1559/M1543*P1542),2)</f>
        <v>5175</v>
      </c>
      <c r="S1565" s="140">
        <f>ROUND(IF(M1543="",R1560,R1560/M1543*P1542),2)</f>
        <v>7450</v>
      </c>
      <c r="U1565" s="950">
        <f>SUM(B1565:F1565)</f>
        <v>0</v>
      </c>
      <c r="V1565" s="950">
        <f>SUM(B1565:F1565)</f>
        <v>0</v>
      </c>
    </row>
    <row r="1566" spans="1:22" s="1" customFormat="1" x14ac:dyDescent="0.2">
      <c r="A1566" s="76" t="str">
        <f>CONCATENATE("Feb ",O1541)</f>
        <v>Feb 2025</v>
      </c>
      <c r="B1566" s="22">
        <f>ROUND(IF(P1543=0,0,IFERROR(((LOOKUP(2,1/(A1550:A1553=A1566),G1550:G1553))*P1543*4.348),B1565/P1542*P1543)),2)</f>
        <v>0</v>
      </c>
      <c r="C1566" s="21">
        <f>ROUND(IFERROR((LOOKUP(2,1/(A1556=A1566),E1556)),0)+IFERROR((LOOKUP(2,1/(A1557=A1566),E1557)),0),2)</f>
        <v>0</v>
      </c>
      <c r="D1566" s="21">
        <f>ROUND(IF(B1566=0,0,D1564/M1543*P1543),2)</f>
        <v>0</v>
      </c>
      <c r="E1566" s="21">
        <f>ROUND(IF(B1566=0,0,E1564/N1539*P1543),2)</f>
        <v>0</v>
      </c>
      <c r="F1566" s="22">
        <f>ROUND(IF(P1543=0,0,IFERROR(((LOOKUP(2,1/(A1550:A1553=A1566),I1550:I1553))/N1539*P1543),F1565/P1542*P1543)),2)</f>
        <v>0</v>
      </c>
      <c r="G1566" s="25">
        <f t="shared" si="250"/>
        <v>0</v>
      </c>
      <c r="H1566" s="64">
        <f>IF(B1566=0,0,IF(AND(H1556="ja",((U1566)&lt;R1581)),ROUND(((R1583*R1580+((R1581/(R1581-R1580))-(R1580/(R1581-R1580))*R1583)*((U1566)-R1580))*(H1564*2))-(((R1581/(R1581-R1580))*((U1566)-R1580))*H1564),2),ROUND(IF(U1565&lt;(R1565),IF((V1566)&gt;(SUM(R1565:R1566)),(((SUM(R1565:R1566))-(V1566-C1565))*H1564)+((U1566-C1565)*H1564),U1566*H1564),IF(V1566&gt;(SUM(R1565:R1566)),R1566*H1564,U1566*H1564)),2)))</f>
        <v>0</v>
      </c>
      <c r="I1566" s="64">
        <f>IF(B1566=0,0,IF(AND(H1556="ja",((U1566)&lt;R1581)),ROUND(((R1583*R1580+((R1581/(R1581-R1580))-(R1580/(R1581-R1580))*R1583)*((U1566)-R1580))*(I1564*2))-(((R1581/(R1581-R1580))*((U1566)-R1580))*I1564),2),ROUND(IF(U1565&lt;(S1565),IF((V1566)&gt;(SUM(S1565:S1566)),(((SUM(S1565:S1566))-(V1566-C1565))*I1564)+((U1566-C1565)*I1564),U1566*I1564),IF(V1566&gt;(SUM(S1565:S1566)),S1566*I1564,U1566*I1564)),2)))</f>
        <v>0</v>
      </c>
      <c r="J1566" s="64">
        <f>IF(B1566=0,0,IF(AND(H1556="ja",((U1566)&lt;R1581)),ROUND(((R1583*R1580+((R1581/(R1581-R1580))-(R1580/(R1581-R1580))*R1583)*((U1566)-R1580))*(J1564*2))-(((R1581/(R1581-R1580))*((U1566)-R1580))*J1564),2),ROUND(IF(U1565&lt;(S1565),IF((V1566)&gt;(SUM(S1565:S1566)),(((SUM(S1565:S1566))-(V1566-C1565))*J1564)+((U1566-C1565)*J1564),U1566*J1564),IF(V1566&gt;(SUM(S1565:S1566)),S1566*J1564,U1566*J1564)),2)))</f>
        <v>0</v>
      </c>
      <c r="K1566" s="64">
        <f>IF(B1566=0,0,IF(AND(H1556="ja",((U1566)&lt;R1581)),ROUND(((R1583*R1580+((R1581/(R1581-R1580))-(R1580/(R1581-R1580))*R1583)*((U1566)-R1580))*(K1564*2))-(((R1581/(R1581-R1580))*((U1566)-R1580))*K1564),2),ROUND(IF(U1565&lt;(R1565),IF((V1566)&gt;(SUM(R1565:R1566)),(((SUM(R1565:R1566))-(V1566-C1565))*K1564)+((U1566-C1565)*K1564),U1566*K1564),IF(V1566&gt;(SUM(R1565:R1566)),R1566*K1564,U1566*K1564)),2)))</f>
        <v>0</v>
      </c>
      <c r="L1566" s="64">
        <f>IF(B1566=0,0,IF(AND(H1556="ja",((U1566-C1566)&lt;R1581)),ROUND(((R1583*R1580+((R1581/(R1581-R1580))-(R1580/(R1581-R1580))*R1583)*((U1566-C1566)-R1580))*(L1564)),2),ROUND(IF(SUM(B1565:F1565)&lt;(S1565),IF((SUM(B1565:F1566))&gt;(SUM(S1565:S1566)),(((SUM(S1565:S1566))-(SUM(B1565:F1566)-C1566))*L1564)+((SUM(B1566:F1566)-C1566)*L1564),(SUM(B1566:F1566)-C1566)*L1564),IF(SUM(B1565:F1566)&gt;(SUM(S1565:S1566)),S1566*L1564,SUM(B1566:F1566)*L1564)),2)))</f>
        <v>0</v>
      </c>
      <c r="M1566" s="64">
        <f>IF(B1566=0,0,IF(AND(H1556="ja",((U1566-C1566)&lt;R1581)),ROUND(((R1583*R1580+((R1581/(R1581-R1580))-(R1580/(R1581-R1580))*R1583)*((U1566-C1566)-R1580))*(M1564)),2),ROUND(IF(SUM(B1565:F1565)&lt;(S1565),IF((SUM(B1565:F1566))&gt;(SUM(S1565:S1566)),(((SUM(S1565:S1566))-(SUM(B1565:F1566)-C1566))*M1564)+((SUM(B1566:F1566)-C1566)*M1564),(SUM(B1566:F1566)-C1566)*M1564),IF(SUM(B1565:F1566)&gt;(SUM(S1565:S1566)),S1566*M1564,SUM(B1566:F1566)*M1564)),2)))</f>
        <v>0</v>
      </c>
      <c r="N1566" s="64">
        <f>IF(B1566=0,0,IF(AND(H1556="ja",((U1566)&lt;R1581)),ROUND(((R1583*R1580+((R1581/(R1581-R1580))-(R1580/(R1581-R1580))*R1583)*((U1566)-R1580))*(N1564)),2),ROUND(IF(SUM(B1565:F1565)&lt;(S1565),IF((SUM(B1565:F1566))&gt;(SUM(S1565:S1566)),(((SUM(S1565:S1566))-(SUM(B1565:F1566)-C1565))*N1564)+((SUM(B1566:F1566)-C1565)*N1564),SUM(B1566:F1566)*N1564),IF(SUM(B1565:F1566)&gt;(SUM(S1565:S1566)),S1566*N1564,SUM(B1566:F1566)*N1564)),2)))</f>
        <v>0</v>
      </c>
      <c r="O1566" s="21">
        <f>ROUND(SUM(B1566+C1566+F1566)*O1564,2)</f>
        <v>0</v>
      </c>
      <c r="P1566" s="25">
        <f t="shared" ref="P1566:P1576" si="251">SUM(G1566:O1566)</f>
        <v>0</v>
      </c>
      <c r="Q1566" s="456"/>
      <c r="R1566" s="140">
        <f>ROUND(IF(M1543="",R1559,R1559/M1543*P1543),2)</f>
        <v>5175</v>
      </c>
      <c r="S1566" s="140">
        <f>ROUND(IF(M1543="",R1560,R1560/M1543*P1543),2)</f>
        <v>7450</v>
      </c>
      <c r="U1566" s="950">
        <f t="shared" ref="U1566:U1576" si="252">SUM(B1566:F1566)</f>
        <v>0</v>
      </c>
      <c r="V1566" s="950">
        <f>SUM(B1565:F1566)</f>
        <v>0</v>
      </c>
    </row>
    <row r="1567" spans="1:22" s="1" customFormat="1" x14ac:dyDescent="0.2">
      <c r="A1567" s="76" t="str">
        <f>CONCATENATE("Mrz ",O1541)</f>
        <v>Mrz 2025</v>
      </c>
      <c r="B1567" s="22">
        <f>ROUND(IF(P1544=0,0,IFERROR(((LOOKUP(2,1/(A1550:A1553=A1567),G1550:G1553))*P1544*4.348),B1566/P1543*P1544)),2)</f>
        <v>0</v>
      </c>
      <c r="C1567" s="21">
        <f>ROUND(IFERROR((LOOKUP(2,1/(A1556=A1567),E1556)),0)+IFERROR((LOOKUP(2,1/(A1557=A1567),E1557)),0),2)</f>
        <v>0</v>
      </c>
      <c r="D1567" s="21">
        <f>ROUND(IF(B1567=0,0,D1564/M1543*P1544),2)</f>
        <v>0</v>
      </c>
      <c r="E1567" s="21">
        <f>ROUND(IF(B1567=0,0,E1564/N1539*P1544),2)</f>
        <v>0</v>
      </c>
      <c r="F1567" s="22">
        <f>ROUND(IF(P1544=0,0,IFERROR(((LOOKUP(2,1/(A1550:A1553=A1567),I1550:I1553))/N1539*P1544),F1566/P1543*P1544)),2)</f>
        <v>0</v>
      </c>
      <c r="G1567" s="25">
        <f t="shared" si="250"/>
        <v>0</v>
      </c>
      <c r="H1567" s="64">
        <f>IF(B1567=0,0,IF(AND(H1556="ja",((U1567)&lt;R1581)),ROUND(((R1583*R1580+((R1581/(R1581-R1580))-(R1580/(R1581-R1580))*R1583)*((U1567)-R1580))*(H1564*2))-(((R1581/(R1581-R1580))*((U1567)-R1580))*H1564),2),ROUND(IF(V1566&lt;(SUM(R1565:R1566)),IF((V1567)&gt;(SUM(R1565:R1567)),(((SUM(R1565:R1567))-(V1567-C1566))*H1564)+((U1567-C1566)*H1564),U1567*H1564),IF(V1567&gt;(SUM(R1565:R1567)),R1567*H1564,U1567*H1564)),2)))</f>
        <v>0</v>
      </c>
      <c r="I1567" s="64">
        <f>IF(B1567=0,0,IF(AND(H1556="ja",((U1567)&lt;R1581)),ROUND(((R1583*R1580+((R1581/(R1581-R1580))-(R1580/(R1581-R1580))*R1583)*((U1567)-R1580))*(I1564*2))-(((R1581/(R1581-R1580))*((U1567)-R1580))*I1564),2),ROUND(IF(V1566&lt;(SUM(S1565:S1566)),IF((V1567)&gt;(SUM(S1565:S1567)),(((SUM(S1565:S1567))-(V1567-C1566))*I1564)+((U1567-C1566)*I1564),U1567*I1564),IF(V1567&gt;(SUM(S1565:S1567)),S1567*I1564,U1567*I1564)),2)))</f>
        <v>0</v>
      </c>
      <c r="J1567" s="64">
        <f>IF(B1567=0,0,IF(AND(H1556="ja",((U1567)&lt;R1581)),ROUND(((R1583*R1580+((R1581/(R1581-R1580))-(R1580/(R1581-R1580))*R1583)*((U1567)-R1580))*(J1564*2))-(((R1581/(R1581-R1580))*((U1567)-R1580))*J1564),2),ROUND(IF(V1566&lt;(SUM(S1565:S1566)),IF((V1567)&gt;(SUM(S1565:S1567)),(((SUM(S1565:S1567))-(V1567-C1566))*J1564)+((U1567-C1566)*J1564),U1567*J1564),IF(V1567&gt;(SUM(S1565:S1567)),S1567*J1564,U1567*J1564)),2)))</f>
        <v>0</v>
      </c>
      <c r="K1567" s="64">
        <f>IF(B1567=0,0,IF(AND(H1556="ja",((U1567)&lt;R1581)),ROUND(((R1583*R1580+((R1581/(R1581-R1580))-(R1580/(R1581-R1580))*R1583)*((U1567)-R1580))*(K1564*2))-(((R1581/(R1581-R1580))*((U1567)-R1580))*K1564),2),ROUND(IF(V1566&lt;(SUM(R1565:R1566)),IF((V1567)&gt;(SUM(R1565:R1567)),(((SUM(R1565:R1567))-(V1567-C1566))*K1564)+((U1567-C1566)*K1564),U1567*K1564),IF(V1567&gt;(SUM(R1565:R1567)),R1567*K1564,U1567*K1564)),2)))</f>
        <v>0</v>
      </c>
      <c r="L1567" s="64">
        <f>IF(B1567=0,0,IF(AND(H1556="ja",((U1567-C1567)&lt;R1581)),ROUND(((R1583*R1580+((R1581/(R1581-R1580))-(R1580/(R1581-R1580))*R1583)*((U1567-C1567)-R1580))*(L1564)),2),ROUND(IF(SUM(B1565:F1566)&lt;(SUM(S1565:S1566)),IF((SUM(B1565:F1567))&gt;(SUM(S1565:S1567)),(((SUM(S1565:S1567))-(SUM(B1565:F1567)-C1567))*L1564)+((SUM(B1567:F1567)-C1567)*L1564),(SUM(B1567:F1567)-C1567)*L1564),IF(SUM(B1565:F1567)&gt;(SUM(S1565:S1567)),S1567*L1564,SUM(B1567:F1567)*L1564)),2)))</f>
        <v>0</v>
      </c>
      <c r="M1567" s="64">
        <f>IF(B1567=0,0,IF(AND(H1556="ja",((U1567-C1567)&lt;R1581)),ROUND(((R1583*R1580+((R1581/(R1581-R1580))-(R1580/(R1581-R1580))*R1583)*((U1567-C1567)-R1580))*(M1564)),2),ROUND(IF(SUM(B1565:F1566)&lt;(SUM(S1565:S1566)),IF((SUM(B1565:F1567))&gt;(SUM(S1565:S1567)),(((SUM(S1565:S1567))-(SUM(B1565:F1567)-C1567))*M1564)+((SUM(B1567:F1567)-C1567)*M1564),(SUM(B1567:F1567)-C1567)*M1564),IF(SUM(B1565:F1567)&gt;(SUM(S1565:S1567)),S1567*M1564,SUM(B1567:F1567)*M1564)),2)))</f>
        <v>0</v>
      </c>
      <c r="N1567" s="64">
        <f>IF(B1567=0,0,IF(AND(H1556="ja",((U1567)&lt;R1581)),ROUND(((R1583*R1580+((R1581/(R1581-R1580))-(R1580/(R1581-R1580))*R1583)*((U1567)-R1580))*(N1564)),2),ROUND(IF(SUM(B1565:F1566)&lt;(SUM(S1565:S1566)),IF((SUM(B1565:F1567))&gt;(SUM(S1565:S1567)),(((SUM(S1565:S1567))-(SUM(B1565:F1567)-C1566))*N1564)+((SUM(B1567:F1567)-C1566)*N1564),SUM(B1567:F1567)*N1564),IF(SUM(B1565:F1567)&gt;(SUM(S1565:S1567)),S1567*N1564,SUM(B1567:F1567)*N1564)),2)))</f>
        <v>0</v>
      </c>
      <c r="O1567" s="21">
        <f>ROUND(SUM(B1567+C1567+F1567)*O1564,2)</f>
        <v>0</v>
      </c>
      <c r="P1567" s="25">
        <f t="shared" si="251"/>
        <v>0</v>
      </c>
      <c r="Q1567" s="456"/>
      <c r="R1567" s="140">
        <f>ROUND(IF(M1543="",R1559,R1559/M1543*P1544),2)</f>
        <v>5175</v>
      </c>
      <c r="S1567" s="140">
        <f>ROUND(IF(M1543="",R1560,R1560/M1543*P1544),2)</f>
        <v>7450</v>
      </c>
      <c r="U1567" s="950">
        <f t="shared" si="252"/>
        <v>0</v>
      </c>
      <c r="V1567" s="950">
        <f>SUM(B1565:F1567)</f>
        <v>0</v>
      </c>
    </row>
    <row r="1568" spans="1:22" s="1" customFormat="1" x14ac:dyDescent="0.2">
      <c r="A1568" s="76" t="str">
        <f>CONCATENATE("Apr ",O1541)</f>
        <v>Apr 2025</v>
      </c>
      <c r="B1568" s="22">
        <f>ROUND(IF(P1545=0,0,IFERROR(((LOOKUP(2,1/(A1550:A1553=A1568),G1550:G1553))*P1545*4.348),B1567/P1544*P1545)),2)</f>
        <v>0</v>
      </c>
      <c r="C1568" s="21">
        <f>ROUND(IFERROR((LOOKUP(2,1/(A1556=A1568),E1556)),0)+IFERROR((LOOKUP(2,1/(A1557=A1568),E1557)),0),2)</f>
        <v>0</v>
      </c>
      <c r="D1568" s="21">
        <f>ROUND(IF(B1568=0,0,D1564/M1543*P1545),2)</f>
        <v>0</v>
      </c>
      <c r="E1568" s="21">
        <f>ROUND(IF(B1568=0,0,E1564/N1539*P1545),2)</f>
        <v>0</v>
      </c>
      <c r="F1568" s="22">
        <f>ROUND(IF(P1545=0,0,IFERROR(((LOOKUP(2,1/(A1550:A1553=A1568),I1550:I1553))/N1539*P1545),F1567/P1544*P1545)),2)</f>
        <v>0</v>
      </c>
      <c r="G1568" s="25">
        <f t="shared" si="250"/>
        <v>0</v>
      </c>
      <c r="H1568" s="64">
        <f>IF(B1568=0,0,IF(AND(H1556="ja",((U1568)&lt;R1581)),ROUND(((R1583*R1580+((R1581/(R1581-R1580))-(R1580/(R1581-R1580))*R1583)*((U1568)-R1580))*(H1564*2))-(((R1581/(R1581-R1580))*((U1568)-R1580))*H1564),2),ROUND(IF(V1567&lt;(SUM(R1565:R1567)),IF((V1568)&gt;(SUM(R1565:R1568)),(((SUM(R1565:R1568))-(V1568-C1567))*H1564)+((U1568-C1567)*H1564),U1568*H1564),IF(V1568&gt;(SUM(R1565:R1568)),R1568*H1564,U1568*H1564)),2)))</f>
        <v>0</v>
      </c>
      <c r="I1568" s="64">
        <f>IF(B1568=0,0,IF(AND(H1556="ja",((U1568)&lt;R1581)),ROUND(((R1583*R1580+((R1581/(R1581-R1580))-(R1580/(R1581-R1580))*R1583)*((U1568)-R1580))*(I1564*2))-(((R1581/(R1581-R1580))*((U1568)-R1580))*I1564),2),ROUND(IF(V1567&lt;(SUM(S1565:S1567)),IF((V1568)&gt;(SUM(S1565:S1568)),(((SUM(S1565:S1568))-(V1568-C1567))*I1564)+((U1568-C1567)*I1564),U1568*I1564),IF(V1568&gt;(SUM(S1565:S1568)),S1568*I1564,U1568*I1564)),2)))</f>
        <v>0</v>
      </c>
      <c r="J1568" s="64">
        <f>IF(B1568=0,0,IF(AND(H1556="ja",((U1568)&lt;R1581)),ROUND(((R1583*R1580+((R1581/(R1581-R1580))-(R1580/(R1581-R1580))*R1583)*((U1568)-R1580))*(J1564*2))-(((R1581/(R1581-R1580))*((U1568)-R1580))*J1564),2),ROUND(IF(U1567&lt;(SUM(S1565:S1567)),IF((V1568)&gt;(SUM(S1565:S1568)),(((SUM(S1565:S1568))-(V1568-C1567))*J1564)+((U1568-C1567)*J1564),U1568*J1564),IF(V1568&gt;(SUM(S1565:S1568)),S1568*J1564,U1568*J1564)),2)))</f>
        <v>0</v>
      </c>
      <c r="K1568" s="64">
        <f>IF(B1568=0,0,IF(AND(H1556="ja",((U1568)&lt;R1581)),ROUND(((R1583*R1580+((R1581/(R1581-R1580))-(R1580/(R1581-R1580))*R1583)*((U1568)-R1580))*(K1564*2))-(((R1581/(R1581-R1580))*((U1568)-R1580))*K1564),2),ROUND(IF(V1567&lt;(SUM(R1565:R1567)),IF((V1568)&gt;(SUM(R1565:R1568)),(((SUM(R1565:R1568))-(V1568-C1567))*K1564)+((U1568-C1567)*K1564),U1568*K1564),IF(V1568&gt;(SUM(R1565:R1568)),R1568*K1564,U1568*K1564)),2)))</f>
        <v>0</v>
      </c>
      <c r="L1568" s="64">
        <f>IF(B1568=0,0,IF(AND(H1556="ja",((U1568-C1568)&lt;R1581)),ROUND(((R1583*R1580+((R1581/(R1581-R1580))-(R1580/(R1581-R1580))*R1583)*((U1568-C1568)-R1580))*(L1564)),2),ROUND(IF(SUM(B1565:F1567)&lt;(SUM(S1565:S1567)),IF((SUM(B1565:F1568))&gt;(SUM(S1565:S1568)),(((SUM(S1565:S1568))-(SUM(B1565:F1568)-C1568))*L1564)+((SUM(B1568:F1568)-C1568)*L1564),(SUM(B1568:F1568)-C1568)*L1564),IF(SUM(B1565:F1568)&gt;(SUM(S1565:S1568)),S1568*L1564,SUM(B1568:F1568)*L1564)),2)))</f>
        <v>0</v>
      </c>
      <c r="M1568" s="64">
        <f>IF(B1568=0,0,IF(AND(H1556="ja",((U1568-C1568)&lt;R1581)),ROUND(((R1583*R1580+((R1581/(R1581-R1580))-(R1580/(R1581-R1580))*R1583)*((U1568-C1568)-R1580))*(M1564)),2),ROUND(IF(SUM(B1565:F1567)&lt;(SUM(S1565:S1567)),IF((SUM(B1565:F1568))&gt;(SUM(S1565:S1568)),(((SUM(S1565:S1568))-(SUM(B1565:F1568)-C1568))*M1564)+((SUM(B1568:F1568)-C1568)*M1564),(SUM(B1568:F1568)-C1568)*M1564),IF(SUM(B1565:F1568)&gt;(SUM(S1565:S1568)),S1568*M1564,SUM(B1568:F1568)*M1564)),2)))</f>
        <v>0</v>
      </c>
      <c r="N1568" s="64">
        <f>IF(B1568=0,0,IF(AND(H1556="ja",((U1568)&lt;R1581)),ROUND(((R1583*R1580+((R1581/(R1581-R1580))-(R1580/(R1581-R1580))*R1583)*((U1568)-R1580))*(N1564)),2),ROUND(IF(SUM(B1565:F1567)&lt;(SUM(S1565:S1567)),IF((SUM(B1565:F1568))&gt;(SUM(S1565:S1568)),(((SUM(S1565:S1568))-(SUM(B1565:F1568)-C1567))*N1564)+((SUM(B1568:F1568)-C1567)*N1564),SUM(B1568:F1568)*N1564),IF(SUM(B1565:F1568)&gt;(SUM(S1565:S1568)),S1568*N1564,SUM(B1568:F1568)*N1564)),2)))</f>
        <v>0</v>
      </c>
      <c r="O1568" s="21">
        <f>ROUND(SUM(B1568+C1568+F1568)*O1564,2)</f>
        <v>0</v>
      </c>
      <c r="P1568" s="25">
        <f t="shared" si="251"/>
        <v>0</v>
      </c>
      <c r="Q1568" s="456"/>
      <c r="R1568" s="140">
        <f>ROUND(IF(M1543="",R1559,R1559/M1543*P1545),2)</f>
        <v>5175</v>
      </c>
      <c r="S1568" s="140">
        <f>ROUND(IF(M1543="",R1560,R1560/M1543*P1545),2)</f>
        <v>7450</v>
      </c>
      <c r="U1568" s="950">
        <f t="shared" si="252"/>
        <v>0</v>
      </c>
      <c r="V1568" s="950">
        <f>SUM(B1565:F1568)</f>
        <v>0</v>
      </c>
    </row>
    <row r="1569" spans="1:24" s="1" customFormat="1" x14ac:dyDescent="0.2">
      <c r="A1569" s="76" t="str">
        <f>CONCATENATE("Mai ",O1541)</f>
        <v>Mai 2025</v>
      </c>
      <c r="B1569" s="22">
        <f>ROUND(IF(P1546=0,0,IFERROR(((LOOKUP(2,1/(A1550:A1553=A1569),G1550:G1553))*P1546*4.348),B1568/P1545*P1546)),2)</f>
        <v>0</v>
      </c>
      <c r="C1569" s="21">
        <f>ROUND(IFERROR((LOOKUP(2,1/(A1556=A1569),E1556)),0)+IFERROR((LOOKUP(2,1/(A1557=A1569),E1557)),0),2)</f>
        <v>0</v>
      </c>
      <c r="D1569" s="21">
        <f>ROUND(IF(B1569=0,0,D1564/M1543*P1546),2)</f>
        <v>0</v>
      </c>
      <c r="E1569" s="21">
        <f>ROUND(IF(B1569=0,0,E1564/N1539*P1546),2)</f>
        <v>0</v>
      </c>
      <c r="F1569" s="22">
        <f>ROUND(IF(P1546=0,0,IFERROR(((LOOKUP(2,1/(A1550:A1553=A1569),I1550:I1553))/N1539*P1546),F1568/P1545*P1546)),2)</f>
        <v>0</v>
      </c>
      <c r="G1569" s="25">
        <f t="shared" si="250"/>
        <v>0</v>
      </c>
      <c r="H1569" s="64">
        <f>IF(B1569=0,0,IF(AND(H1556="ja",((U1569)&lt;R1581)),ROUND(((R1583*R1580+((R1581/(R1581-R1580))-(R1580/(R1581-R1580))*R1583)*((U1569)-R1580))*(H1564*2))-(((R1581/(R1581-R1580))*((U1569)-R1580))*H1564),2),ROUND(IF(V1568&lt;(SUM(R1565:R1568)),IF((V1569)&gt;(SUM(R1565:R1569)),(((SUM(R1565:R1569))-(V1569-C1568))*H1564)+((U1569-C1568)*H1564),U1569*H1564),IF(V1569&gt;(SUM(R1565:R1569)),R1569*H1564,U1569*H1564)),2)))</f>
        <v>0</v>
      </c>
      <c r="I1569" s="64">
        <f>IF(B1569=0,0,IF(AND(H1556="ja",((U1569)&lt;R1581)),ROUND(((R1583*R1580+((R1581/(R1581-R1580))-(R1580/(R1581-R1580))*R1583)*((U1569)-R1580))*(I1564*2))-(((R1581/(R1581-R1580))*((U1569)-R1580))*I1564),2),ROUND(IF(V1568&lt;(SUM(S1565:S1568)),IF((V1569)&gt;(SUM(S1565:S1569)),(((SUM(S1565:S1569))-(V1569-C1568))*I1564)+((U1569-C1568)*I1564),U1569*I1564),IF(V1569&gt;(SUM(S1565:S1569)),S1569*I1564,U1569*I1564)),2)))</f>
        <v>0</v>
      </c>
      <c r="J1569" s="64">
        <f>IF(B1569=0,0,IF(AND(H1556="ja",((U1569)&lt;R1581)),ROUND(((R1583*R1580+((R1581/(R1581-R1580))-(R1580/(R1581-R1580))*R1583)*((U1569)-R1580))*(J1564*2))-(((R1581/(R1581-R1580))*((U1569)-R1580))*J1564),2),ROUND(IF(V1568&lt;(SUM(S1565:S1568)),IF((V1569)&gt;(SUM(S1565:S1569)),(((SUM(S1565:S1569))-(V1569-C1568))*J1564)+((U1569-C1568)*J1564),U1569*J1564),IF(V1569&gt;(SUM(S1565:S1569)),S1569*J1564,U1569*J1564)),2)))</f>
        <v>0</v>
      </c>
      <c r="K1569" s="64">
        <f>IF(B1569=0,0,IF(AND(H1556="ja",((U1569)&lt;R1581)),ROUND(((R1583*R1580+((R1581/(R1581-R1580))-(R1580/(R1581-R1580))*R1583)*((U1569)-R1580))*(K1564*2))-(((R1581/(R1581-R1580))*((U1569)-R1580))*K1564),2),ROUND(IF(V1568&lt;(SUM(R1565:R1568)),IF((V1569)&gt;(SUM(R1565:R1569)),(((SUM(R1565:R1569))-(V1569-C1568))*K1564)+((U1569-C1568)*K1564),U1569*K1564),IF(V1569&gt;(SUM(R1565:R1569)),R1569*K1564,U1569*K1564)),2)))</f>
        <v>0</v>
      </c>
      <c r="L1569" s="64">
        <f>IF(B1569=0,0,IF(AND(H1556="ja",((U1569-C1569)&lt;R1581)),ROUND(((R1583*R1580+((R1581/(R1581-R1580))-(R1580/(R1581-R1580))*R1583)*((U1569-C1569)-R1580))*(L1564)),2),ROUND(IF(SUM(B1565:F1568)&lt;(SUM(S1565:S1568)),IF((SUM(B1565:F1569))&gt;(SUM(S1565:S1569)),(((SUM(S1565:S1569))-(SUM(B1565:F1569)-C1569))*L1564)+((SUM(B1569:F1569)-C1569)*L1564),(SUM(B1569:F1569)-C1569)*L1564),IF(SUM(B1565:F1569)&gt;(SUM(S1565:S1569)),S1569*L1564,SUM(B1569:F1569)*L1564)),2)))</f>
        <v>0</v>
      </c>
      <c r="M1569" s="64">
        <f>IF(B1569=0,0,IF(AND(H1556="ja",((U1569-C1569)&lt;R1581)),ROUND(((R1583*R1580+((R1581/(R1581-R1580))-(R1580/(R1581-R1580))*R1583)*((U1569-C1569)-R1580))*(M1564)),2),ROUND(IF(SUM(B1565:F1568)&lt;(SUM(S1565:S1568)),IF((SUM(B1565:F1569))&gt;(SUM(S1565:S1569)),(((SUM(S1565:S1569))-(SUM(B1565:F1569)-C1569))*M1564)+((SUM(B1569:F1569)-C1569)*M1564),(SUM(B1569:F1569)-C1569)*M1564),IF(SUM(B1565:F1569)&gt;(SUM(S1565:S1569)),S1569*M1564,SUM(B1569:F1569)*M1564)),2)))</f>
        <v>0</v>
      </c>
      <c r="N1569" s="64">
        <f>IF(B1569=0,0,IF(AND(H1556="ja",((U1569)&lt;R1581)),ROUND(((R1583*R1580+((R1581/(R1581-R1580))-(R1580/(R1581-R1580))*R1583)*((U1569)-R1580))*(N1564)),2),ROUND(IF(SUM(B1565:F1568)&lt;(SUM(S1565:S1568)),IF((SUM(B1565:F1569))&gt;(SUM(S1565:S1569)),(((SUM(S1565:S1569))-(SUM(B1565:F1569)-C1568))*N1564)+((SUM(B1569:F1569)-C1568)*N1564),SUM(B1569:F1569)*N1564),IF(SUM(B1565:F1569)&gt;(SUM(S1565:S1569)),S1569*N1564,SUM(B1569:F1569)*N1564)),2)))</f>
        <v>0</v>
      </c>
      <c r="O1569" s="21">
        <f>ROUND(SUM(B1569+C1569+F1569)*O1564,2)</f>
        <v>0</v>
      </c>
      <c r="P1569" s="25">
        <f t="shared" si="251"/>
        <v>0</v>
      </c>
      <c r="Q1569" s="456"/>
      <c r="R1569" s="140">
        <f>ROUND(IF(M1543="",R1559,R1559/M1543*P1546),2)</f>
        <v>5175</v>
      </c>
      <c r="S1569" s="140">
        <f>ROUND(IF(M1543="",R1560,R1560/M1543*P1546),2)</f>
        <v>7450</v>
      </c>
      <c r="U1569" s="950">
        <f t="shared" si="252"/>
        <v>0</v>
      </c>
      <c r="V1569" s="950">
        <f>SUM(B1565:F1569)</f>
        <v>0</v>
      </c>
    </row>
    <row r="1570" spans="1:24" s="1" customFormat="1" x14ac:dyDescent="0.2">
      <c r="A1570" s="76" t="str">
        <f>CONCATENATE("Jun ",O1541)</f>
        <v>Jun 2025</v>
      </c>
      <c r="B1570" s="22">
        <f>ROUND(IF(P1547=0,0,IFERROR(((LOOKUP(2,1/(A1550:A1553=A1570),G1550:G1553))*P1547*4.348),B1569/P1546*P1547)),2)</f>
        <v>0</v>
      </c>
      <c r="C1570" s="21">
        <f>ROUND(IFERROR((LOOKUP(2,1/(A1556=A1570),E1556)),0)+IFERROR((LOOKUP(2,1/(A1557=A1570),E1557)),0),2)</f>
        <v>0</v>
      </c>
      <c r="D1570" s="21">
        <f>ROUND(IF(B1570=0,0,D1564/M1543*P1547),2)</f>
        <v>0</v>
      </c>
      <c r="E1570" s="21">
        <f>ROUND(IF(B1570=0,0,E1564/N1539*P1547),2)</f>
        <v>0</v>
      </c>
      <c r="F1570" s="22">
        <f>ROUND(IF(P1547=0,0,IFERROR(((LOOKUP(2,1/(A1550:A1553=A1570),I1550:I1553))/N1539*P1547),F1569/P1546*P1547)),2)</f>
        <v>0</v>
      </c>
      <c r="G1570" s="25">
        <f t="shared" si="250"/>
        <v>0</v>
      </c>
      <c r="H1570" s="64">
        <f>IF(B1570=0,0,IF(AND(H1556="ja",((U1570)&lt;R1581)),ROUND(((R1583*R1580+((R1581/(R1581-R1580))-(R1580/(R1581-R1580))*R1583)*((U1570)-R1580))*(H1564*2))-(((R1581/(R1581-R1580))*((U1570)-R1580))*H1564),2),ROUND(IF(V1569&lt;(SUM(R1565:R1569)),IF((V1570)&gt;(SUM(R1565:R1570)),(((SUM(R1565:R1570))-(V1570-C1569))*H1564)+((U1570-C1569)*H1564),U1570*H1564),IF(V1570&gt;(SUM(R1565:R1570)),R1570*H1564,U1570*H1564)),2)))</f>
        <v>0</v>
      </c>
      <c r="I1570" s="64">
        <f>IF(B1570=0,0,IF(AND(H1556="ja",((U1570)&lt;R1581)),ROUND(((R1583*R1580+((R1581/(R1581-R1580))-(R1580/(R1581-R1580))*R1583)*((U1570)-R1580))*(I1564*2))-(((R1581/(R1581-R1580))*((U1570)-R1580))*I1564),2),ROUND(IF(V1569&lt;(SUM(S1565:S1569)),IF((V1570)&gt;(SUM(S1565:S1570)),(((SUM(S1565:S1570))-(V1570-C1569))*I1564)+((U1570-C1569)*I1564),U1570*I1564),IF(V1570&gt;(SUM(S1565:S1570)),S1570*I1564,U1570*I1564)),2)))</f>
        <v>0</v>
      </c>
      <c r="J1570" s="64">
        <f>IF(B1570=0,0,IF(AND(H1556="ja",((U1570)&lt;R1581)),ROUND(((R1583*R1580+((R1581/(R1581-R1580))-(R1580/(R1581-R1580))*R1583)*((U1570)-R1580))*(J1564*2))-(((R1581/(R1581-R1580))*((U1570)-R1580))*J1564),2),ROUND(IF(V1569&lt;(SUM(S1565:S1569)),IF((V1570)&gt;(SUM(S1565:S1570)),(((SUM(S1565:S1570))-(V1570-C1569))*J1564)+((U1570-C1569)*J1564),U1570*J1564),IF(V1570&gt;(SUM(S1565:S1570)),S1570*J1564,U1570*J1564)),2)))</f>
        <v>0</v>
      </c>
      <c r="K1570" s="64">
        <f>IF(B1570=0,0,IF(AND(H1556="ja",((U1570)&lt;R1581)),ROUND(((R1583*R1580+((R1581/(R1581-R1580))-(R1580/(R1581-R1580))*R1583)*((U1570)-R1580))*(K1564*2))-(((R1581/(R1581-R1580))*((U1570)-R1580))*K1564),2),ROUND(IF(V1569&lt;(SUM(R1565:R1569)),IF((V1570)&gt;(SUM(R1565:R1570)),(((SUM(R1565:R1570))-(V1570-C1569))*K1564)+((U1570-C1569)*K1564),U1570*K1564),IF(V1570&gt;(SUM(R1565:R1570)),R1570*K1564,U1570*K1564)),2)))</f>
        <v>0</v>
      </c>
      <c r="L1570" s="64">
        <f>IF(B1570=0,0,IF(AND(H1556="ja",((U1570-C1570)&lt;R1581)),ROUND(((R1583*R1580+((R1581/(R1581-R1580))-(R1580/(R1581-R1580))*R1583)*((U1570-C1570)-R1580))*(L1564)),2),ROUND(IF(SUM(B1565:F1569)&lt;(SUM(S1565:S1569)),IF((SUM(B1565:F1570))&gt;(SUM(S1565:S1570)),(((SUM(S1565:S1570))-(SUM(B1565:F1570)-C1570))*L1564)+((SUM(B1570:F1570)-C1570)*L1564),(SUM(B1570:F1570)-C1570)*L1564),IF(SUM(B1565:F1570)&gt;(SUM(S1565:S1570)),S1570*L1564,SUM(B1570:F1570)*L1564)),2)))</f>
        <v>0</v>
      </c>
      <c r="M1570" s="64">
        <f>IF(B1570=0,0,IF(AND(H1556="ja",((U1570-C1570)&lt;R1581)),ROUND(((R1583*R1580+((R1581/(R1581-R1580))-(R1580/(R1581-R1580))*R1583)*((U1570-C1570)-R1580))*(M1564)),2),ROUND(IF(SUM(B1565:F1569)&lt;(SUM(S1565:S1569)),IF((SUM(B1565:F1570))&gt;(SUM(S1565:S1570)),(((SUM(S1565:S1570))-(SUM(B1565:F1570)-C1570))*M1564)+((SUM(B1570:F1570)-C1570)*M1564),(SUM(B1570:F1570)-C1570)*M1564),IF(SUM(B1565:F1570)&gt;(SUM(S1565:S1570)),S1570*M1564,SUM(B1570:F1570)*M1564)),2)))</f>
        <v>0</v>
      </c>
      <c r="N1570" s="64">
        <f>IF(B1570=0,0,IF(AND(H1556="ja",((U1570)&lt;R1581)),ROUND(((R1583*R1580+((R1581/(R1581-R1580))-(R1580/(R1581-R1580))*R1583)*((U1570)-R1580))*(N1564)),2),ROUND(IF(SUM(B1565:F1569)&lt;(SUM(S1565:S1569)),IF((SUM(B1565:F1570))&gt;(SUM(S1565:S1570)),(((SUM(S1565:S1570))-(SUM(B1565:F1570)-C1569))*N1564)+((SUM(B1570:F1570)-C1569)*N1564),SUM(B1570:F1570)*N1564),IF(SUM(B1565:F1570)&gt;(SUM(S1565:S1570)),S1570*N1564,SUM(B1570:F1570)*N1564)),2)))</f>
        <v>0</v>
      </c>
      <c r="O1570" s="21">
        <f>ROUND(SUM(B1570+C1570+F1570)*O1564,2)</f>
        <v>0</v>
      </c>
      <c r="P1570" s="25">
        <f t="shared" si="251"/>
        <v>0</v>
      </c>
      <c r="Q1570" s="456"/>
      <c r="R1570" s="140">
        <f>ROUND(IF(M1543="",R1559,R1559/M1543*P1547),2)</f>
        <v>5175</v>
      </c>
      <c r="S1570" s="140">
        <f>ROUND(IF(M1543="",R1560,R1560/M1543*P1547),2)</f>
        <v>7450</v>
      </c>
      <c r="U1570" s="950">
        <f t="shared" si="252"/>
        <v>0</v>
      </c>
      <c r="V1570" s="950">
        <f>SUM(B1565:F1570)</f>
        <v>0</v>
      </c>
    </row>
    <row r="1571" spans="1:24" s="1" customFormat="1" x14ac:dyDescent="0.2">
      <c r="A1571" s="76" t="str">
        <f>CONCATENATE("Jul ",O1541)</f>
        <v>Jul 2025</v>
      </c>
      <c r="B1571" s="22">
        <f>ROUND(IF(P1548=0,0,IFERROR(((LOOKUP(2,1/(A1550:A1553=A1571),G1550:G1553))*P1548*4.348),B1570/P1547*P1548)),2)</f>
        <v>0</v>
      </c>
      <c r="C1571" s="21">
        <f>ROUND(IFERROR((LOOKUP(2,1/(A1556=A1571),E1556)),0)+IFERROR((LOOKUP(2,1/(A1557=A1571),E1557)),0),2)</f>
        <v>0</v>
      </c>
      <c r="D1571" s="21">
        <f>ROUND(IF(B1571=0,0,D1564/M1543*P1548),2)</f>
        <v>0</v>
      </c>
      <c r="E1571" s="21">
        <f>ROUND(IF(B1571=0,0,E1564/N1539*P1548),2)</f>
        <v>0</v>
      </c>
      <c r="F1571" s="22">
        <f>ROUND(IF(P1548=0,0,IFERROR(((LOOKUP(2,1/(A1550:A1553=A1571),I1550:I1553))/N1539*P1548),F1570/P1547*P1548)),2)</f>
        <v>0</v>
      </c>
      <c r="G1571" s="25">
        <f t="shared" si="250"/>
        <v>0</v>
      </c>
      <c r="H1571" s="64">
        <f>IF(B1571=0,0,IF(AND(H1556="ja",((U1571)&lt;R1581)),ROUND(((R1583*R1580+((R1581/(R1581-R1580))-(R1580/(R1581-R1580))*R1583)*((U1571)-R1580))*(H1564*2))-(((R1581/(R1581-R1580))*((U1571)-R1580))*H1564),2),ROUND(IF(V1570&lt;(SUM(R1565:R1570)),IF((V1571)&gt;(SUM(R1565:R1571)),(((SUM(R1565:R1571))-(V1571-C1570))*H1564)+((U1571-C1570)*H1564),U1571*H1564),IF(V1571&gt;(SUM(R1565:R1571)),R1571*H1564,U1571*H1564)),2)))</f>
        <v>0</v>
      </c>
      <c r="I1571" s="64">
        <f>IF(B1571=0,0,IF(AND(H1556="ja",((U1571)&lt;R1581)),ROUND(((R1583*R1580+((R1581/(R1581-R1580))-(R1580/(R1581-R1580))*R1583)*((U1571)-R1580))*(I1564*2))-(((R1581/(R1581-R1580))*((U1571)-R1580))*I1564),2),ROUND(IF(V1570&lt;(SUM(S1565:S1570)),IF((V1571)&gt;(SUM(S1565:S1571)),(((SUM(S1565:S1571))-(V1571-C1570))*I1564)+((U1571-C1570)*I1564),U1571*I1564),IF(V1571&gt;(SUM(S1565:S1571)),S1571*I1564,U1571*I1564)),2)))</f>
        <v>0</v>
      </c>
      <c r="J1571" s="64">
        <f>IF(B1571=0,0,IF(AND(H1556="ja",((U1571)&lt;R1581)),ROUND(((R1583*R1580+((R1581/(R1581-R1580))-(R1580/(R1581-R1580))*R1583)*((U1571)-R1580))*(J1564*2))-(((R1581/(R1581-R1580))*((U1571)-R1580))*J1564),2),ROUND(IF(V1570&lt;(SUM(S1565:S1570)),IF((V1571)&gt;(SUM(S1565:S1571)),(((SUM(S1565:S1571))-(V1571-C1570))*J1564)+((U1571-C1570)*J1564),U1571*J1564),IF(V1571&gt;(SUM(S1565:S1571)),S1571*J1564,U1571*J1564)),2)))</f>
        <v>0</v>
      </c>
      <c r="K1571" s="64">
        <f>IF(B1571=0,0,IF(AND(H1556="ja",((U1571)&lt;R1581)),ROUND(((R1583*R1580+((R1581/(R1581-R1580))-(R1580/(R1581-R1580))*R1583)*((U1571)-R1580))*(K1564*2))-(((R1581/(R1581-R1580))*((U1571)-R1580))*K1564),2),ROUND(IF(V1570&lt;(SUM(R1565:R1570)),IF((V1571)&gt;(SUM(R1565:R1571)),(((SUM(R1565:R1571))-(V1571-C1570))*K1564)+((U1571-C1570)*K1564),U1571*K1564),IF(V1571&gt;(SUM(R1565:R1571)),R1571*K1564,U1571*K1564)),2)))</f>
        <v>0</v>
      </c>
      <c r="L1571" s="64">
        <f>IF(B1571=0,0,IF(AND(H1556="ja",((U1571-C1571)&lt;R1581)),ROUND(((R1583*R1580+((R1581/(R1581-R1580))-(R1580/(R1581-R1580))*R1583)*((U1571-C1571)-R1580))*(L1564)),2),ROUND(IF(SUM(B1565:F1570)&lt;(SUM(S1565:S1570)),IF((SUM(B1565:F1571))&gt;(SUM(S1565:S1571)),(((SUM(S1565:S1571))-(SUM(B1565:F1571)-C1571))*L1564)+((SUM(B1571:F1571)-C1571)*L1564),(SUM(B1571:F1571)-C1571)*L1564),IF(SUM(B1565:F1571)&gt;(SUM(S1565:S1571)),S1571*L1564,SUM(B1571:F1571)*L1564)),2)))</f>
        <v>0</v>
      </c>
      <c r="M1571" s="64">
        <f>IF(B1571=0,0,IF(AND(H1556="ja",((U1571-C1571)&lt;R1581)),ROUND(((R1583*R1580+((R1581/(R1581-R1580))-(R1580/(R1581-R1580))*R1583)*((U1571-C1571)-R1580))*(M1564)),2),ROUND(IF(SUM(B1565:F1570)&lt;(SUM(S1565:S1570)),IF((SUM(B1565:F1571))&gt;(SUM(S1565:S1571)),(((SUM(S1565:S1571))-(SUM(B1565:F1571)-C1571))*M1564)+((SUM(B1571:F1571)-C1571)*M1564),(SUM(B1571:F1571)-C1571)*M1564),IF(SUM(B1565:F1571)&gt;(SUM(S1565:S1571)),S1571*M1564,SUM(B1571:F1571)*M1564)),2)))</f>
        <v>0</v>
      </c>
      <c r="N1571" s="64">
        <f>IF(B1571=0,0,IF(AND(H1556="ja",((U1571)&lt;R1581)),ROUND(((R1583*R1580+((R1581/(R1581-R1580))-(R1580/(R1581-R1580))*R1583)*((U1571)-R1580))*(N1564)),2),ROUND(IF(SUM(B1565:F1570)&lt;(SUM(S1565:S1570)),IF((SUM(B1565:F1571))&gt;(SUM(S1565:S1571)),(((SUM(S1565:S1571))-(SUM(B1565:F1571)-C1570))*N1564)+((SUM(B1571:F1571)-C1570)*N1564),SUM(B1571:F1571)*N1564),IF(SUM(B1565:F1571)&gt;(SUM(S1565:S1571)),S1571*N1564,SUM(B1571:F1571)*N1564)),2)))</f>
        <v>0</v>
      </c>
      <c r="O1571" s="21">
        <f>ROUND(SUM(B1571+C1571+F1571)*O1564,2)</f>
        <v>0</v>
      </c>
      <c r="P1571" s="25">
        <f t="shared" si="251"/>
        <v>0</v>
      </c>
      <c r="Q1571" s="456"/>
      <c r="R1571" s="140">
        <f>ROUND(IF(M1543="",R1559,R1559/M1543*P1548),2)</f>
        <v>5175</v>
      </c>
      <c r="S1571" s="140">
        <f>ROUND(IF(M1543="",R1560,R1560/M1543*P1548),2)</f>
        <v>7450</v>
      </c>
      <c r="U1571" s="950">
        <f t="shared" si="252"/>
        <v>0</v>
      </c>
      <c r="V1571" s="950">
        <f>SUM(B1565:F1571)</f>
        <v>0</v>
      </c>
    </row>
    <row r="1572" spans="1:24" s="1" customFormat="1" x14ac:dyDescent="0.2">
      <c r="A1572" s="76" t="str">
        <f>CONCATENATE("Aug ",O1541)</f>
        <v>Aug 2025</v>
      </c>
      <c r="B1572" s="22">
        <f>ROUND(IF(P1549=0,0,IFERROR(((LOOKUP(2,1/(A1550:A1553=A1572),G1550:G1553))*P1549*4.348),B1571/P1548*P1549)),2)</f>
        <v>0</v>
      </c>
      <c r="C1572" s="21">
        <f>ROUND(IFERROR((LOOKUP(2,1/(A1556=A1572),E1556)),0)+IFERROR((LOOKUP(2,1/(A1557=A1572),E1557)),0),2)</f>
        <v>0</v>
      </c>
      <c r="D1572" s="21">
        <f>ROUND(IF(B1572=0,0,D1564/M1543*P1549),2)</f>
        <v>0</v>
      </c>
      <c r="E1572" s="21">
        <f>ROUND(IF(B1572=0,0,E1564/N1539*P1549),2)</f>
        <v>0</v>
      </c>
      <c r="F1572" s="22">
        <f>ROUND(IF(P1549=0,0,IFERROR(((LOOKUP(2,1/(A1550:A1553=A1572),I1550:I1553))/N1539*P1549),F1571/P1548*P1549)),2)</f>
        <v>0</v>
      </c>
      <c r="G1572" s="25">
        <f t="shared" si="250"/>
        <v>0</v>
      </c>
      <c r="H1572" s="64">
        <f>IF(B1572=0,0,IF(AND(H1556="ja",((U1572)&lt;R1581)),ROUND(((R1583*R1580+((R1581/(R1581-R1580))-(R1580/(R1581-R1580))*R1583)*((U1572)-R1580))*(H1564*2))-(((R1581/(R1581-R1580))*((U1572)-R1580))*H1564),2),ROUND(IF(V1571&lt;(SUM(R1565:R1571)),IF((V1572)&gt;(SUM(R1565:R1572)),(((SUM(R1565:R1572))-(V1572-C1571))*H1564)+((U1572-C1571)*H1564),U1572*H1564),IF(V1572&gt;(SUM(R1565:R1572)),R1572*H1564,U1572*H1564)),2)))</f>
        <v>0</v>
      </c>
      <c r="I1572" s="64">
        <f>IF(B1572=0,0,IF(AND(H1556="ja",((U1572)&lt;R1581)),ROUND(((R1583*R1580+((R1581/(R1581-R1580))-(R1580/(R1581-R1580))*R1583)*((U1572)-R1580))*(I1564*2))-(((R1581/(R1581-R1580))*((U1572)-R1580))*I1564),2),ROUND(IF(V1571&lt;(SUM(S1565:S1571)),IF((V1572)&gt;(SUM(S1565:S1572)),(((SUM(S1565:S1572))-(V1572-C1571))*I1564)+((U1572-C1571)*I1564),U1572*I1564),IF(V1572&gt;(SUM(S1565:S1572)),S1572*I1564,U1572*I1564)),2)))</f>
        <v>0</v>
      </c>
      <c r="J1572" s="64">
        <f>IF(B1572=0,0,IF(AND(H1556="ja",((U1572)&lt;R1581)),ROUND(((R1583*R1580+((R1581/(R1581-R1580))-(R1580/(R1581-R1580))*R1583)*((U1572)-R1580))*(J1564*2))-(((R1581/(R1581-R1580))*((U1572)-R1580))*J1564),2),ROUND(IF(V1571&lt;(SUM(S1565:S1571)),IF((V1572)&gt;(SUM(S1565:S1572)),(((SUM(S1565:S1572))-(V1572-C1571))*J1564)+((U1572-C1571)*J1564),U1572*J1564),IF(V1572&gt;(SUM(S1565:S1572)),S1572*J1564,U1572*J1564)),2)))</f>
        <v>0</v>
      </c>
      <c r="K1572" s="64">
        <f>IF(B1572=0,0,IF(AND(H1556="ja",((U1572)&lt;R1581)),ROUND(((R1583*R1580+((R1581/(R1581-R1580))-(R1580/(R1581-R1580))*R1583)*((U1572)-R1580))*(K1564*2))-(((R1581/(R1581-R1580))*((U1572)-R1580))*K1564),2),ROUND(IF(V1571&lt;(SUM(R1565:R1571)),IF((V1572)&gt;(SUM(R1565:R1572)),(((SUM(R1565:R1572))-(V1572-C1571))*K1564)+((U1572-C1571)*K1564),U1572*K1564),IF(V1572&gt;(SUM(R1565:R1572)),R1572*K1564,U1572*K1564)),2)))</f>
        <v>0</v>
      </c>
      <c r="L1572" s="64">
        <f>IF(B1572=0,0,IF(AND(H1556="ja",((U1572-C1572)&lt;R1581)),ROUND(((R1583*R1580+((R1581/(R1581-R1580))-(R1580/(R1581-R1580))*R1583)*((U1572-C1572)-R1580))*(L1564)),2),ROUND(IF(SUM(B1565:F1571)&lt;(SUM(S1565:S1571)),IF((SUM(B1565:F1572))&gt;(SUM(S1565:S1572)),(((SUM(S1565:S1572))-(SUM(B1565:F1572)-C1572))*L1564)+((SUM(B1572:F1572)-C1572)*L1564),(SUM(B1572:F1572)-C1572)*L1564),IF(SUM(B1565:F1572)&gt;(SUM(S1565:S1572)),S1572*L1564,SUM(B1572:F1572)*L1564)),2)))</f>
        <v>0</v>
      </c>
      <c r="M1572" s="64">
        <f>IF(B1572=0,0,IF(AND(H1556="ja",((U1572-C1572)&lt;R1581)),ROUND(((R1583*R1580+((R1581/(R1581-R1580))-(R1580/(R1581-R1580))*R1583)*((U1572-C1572)-R1580))*(M1564)),2),ROUND(IF(SUM(B1565:F1571)&lt;(SUM(S1565:S1571)),IF((SUM(B1565:F1572))&gt;(SUM(S1565:S1572)),(((SUM(S1565:S1572))-(SUM(B1565:F1572)-C1572))*M1564)+((SUM(B1572:F1572)-C1572)*M1564),(SUM(B1572:F1572)-C1572)*M1564),IF(SUM(B1565:F1572)&gt;(SUM(S1565:S1572)),S1572*M1564,SUM(B1572:F1572)*M1564)),2)))</f>
        <v>0</v>
      </c>
      <c r="N1572" s="64">
        <f>IF(B1572=0,0,IF(AND(H1556="ja",((U1572)&lt;R1581)),ROUND(((R1583*R1580+((R1581/(R1581-R1580))-(R1580/(R1581-R1580))*R1583)*((U1572)-R1580))*(N1564)),2),ROUND(IF(SUM(B1565:F1571)&lt;(SUM(S1565:S1571)),IF((SUM(B1565:F1572))&gt;(SUM(S1565:S1572)),(((SUM(S1565:S1572))-(SUM(B1565:F1572)-C1571))*N1564)+((SUM(B1572:F1572)-C1571)*N1564),SUM(B1572:F1572)*N1564),IF(SUM(B1565:F1572)&gt;(SUM(S1565:S1572)),S1572*N1564,SUM(B1572:F1572)*N1564)),2)))</f>
        <v>0</v>
      </c>
      <c r="O1572" s="21">
        <f>ROUND(SUM(B1572+C1572+F1572)*O1564,2)</f>
        <v>0</v>
      </c>
      <c r="P1572" s="25">
        <f t="shared" si="251"/>
        <v>0</v>
      </c>
      <c r="Q1572" s="456"/>
      <c r="R1572" s="140">
        <f>ROUND(IF(M1543="",R1559,R1559/M1543*P1549),2)</f>
        <v>5175</v>
      </c>
      <c r="S1572" s="140">
        <f>ROUND(IF(M1543="",R1560,R1560/M1543*P1549),2)</f>
        <v>7450</v>
      </c>
      <c r="U1572" s="950">
        <f t="shared" si="252"/>
        <v>0</v>
      </c>
      <c r="V1572" s="950">
        <f>SUM(B1565:F1572)</f>
        <v>0</v>
      </c>
    </row>
    <row r="1573" spans="1:24" s="1" customFormat="1" x14ac:dyDescent="0.2">
      <c r="A1573" s="76" t="str">
        <f>CONCATENATE("Sep ",O1541)</f>
        <v>Sep 2025</v>
      </c>
      <c r="B1573" s="22">
        <f>ROUND(IF(P1550=0,0,IFERROR(((LOOKUP(2,1/(A1550:A1553=A1573),G1550:G1553))*P1550*4.348),B1572/P1549*P1550)),2)</f>
        <v>0</v>
      </c>
      <c r="C1573" s="21">
        <f>ROUND(IFERROR((LOOKUP(2,1/(A1556=A1573),E1556)),0)+IFERROR((LOOKUP(2,1/(A1557=A1573),E1557)),0),2)</f>
        <v>0</v>
      </c>
      <c r="D1573" s="21">
        <f>ROUND(IF(B1573=0,0,D1564/M1543*P1550),2)</f>
        <v>0</v>
      </c>
      <c r="E1573" s="21">
        <f>ROUND(IF(B1573=0,0,E1564/N1539*P1550),2)</f>
        <v>0</v>
      </c>
      <c r="F1573" s="22">
        <f>ROUND(IF(P1550=0,0,IFERROR(((LOOKUP(2,1/(A1550:A1553=A1573),I1550:I1553))/N1539*P1550),F1572/P1549*P1550)),2)</f>
        <v>0</v>
      </c>
      <c r="G1573" s="25">
        <f t="shared" si="250"/>
        <v>0</v>
      </c>
      <c r="H1573" s="64">
        <f>IF(B1573=0,0,IF(AND(H1556="ja",((U1573)&lt;R1581)),ROUND(((R1583*R1580+((R1581/(R1581-R1580))-(R1580/(R1581-R1580))*R1583)*((U1573)-R1580))*(H1564*2))-(((R1581/(R1581-R1580))*((U1573)-R1580))*H1564),2),ROUND(IF(V1572&lt;(SUM(R1565:R1572)),IF((V1573)&gt;(SUM(R1565:R1573)),(((SUM(R1565:R1573))-(V1573-C1572))*H1564)+((U1573-C1572)*H1564),U1573*H1564),IF(V1573&gt;(SUM(R1565:R1573)),R1573*H1564,U1573*H1564)),2)))</f>
        <v>0</v>
      </c>
      <c r="I1573" s="64">
        <f>IF(B1573=0,0,IF(AND(H1556="ja",((U1573)&lt;R1581)),ROUND(((R1583*R1580+((R1581/(R1581-R1580))-(R1580/(R1581-R1580))*R1583)*((U1573)-R1580))*(I1564*2))-(((R1581/(R1581-R1580))*((U1573)-R1580))*I1564),2),ROUND(IF(V1572&lt;(SUM(S1565:S1572)),IF((V1573)&gt;(SUM(S1565:S1573)),(((SUM(S1565:S1573))-(V1573-C1572))*I1564)+((U1573-C1572)*I1564),U1573*I1564),IF(V1573&gt;(SUM(S1565:S1573)),S1573*I1564,U1573*I1564)),2)))</f>
        <v>0</v>
      </c>
      <c r="J1573" s="64">
        <f>IF(B1573=0,0,IF(AND(H1556="ja",((U1573)&lt;R1581)),ROUND(((R1583*R1580+((R1581/(R1581-R1580))-(R1580/(R1581-R1580))*R1583)*((U1573)-R1580))*(J1564*2))-(((R1581/(R1581-R1580))*((U1573)-R1580))*J1564),2),ROUND(IF(V1572&lt;(SUM(S1565:S1572)),IF((V1573)&gt;(SUM(S1565:S1573)),(((SUM(S1565:S1573))-(V1573-C1572))*J1564)+((U1573-C1572)*J1564),U1573*J1564),IF(V1573&gt;(SUM(S1565:S1573)),S1573*J1564,U1573*J1564)),2)))</f>
        <v>0</v>
      </c>
      <c r="K1573" s="64">
        <f>IF(B1573=0,0,IF(AND(H1556="ja",((U1573)&lt;R1581)),ROUND(((R1583*R1580+((R1581/(R1581-R1580))-(R1580/(R1581-R1580))*R1583)*((U1573)-R1580))*(K1564*2))-(((R1581/(R1581-R1580))*((U1573)-R1580))*K1564),2),ROUND(IF(V1572&lt;(SUM(R1565:R1572)),IF((V1573)&gt;(SUM(R1565:R1573)),(((SUM(R1565:R1573))-(V1573-C1572))*K1564)+((U1573-C1572)*K1564),U1573*K1564),IF(V1573&gt;(SUM(R1565:R1573)),R1573*K1564,U1573*K1564)),2)))</f>
        <v>0</v>
      </c>
      <c r="L1573" s="64">
        <f>IF(B1573=0,0,IF(AND(H1556="ja",((U1573-C1573)&lt;R1581)),ROUND(((R1583*R1580+((R1581/(R1581-R1580))-(R1580/(R1581-R1580))*R1583)*((U1573-C1573)-R1580))*(L1564)),2),ROUND(IF(SUM(B1565:F1572)&lt;(SUM(S1565:S1572)),IF((SUM(B1565:F1573))&gt;(SUM(S1565:S1573)),(((SUM(S1565:S1573))-(SUM(B1565:F1573)-C1573))*L1564)+((SUM(B1573:F1573)-C1573)*L1564),(SUM(B1573:F1573)-C1573)*L1564),IF(SUM(B1565:F1573)&gt;(SUM(S1565:S1573)),S1573*L1564,SUM(B1573:F1573)*L1564)),2)))</f>
        <v>0</v>
      </c>
      <c r="M1573" s="64">
        <f>IF(B1573=0,0,IF(AND(H1556="ja",((U1573-C1573)&lt;R1581)),ROUND(((R1583*R1580+((R1581/(R1581-R1580))-(R1580/(R1581-R1580))*R1583)*((U1573-C1573)-R1580))*(M1564)),2),ROUND(IF(SUM(B1565:F1572)&lt;(SUM(S1565:S1572)),IF((SUM(B1565:F1573))&gt;(SUM(S1565:S1573)),(((SUM(S1565:S1573))-(SUM(B1565:F1573)-C1573))*M1564)+((SUM(B1573:F1573)-C1573)*M1564),(SUM(B1573:F1573)-C1573)*M1564),IF(SUM(B1565:F1573)&gt;(SUM(S1565:S1573)),S1573*M1564,SUM(B1573:F1573)*M1564)),2)))</f>
        <v>0</v>
      </c>
      <c r="N1573" s="64">
        <f>IF(B1573=0,0,IF(AND(H1556="ja",((U1573)&lt;R1581)),ROUND(((R1583*R1580+((R1581/(R1581-R1580))-(R1580/(R1581-R1580))*R1583)*((U1573)-R1580))*(N1564)),2),ROUND(IF(SUM(B1565:F1572)&lt;(SUM(S1565:S1572)),IF((SUM(B1565:F1573))&gt;(SUM(S1565:S1573)),(((SUM(S1565:S1573))-(SUM(B1565:F1573)-C1572))*N1564)+((SUM(B1573:F1573)-C1572)*N1564),SUM(B1573:F1573)*N1564),IF(SUM(B1565:F1573)&gt;(SUM(S1565:S1573)),S1573*N1564,SUM(B1573:F1573)*N1564)),2)))</f>
        <v>0</v>
      </c>
      <c r="O1573" s="21">
        <f>ROUND(SUM(B1573+C1573+F1573)*O1564,2)</f>
        <v>0</v>
      </c>
      <c r="P1573" s="25">
        <f t="shared" si="251"/>
        <v>0</v>
      </c>
      <c r="Q1573" s="456"/>
      <c r="R1573" s="140">
        <f>ROUND(IF(M1543="",R1559,R1559/M1543*P1550),2)</f>
        <v>5175</v>
      </c>
      <c r="S1573" s="140">
        <f>ROUND(IF(M1543="",R1560,R1560/M1543*P1550),2)</f>
        <v>7450</v>
      </c>
      <c r="U1573" s="950">
        <f t="shared" si="252"/>
        <v>0</v>
      </c>
      <c r="V1573" s="950">
        <f>SUM(B1565:F1573)</f>
        <v>0</v>
      </c>
    </row>
    <row r="1574" spans="1:24" s="12" customFormat="1" ht="15" x14ac:dyDescent="0.25">
      <c r="A1574" s="76" t="str">
        <f>CONCATENATE("Okt ",O1541)</f>
        <v>Okt 2025</v>
      </c>
      <c r="B1574" s="22">
        <f>ROUND(IF(P1551=0,0,IFERROR(((LOOKUP(2,1/(A1550:A1553=A1574),G1550:G1553))*P1551*4.348),B1573/P1550*P1551)),2)</f>
        <v>0</v>
      </c>
      <c r="C1574" s="21">
        <f>ROUND(IFERROR((LOOKUP(2,1/(A1556=A1574),E1556)),0)+IFERROR((LOOKUP(2,1/(A1557=A1574),E1557)),0),2)</f>
        <v>0</v>
      </c>
      <c r="D1574" s="21">
        <f>ROUND(IF(B1574=0,0,D1564/M1543*P1551),2)</f>
        <v>0</v>
      </c>
      <c r="E1574" s="21">
        <f>ROUND(IF(B1574=0,0,E1564/N1539*P1551),2)</f>
        <v>0</v>
      </c>
      <c r="F1574" s="22">
        <f>ROUND(IF(P1551=0,0,IFERROR(((LOOKUP(2,1/(A1550:A1553=A1574),I1550:I1553))/N1539*P1551),F1573/P1550*P1551)),2)</f>
        <v>0</v>
      </c>
      <c r="G1574" s="25">
        <f t="shared" si="250"/>
        <v>0</v>
      </c>
      <c r="H1574" s="64">
        <f>IF(B1574=0,0,IF(AND(H1556="ja",((U1574)&lt;R1581)),ROUND(((R1583*R1580+((R1581/(R1581-R1580))-(R1580/(R1581-R1580))*R1583)*((U1574)-R1580))*(H1564*2))-(((R1581/(R1581-R1580))*((U1574)-R1580))*H1564),2),ROUND(IF(V1573&lt;(SUM(R1565:R1573)),IF((V1574)&gt;(SUM(R1565:R1574)),(((SUM(R1565:R1574))-(V1574-C1573))*H1564)+((U1574-C1573)*H1564),U1574*H1564),IF(V1574&gt;(SUM(R1565:R1574)),R1574*H1564,U1574*H1564)),2)))</f>
        <v>0</v>
      </c>
      <c r="I1574" s="64">
        <f>IF(B1574=0,0,IF(AND(H1556="ja",((U1574)&lt;R1581)),ROUND(((R1583*R1580+((R1581/(R1581-R1580))-(R1580/(R1581-R1580))*R1583)*((U1574)-R1580))*(I1564*2))-(((R1581/(R1581-R1580))*((U1574)-R1580))*I1564),2),ROUND(IF(V1573&lt;(SUM(S1565:S1573)),IF((V1574)&gt;(SUM(S1565:S1574)),(((SUM(S1565:S1574))-(V1574-C1573))*I1564)+((U1574-C1573)*I1564),U1574*I1564),IF(V1574&gt;(SUM(S1565:S1574)),S1574*I1564,U1574*I1564)),2)))</f>
        <v>0</v>
      </c>
      <c r="J1574" s="64">
        <f>IF(B1574=0,0,IF(AND(H1556="ja",((U1574)&lt;R1581)),ROUND(((R1583*R1580+((R1581/(R1581-R1580))-(R1580/(R1581-R1580))*R1583)*((U1574)-R1580))*(J1564*2))-(((R1581/(R1581-R1580))*((U1574)-R1580))*J1564),2),ROUND(IF(V1573&lt;(SUM(S1565:S1573)),IF((V1574)&gt;(SUM(S1565:S1574)),(((SUM(S1565:S1574))-(V1574-C1573))*J1564)+((U1574-C1573)*J1564),U1574*J1564),IF(V1574&gt;(SUM(S1565:S1574)),S1574*J1564,U1574*J1564)),2)))</f>
        <v>0</v>
      </c>
      <c r="K1574" s="64">
        <f>IF(B1574=0,0,IF(AND(H1556="ja",((U1574)&lt;R1581)),ROUND(((R1583*R1580+((R1581/(R1581-R1580))-(R1580/(R1581-R1580))*R1583)*((U1574)-R1580))*(K1564*2))-(((R1581/(R1581-R1580))*((U1574)-R1580))*K1564),2),ROUND(IF(V1573&lt;(SUM(R1565:R1573)),IF((V1574)&gt;(SUM(R1565:R1574)),(((SUM(R1565:R1574))-(V1574-C1573))*K1564)+((U1574-C1573)*K1564),U1574*K1564),IF(V1574&gt;(SUM(R1565:R1574)),R1574*K1564,U1574*K1564)),2)))</f>
        <v>0</v>
      </c>
      <c r="L1574" s="64">
        <f>IF(B1574=0,0,IF(AND(H1556="ja",((U1574-C1574)&lt;R1581)),ROUND(((R1583*R1580+((R1581/(R1581-R1580))-(R1580/(R1581-R1580))*R1583)*((U1574-C1574)-R1580))*(L1564)),2),ROUND(IF(SUM(B1565:F1573)&lt;(SUM(S1565:S1573)),IF((SUM(B1565:F1574))&gt;(SUM(S1565:S1574)),(((SUM(S1565:S1574))-(SUM(B1565:F1574)-C1574))*L1564)+((SUM(B1574:F1574)-C1574)*L1564),(SUM(B1574:F1574)-C1574)*L1564),IF(SUM(B1565:F1574)&gt;(SUM(S1565:S1574)),S1574*L1564,SUM(B1574:F1574)*L1564)),2)))</f>
        <v>0</v>
      </c>
      <c r="M1574" s="64">
        <f>IF(B1574=0,0,IF(AND(H1556="ja",((U1574-C1574)&lt;R1581)),ROUND(((R1583*R1580+((R1581/(R1581-R1580))-(R1580/(R1581-R1580))*R1583)*((U1574-C1574)-R1580))*(M1564)),2),ROUND(IF(SUM(B1565:F1573)&lt;(SUM(S1565:S1573)),IF((SUM(B1565:F1574))&gt;(SUM(S1565:S1574)),(((SUM(S1565:S1574))-(SUM(B1565:F1574)-C1574))*M1564)+((SUM(B1574:F1574)-C1574)*M1564),(SUM(B1574:F1574)-C1574)*M1564),IF(SUM(B1565:F1574)&gt;(SUM(S1565:S1574)),S1574*M1564,SUM(B1574:F1574)*M1564)),2)))</f>
        <v>0</v>
      </c>
      <c r="N1574" s="64">
        <f>IF(B1574=0,0,IF(AND(H1556="ja",((U1574)&lt;R1581)),ROUND(((R1583*R1580+((R1581/(R1581-R1580))-(R1580/(R1581-R1580))*R1583)*((U1574)-R1580))*(N1564)),2),ROUND(IF(SUM(B1565:F1573)&lt;(SUM(S1565:S1573)),IF((SUM(B1565:F1574))&gt;(SUM(S1565:S1574)),(((SUM(S1565:S1574))-(SUM(B1565:F1574)-C1573))*N1564)+((SUM(B1574:F1574)-C1573)*N1564),SUM(B1574:F1574)*N1564),IF(SUM(B1565:F1574)&gt;(SUM(S1565:S1574)),S1574*N1564,SUM(B1574:F1574)*N1564)),2)))</f>
        <v>0</v>
      </c>
      <c r="O1574" s="21">
        <f>ROUND(SUM(B1574+C1574+F1574)*O1564,2)</f>
        <v>0</v>
      </c>
      <c r="P1574" s="25">
        <f t="shared" si="251"/>
        <v>0</v>
      </c>
      <c r="Q1574" s="936"/>
      <c r="R1574" s="140">
        <f>ROUND(IF(M1543="",R1559,R1559/M1543*P1551),2)</f>
        <v>5175</v>
      </c>
      <c r="S1574" s="140">
        <f>ROUND(IF(M1543="",R1560,R1560/M1543*P1551),2)</f>
        <v>7450</v>
      </c>
      <c r="U1574" s="950">
        <f t="shared" si="252"/>
        <v>0</v>
      </c>
      <c r="V1574" s="950">
        <f>SUM(B1565:F1574)</f>
        <v>0</v>
      </c>
      <c r="X1574" s="1"/>
    </row>
    <row r="1575" spans="1:24" s="11" customFormat="1" x14ac:dyDescent="0.2">
      <c r="A1575" s="76" t="str">
        <f>CONCATENATE("Nov ",O1541)</f>
        <v>Nov 2025</v>
      </c>
      <c r="B1575" s="22">
        <f>ROUND(IF(P1552=0,0,IFERROR(((LOOKUP(2,1/(A1550:A1553=A1575),G1550:G1553))*P1552*4.348),B1574/P1551*P1552)),2)</f>
        <v>0</v>
      </c>
      <c r="C1575" s="21">
        <f>ROUND(IFERROR((LOOKUP(2,1/(A1556=A1575),E1556)),0)+(IFERROR((LOOKUP(2,1/(A1557=A1575),E1557)),0)),2)</f>
        <v>0</v>
      </c>
      <c r="D1575" s="21">
        <f>ROUND(IF(B1575=0,0,D1564/M1543*P1552),2)</f>
        <v>0</v>
      </c>
      <c r="E1575" s="21">
        <f>ROUND(IF(B1575=0,0,E1564/N1539*P1552),2)</f>
        <v>0</v>
      </c>
      <c r="F1575" s="22">
        <f>ROUND(IF(P1552=0,0,IFERROR(((LOOKUP(2,1/(A1550:A1553=A1575),I1550:I1553))/N1539*P1552),F1574/P1551*P1552)),2)</f>
        <v>0</v>
      </c>
      <c r="G1575" s="25">
        <f t="shared" si="250"/>
        <v>0</v>
      </c>
      <c r="H1575" s="64">
        <f>IF(B1575=0,0,IF(AND(H1556="ja",((U1575)&lt;R1581)),ROUND(((R1583*R1580+((R1581/(R1581-R1580))-(R1580/(R1581-R1580))*R1583)*((U1575)-R1580))*(H1564*2))-(((R1581/(R1581-R1580))*((U1575)-R1580))*H1564),2),ROUND(IF(V1574&lt;(SUM(R1565:R1574)),IF((V1575)&gt;(SUM(R1565:R1575)),(((SUM(R1565:R1575))-(V1575-C1574))*H1564)+((U1575-C1574)*H1564),U1575*H1564),IF(V1575&gt;(SUM(R1565:R1575)),R1575*H1564,U1575*H1564)),2)))</f>
        <v>0</v>
      </c>
      <c r="I1575" s="64">
        <f>IF(B1575=0,0,IF(AND(H1556="ja",((U1575)&lt;R1581)),ROUND(((R1583*R1580+((R1581/(R1581-R1580))-(R1580/(R1581-R1580))*R1583)*((U1575)-R1580))*(I1564*2))-(((R1581/(R1581-R1580))*((U1575)-R1580))*I1564),2),ROUND(IF(V1574&lt;(SUM(S1565:S1574)),IF((V1575)&gt;(SUM(S1565:S1575)),(((SUM(S1565:S1575))-(V1575-C1574))*I1564)+((U1575-C1574)*I1564),U1575*I1564),IF(V1575&gt;(SUM(S1565:S1575)),S1575*I1564,U1575*I1564)),2)))</f>
        <v>0</v>
      </c>
      <c r="J1575" s="64">
        <f>IF(B1575=0,0,IF(AND(H1556="ja",((U1575)&lt;R1581)),ROUND(((R1583*R1580+((R1581/(R1581-R1580))-(R1580/(R1581-R1580))*R1583)*((U1575)-R1580))*(J1564*2))-(((R1581/(R1581-R1580))*((U1575)-R1580))*J1564),2),ROUND(IF(V1574&lt;(SUM(S1565:S1574)),IF((V1575)&gt;(SUM(S1565:S1575)),(((SUM(S1565:S1575))-(V1575-C1574))*J1564)+((U1575-C1574)*J1564),U1575*J1564),IF(V1575&gt;(SUM(S1565:S1575)),S1575*J1564,U1575*J1564)),2)))</f>
        <v>0</v>
      </c>
      <c r="K1575" s="64">
        <f>IF(B1575=0,0,IF(AND(H1556="ja",((U1575)&lt;R1581)),ROUND(((R1583*R1580+((R1581/(R1581-R1580))-(R1580/(R1581-R1580))*R1583)*((U1575)-R1580))*(K1564*2))-(((R1581/(R1581-R1580))*((U1575)-R1580))*K1564),2),ROUND(IF(V1574&lt;(SUM(R1565:R1574)),IF((V1575)&gt;(SUM(R1565:R1575)),(((SUM(R1565:R1575))-(V1575-C1574))*K1564)+((U1575-C1574)*K1564),U1575*K1564),IF(V1575&gt;(SUM(R1565:R1575)),R1575*K1564,U1575*K1564)),2)))</f>
        <v>0</v>
      </c>
      <c r="L1575" s="64">
        <f>IF(B1575=0,0,IF(AND(H1556="ja",((U1575-C1575)&lt;R1581)),ROUND(((R1583*R1580+((R1581/(R1581-R1580))-(R1580/(R1581-R1580))*R1583)*((U1575-C1575)-R1580))*(L1564)),2),ROUND(IF(SUM(B1565:F1574)&lt;(SUM(S1565:S1574)),IF((SUM(B1565:F1575))&gt;(SUM(S1565:S1575)),(((SUM(S1565:S1575))-(SUM(B1565:F1575)-C1575))*L1564)+((SUM(B1575:F1575)-C1575)*L1564),(SUM(B1575:F1575)-C1575)*L1564),IF(SUM(B1565:F1575)&gt;(SUM(S1565:S1575)),S1575*L1564,SUM(B1575:F1575)*L1564)),2)))</f>
        <v>0</v>
      </c>
      <c r="M1575" s="64">
        <f>IF(B1575=0,0,IF(AND(H1556="ja",((U1575-C1575)&lt;R1581)),ROUND(((R1583*R1580+((R1581/(R1581-R1580))-(R1580/(R1581-R1580))*R1583)*((U1575-C1575)-R1580))*(M1564)),2),ROUND(IF(SUM(B1565:F1574)&lt;(SUM(S1565:S1574)),IF((SUM(B1565:F1575))&gt;(SUM(S1565:S1575)),(((SUM(S1565:S1575))-(SUM(B1565:F1575)-C1575))*M1564)+((SUM(B1575:F1575)-C1575)*M1564),(SUM(B1575:F1575)-C1575)*M1564),IF(SUM(B1565:F1575)&gt;(SUM(S1565:S1575)),S1575*M1564,SUM(B1575:F1575)*M1564)),2)))</f>
        <v>0</v>
      </c>
      <c r="N1575" s="64">
        <f>IF(B1575=0,0,IF(AND(H1556="ja",((U1575)&lt;R1581)),ROUND(((R1583*R1580+((R1581/(R1581-R1580))-(R1580/(R1581-R1580))*R1583)*((U1575)-R1580))*(N1564)),2),ROUND(IF(SUM(B1565:F1574)&lt;(SUM(S1565:S1574)),IF((SUM(B1565:F1575))&gt;(SUM(S1565:S1575)),(((SUM(S1565:S1575))-(SUM(B1565:F1575)-C1574))*N1564)+((SUM(B1575:F1575)-C1574)*N1564),SUM(B1575:F1575)*N1564),IF(SUM(B1565:F1575)&gt;(SUM(S1565:S1575)),S1575*N1564,SUM(B1575:F1575)*N1564)),2)))</f>
        <v>0</v>
      </c>
      <c r="O1575" s="21">
        <f>ROUND(SUM(B1575+C1575+F1575)*O1564,2)</f>
        <v>0</v>
      </c>
      <c r="P1575" s="25">
        <f t="shared" si="251"/>
        <v>0</v>
      </c>
      <c r="R1575" s="140">
        <f>ROUND(IF(M1543="",R1559,R1559/M1543*P1552),2)</f>
        <v>5175</v>
      </c>
      <c r="S1575" s="140">
        <f>ROUND(IF(M1543="",R1560,R1560/M1543*P1552),2)</f>
        <v>7450</v>
      </c>
      <c r="U1575" s="950">
        <f t="shared" si="252"/>
        <v>0</v>
      </c>
      <c r="V1575" s="950">
        <f>SUM(B1565:F1575)</f>
        <v>0</v>
      </c>
      <c r="X1575" s="1"/>
    </row>
    <row r="1576" spans="1:24" s="1" customFormat="1" ht="14.25" customHeight="1" x14ac:dyDescent="0.2">
      <c r="A1576" s="76" t="str">
        <f>CONCATENATE("Dez ",O1541)</f>
        <v>Dez 2025</v>
      </c>
      <c r="B1576" s="22">
        <f>ROUND(IF(P1553=0,0,IFERROR(((LOOKUP(2,1/(A1550:A1553=A1576),G1550:G1553))*P1553*4.348),B1575/P1552*P1553)),2)</f>
        <v>0</v>
      </c>
      <c r="C1576" s="21">
        <f>ROUND(IFERROR((LOOKUP(2,1/(A1556=A1576),E1556)),0)+IFERROR((LOOKUP(2,1/(A1557=A1576),E1557)),0),2)</f>
        <v>0</v>
      </c>
      <c r="D1576" s="21">
        <f>ROUND(IF(B1576=0,0,D1564/M1543*P1553),2)</f>
        <v>0</v>
      </c>
      <c r="E1576" s="21">
        <f>ROUND(IF(B1576=0,0,E1564/N1539*P1553),2)</f>
        <v>0</v>
      </c>
      <c r="F1576" s="22">
        <f>ROUND(IF(P1553=0,0,IFERROR(((LOOKUP(2,1/(A1550:A1553=A1576),I1550:I1553))/N1539*P1553),F1575/P1552*P1553)),2)</f>
        <v>0</v>
      </c>
      <c r="G1576" s="25">
        <f t="shared" si="250"/>
        <v>0</v>
      </c>
      <c r="H1576" s="64">
        <f>IF(B1576=0,0,IF(AND(H1556="ja",((U1576)&lt;R1581)),ROUND(((R1583*R1580+((R1581/(R1581-R1580))-(R1580/(R1581-R1580))*R1583)*((U1576)-R1580))*(H1564*2))-(((R1581/(R1581-R1580))*((U1576)-R1580))*H1564),2),ROUND(IF(V1575&lt;(SUM(R1565:R1575)),IF((V1576)&gt;(SUM(R1565:R1576)),(((SUM(R1565:R1576))-(V1576-C1575))*H1564)+((U1576-C1575)*H1564),U1576*H1564),IF(V1576&gt;(SUM(R1565:R1576)),R1576*H1564,U1576*H1564)),2)))</f>
        <v>0</v>
      </c>
      <c r="I1576" s="64">
        <f>IF(B1576=0,0,IF(AND(H1556="ja",((U1576)&lt;R1581)),ROUND(((R1583*R1580+((R1581/(R1581-R1580))-(R1580/(R1581-R1580))*R1583)*((U1576)-R1580))*(I1564*2))-(((R1581/(R1581-R1580))*((U1576)-R1580))*I1564),2),ROUND(IF(V1575&lt;(SUM(S1565:S1575)),IF((V1576)&gt;(SUM(S1565:S1576)),(((SUM(S1565:S1576))-(V1576-C1575))*I1564)+((U1576-C1575)*I1564),U1576*I1564),IF(V1576&gt;(SUM(S1565:S1576)),S1576*I1564,U1576*I1564)),2)))</f>
        <v>0</v>
      </c>
      <c r="J1576" s="64">
        <f>IF(B1576=0,0,IF(AND(H1556="ja",((U1576)&lt;R1581)),ROUND(((R1583*R1580+((R1581/(R1581-R1580))-(R1580/(R1581-R1580))*R1583)*((U1576)-R1580))*(J1564*2))-(((R1581/(R1581-R1580))*((U1576)-R1580))*J1564),2),ROUND(IF(V1575&lt;(SUM(S1565:S1575)),IF((V1576)&gt;(SUM(S1565:S1576)),(((SUM(S1565:S1576))-(V1576-C1575))*J1564)+((U1576-C1575)*J1564),U1576*J1564),IF(V1576&gt;(SUM(S1565:S1576)),S1576*J1564,U1576*J1564)),2)))</f>
        <v>0</v>
      </c>
      <c r="K1576" s="64">
        <f>IF(B1576=0,0,IF(AND(H1556="ja",((U1576)&lt;R1581)),ROUND(((R1583*R1580+((R1581/(R1581-R1580))-(R1580/(R1581-R1580))*R1583)*((U1576)-R1580))*(K1564*2))-(((R1581/(R1581-R1580))*((U1576)-R1580))*K1564),2),ROUND(IF(V1575&lt;(SUM(R1565:R1575)),IF((V1576)&gt;(SUM(R1565:R1576)),(((SUM(R1565:R1576))-(V1576-C1575))*K1564)+((U1576-C1575)*K1564),U1576*K1564),IF(V1576&gt;(SUM(R1565:R1576)),R1576*K1564,U1576*K1564)),2)))</f>
        <v>0</v>
      </c>
      <c r="L1576" s="64">
        <f>IF(B1576=0,0,IF(AND(H1556="ja",((U1576-C1576)&lt;R1581)),ROUND(((R1583*R1580+((R1581/(R1581-R1580))-(R1580/(R1581-R1580))*R1583)*((U1576-C1576)-R1580))*(L1564)),2),ROUND(IF(SUM(B1565:F1575)&lt;(SUM(S1565:S1575)),IF((SUM(B1565:F1576))&gt;(SUM(S1565:S1576)),(((SUM(S1565:S1576))-(SUM(B1565:F1576)-C1576))*L1564)+((SUM(B1576:F1576)-C1576)*L1564),(SUM(B1576:F1576)-C1576)*L1564),IF(SUM(B1565:F1576)&gt;(SUM(S1565:S1576)),S1576*L1564,SUM(B1576:F1576)*L1564)),2)))</f>
        <v>0</v>
      </c>
      <c r="M1576" s="64">
        <f>IF(B1576=0,0,IF(AND(H1556="ja",((U1576-C1576)&lt;R1581)),ROUND(((R1583*R1580+((R1581/(R1581-R1580))-(R1580/(R1581-R1580))*R1583)*((U1576-C1576)-R1580))*(M1564)),2),ROUND(IF(SUM(B1565:F1575)&lt;(SUM(S1565:S1575)),IF((SUM(B1565:F1576))&gt;(SUM(S1565:S1576)),(((SUM(S1565:S1576))-(SUM(B1565:F1576)-C1576))*M1564)+((SUM(B1576:F1576)-C1576)*M1564),(SUM(B1576:F1576)-C1576)*M1564),IF(SUM(B1565:F1576)&gt;(SUM(S1565:S1576)),S1576*M1564,SUM(B1576:F1576)*M1564)),2)))</f>
        <v>0</v>
      </c>
      <c r="N1576" s="64">
        <f>IF(B1576=0,0,IF(AND(H1556="ja",((U1576)&lt;R1581)),ROUND(((R1583*R1580+((R1581/(R1581-R1580))-(R1580/(R1581-R1580))*R1583)*((U1576)-R1580))*(N1564)),2),ROUND(IF(SUM(B1565:F1575)&lt;(SUM(S1565:S1575)),IF((SUM(B1565:F1576))&gt;(SUM(S1565:S1576)),(((SUM(S1565:S1576))-(SUM(B1565:F1576)-C1575))*N1564)+((SUM(B1576:F1576)-C1575)*N1564),SUM(B1576:F1576)*N1564),IF(SUM(B1565:F1576)&gt;(SUM(S1565:S1576)),S1576*N1564,SUM(B1576:F1576)*N1564)),2)))</f>
        <v>0</v>
      </c>
      <c r="O1576" s="21">
        <f>ROUND(SUM(B1576+C1576+F1576)*O1564,2)</f>
        <v>0</v>
      </c>
      <c r="P1576" s="25">
        <f t="shared" si="251"/>
        <v>0</v>
      </c>
      <c r="Q1576" s="11"/>
      <c r="R1576" s="140">
        <f>ROUND(IF(M1543="",R1559,R1559/M1543*P1553),2)</f>
        <v>5175</v>
      </c>
      <c r="S1576" s="140">
        <f>ROUND(IF(M1543="",R1560,R1560/M1543*P1553),2)</f>
        <v>7450</v>
      </c>
      <c r="U1576" s="950">
        <f t="shared" si="252"/>
        <v>0</v>
      </c>
      <c r="V1576" s="950">
        <f>SUM(B1565:F1576)</f>
        <v>0</v>
      </c>
    </row>
    <row r="1577" spans="1:24" s="1" customFormat="1" ht="15" customHeight="1" x14ac:dyDescent="0.2">
      <c r="A1577" s="2" t="s">
        <v>1</v>
      </c>
      <c r="B1577" s="25">
        <f t="shared" ref="B1577:G1577" si="253">SUM(B1565:B1576)</f>
        <v>0</v>
      </c>
      <c r="C1577" s="25">
        <f t="shared" si="253"/>
        <v>0</v>
      </c>
      <c r="D1577" s="25">
        <f t="shared" si="253"/>
        <v>0</v>
      </c>
      <c r="E1577" s="25">
        <f t="shared" si="253"/>
        <v>0</v>
      </c>
      <c r="F1577" s="25">
        <f t="shared" si="253"/>
        <v>0</v>
      </c>
      <c r="G1577" s="25">
        <f t="shared" si="253"/>
        <v>0</v>
      </c>
      <c r="H1577" s="1309">
        <f>SUM(H1565:N1576)</f>
        <v>0</v>
      </c>
      <c r="I1577" s="1310"/>
      <c r="J1577" s="1310"/>
      <c r="K1577" s="1310"/>
      <c r="L1577" s="1310"/>
      <c r="M1577" s="1310"/>
      <c r="N1577" s="1311"/>
      <c r="O1577" s="25">
        <f>SUM(O1565:O1576)</f>
        <v>0</v>
      </c>
      <c r="P1577" s="25">
        <f>SUM(P1565:P1576)</f>
        <v>0</v>
      </c>
    </row>
    <row r="1578" spans="1:24" s="1" customFormat="1" ht="12" customHeight="1" x14ac:dyDescent="0.2"/>
    <row r="1579" spans="1:24" s="1" customFormat="1" ht="14.25" customHeight="1" x14ac:dyDescent="0.2">
      <c r="B1579" s="906"/>
      <c r="H1579" s="905"/>
      <c r="I1579" s="62"/>
      <c r="J1579" s="914" t="s">
        <v>123</v>
      </c>
      <c r="L1579" s="900" t="s">
        <v>124</v>
      </c>
      <c r="M1579" s="974" t="str">
        <f>IF(IF(G1577=0,"",'päd.Personal - Leitung'!$M$43)=0,"",IF(G1577=0,"",'päd.Personal - Leitung'!$M$43))</f>
        <v/>
      </c>
      <c r="N1579" s="902" t="s">
        <v>125</v>
      </c>
      <c r="O1579" s="963" t="str">
        <f>IF(IF(G1577=0,"",'päd.Personal - Leitung'!$O$43)=0,"",IF(G1577=0,"",'päd.Personal - Leitung'!$O$43))</f>
        <v/>
      </c>
      <c r="P1579" s="25">
        <f>ROUND(IF(M1579="",0,G1577*M1579*O1579/1000),2)</f>
        <v>0</v>
      </c>
      <c r="Q1579" s="937"/>
      <c r="R1579" s="938">
        <v>2025</v>
      </c>
      <c r="S1579" s="939"/>
    </row>
    <row r="1580" spans="1:24" s="1" customFormat="1" ht="14.25" customHeight="1" x14ac:dyDescent="0.2">
      <c r="H1580" s="907"/>
      <c r="I1580" s="42"/>
      <c r="M1580" s="915" t="s">
        <v>129</v>
      </c>
      <c r="N1580" s="80" t="s">
        <v>125</v>
      </c>
      <c r="O1580" s="75" t="str">
        <f>IF(IF(G1577=0,"",'päd.Personal - Leitung'!$O$44)=0,"",IF(G1577=0,"",'päd.Personal - Leitung'!$O$44))</f>
        <v/>
      </c>
      <c r="P1580" s="25">
        <f>ROUND(IF(O1580="",0,G1577*O1580/1000),2)</f>
        <v>0</v>
      </c>
      <c r="Q1580" s="942" t="s">
        <v>737</v>
      </c>
      <c r="R1580" s="141">
        <f>'päd.Personal - Leitung'!$R$44</f>
        <v>556</v>
      </c>
      <c r="S1580" s="955">
        <f>'päd.Personal - Leitung'!$S$44</f>
        <v>12.82</v>
      </c>
    </row>
    <row r="1581" spans="1:24" s="1" customFormat="1" ht="14.25" customHeight="1" x14ac:dyDescent="0.2">
      <c r="H1581" s="912" t="s">
        <v>126</v>
      </c>
      <c r="I1581" s="1013" t="s">
        <v>127</v>
      </c>
      <c r="J1581" s="975" t="str">
        <f>IF(IF(G1577=0,"",'päd.Personal - Leitung'!$J$45)=0,"",IF(G1577=0,"",'päd.Personal - Leitung'!$J$45))</f>
        <v/>
      </c>
      <c r="K1581" s="902" t="s">
        <v>128</v>
      </c>
      <c r="L1581" s="964" t="str">
        <f>IF(IF(G1577=0,"",'päd.Personal - Leitung'!$L$45)=0,"",IF(G1577=0,"",'päd.Personal - Leitung'!$L$45))</f>
        <v/>
      </c>
      <c r="M1581" s="16"/>
      <c r="N1581" s="900" t="s">
        <v>132</v>
      </c>
      <c r="O1581" s="965" t="str">
        <f>IF(IF(G1577=0,"",'päd.Personal - Leitung'!$O$45)=0,"",IF(G1577=0,"",'päd.Personal - Leitung'!$O$45))</f>
        <v/>
      </c>
      <c r="P1581" s="25">
        <f>ROUND(IF(J1581="",0,(J1581*L1581/O1581)/M1545*M1546),2)</f>
        <v>0</v>
      </c>
      <c r="Q1581" s="942" t="s">
        <v>738</v>
      </c>
      <c r="R1581" s="140">
        <f>'päd.Personal - Leitung'!$R$45</f>
        <v>2000</v>
      </c>
      <c r="S1581" s="939"/>
    </row>
    <row r="1582" spans="1:24" s="1" customFormat="1" ht="14.25" customHeight="1" x14ac:dyDescent="0.2">
      <c r="D1582" s="16"/>
      <c r="I1582" s="16"/>
      <c r="J1582" s="16"/>
      <c r="K1582" s="63"/>
      <c r="L1582" s="67"/>
      <c r="M1582" s="915" t="s">
        <v>130</v>
      </c>
      <c r="N1582" s="80" t="s">
        <v>131</v>
      </c>
      <c r="O1582" s="904">
        <f>IF(IF(G1577="",0,'päd.Personal - Leitung'!$O$94)=0,0,IF(G1577="",0,'päd.Personal - Leitung'!$O$94))</f>
        <v>0</v>
      </c>
      <c r="P1582" s="21">
        <f>ROUND(IF(G1577=0,0,O1582/M1543*M1544),2)</f>
        <v>0</v>
      </c>
      <c r="Q1582" s="942" t="s">
        <v>740</v>
      </c>
      <c r="R1582" s="956">
        <f>'päd.Personal - Leitung'!$R$46</f>
        <v>0.40900000000000003</v>
      </c>
    </row>
    <row r="1583" spans="1:24" s="1" customFormat="1" ht="14.25" customHeight="1" x14ac:dyDescent="0.2">
      <c r="A1583" s="16"/>
      <c r="B1583" s="16"/>
      <c r="I1583" s="905"/>
      <c r="J1583" s="961" t="s">
        <v>176</v>
      </c>
      <c r="K1583" s="1312" t="str">
        <f>IF($K$47="","",$K$47)</f>
        <v/>
      </c>
      <c r="L1583" s="1312"/>
      <c r="M1583" s="1312"/>
      <c r="N1583" s="80" t="s">
        <v>131</v>
      </c>
      <c r="O1583" s="904">
        <f>IF(IF(G1577="",0,'päd.Personal - Leitung'!$O$95)=0,0,IF(G1577="",0,'päd.Personal - Leitung'!$O$95))</f>
        <v>0</v>
      </c>
      <c r="P1583" s="21">
        <f>ROUND(IF(G1577=0,0,O1583/M1543*M1544),2)</f>
        <v>0</v>
      </c>
      <c r="Q1583" s="942" t="s">
        <v>739</v>
      </c>
      <c r="R1583" s="940">
        <f>'päd.Personal - Leitung'!$R$47</f>
        <v>0.68459999999999999</v>
      </c>
      <c r="S1583" s="957">
        <f>'päd.Personal - Leitung'!$S$47</f>
        <v>0.28000000000000003</v>
      </c>
    </row>
    <row r="1584" spans="1:24" s="1" customFormat="1" ht="14.25" customHeight="1" x14ac:dyDescent="0.2">
      <c r="A1584" s="908"/>
      <c r="B1584" s="908"/>
      <c r="C1584" s="1013"/>
      <c r="D1584" s="1013"/>
      <c r="I1584" s="913"/>
      <c r="J1584" s="913"/>
      <c r="K1584" s="916"/>
      <c r="L1584" s="27"/>
      <c r="M1584" s="27"/>
      <c r="N1584" s="27"/>
      <c r="O1584" s="26" t="s">
        <v>0</v>
      </c>
      <c r="P1584" s="25">
        <f>P1577+SUM(P1579:P1583)</f>
        <v>0</v>
      </c>
    </row>
    <row r="1585" spans="1:19" s="10" customFormat="1" ht="13.5" customHeight="1" x14ac:dyDescent="0.2">
      <c r="A1585" s="1321" t="s">
        <v>17</v>
      </c>
      <c r="B1585" s="1321"/>
      <c r="C1585" s="1321"/>
      <c r="D1585" s="1320" t="str">
        <f>IF('päd.Personal - Leitung'!$D$1="","",'päd.Personal - Leitung'!$D$1)</f>
        <v/>
      </c>
      <c r="E1585" s="1320"/>
      <c r="F1585" s="1320"/>
      <c r="G1585" s="1320"/>
      <c r="H1585" s="1320"/>
      <c r="I1585" s="1320"/>
      <c r="J1585" s="1320"/>
      <c r="K1585" s="1320"/>
      <c r="L1585" s="1320"/>
      <c r="M1585" s="1320"/>
      <c r="N1585" s="1320"/>
    </row>
    <row r="1586" spans="1:19" s="10" customFormat="1" ht="15" customHeight="1" x14ac:dyDescent="0.2">
      <c r="A1586" s="1321" t="s">
        <v>16</v>
      </c>
      <c r="B1586" s="1321"/>
      <c r="C1586" s="1321" t="s">
        <v>14</v>
      </c>
      <c r="D1586" s="1320" t="str">
        <f>IF('päd.Personal - Leitung'!$D$2="","",'päd.Personal - Leitung'!$D$2)</f>
        <v/>
      </c>
      <c r="E1586" s="1320"/>
      <c r="F1586" s="1320"/>
      <c r="G1586" s="1320"/>
      <c r="H1586" s="1320"/>
      <c r="I1586" s="1320"/>
      <c r="J1586" s="1320"/>
      <c r="K1586" s="1320"/>
      <c r="L1586" s="1320"/>
      <c r="M1586" s="1320"/>
      <c r="N1586" s="1320"/>
    </row>
    <row r="1587" spans="1:19" s="10" customFormat="1" ht="15" customHeight="1" x14ac:dyDescent="0.2">
      <c r="A1587" s="1321" t="s">
        <v>15</v>
      </c>
      <c r="B1587" s="1321"/>
      <c r="C1587" s="1321" t="s">
        <v>14</v>
      </c>
      <c r="D1587" s="1320" t="str">
        <f>IF('päd.Personal - Leitung'!$D$3="","",'päd.Personal - Leitung'!$D$3)</f>
        <v/>
      </c>
      <c r="E1587" s="1320"/>
      <c r="F1587" s="1320"/>
      <c r="G1587" s="1320"/>
      <c r="H1587" s="1320"/>
      <c r="I1587" s="1320"/>
      <c r="J1587" s="1320"/>
      <c r="K1587" s="1321" t="s">
        <v>100</v>
      </c>
      <c r="L1587" s="1321"/>
      <c r="M1587" s="1321"/>
      <c r="N1587" s="38" t="str">
        <f>IF('päd.Personal - Leitung'!$N$3="","",'päd.Personal - Leitung'!$N$3)</f>
        <v/>
      </c>
    </row>
    <row r="1588" spans="1:19" s="923" customFormat="1" ht="7.5" customHeight="1" x14ac:dyDescent="0.15">
      <c r="A1588" s="1353"/>
      <c r="B1588" s="1353"/>
      <c r="C1588" s="1353"/>
      <c r="D1588" s="1354"/>
      <c r="E1588" s="1354"/>
      <c r="F1588" s="1354"/>
      <c r="G1588" s="1354"/>
      <c r="H1588" s="1354"/>
      <c r="I1588" s="1354"/>
      <c r="J1588" s="1354"/>
      <c r="K1588" s="922"/>
      <c r="L1588" s="922"/>
      <c r="M1588" s="922"/>
      <c r="N1588" s="922"/>
      <c r="O1588" s="922"/>
      <c r="P1588" s="922"/>
    </row>
    <row r="1589" spans="1:19" s="13" customFormat="1" ht="13.5" customHeight="1" x14ac:dyDescent="0.2">
      <c r="A1589" s="1355" t="s">
        <v>151</v>
      </c>
      <c r="B1589" s="1355"/>
      <c r="C1589" s="1355"/>
      <c r="D1589" s="1355"/>
      <c r="E1589" s="1355"/>
      <c r="F1589" s="1355"/>
      <c r="G1589" s="1355"/>
      <c r="H1589" s="1355"/>
      <c r="I1589" s="1355"/>
      <c r="J1589" s="1355"/>
      <c r="K1589" s="7"/>
      <c r="L1589" s="7"/>
      <c r="M1589" s="7"/>
      <c r="N1589" s="52"/>
      <c r="O1589" s="138">
        <f>'päd.Personal - Leitung'!$O$5</f>
        <v>2025</v>
      </c>
      <c r="P1589" s="52" t="s">
        <v>140</v>
      </c>
    </row>
    <row r="1590" spans="1:19" s="8" customFormat="1" ht="13.5" customHeight="1" x14ac:dyDescent="0.25">
      <c r="B1590" s="29"/>
      <c r="C1590" s="29"/>
      <c r="D1590" s="3" t="s">
        <v>188</v>
      </c>
      <c r="E1590" s="28"/>
      <c r="F1590" s="28"/>
      <c r="G1590" s="28"/>
      <c r="H1590" s="28"/>
      <c r="I1590" s="24"/>
      <c r="K1590" s="1327" t="s">
        <v>13</v>
      </c>
      <c r="L1590" s="1327"/>
      <c r="M1590" s="131"/>
      <c r="O1590" s="928" t="str">
        <f>A1613</f>
        <v>Jan 2025</v>
      </c>
      <c r="P1590" s="1402">
        <f>IF(M1592="","",M1592)</f>
        <v>0</v>
      </c>
    </row>
    <row r="1591" spans="1:19" s="5" customFormat="1" ht="13.5" customHeight="1" x14ac:dyDescent="0.25">
      <c r="A1591" s="1328" t="s">
        <v>754</v>
      </c>
      <c r="B1591" s="1328"/>
      <c r="C1591" s="1328"/>
      <c r="D1591" s="1345"/>
      <c r="E1591" s="1345"/>
      <c r="F1591" s="1345"/>
      <c r="G1591" s="1345"/>
      <c r="H1591" s="1345"/>
      <c r="I1591" s="1345"/>
      <c r="K1591" s="1327" t="s">
        <v>101</v>
      </c>
      <c r="L1591" s="1327"/>
      <c r="M1591" s="101"/>
      <c r="O1591" s="928" t="str">
        <f t="shared" ref="O1591:O1601" si="254">A1614</f>
        <v>Feb 2025</v>
      </c>
      <c r="P1591" s="1403">
        <f t="shared" ref="P1591:P1601" si="255">IF(P1590="","",P1590)</f>
        <v>0</v>
      </c>
    </row>
    <row r="1592" spans="1:19" s="1" customFormat="1" ht="13.5" customHeight="1" x14ac:dyDescent="0.2">
      <c r="A1592" s="1328" t="s">
        <v>12</v>
      </c>
      <c r="B1592" s="1328"/>
      <c r="C1592" s="1328"/>
      <c r="D1592" s="1345"/>
      <c r="E1592" s="1345"/>
      <c r="F1592" s="1345"/>
      <c r="G1592" s="1345"/>
      <c r="H1592" s="1345"/>
      <c r="I1592" s="1345"/>
      <c r="K1592" s="1327" t="s">
        <v>149</v>
      </c>
      <c r="L1592" s="1327"/>
      <c r="M1592" s="101">
        <f>IF((M1593+M1594)&gt;M1591,0,M1591-M1593-M1594)</f>
        <v>0</v>
      </c>
      <c r="O1592" s="928" t="str">
        <f t="shared" si="254"/>
        <v>Mrz 2025</v>
      </c>
      <c r="P1592" s="1403">
        <f t="shared" si="255"/>
        <v>0</v>
      </c>
    </row>
    <row r="1593" spans="1:19" s="1" customFormat="1" ht="13.5" customHeight="1" x14ac:dyDescent="0.2">
      <c r="A1593" s="1328" t="s">
        <v>11</v>
      </c>
      <c r="B1593" s="1328"/>
      <c r="C1593" s="1328"/>
      <c r="D1593" s="1345"/>
      <c r="E1593" s="1345"/>
      <c r="F1593" s="1345"/>
      <c r="G1593" s="1345"/>
      <c r="H1593" s="1345"/>
      <c r="I1593" s="1345"/>
      <c r="K1593" s="1327" t="s">
        <v>150</v>
      </c>
      <c r="L1593" s="1327"/>
      <c r="M1593" s="101"/>
      <c r="O1593" s="928" t="str">
        <f t="shared" si="254"/>
        <v>Apr 2025</v>
      </c>
      <c r="P1593" s="1403">
        <f t="shared" si="255"/>
        <v>0</v>
      </c>
    </row>
    <row r="1594" spans="1:19" s="1" customFormat="1" ht="13.5" customHeight="1" x14ac:dyDescent="0.2">
      <c r="A1594" s="1328" t="s">
        <v>18</v>
      </c>
      <c r="B1594" s="1328"/>
      <c r="C1594" s="1328"/>
      <c r="D1594" s="1345"/>
      <c r="E1594" s="1345"/>
      <c r="F1594" s="1345"/>
      <c r="G1594" s="1345"/>
      <c r="H1594" s="1345"/>
      <c r="I1594" s="1345"/>
      <c r="K1594" s="1327" t="s">
        <v>222</v>
      </c>
      <c r="L1594" s="1327"/>
      <c r="M1594" s="101"/>
      <c r="O1594" s="928" t="str">
        <f t="shared" si="254"/>
        <v>Mai 2025</v>
      </c>
      <c r="P1594" s="1403">
        <f t="shared" si="255"/>
        <v>0</v>
      </c>
    </row>
    <row r="1595" spans="1:19" s="1" customFormat="1" ht="13.5" customHeight="1" x14ac:dyDescent="0.2">
      <c r="B1595" s="6"/>
      <c r="C1595" s="959" t="s">
        <v>147</v>
      </c>
      <c r="D1595" s="1324"/>
      <c r="E1595" s="1324"/>
      <c r="F1595" s="1359" t="s">
        <v>103</v>
      </c>
      <c r="G1595" s="1359"/>
      <c r="H1595" s="1361"/>
      <c r="I1595" s="1361"/>
      <c r="K1595" s="1327" t="s">
        <v>94</v>
      </c>
      <c r="L1595" s="1327"/>
      <c r="M1595" s="15" t="str">
        <f>IF(IF((COUNTIF(B1613:B1624,"&gt;0"))=0,0,(COUNTIF(B1613:B1624,"&gt;0")))&gt;Grundlagen!$C$26,Grundlagen!$C$26,IF((COUNTIF(B1613:B1624,"&gt;0"))=0,"",(COUNTIF(B1613:B1624,"&gt;0"))))</f>
        <v/>
      </c>
      <c r="O1595" s="928" t="str">
        <f t="shared" si="254"/>
        <v>Jun 2025</v>
      </c>
      <c r="P1595" s="1403">
        <f t="shared" si="255"/>
        <v>0</v>
      </c>
    </row>
    <row r="1596" spans="1:19" s="1" customFormat="1" ht="13.5" customHeight="1" x14ac:dyDescent="0.2">
      <c r="I1596" s="4"/>
      <c r="M1596" s="102" t="str">
        <f>IF((SUM(F1598:F1601))=0,"",IF(P1602&gt;M1592,M1592,IF(M1592="","",IF(M1595="","",P1602))))</f>
        <v/>
      </c>
      <c r="O1596" s="928" t="str">
        <f t="shared" si="254"/>
        <v>Jul 2025</v>
      </c>
      <c r="P1596" s="1403">
        <f t="shared" si="255"/>
        <v>0</v>
      </c>
    </row>
    <row r="1597" spans="1:19" s="46" customFormat="1" ht="13.5" customHeight="1" x14ac:dyDescent="0.2">
      <c r="A1597" s="54" t="s">
        <v>134</v>
      </c>
      <c r="B1597" s="1356" t="s">
        <v>135</v>
      </c>
      <c r="C1597" s="1356"/>
      <c r="D1597" s="55" t="s">
        <v>136</v>
      </c>
      <c r="E1597" s="56" t="s">
        <v>137</v>
      </c>
      <c r="F1597" s="57" t="str">
        <f>CONCATENATE("Entg. ",N1587," h/Wo")</f>
        <v>Entg.  h/Wo</v>
      </c>
      <c r="G1597" s="58" t="s">
        <v>138</v>
      </c>
      <c r="I1597" s="58" t="s">
        <v>139</v>
      </c>
      <c r="K1597" s="970"/>
      <c r="L1597" s="970"/>
      <c r="M1597" s="59"/>
      <c r="N1597" s="968"/>
      <c r="O1597" s="928" t="str">
        <f t="shared" si="254"/>
        <v>Aug 2025</v>
      </c>
      <c r="P1597" s="1403">
        <f t="shared" si="255"/>
        <v>0</v>
      </c>
      <c r="Q1597" s="85"/>
      <c r="R1597" s="85"/>
      <c r="S1597" s="85"/>
    </row>
    <row r="1598" spans="1:19" s="46" customFormat="1" ht="13.5" customHeight="1" x14ac:dyDescent="0.25">
      <c r="A1598" s="48" t="str">
        <f>'päd.Personal - Leitung'!$A$14</f>
        <v>Jan 2025</v>
      </c>
      <c r="B1598" s="1357" t="str">
        <f>IF($D$3="","",$D$3)</f>
        <v/>
      </c>
      <c r="C1598" s="1358"/>
      <c r="D1598" s="132"/>
      <c r="E1598" s="132"/>
      <c r="F1598" s="71"/>
      <c r="G1598" s="50">
        <f>IF(N1587="",0,F1598/N1587/4.348)</f>
        <v>0</v>
      </c>
      <c r="I1598" s="125">
        <f>SUM(J1598:M1598)</f>
        <v>0</v>
      </c>
      <c r="J1598" s="124"/>
      <c r="K1598" s="124"/>
      <c r="L1598" s="124"/>
      <c r="M1598" s="124"/>
      <c r="N1598" s="969"/>
      <c r="O1598" s="928" t="str">
        <f t="shared" si="254"/>
        <v>Sep 2025</v>
      </c>
      <c r="P1598" s="1403">
        <f t="shared" si="255"/>
        <v>0</v>
      </c>
      <c r="Q1598" s="85"/>
      <c r="R1598" s="85"/>
      <c r="S1598" s="85"/>
    </row>
    <row r="1599" spans="1:19" s="46" customFormat="1" ht="13.5" customHeight="1" x14ac:dyDescent="0.25">
      <c r="A1599" s="49"/>
      <c r="B1599" s="1322" t="str">
        <f>IF(A1599="","",B1598)</f>
        <v/>
      </c>
      <c r="C1599" s="1323"/>
      <c r="D1599" s="132"/>
      <c r="E1599" s="132"/>
      <c r="F1599" s="71"/>
      <c r="G1599" s="50">
        <f>IF(N1587="",0,F1599/N1587/4.348)</f>
        <v>0</v>
      </c>
      <c r="I1599" s="125">
        <f t="shared" ref="I1599:I1601" si="256">SUM(J1599:M1599)</f>
        <v>0</v>
      </c>
      <c r="J1599" s="124"/>
      <c r="K1599" s="124"/>
      <c r="L1599" s="124"/>
      <c r="M1599" s="124"/>
      <c r="N1599" s="969"/>
      <c r="O1599" s="928" t="str">
        <f t="shared" si="254"/>
        <v>Okt 2025</v>
      </c>
      <c r="P1599" s="1403">
        <f t="shared" si="255"/>
        <v>0</v>
      </c>
      <c r="Q1599" s="85"/>
      <c r="R1599" s="85"/>
      <c r="S1599" s="85"/>
    </row>
    <row r="1600" spans="1:19" s="46" customFormat="1" ht="13.5" customHeight="1" x14ac:dyDescent="0.25">
      <c r="A1600" s="49"/>
      <c r="B1600" s="1322" t="str">
        <f>IF(A1600="","",B1599)</f>
        <v/>
      </c>
      <c r="C1600" s="1323"/>
      <c r="D1600" s="132"/>
      <c r="E1600" s="132"/>
      <c r="F1600" s="71"/>
      <c r="G1600" s="50">
        <f>IF(N1587="",0,F1600/N1587/4.348)</f>
        <v>0</v>
      </c>
      <c r="I1600" s="125">
        <f t="shared" si="256"/>
        <v>0</v>
      </c>
      <c r="J1600" s="124"/>
      <c r="K1600" s="124"/>
      <c r="L1600" s="124"/>
      <c r="M1600" s="124"/>
      <c r="N1600" s="969"/>
      <c r="O1600" s="928" t="str">
        <f t="shared" si="254"/>
        <v>Nov 2025</v>
      </c>
      <c r="P1600" s="1403">
        <f t="shared" si="255"/>
        <v>0</v>
      </c>
      <c r="Q1600" s="85"/>
      <c r="R1600" s="85"/>
      <c r="S1600" s="85"/>
    </row>
    <row r="1601" spans="1:22" s="46" customFormat="1" ht="13.5" customHeight="1" x14ac:dyDescent="0.25">
      <c r="A1601" s="49"/>
      <c r="B1601" s="1322" t="str">
        <f>IF(A1601="","",B1600)</f>
        <v/>
      </c>
      <c r="C1601" s="1323"/>
      <c r="D1601" s="132"/>
      <c r="E1601" s="132"/>
      <c r="F1601" s="71"/>
      <c r="G1601" s="50">
        <f>IF(N1587="",0,F1601/N1587/4.348)</f>
        <v>0</v>
      </c>
      <c r="I1601" s="125">
        <f t="shared" si="256"/>
        <v>0</v>
      </c>
      <c r="J1601" s="124"/>
      <c r="K1601" s="124"/>
      <c r="L1601" s="124"/>
      <c r="M1601" s="124"/>
      <c r="N1601" s="969"/>
      <c r="O1601" s="928" t="str">
        <f t="shared" si="254"/>
        <v>Dez 2025</v>
      </c>
      <c r="P1601" s="1403">
        <f t="shared" si="255"/>
        <v>0</v>
      </c>
      <c r="Q1601" s="85"/>
      <c r="R1601" s="85"/>
      <c r="S1601" s="85"/>
    </row>
    <row r="1602" spans="1:22" s="46" customFormat="1" ht="13.5" customHeight="1" x14ac:dyDescent="0.25">
      <c r="B1602" s="972"/>
      <c r="C1602" s="972"/>
      <c r="E1602" s="972"/>
      <c r="F1602" s="972"/>
      <c r="I1602" s="930" t="s">
        <v>730</v>
      </c>
      <c r="J1602" s="1060"/>
      <c r="K1602" s="1060"/>
      <c r="L1602" s="1060"/>
      <c r="M1602" s="1060"/>
      <c r="N1602" s="971"/>
      <c r="O1602" s="126" t="s">
        <v>221</v>
      </c>
      <c r="P1602" s="127">
        <f>IF(M1595="",0,((IF(SUMIF(B1613,"&gt;0"),P1590,0))+(IF(SUMIF(B1614,"&gt;0"),P1591,0))+(IF(SUMIF(B1615,"&gt;0"),P1592,0))+(IF(SUMIF(B1616,"&gt;0"),P1593,0))+(IF(SUMIF(B1617,"&gt;0"),P1594,0))+(IF(SUMIF(B1618,"&gt;0"),P1595,0))+(IF(SUMIF(B1619,"&gt;0"),P1596,0))+(IF(SUMIF(B1620,"&gt;0"),P1597,0))+(IF(SUMIF(B1621,"&gt;0"),P1598,0))+(IF(SUMIF(B1622,"&gt;0"),P1599,0))+(IF(SUMIF(B1623,"&gt;0"),P1600,0))+(IF(SUMIF(B1624,"&gt;0"),P1601,0)))/Grundlagen!$C$26)</f>
        <v>0</v>
      </c>
      <c r="Q1602" s="958" t="str">
        <f>CONCATENATE("BBG"," anteilig ",O1604)</f>
        <v>BBG anteilig 2025</v>
      </c>
      <c r="R1602" s="931" t="s">
        <v>659</v>
      </c>
      <c r="S1602" s="931" t="s">
        <v>398</v>
      </c>
      <c r="T1602" s="107"/>
    </row>
    <row r="1603" spans="1:22" s="46" customFormat="1" ht="13.5" customHeight="1" x14ac:dyDescent="0.2">
      <c r="A1603" s="924" t="s">
        <v>732</v>
      </c>
      <c r="D1603" s="55" t="s">
        <v>369</v>
      </c>
      <c r="E1603" s="56" t="s">
        <v>368</v>
      </c>
      <c r="F1603" s="58"/>
      <c r="J1603" s="61"/>
      <c r="Q1603" s="932" t="s">
        <v>144</v>
      </c>
      <c r="R1603" s="140">
        <f>IF(M1592=0,R1607,IF(M1591="",R1607,(SUM(R1613:R1624)/M1595)))</f>
        <v>5175</v>
      </c>
      <c r="S1603" s="933">
        <f>IF(M1592=0,S1607,IF(M1591="",S1607,SUM(R1613:R1624)))</f>
        <v>0</v>
      </c>
      <c r="T1603" s="107"/>
    </row>
    <row r="1604" spans="1:22" s="46" customFormat="1" ht="13.5" customHeight="1" x14ac:dyDescent="0.25">
      <c r="A1604" s="60"/>
      <c r="B1604" s="1314" t="str">
        <f>IF($B$20="","",$B$20)</f>
        <v>Jahressonderzahlung (JSZ)</v>
      </c>
      <c r="C1604" s="1315"/>
      <c r="D1604" s="926"/>
      <c r="E1604" s="929" t="str">
        <f>IF(A1604="","",ROUND((((SUM(B1619:B1621)+SUM(F1619:F1621))/3)*D1604)/Grundlagen!$C$26*M1595,2))</f>
        <v/>
      </c>
      <c r="G1604" s="941" t="s">
        <v>733</v>
      </c>
      <c r="H1604" s="943"/>
      <c r="I1604" s="1316" t="str">
        <f>CONCATENATE(R1627,":"," Übergangsbereich von ",R1628+0.01," €"," bis ",R1629," €")</f>
        <v>2025: Übergangsbereich von 556,01 € bis 2000 €</v>
      </c>
      <c r="J1604" s="1317"/>
      <c r="K1604" s="1317"/>
      <c r="L1604" s="1067"/>
      <c r="M1604" s="1067"/>
      <c r="N1604" s="1068" t="s">
        <v>736</v>
      </c>
      <c r="O1604" s="1069">
        <f>P1604+1</f>
        <v>2025</v>
      </c>
      <c r="P1604" s="1069" t="s">
        <v>721</v>
      </c>
      <c r="Q1604" s="932" t="s">
        <v>145</v>
      </c>
      <c r="R1604" s="140">
        <f>IF(M1592=0,R1608,IF(M1591="",R1608,(SUM(S1613:S1624)/M1595)))</f>
        <v>7450</v>
      </c>
      <c r="S1604" s="933">
        <f>IF(M1592=0,S1608,IF(M1591="",S1608,SUM(S1613:S1624)))</f>
        <v>0</v>
      </c>
      <c r="T1604" s="109"/>
    </row>
    <row r="1605" spans="1:22" s="1" customFormat="1" ht="14.25" customHeight="1" x14ac:dyDescent="0.2">
      <c r="A1605" s="60"/>
      <c r="B1605" s="1314" t="str">
        <f>IF($B$21="","",$B$21)</f>
        <v>Leistungsentgelt (LOB)</v>
      </c>
      <c r="C1605" s="1315"/>
      <c r="D1605" s="926"/>
      <c r="E1605" s="929" t="str">
        <f>IF(A1605="","",ROUND(((B1625+F1625)*D1605)/Grundlagen!$C$26*M1595,2))</f>
        <v/>
      </c>
      <c r="G1605" s="941" t="str">
        <f>IF(OR(H1604="",H1604="nein")=TRUE,"","Faktor (F):")</f>
        <v/>
      </c>
      <c r="H1605" s="949" t="str">
        <f>IF(OR(H1604="",H1604="nein")=TRUE,"",IF(H1604="","",R1631))</f>
        <v/>
      </c>
      <c r="I1605" s="1318" t="str">
        <f>IF(OR(H1604="",H1604="nein")=TRUE,"",IF(H1605="","",CONCATENATE(S1631*100,"%"," / ","(",R1630*100,"%"," Gesamt-SV-Beitragssatz 2024)")))</f>
        <v/>
      </c>
      <c r="J1605" s="1319"/>
      <c r="K1605" s="1319"/>
      <c r="L1605" s="1070"/>
      <c r="M1605" s="1070"/>
      <c r="N1605" s="1071" t="s">
        <v>144</v>
      </c>
      <c r="O1605" s="1072">
        <f>'päd.Personal - Leitung'!$O$21</f>
        <v>5175</v>
      </c>
      <c r="P1605" s="1072">
        <f>'päd.Personal - Leitung'!$P$21</f>
        <v>5175</v>
      </c>
      <c r="Q1605" s="11"/>
      <c r="R1605" s="11"/>
      <c r="S1605" s="11"/>
      <c r="T1605" s="109"/>
    </row>
    <row r="1606" spans="1:22" s="1" customFormat="1" ht="14.25" customHeight="1" x14ac:dyDescent="0.2">
      <c r="C1606" s="925" t="s">
        <v>731</v>
      </c>
      <c r="L1606" s="1070"/>
      <c r="M1606" s="1070"/>
      <c r="N1606" s="1071" t="s">
        <v>145</v>
      </c>
      <c r="O1606" s="1073">
        <f>'päd.Personal - Leitung'!$O$22</f>
        <v>7450</v>
      </c>
      <c r="P1606" s="1073">
        <f>'päd.Personal - Leitung'!$P$22</f>
        <v>7450</v>
      </c>
      <c r="Q1606" s="958" t="str">
        <f>CONCATENATE("BBG"," ",O1604)</f>
        <v>BBG 2025</v>
      </c>
      <c r="R1606" s="11"/>
      <c r="S1606" s="11"/>
      <c r="T1606" s="109"/>
    </row>
    <row r="1607" spans="1:22" s="1" customFormat="1" ht="14.25" customHeight="1" x14ac:dyDescent="0.2">
      <c r="A1607" s="53" t="s">
        <v>141</v>
      </c>
      <c r="B1607" s="46"/>
      <c r="C1607" s="46"/>
      <c r="D1607" s="46"/>
      <c r="E1607" s="46"/>
      <c r="F1607" s="46"/>
      <c r="G1607" s="46"/>
      <c r="H1607" s="46"/>
      <c r="I1607" s="46"/>
      <c r="J1607" s="46"/>
      <c r="K1607" s="46"/>
      <c r="L1607" s="46"/>
      <c r="M1607" s="46"/>
      <c r="N1607" s="46"/>
      <c r="O1607" s="46"/>
      <c r="P1607" s="46"/>
      <c r="Q1607" s="932" t="s">
        <v>144</v>
      </c>
      <c r="R1607" s="141">
        <f>IF($O$21="",0,$O$21)</f>
        <v>5175</v>
      </c>
      <c r="S1607" s="933">
        <f>R1607*IF(M1595="",0,M1595)</f>
        <v>0</v>
      </c>
      <c r="T1607" s="295"/>
    </row>
    <row r="1608" spans="1:22" s="1" customFormat="1" x14ac:dyDescent="0.2">
      <c r="A1608" s="1346"/>
      <c r="B1608" s="1348" t="s">
        <v>8</v>
      </c>
      <c r="C1608" s="1349"/>
      <c r="D1608" s="1349"/>
      <c r="E1608" s="1349"/>
      <c r="F1608" s="1349"/>
      <c r="G1608" s="1350"/>
      <c r="H1608" s="1351" t="s">
        <v>113</v>
      </c>
      <c r="I1608" s="1352"/>
      <c r="J1608" s="1352"/>
      <c r="K1608" s="1352"/>
      <c r="L1608" s="1352"/>
      <c r="M1608" s="1352"/>
      <c r="N1608" s="1352"/>
      <c r="O1608" s="30"/>
      <c r="P1608" s="1330" t="s">
        <v>0</v>
      </c>
      <c r="Q1608" s="932" t="s">
        <v>145</v>
      </c>
      <c r="R1608" s="141">
        <f>IF($O$22="",0,$O$22)</f>
        <v>7450</v>
      </c>
      <c r="S1608" s="933">
        <f>R1608*IF(M1595="",0,M1595)</f>
        <v>0</v>
      </c>
      <c r="T1608" s="830"/>
    </row>
    <row r="1609" spans="1:22" s="1" customFormat="1" ht="14.25" customHeight="1" x14ac:dyDescent="0.2">
      <c r="A1609" s="1347"/>
      <c r="B1609" s="1333" t="s">
        <v>111</v>
      </c>
      <c r="C1609" s="1335" t="s">
        <v>743</v>
      </c>
      <c r="D1609" s="1337" t="s">
        <v>226</v>
      </c>
      <c r="E1609" s="1339" t="s">
        <v>133</v>
      </c>
      <c r="F1609" s="962" t="s">
        <v>6</v>
      </c>
      <c r="G1609" s="1340" t="s">
        <v>5</v>
      </c>
      <c r="H1609" s="1339" t="s">
        <v>119</v>
      </c>
      <c r="I1609" s="1339" t="s">
        <v>4</v>
      </c>
      <c r="J1609" s="1339" t="s">
        <v>3</v>
      </c>
      <c r="K1609" s="1339" t="s">
        <v>2</v>
      </c>
      <c r="L1609" s="1339" t="s">
        <v>114</v>
      </c>
      <c r="M1609" s="1339" t="s">
        <v>115</v>
      </c>
      <c r="N1609" s="1339" t="s">
        <v>116</v>
      </c>
      <c r="O1609" s="1338" t="s">
        <v>109</v>
      </c>
      <c r="P1609" s="1331"/>
      <c r="Q1609" s="456"/>
      <c r="R1609" s="11"/>
      <c r="S1609" s="11"/>
      <c r="T1609" s="621"/>
    </row>
    <row r="1610" spans="1:22" s="1" customFormat="1" x14ac:dyDescent="0.2">
      <c r="A1610" s="1347"/>
      <c r="B1610" s="1333"/>
      <c r="C1610" s="1335"/>
      <c r="D1610" s="1338"/>
      <c r="E1610" s="1339"/>
      <c r="F1610" s="1343" t="str">
        <f>I1602</f>
        <v>Zuschläge / Zulagen / o.ä.:</v>
      </c>
      <c r="G1610" s="1340"/>
      <c r="H1610" s="1342" t="s">
        <v>117</v>
      </c>
      <c r="I1610" s="1342"/>
      <c r="J1610" s="1342"/>
      <c r="K1610" s="1342"/>
      <c r="L1610" s="1342"/>
      <c r="M1610" s="1342"/>
      <c r="N1610" s="1342"/>
      <c r="O1610" s="1338"/>
      <c r="P1610" s="1331"/>
      <c r="Q1610" s="456"/>
      <c r="R1610" s="1306" t="str">
        <f>Q1602</f>
        <v>BBG anteilig 2025</v>
      </c>
      <c r="S1610" s="1306"/>
      <c r="T1610" s="829"/>
    </row>
    <row r="1611" spans="1:22" s="1" customFormat="1" ht="14.25" customHeight="1" x14ac:dyDescent="0.2">
      <c r="A1611" s="1347"/>
      <c r="B1611" s="1333"/>
      <c r="C1611" s="1335"/>
      <c r="D1611" s="1338"/>
      <c r="E1611" s="1339"/>
      <c r="F1611" s="1343"/>
      <c r="G1611" s="1340"/>
      <c r="H1611" s="39" t="str">
        <f>'päd.Personal - Leitung'!$H$27</f>
        <v>(7,30% + Zusatz)</v>
      </c>
      <c r="I1611" s="39" t="str">
        <f>'päd.Personal - Leitung'!$I$27</f>
        <v xml:space="preserve"> (2024: 9,30%)</v>
      </c>
      <c r="J1611" s="39" t="str">
        <f>'päd.Personal - Leitung'!$J$27</f>
        <v>(2024: 1,30%)</v>
      </c>
      <c r="K1611" s="39" t="str">
        <f>'päd.Personal - Leitung'!$K$27</f>
        <v>(2024: 1,700%)</v>
      </c>
      <c r="L1611" s="39"/>
      <c r="M1611" s="39"/>
      <c r="N1611" s="39" t="str">
        <f>'päd.Personal - Leitung'!$N$27</f>
        <v>(2024: 0,06%)</v>
      </c>
      <c r="O1611" s="1338"/>
      <c r="P1611" s="1331"/>
      <c r="Q1611" s="456"/>
      <c r="R1611" s="1307" t="s">
        <v>659</v>
      </c>
      <c r="S1611" s="1307"/>
      <c r="T1611" s="829"/>
      <c r="U1611" s="1308" t="s">
        <v>1</v>
      </c>
      <c r="V1611" s="1308" t="s">
        <v>741</v>
      </c>
    </row>
    <row r="1612" spans="1:22" s="1" customFormat="1" x14ac:dyDescent="0.2">
      <c r="A1612" s="1347"/>
      <c r="B1612" s="1334"/>
      <c r="C1612" s="1336"/>
      <c r="D1612" s="45"/>
      <c r="E1612" s="45"/>
      <c r="F1612" s="1344"/>
      <c r="G1612" s="1341"/>
      <c r="H1612" s="74"/>
      <c r="I1612" s="99">
        <f>'päd.Personal - Leitung'!$I$28</f>
        <v>0</v>
      </c>
      <c r="J1612" s="99">
        <f>'päd.Personal - Leitung'!$J$28</f>
        <v>0</v>
      </c>
      <c r="K1612" s="40">
        <f>'päd.Personal - Leitung'!$K$28</f>
        <v>0</v>
      </c>
      <c r="L1612" s="19"/>
      <c r="M1612" s="19"/>
      <c r="N1612" s="99">
        <f>'päd.Personal - Leitung'!$N$28</f>
        <v>0</v>
      </c>
      <c r="O1612" s="23"/>
      <c r="P1612" s="1332"/>
      <c r="Q1612" s="456"/>
      <c r="R1612" s="935" t="s">
        <v>144</v>
      </c>
      <c r="S1612" s="935" t="s">
        <v>145</v>
      </c>
      <c r="T1612" s="829"/>
      <c r="U1612" s="1308"/>
      <c r="V1612" s="1308"/>
    </row>
    <row r="1613" spans="1:22" s="1" customFormat="1" x14ac:dyDescent="0.2">
      <c r="A1613" s="76" t="str">
        <f>CONCATENATE("Jan ",O1589)</f>
        <v>Jan 2025</v>
      </c>
      <c r="B1613" s="22">
        <f>ROUND(IF(P1590=0,0,(LOOKUP(2,1/(A1598:A1601=A1613),G1598:G1601))*P1590*4.348),2)</f>
        <v>0</v>
      </c>
      <c r="C1613" s="21">
        <f>ROUND(IFERROR((LOOKUP(2,1/(A1604=A1613),E1604)),0)+IFERROR((LOOKUP(2,1/(A1605=A1613),E1605)),0),2)</f>
        <v>0</v>
      </c>
      <c r="D1613" s="21">
        <f>ROUND(IF(B1613=0,0,D1612/M1591*P1590),2)</f>
        <v>0</v>
      </c>
      <c r="E1613" s="21">
        <f>ROUND(IF(B1613=0,0,E1612/N1587*P1590),2)</f>
        <v>0</v>
      </c>
      <c r="F1613" s="22">
        <f>ROUND(IF(P1590=0,0,(LOOKUP(2,1/(A1598:A1601=A1613),I1598:I1601))/N1587*P1590),2)</f>
        <v>0</v>
      </c>
      <c r="G1613" s="25">
        <f t="shared" ref="G1613:G1624" si="257">SUM(B1613+C1613+E1613+F1613)</f>
        <v>0</v>
      </c>
      <c r="H1613" s="64">
        <f>IF(B1613=0,0,IF(AND(H1604="ja",((U1613)&lt;R1629)),ROUND(((R1631*R1628+((R1629/(R1629-R1628))-(R1628/(R1629-R1628))*R1631)*((U1613)-R1628))*(H1612*2))-(((R1629/(R1629-R1628))*((U1613)-R1628))*H1612),2),ROUND(IF((U1613)&gt;R1613,R1613*H1612,U1613*H1612),2)))</f>
        <v>0</v>
      </c>
      <c r="I1613" s="64">
        <f>IF(B1613=0,0,IF(AND(H1604="ja",((U1613)&lt;R1629)),ROUND(((R1631*R1628+((R1629/(R1629-R1628))-(R1628/(R1629-R1628))*R1631)*((U1613)-R1628))*(I1612*2))-(((R1629/(R1629-R1628))*((U1613)-R1628))*I1612),2),ROUND(IF((U1613)&gt;S1613,S1613*I1612,U1613*I1612),2)))</f>
        <v>0</v>
      </c>
      <c r="J1613" s="64">
        <f>IF(B1613=0,0,IF(AND(H1604="ja",((U1613)&lt;R1629)),ROUND(((R1631*R1628+((R1629/(R1629-R1628))-(R1628/(R1629-R1628))*R1631)*((U1613)-R1628))*(J1612*2))-(((R1629/(R1629-R1628))*((U1613)-R1628))*J1612),2),ROUND(IF((U1613)&gt;S1613,S1613*J1612,U1613*J1612),2)))</f>
        <v>0</v>
      </c>
      <c r="K1613" s="64">
        <f>IF(B1613=0,0,IF(AND(H1604="ja",((U1613)&lt;R1629)),ROUND(((R1631*R1628+((R1629/(R1629-R1628))-(R1628/(R1629-R1628))*R1631)*((U1613)-R1628))*(K1612*2))-(((R1629/(R1629-R1628))*((U1613)-R1628))*K1612),2),ROUND(IF((U1613)&gt;R1613,R1613*K1612,U1613*K1612),2)))</f>
        <v>0</v>
      </c>
      <c r="L1613" s="64">
        <f>IF(B1613=0,0,IF(AND(H1604="ja",((U1613-C1613)&lt;R1629)),ROUND(((R1631*R1628+((R1629/(R1629-R1628))-(R1628/(R1629-R1628))*R1631)*((U1613-C1613)-R1628))*(L1612)),2),ROUND(IF((SUM(B1613:F1613))&gt;S1613,S1613*L1612,(SUM(B1613:F1613)-C1613)*L1612),2)))</f>
        <v>0</v>
      </c>
      <c r="M1613" s="64">
        <f>IF(B1613=0,0,IF(AND(H1604="ja",((U1613-C1613)&lt;R1629)),ROUND(((R1631*R1628+((R1629/(R1629-R1628))-(R1628/(R1629-R1628))*R1631)*((U1613-C1613)-R1628))*(M1612)),2),ROUND(IF((SUM(B1613:F1613))&gt;S1613,S1613*M1612,(SUM(B1613:F1613)-C1613)*M1612),2)))</f>
        <v>0</v>
      </c>
      <c r="N1613" s="64">
        <f>IF(B1613=0,0,IF(AND(H1604="ja",((U1613)&lt;R1629)),ROUND(((R1631*R1628+((R1629/(R1629-R1628))-(R1628/(R1629-R1628))*R1631)*((U1613)-R1628))*(N1612)),2),ROUND(IF((SUM(B1613:F1613))&gt;S1613,S1613*N1612,SUM(B1613:F1613)*N1612),2)))</f>
        <v>0</v>
      </c>
      <c r="O1613" s="21">
        <f>ROUND(SUM(B1613+C1613+F1613)*O1612,2)</f>
        <v>0</v>
      </c>
      <c r="P1613" s="25">
        <f>SUM(G1613:O1613)</f>
        <v>0</v>
      </c>
      <c r="Q1613" s="456"/>
      <c r="R1613" s="140">
        <f>ROUND(IF(M1591="",R1607,R1607/M1591*P1590),2)</f>
        <v>5175</v>
      </c>
      <c r="S1613" s="140">
        <f>ROUND(IF(M1591="",R1608,R1608/M1591*P1590),2)</f>
        <v>7450</v>
      </c>
      <c r="U1613" s="950">
        <f>SUM(B1613:F1613)</f>
        <v>0</v>
      </c>
      <c r="V1613" s="950">
        <f>SUM(B1613:F1613)</f>
        <v>0</v>
      </c>
    </row>
    <row r="1614" spans="1:22" s="1" customFormat="1" x14ac:dyDescent="0.2">
      <c r="A1614" s="76" t="str">
        <f>CONCATENATE("Feb ",O1589)</f>
        <v>Feb 2025</v>
      </c>
      <c r="B1614" s="22">
        <f>ROUND(IF(P1591=0,0,IFERROR(((LOOKUP(2,1/(A1598:A1601=A1614),G1598:G1601))*P1591*4.348),B1613/P1590*P1591)),2)</f>
        <v>0</v>
      </c>
      <c r="C1614" s="21">
        <f>ROUND(IFERROR((LOOKUP(2,1/(A1604=A1614),E1604)),0)+IFERROR((LOOKUP(2,1/(A1605=A1614),E1605)),0),2)</f>
        <v>0</v>
      </c>
      <c r="D1614" s="21">
        <f>ROUND(IF(B1614=0,0,D1612/M1591*P1591),2)</f>
        <v>0</v>
      </c>
      <c r="E1614" s="21">
        <f>ROUND(IF(B1614=0,0,E1612/N1587*P1591),2)</f>
        <v>0</v>
      </c>
      <c r="F1614" s="22">
        <f>ROUND(IF(P1591=0,0,IFERROR(((LOOKUP(2,1/(A1598:A1601=A1614),I1598:I1601))/N1587*P1591),F1613/P1590*P1591)),2)</f>
        <v>0</v>
      </c>
      <c r="G1614" s="25">
        <f t="shared" si="257"/>
        <v>0</v>
      </c>
      <c r="H1614" s="64">
        <f>IF(B1614=0,0,IF(AND(H1604="ja",((U1614)&lt;R1629)),ROUND(((R1631*R1628+((R1629/(R1629-R1628))-(R1628/(R1629-R1628))*R1631)*((U1614)-R1628))*(H1612*2))-(((R1629/(R1629-R1628))*((U1614)-R1628))*H1612),2),ROUND(IF(U1613&lt;(R1613),IF((V1614)&gt;(SUM(R1613:R1614)),(((SUM(R1613:R1614))-(V1614-C1613))*H1612)+((U1614-C1613)*H1612),U1614*H1612),IF(V1614&gt;(SUM(R1613:R1614)),R1614*H1612,U1614*H1612)),2)))</f>
        <v>0</v>
      </c>
      <c r="I1614" s="64">
        <f>IF(B1614=0,0,IF(AND(H1604="ja",((U1614)&lt;R1629)),ROUND(((R1631*R1628+((R1629/(R1629-R1628))-(R1628/(R1629-R1628))*R1631)*((U1614)-R1628))*(I1612*2))-(((R1629/(R1629-R1628))*((U1614)-R1628))*I1612),2),ROUND(IF(U1613&lt;(S1613),IF((V1614)&gt;(SUM(S1613:S1614)),(((SUM(S1613:S1614))-(V1614-C1613))*I1612)+((U1614-C1613)*I1612),U1614*I1612),IF(V1614&gt;(SUM(S1613:S1614)),S1614*I1612,U1614*I1612)),2)))</f>
        <v>0</v>
      </c>
      <c r="J1614" s="64">
        <f>IF(B1614=0,0,IF(AND(H1604="ja",((U1614)&lt;R1629)),ROUND(((R1631*R1628+((R1629/(R1629-R1628))-(R1628/(R1629-R1628))*R1631)*((U1614)-R1628))*(J1612*2))-(((R1629/(R1629-R1628))*((U1614)-R1628))*J1612),2),ROUND(IF(U1613&lt;(S1613),IF((V1614)&gt;(SUM(S1613:S1614)),(((SUM(S1613:S1614))-(V1614-C1613))*J1612)+((U1614-C1613)*J1612),U1614*J1612),IF(V1614&gt;(SUM(S1613:S1614)),S1614*J1612,U1614*J1612)),2)))</f>
        <v>0</v>
      </c>
      <c r="K1614" s="64">
        <f>IF(B1614=0,0,IF(AND(H1604="ja",((U1614)&lt;R1629)),ROUND(((R1631*R1628+((R1629/(R1629-R1628))-(R1628/(R1629-R1628))*R1631)*((U1614)-R1628))*(K1612*2))-(((R1629/(R1629-R1628))*((U1614)-R1628))*K1612),2),ROUND(IF(U1613&lt;(R1613),IF((V1614)&gt;(SUM(R1613:R1614)),(((SUM(R1613:R1614))-(V1614-C1613))*K1612)+((U1614-C1613)*K1612),U1614*K1612),IF(V1614&gt;(SUM(R1613:R1614)),R1614*K1612,U1614*K1612)),2)))</f>
        <v>0</v>
      </c>
      <c r="L1614" s="64">
        <f>IF(B1614=0,0,IF(AND(H1604="ja",((U1614-C1614)&lt;R1629)),ROUND(((R1631*R1628+((R1629/(R1629-R1628))-(R1628/(R1629-R1628))*R1631)*((U1614-C1614)-R1628))*(L1612)),2),ROUND(IF(SUM(B1613:F1613)&lt;(S1613),IF((SUM(B1613:F1614))&gt;(SUM(S1613:S1614)),(((SUM(S1613:S1614))-(SUM(B1613:F1614)-C1614))*L1612)+((SUM(B1614:F1614)-C1614)*L1612),(SUM(B1614:F1614)-C1614)*L1612),IF(SUM(B1613:F1614)&gt;(SUM(S1613:S1614)),S1614*L1612,SUM(B1614:F1614)*L1612)),2)))</f>
        <v>0</v>
      </c>
      <c r="M1614" s="64">
        <f>IF(B1614=0,0,IF(AND(H1604="ja",((U1614-C1614)&lt;R1629)),ROUND(((R1631*R1628+((R1629/(R1629-R1628))-(R1628/(R1629-R1628))*R1631)*((U1614-C1614)-R1628))*(M1612)),2),ROUND(IF(SUM(B1613:F1613)&lt;(S1613),IF((SUM(B1613:F1614))&gt;(SUM(S1613:S1614)),(((SUM(S1613:S1614))-(SUM(B1613:F1614)-C1614))*M1612)+((SUM(B1614:F1614)-C1614)*M1612),(SUM(B1614:F1614)-C1614)*M1612),IF(SUM(B1613:F1614)&gt;(SUM(S1613:S1614)),S1614*M1612,SUM(B1614:F1614)*M1612)),2)))</f>
        <v>0</v>
      </c>
      <c r="N1614" s="64">
        <f>IF(B1614=0,0,IF(AND(H1604="ja",((U1614)&lt;R1629)),ROUND(((R1631*R1628+((R1629/(R1629-R1628))-(R1628/(R1629-R1628))*R1631)*((U1614)-R1628))*(N1612)),2),ROUND(IF(SUM(B1613:F1613)&lt;(S1613),IF((SUM(B1613:F1614))&gt;(SUM(S1613:S1614)),(((SUM(S1613:S1614))-(SUM(B1613:F1614)-C1613))*N1612)+((SUM(B1614:F1614)-C1613)*N1612),SUM(B1614:F1614)*N1612),IF(SUM(B1613:F1614)&gt;(SUM(S1613:S1614)),S1614*N1612,SUM(B1614:F1614)*N1612)),2)))</f>
        <v>0</v>
      </c>
      <c r="O1614" s="21">
        <f>ROUND(SUM(B1614+C1614+F1614)*O1612,2)</f>
        <v>0</v>
      </c>
      <c r="P1614" s="25">
        <f t="shared" ref="P1614:P1624" si="258">SUM(G1614:O1614)</f>
        <v>0</v>
      </c>
      <c r="Q1614" s="456"/>
      <c r="R1614" s="140">
        <f>ROUND(IF(M1591="",R1607,R1607/M1591*P1591),2)</f>
        <v>5175</v>
      </c>
      <c r="S1614" s="140">
        <f>ROUND(IF(M1591="",R1608,R1608/M1591*P1591),2)</f>
        <v>7450</v>
      </c>
      <c r="U1614" s="950">
        <f t="shared" ref="U1614:U1624" si="259">SUM(B1614:F1614)</f>
        <v>0</v>
      </c>
      <c r="V1614" s="950">
        <f>SUM(B1613:F1614)</f>
        <v>0</v>
      </c>
    </row>
    <row r="1615" spans="1:22" s="1" customFormat="1" x14ac:dyDescent="0.2">
      <c r="A1615" s="76" t="str">
        <f>CONCATENATE("Mrz ",O1589)</f>
        <v>Mrz 2025</v>
      </c>
      <c r="B1615" s="22">
        <f>ROUND(IF(P1592=0,0,IFERROR(((LOOKUP(2,1/(A1598:A1601=A1615),G1598:G1601))*P1592*4.348),B1614/P1591*P1592)),2)</f>
        <v>0</v>
      </c>
      <c r="C1615" s="21">
        <f>ROUND(IFERROR((LOOKUP(2,1/(A1604=A1615),E1604)),0)+IFERROR((LOOKUP(2,1/(A1605=A1615),E1605)),0),2)</f>
        <v>0</v>
      </c>
      <c r="D1615" s="21">
        <f>ROUND(IF(B1615=0,0,D1612/M1591*P1592),2)</f>
        <v>0</v>
      </c>
      <c r="E1615" s="21">
        <f>ROUND(IF(B1615=0,0,E1612/N1587*P1592),2)</f>
        <v>0</v>
      </c>
      <c r="F1615" s="22">
        <f>ROUND(IF(P1592=0,0,IFERROR(((LOOKUP(2,1/(A1598:A1601=A1615),I1598:I1601))/N1587*P1592),F1614/P1591*P1592)),2)</f>
        <v>0</v>
      </c>
      <c r="G1615" s="25">
        <f t="shared" si="257"/>
        <v>0</v>
      </c>
      <c r="H1615" s="64">
        <f>IF(B1615=0,0,IF(AND(H1604="ja",((U1615)&lt;R1629)),ROUND(((R1631*R1628+((R1629/(R1629-R1628))-(R1628/(R1629-R1628))*R1631)*((U1615)-R1628))*(H1612*2))-(((R1629/(R1629-R1628))*((U1615)-R1628))*H1612),2),ROUND(IF(V1614&lt;(SUM(R1613:R1614)),IF((V1615)&gt;(SUM(R1613:R1615)),(((SUM(R1613:R1615))-(V1615-C1614))*H1612)+((U1615-C1614)*H1612),U1615*H1612),IF(V1615&gt;(SUM(R1613:R1615)),R1615*H1612,U1615*H1612)),2)))</f>
        <v>0</v>
      </c>
      <c r="I1615" s="64">
        <f>IF(B1615=0,0,IF(AND(H1604="ja",((U1615)&lt;R1629)),ROUND(((R1631*R1628+((R1629/(R1629-R1628))-(R1628/(R1629-R1628))*R1631)*((U1615)-R1628))*(I1612*2))-(((R1629/(R1629-R1628))*((U1615)-R1628))*I1612),2),ROUND(IF(V1614&lt;(SUM(S1613:S1614)),IF((V1615)&gt;(SUM(S1613:S1615)),(((SUM(S1613:S1615))-(V1615-C1614))*I1612)+((U1615-C1614)*I1612),U1615*I1612),IF(V1615&gt;(SUM(S1613:S1615)),S1615*I1612,U1615*I1612)),2)))</f>
        <v>0</v>
      </c>
      <c r="J1615" s="64">
        <f>IF(B1615=0,0,IF(AND(H1604="ja",((U1615)&lt;R1629)),ROUND(((R1631*R1628+((R1629/(R1629-R1628))-(R1628/(R1629-R1628))*R1631)*((U1615)-R1628))*(J1612*2))-(((R1629/(R1629-R1628))*((U1615)-R1628))*J1612),2),ROUND(IF(V1614&lt;(SUM(S1613:S1614)),IF((V1615)&gt;(SUM(S1613:S1615)),(((SUM(S1613:S1615))-(V1615-C1614))*J1612)+((U1615-C1614)*J1612),U1615*J1612),IF(V1615&gt;(SUM(S1613:S1615)),S1615*J1612,U1615*J1612)),2)))</f>
        <v>0</v>
      </c>
      <c r="K1615" s="64">
        <f>IF(B1615=0,0,IF(AND(H1604="ja",((U1615)&lt;R1629)),ROUND(((R1631*R1628+((R1629/(R1629-R1628))-(R1628/(R1629-R1628))*R1631)*((U1615)-R1628))*(K1612*2))-(((R1629/(R1629-R1628))*((U1615)-R1628))*K1612),2),ROUND(IF(V1614&lt;(SUM(R1613:R1614)),IF((V1615)&gt;(SUM(R1613:R1615)),(((SUM(R1613:R1615))-(V1615-C1614))*K1612)+((U1615-C1614)*K1612),U1615*K1612),IF(V1615&gt;(SUM(R1613:R1615)),R1615*K1612,U1615*K1612)),2)))</f>
        <v>0</v>
      </c>
      <c r="L1615" s="64">
        <f>IF(B1615=0,0,IF(AND(H1604="ja",((U1615-C1615)&lt;R1629)),ROUND(((R1631*R1628+((R1629/(R1629-R1628))-(R1628/(R1629-R1628))*R1631)*((U1615-C1615)-R1628))*(L1612)),2),ROUND(IF(SUM(B1613:F1614)&lt;(SUM(S1613:S1614)),IF((SUM(B1613:F1615))&gt;(SUM(S1613:S1615)),(((SUM(S1613:S1615))-(SUM(B1613:F1615)-C1615))*L1612)+((SUM(B1615:F1615)-C1615)*L1612),(SUM(B1615:F1615)-C1615)*L1612),IF(SUM(B1613:F1615)&gt;(SUM(S1613:S1615)),S1615*L1612,SUM(B1615:F1615)*L1612)),2)))</f>
        <v>0</v>
      </c>
      <c r="M1615" s="64">
        <f>IF(B1615=0,0,IF(AND(H1604="ja",((U1615-C1615)&lt;R1629)),ROUND(((R1631*R1628+((R1629/(R1629-R1628))-(R1628/(R1629-R1628))*R1631)*((U1615-C1615)-R1628))*(M1612)),2),ROUND(IF(SUM(B1613:F1614)&lt;(SUM(S1613:S1614)),IF((SUM(B1613:F1615))&gt;(SUM(S1613:S1615)),(((SUM(S1613:S1615))-(SUM(B1613:F1615)-C1615))*M1612)+((SUM(B1615:F1615)-C1615)*M1612),(SUM(B1615:F1615)-C1615)*M1612),IF(SUM(B1613:F1615)&gt;(SUM(S1613:S1615)),S1615*M1612,SUM(B1615:F1615)*M1612)),2)))</f>
        <v>0</v>
      </c>
      <c r="N1615" s="64">
        <f>IF(B1615=0,0,IF(AND(H1604="ja",((U1615)&lt;R1629)),ROUND(((R1631*R1628+((R1629/(R1629-R1628))-(R1628/(R1629-R1628))*R1631)*((U1615)-R1628))*(N1612)),2),ROUND(IF(SUM(B1613:F1614)&lt;(SUM(S1613:S1614)),IF((SUM(B1613:F1615))&gt;(SUM(S1613:S1615)),(((SUM(S1613:S1615))-(SUM(B1613:F1615)-C1614))*N1612)+((SUM(B1615:F1615)-C1614)*N1612),SUM(B1615:F1615)*N1612),IF(SUM(B1613:F1615)&gt;(SUM(S1613:S1615)),S1615*N1612,SUM(B1615:F1615)*N1612)),2)))</f>
        <v>0</v>
      </c>
      <c r="O1615" s="21">
        <f>ROUND(SUM(B1615+C1615+F1615)*O1612,2)</f>
        <v>0</v>
      </c>
      <c r="P1615" s="25">
        <f t="shared" si="258"/>
        <v>0</v>
      </c>
      <c r="Q1615" s="456"/>
      <c r="R1615" s="140">
        <f>ROUND(IF(M1591="",R1607,R1607/M1591*P1592),2)</f>
        <v>5175</v>
      </c>
      <c r="S1615" s="140">
        <f>ROUND(IF(M1591="",R1608,R1608/M1591*P1592),2)</f>
        <v>7450</v>
      </c>
      <c r="U1615" s="950">
        <f t="shared" si="259"/>
        <v>0</v>
      </c>
      <c r="V1615" s="950">
        <f>SUM(B1613:F1615)</f>
        <v>0</v>
      </c>
    </row>
    <row r="1616" spans="1:22" s="1" customFormat="1" x14ac:dyDescent="0.2">
      <c r="A1616" s="76" t="str">
        <f>CONCATENATE("Apr ",O1589)</f>
        <v>Apr 2025</v>
      </c>
      <c r="B1616" s="22">
        <f>ROUND(IF(P1593=0,0,IFERROR(((LOOKUP(2,1/(A1598:A1601=A1616),G1598:G1601))*P1593*4.348),B1615/P1592*P1593)),2)</f>
        <v>0</v>
      </c>
      <c r="C1616" s="21">
        <f>ROUND(IFERROR((LOOKUP(2,1/(A1604=A1616),E1604)),0)+IFERROR((LOOKUP(2,1/(A1605=A1616),E1605)),0),2)</f>
        <v>0</v>
      </c>
      <c r="D1616" s="21">
        <f>ROUND(IF(B1616=0,0,D1612/M1591*P1593),2)</f>
        <v>0</v>
      </c>
      <c r="E1616" s="21">
        <f>ROUND(IF(B1616=0,0,E1612/N1587*P1593),2)</f>
        <v>0</v>
      </c>
      <c r="F1616" s="22">
        <f>ROUND(IF(P1593=0,0,IFERROR(((LOOKUP(2,1/(A1598:A1601=A1616),I1598:I1601))/N1587*P1593),F1615/P1592*P1593)),2)</f>
        <v>0</v>
      </c>
      <c r="G1616" s="25">
        <f t="shared" si="257"/>
        <v>0</v>
      </c>
      <c r="H1616" s="64">
        <f>IF(B1616=0,0,IF(AND(H1604="ja",((U1616)&lt;R1629)),ROUND(((R1631*R1628+((R1629/(R1629-R1628))-(R1628/(R1629-R1628))*R1631)*((U1616)-R1628))*(H1612*2))-(((R1629/(R1629-R1628))*((U1616)-R1628))*H1612),2),ROUND(IF(V1615&lt;(SUM(R1613:R1615)),IF((V1616)&gt;(SUM(R1613:R1616)),(((SUM(R1613:R1616))-(V1616-C1615))*H1612)+((U1616-C1615)*H1612),U1616*H1612),IF(V1616&gt;(SUM(R1613:R1616)),R1616*H1612,U1616*H1612)),2)))</f>
        <v>0</v>
      </c>
      <c r="I1616" s="64">
        <f>IF(B1616=0,0,IF(AND(H1604="ja",((U1616)&lt;R1629)),ROUND(((R1631*R1628+((R1629/(R1629-R1628))-(R1628/(R1629-R1628))*R1631)*((U1616)-R1628))*(I1612*2))-(((R1629/(R1629-R1628))*((U1616)-R1628))*I1612),2),ROUND(IF(V1615&lt;(SUM(S1613:S1615)),IF((V1616)&gt;(SUM(S1613:S1616)),(((SUM(S1613:S1616))-(V1616-C1615))*I1612)+((U1616-C1615)*I1612),U1616*I1612),IF(V1616&gt;(SUM(S1613:S1616)),S1616*I1612,U1616*I1612)),2)))</f>
        <v>0</v>
      </c>
      <c r="J1616" s="64">
        <f>IF(B1616=0,0,IF(AND(H1604="ja",((U1616)&lt;R1629)),ROUND(((R1631*R1628+((R1629/(R1629-R1628))-(R1628/(R1629-R1628))*R1631)*((U1616)-R1628))*(J1612*2))-(((R1629/(R1629-R1628))*((U1616)-R1628))*J1612),2),ROUND(IF(U1615&lt;(SUM(S1613:S1615)),IF((V1616)&gt;(SUM(S1613:S1616)),(((SUM(S1613:S1616))-(V1616-C1615))*J1612)+((U1616-C1615)*J1612),U1616*J1612),IF(V1616&gt;(SUM(S1613:S1616)),S1616*J1612,U1616*J1612)),2)))</f>
        <v>0</v>
      </c>
      <c r="K1616" s="64">
        <f>IF(B1616=0,0,IF(AND(H1604="ja",((U1616)&lt;R1629)),ROUND(((R1631*R1628+((R1629/(R1629-R1628))-(R1628/(R1629-R1628))*R1631)*((U1616)-R1628))*(K1612*2))-(((R1629/(R1629-R1628))*((U1616)-R1628))*K1612),2),ROUND(IF(V1615&lt;(SUM(R1613:R1615)),IF((V1616)&gt;(SUM(R1613:R1616)),(((SUM(R1613:R1616))-(V1616-C1615))*K1612)+((U1616-C1615)*K1612),U1616*K1612),IF(V1616&gt;(SUM(R1613:R1616)),R1616*K1612,U1616*K1612)),2)))</f>
        <v>0</v>
      </c>
      <c r="L1616" s="64">
        <f>IF(B1616=0,0,IF(AND(H1604="ja",((U1616-C1616)&lt;R1629)),ROUND(((R1631*R1628+((R1629/(R1629-R1628))-(R1628/(R1629-R1628))*R1631)*((U1616-C1616)-R1628))*(L1612)),2),ROUND(IF(SUM(B1613:F1615)&lt;(SUM(S1613:S1615)),IF((SUM(B1613:F1616))&gt;(SUM(S1613:S1616)),(((SUM(S1613:S1616))-(SUM(B1613:F1616)-C1616))*L1612)+((SUM(B1616:F1616)-C1616)*L1612),(SUM(B1616:F1616)-C1616)*L1612),IF(SUM(B1613:F1616)&gt;(SUM(S1613:S1616)),S1616*L1612,SUM(B1616:F1616)*L1612)),2)))</f>
        <v>0</v>
      </c>
      <c r="M1616" s="64">
        <f>IF(B1616=0,0,IF(AND(H1604="ja",((U1616-C1616)&lt;R1629)),ROUND(((R1631*R1628+((R1629/(R1629-R1628))-(R1628/(R1629-R1628))*R1631)*((U1616-C1616)-R1628))*(M1612)),2),ROUND(IF(SUM(B1613:F1615)&lt;(SUM(S1613:S1615)),IF((SUM(B1613:F1616))&gt;(SUM(S1613:S1616)),(((SUM(S1613:S1616))-(SUM(B1613:F1616)-C1616))*M1612)+((SUM(B1616:F1616)-C1616)*M1612),(SUM(B1616:F1616)-C1616)*M1612),IF(SUM(B1613:F1616)&gt;(SUM(S1613:S1616)),S1616*M1612,SUM(B1616:F1616)*M1612)),2)))</f>
        <v>0</v>
      </c>
      <c r="N1616" s="64">
        <f>IF(B1616=0,0,IF(AND(H1604="ja",((U1616)&lt;R1629)),ROUND(((R1631*R1628+((R1629/(R1629-R1628))-(R1628/(R1629-R1628))*R1631)*((U1616)-R1628))*(N1612)),2),ROUND(IF(SUM(B1613:F1615)&lt;(SUM(S1613:S1615)),IF((SUM(B1613:F1616))&gt;(SUM(S1613:S1616)),(((SUM(S1613:S1616))-(SUM(B1613:F1616)-C1615))*N1612)+((SUM(B1616:F1616)-C1615)*N1612),SUM(B1616:F1616)*N1612),IF(SUM(B1613:F1616)&gt;(SUM(S1613:S1616)),S1616*N1612,SUM(B1616:F1616)*N1612)),2)))</f>
        <v>0</v>
      </c>
      <c r="O1616" s="21">
        <f>ROUND(SUM(B1616+C1616+F1616)*O1612,2)</f>
        <v>0</v>
      </c>
      <c r="P1616" s="25">
        <f t="shared" si="258"/>
        <v>0</v>
      </c>
      <c r="Q1616" s="456"/>
      <c r="R1616" s="140">
        <f>ROUND(IF(M1591="",R1607,R1607/M1591*P1593),2)</f>
        <v>5175</v>
      </c>
      <c r="S1616" s="140">
        <f>ROUND(IF(M1591="",R1608,R1608/M1591*P1593),2)</f>
        <v>7450</v>
      </c>
      <c r="U1616" s="950">
        <f t="shared" si="259"/>
        <v>0</v>
      </c>
      <c r="V1616" s="950">
        <f>SUM(B1613:F1616)</f>
        <v>0</v>
      </c>
    </row>
    <row r="1617" spans="1:24" s="1" customFormat="1" x14ac:dyDescent="0.2">
      <c r="A1617" s="76" t="str">
        <f>CONCATENATE("Mai ",O1589)</f>
        <v>Mai 2025</v>
      </c>
      <c r="B1617" s="22">
        <f>ROUND(IF(P1594=0,0,IFERROR(((LOOKUP(2,1/(A1598:A1601=A1617),G1598:G1601))*P1594*4.348),B1616/P1593*P1594)),2)</f>
        <v>0</v>
      </c>
      <c r="C1617" s="21">
        <f>ROUND(IFERROR((LOOKUP(2,1/(A1604=A1617),E1604)),0)+IFERROR((LOOKUP(2,1/(A1605=A1617),E1605)),0),2)</f>
        <v>0</v>
      </c>
      <c r="D1617" s="21">
        <f>ROUND(IF(B1617=0,0,D1612/M1591*P1594),2)</f>
        <v>0</v>
      </c>
      <c r="E1617" s="21">
        <f>ROUND(IF(B1617=0,0,E1612/N1587*P1594),2)</f>
        <v>0</v>
      </c>
      <c r="F1617" s="22">
        <f>ROUND(IF(P1594=0,0,IFERROR(((LOOKUP(2,1/(A1598:A1601=A1617),I1598:I1601))/N1587*P1594),F1616/P1593*P1594)),2)</f>
        <v>0</v>
      </c>
      <c r="G1617" s="25">
        <f t="shared" si="257"/>
        <v>0</v>
      </c>
      <c r="H1617" s="64">
        <f>IF(B1617=0,0,IF(AND(H1604="ja",((U1617)&lt;R1629)),ROUND(((R1631*R1628+((R1629/(R1629-R1628))-(R1628/(R1629-R1628))*R1631)*((U1617)-R1628))*(H1612*2))-(((R1629/(R1629-R1628))*((U1617)-R1628))*H1612),2),ROUND(IF(V1616&lt;(SUM(R1613:R1616)),IF((V1617)&gt;(SUM(R1613:R1617)),(((SUM(R1613:R1617))-(V1617-C1616))*H1612)+((U1617-C1616)*H1612),U1617*H1612),IF(V1617&gt;(SUM(R1613:R1617)),R1617*H1612,U1617*H1612)),2)))</f>
        <v>0</v>
      </c>
      <c r="I1617" s="64">
        <f>IF(B1617=0,0,IF(AND(H1604="ja",((U1617)&lt;R1629)),ROUND(((R1631*R1628+((R1629/(R1629-R1628))-(R1628/(R1629-R1628))*R1631)*((U1617)-R1628))*(I1612*2))-(((R1629/(R1629-R1628))*((U1617)-R1628))*I1612),2),ROUND(IF(V1616&lt;(SUM(S1613:S1616)),IF((V1617)&gt;(SUM(S1613:S1617)),(((SUM(S1613:S1617))-(V1617-C1616))*I1612)+((U1617-C1616)*I1612),U1617*I1612),IF(V1617&gt;(SUM(S1613:S1617)),S1617*I1612,U1617*I1612)),2)))</f>
        <v>0</v>
      </c>
      <c r="J1617" s="64">
        <f>IF(B1617=0,0,IF(AND(H1604="ja",((U1617)&lt;R1629)),ROUND(((R1631*R1628+((R1629/(R1629-R1628))-(R1628/(R1629-R1628))*R1631)*((U1617)-R1628))*(J1612*2))-(((R1629/(R1629-R1628))*((U1617)-R1628))*J1612),2),ROUND(IF(V1616&lt;(SUM(S1613:S1616)),IF((V1617)&gt;(SUM(S1613:S1617)),(((SUM(S1613:S1617))-(V1617-C1616))*J1612)+((U1617-C1616)*J1612),U1617*J1612),IF(V1617&gt;(SUM(S1613:S1617)),S1617*J1612,U1617*J1612)),2)))</f>
        <v>0</v>
      </c>
      <c r="K1617" s="64">
        <f>IF(B1617=0,0,IF(AND(H1604="ja",((U1617)&lt;R1629)),ROUND(((R1631*R1628+((R1629/(R1629-R1628))-(R1628/(R1629-R1628))*R1631)*((U1617)-R1628))*(K1612*2))-(((R1629/(R1629-R1628))*((U1617)-R1628))*K1612),2),ROUND(IF(V1616&lt;(SUM(R1613:R1616)),IF((V1617)&gt;(SUM(R1613:R1617)),(((SUM(R1613:R1617))-(V1617-C1616))*K1612)+((U1617-C1616)*K1612),U1617*K1612),IF(V1617&gt;(SUM(R1613:R1617)),R1617*K1612,U1617*K1612)),2)))</f>
        <v>0</v>
      </c>
      <c r="L1617" s="64">
        <f>IF(B1617=0,0,IF(AND(H1604="ja",((U1617-C1617)&lt;R1629)),ROUND(((R1631*R1628+((R1629/(R1629-R1628))-(R1628/(R1629-R1628))*R1631)*((U1617-C1617)-R1628))*(L1612)),2),ROUND(IF(SUM(B1613:F1616)&lt;(SUM(S1613:S1616)),IF((SUM(B1613:F1617))&gt;(SUM(S1613:S1617)),(((SUM(S1613:S1617))-(SUM(B1613:F1617)-C1617))*L1612)+((SUM(B1617:F1617)-C1617)*L1612),(SUM(B1617:F1617)-C1617)*L1612),IF(SUM(B1613:F1617)&gt;(SUM(S1613:S1617)),S1617*L1612,SUM(B1617:F1617)*L1612)),2)))</f>
        <v>0</v>
      </c>
      <c r="M1617" s="64">
        <f>IF(B1617=0,0,IF(AND(H1604="ja",((U1617-C1617)&lt;R1629)),ROUND(((R1631*R1628+((R1629/(R1629-R1628))-(R1628/(R1629-R1628))*R1631)*((U1617-C1617)-R1628))*(M1612)),2),ROUND(IF(SUM(B1613:F1616)&lt;(SUM(S1613:S1616)),IF((SUM(B1613:F1617))&gt;(SUM(S1613:S1617)),(((SUM(S1613:S1617))-(SUM(B1613:F1617)-C1617))*M1612)+((SUM(B1617:F1617)-C1617)*M1612),(SUM(B1617:F1617)-C1617)*M1612),IF(SUM(B1613:F1617)&gt;(SUM(S1613:S1617)),S1617*M1612,SUM(B1617:F1617)*M1612)),2)))</f>
        <v>0</v>
      </c>
      <c r="N1617" s="64">
        <f>IF(B1617=0,0,IF(AND(H1604="ja",((U1617)&lt;R1629)),ROUND(((R1631*R1628+((R1629/(R1629-R1628))-(R1628/(R1629-R1628))*R1631)*((U1617)-R1628))*(N1612)),2),ROUND(IF(SUM(B1613:F1616)&lt;(SUM(S1613:S1616)),IF((SUM(B1613:F1617))&gt;(SUM(S1613:S1617)),(((SUM(S1613:S1617))-(SUM(B1613:F1617)-C1616))*N1612)+((SUM(B1617:F1617)-C1616)*N1612),SUM(B1617:F1617)*N1612),IF(SUM(B1613:F1617)&gt;(SUM(S1613:S1617)),S1617*N1612,SUM(B1617:F1617)*N1612)),2)))</f>
        <v>0</v>
      </c>
      <c r="O1617" s="21">
        <f>ROUND(SUM(B1617+C1617+F1617)*O1612,2)</f>
        <v>0</v>
      </c>
      <c r="P1617" s="25">
        <f t="shared" si="258"/>
        <v>0</v>
      </c>
      <c r="Q1617" s="456"/>
      <c r="R1617" s="140">
        <f>ROUND(IF(M1591="",R1607,R1607/M1591*P1594),2)</f>
        <v>5175</v>
      </c>
      <c r="S1617" s="140">
        <f>ROUND(IF(M1591="",R1608,R1608/M1591*P1594),2)</f>
        <v>7450</v>
      </c>
      <c r="U1617" s="950">
        <f t="shared" si="259"/>
        <v>0</v>
      </c>
      <c r="V1617" s="950">
        <f>SUM(B1613:F1617)</f>
        <v>0</v>
      </c>
    </row>
    <row r="1618" spans="1:24" s="1" customFormat="1" x14ac:dyDescent="0.2">
      <c r="A1618" s="76" t="str">
        <f>CONCATENATE("Jun ",O1589)</f>
        <v>Jun 2025</v>
      </c>
      <c r="B1618" s="22">
        <f>ROUND(IF(P1595=0,0,IFERROR(((LOOKUP(2,1/(A1598:A1601=A1618),G1598:G1601))*P1595*4.348),B1617/P1594*P1595)),2)</f>
        <v>0</v>
      </c>
      <c r="C1618" s="21">
        <f>ROUND(IFERROR((LOOKUP(2,1/(A1604=A1618),E1604)),0)+IFERROR((LOOKUP(2,1/(A1605=A1618),E1605)),0),2)</f>
        <v>0</v>
      </c>
      <c r="D1618" s="21">
        <f>ROUND(IF(B1618=0,0,D1612/M1591*P1595),2)</f>
        <v>0</v>
      </c>
      <c r="E1618" s="21">
        <f>ROUND(IF(B1618=0,0,E1612/N1587*P1595),2)</f>
        <v>0</v>
      </c>
      <c r="F1618" s="22">
        <f>ROUND(IF(P1595=0,0,IFERROR(((LOOKUP(2,1/(A1598:A1601=A1618),I1598:I1601))/N1587*P1595),F1617/P1594*P1595)),2)</f>
        <v>0</v>
      </c>
      <c r="G1618" s="25">
        <f t="shared" si="257"/>
        <v>0</v>
      </c>
      <c r="H1618" s="64">
        <f>IF(B1618=0,0,IF(AND(H1604="ja",((U1618)&lt;R1629)),ROUND(((R1631*R1628+((R1629/(R1629-R1628))-(R1628/(R1629-R1628))*R1631)*((U1618)-R1628))*(H1612*2))-(((R1629/(R1629-R1628))*((U1618)-R1628))*H1612),2),ROUND(IF(V1617&lt;(SUM(R1613:R1617)),IF((V1618)&gt;(SUM(R1613:R1618)),(((SUM(R1613:R1618))-(V1618-C1617))*H1612)+((U1618-C1617)*H1612),U1618*H1612),IF(V1618&gt;(SUM(R1613:R1618)),R1618*H1612,U1618*H1612)),2)))</f>
        <v>0</v>
      </c>
      <c r="I1618" s="64">
        <f>IF(B1618=0,0,IF(AND(H1604="ja",((U1618)&lt;R1629)),ROUND(((R1631*R1628+((R1629/(R1629-R1628))-(R1628/(R1629-R1628))*R1631)*((U1618)-R1628))*(I1612*2))-(((R1629/(R1629-R1628))*((U1618)-R1628))*I1612),2),ROUND(IF(V1617&lt;(SUM(S1613:S1617)),IF((V1618)&gt;(SUM(S1613:S1618)),(((SUM(S1613:S1618))-(V1618-C1617))*I1612)+((U1618-C1617)*I1612),U1618*I1612),IF(V1618&gt;(SUM(S1613:S1618)),S1618*I1612,U1618*I1612)),2)))</f>
        <v>0</v>
      </c>
      <c r="J1618" s="64">
        <f>IF(B1618=0,0,IF(AND(H1604="ja",((U1618)&lt;R1629)),ROUND(((R1631*R1628+((R1629/(R1629-R1628))-(R1628/(R1629-R1628))*R1631)*((U1618)-R1628))*(J1612*2))-(((R1629/(R1629-R1628))*((U1618)-R1628))*J1612),2),ROUND(IF(V1617&lt;(SUM(S1613:S1617)),IF((V1618)&gt;(SUM(S1613:S1618)),(((SUM(S1613:S1618))-(V1618-C1617))*J1612)+((U1618-C1617)*J1612),U1618*J1612),IF(V1618&gt;(SUM(S1613:S1618)),S1618*J1612,U1618*J1612)),2)))</f>
        <v>0</v>
      </c>
      <c r="K1618" s="64">
        <f>IF(B1618=0,0,IF(AND(H1604="ja",((U1618)&lt;R1629)),ROUND(((R1631*R1628+((R1629/(R1629-R1628))-(R1628/(R1629-R1628))*R1631)*((U1618)-R1628))*(K1612*2))-(((R1629/(R1629-R1628))*((U1618)-R1628))*K1612),2),ROUND(IF(V1617&lt;(SUM(R1613:R1617)),IF((V1618)&gt;(SUM(R1613:R1618)),(((SUM(R1613:R1618))-(V1618-C1617))*K1612)+((U1618-C1617)*K1612),U1618*K1612),IF(V1618&gt;(SUM(R1613:R1618)),R1618*K1612,U1618*K1612)),2)))</f>
        <v>0</v>
      </c>
      <c r="L1618" s="64">
        <f>IF(B1618=0,0,IF(AND(H1604="ja",((U1618-C1618)&lt;R1629)),ROUND(((R1631*R1628+((R1629/(R1629-R1628))-(R1628/(R1629-R1628))*R1631)*((U1618-C1618)-R1628))*(L1612)),2),ROUND(IF(SUM(B1613:F1617)&lt;(SUM(S1613:S1617)),IF((SUM(B1613:F1618))&gt;(SUM(S1613:S1618)),(((SUM(S1613:S1618))-(SUM(B1613:F1618)-C1618))*L1612)+((SUM(B1618:F1618)-C1618)*L1612),(SUM(B1618:F1618)-C1618)*L1612),IF(SUM(B1613:F1618)&gt;(SUM(S1613:S1618)),S1618*L1612,SUM(B1618:F1618)*L1612)),2)))</f>
        <v>0</v>
      </c>
      <c r="M1618" s="64">
        <f>IF(B1618=0,0,IF(AND(H1604="ja",((U1618-C1618)&lt;R1629)),ROUND(((R1631*R1628+((R1629/(R1629-R1628))-(R1628/(R1629-R1628))*R1631)*((U1618-C1618)-R1628))*(M1612)),2),ROUND(IF(SUM(B1613:F1617)&lt;(SUM(S1613:S1617)),IF((SUM(B1613:F1618))&gt;(SUM(S1613:S1618)),(((SUM(S1613:S1618))-(SUM(B1613:F1618)-C1618))*M1612)+((SUM(B1618:F1618)-C1618)*M1612),(SUM(B1618:F1618)-C1618)*M1612),IF(SUM(B1613:F1618)&gt;(SUM(S1613:S1618)),S1618*M1612,SUM(B1618:F1618)*M1612)),2)))</f>
        <v>0</v>
      </c>
      <c r="N1618" s="64">
        <f>IF(B1618=0,0,IF(AND(H1604="ja",((U1618)&lt;R1629)),ROUND(((R1631*R1628+((R1629/(R1629-R1628))-(R1628/(R1629-R1628))*R1631)*((U1618)-R1628))*(N1612)),2),ROUND(IF(SUM(B1613:F1617)&lt;(SUM(S1613:S1617)),IF((SUM(B1613:F1618))&gt;(SUM(S1613:S1618)),(((SUM(S1613:S1618))-(SUM(B1613:F1618)-C1617))*N1612)+((SUM(B1618:F1618)-C1617)*N1612),SUM(B1618:F1618)*N1612),IF(SUM(B1613:F1618)&gt;(SUM(S1613:S1618)),S1618*N1612,SUM(B1618:F1618)*N1612)),2)))</f>
        <v>0</v>
      </c>
      <c r="O1618" s="21">
        <f>ROUND(SUM(B1618+C1618+F1618)*O1612,2)</f>
        <v>0</v>
      </c>
      <c r="P1618" s="25">
        <f t="shared" si="258"/>
        <v>0</v>
      </c>
      <c r="Q1618" s="456"/>
      <c r="R1618" s="140">
        <f>ROUND(IF(M1591="",R1607,R1607/M1591*P1595),2)</f>
        <v>5175</v>
      </c>
      <c r="S1618" s="140">
        <f>ROUND(IF(M1591="",R1608,R1608/M1591*P1595),2)</f>
        <v>7450</v>
      </c>
      <c r="U1618" s="950">
        <f t="shared" si="259"/>
        <v>0</v>
      </c>
      <c r="V1618" s="950">
        <f>SUM(B1613:F1618)</f>
        <v>0</v>
      </c>
    </row>
    <row r="1619" spans="1:24" s="1" customFormat="1" x14ac:dyDescent="0.2">
      <c r="A1619" s="76" t="str">
        <f>CONCATENATE("Jul ",O1589)</f>
        <v>Jul 2025</v>
      </c>
      <c r="B1619" s="22">
        <f>ROUND(IF(P1596=0,0,IFERROR(((LOOKUP(2,1/(A1598:A1601=A1619),G1598:G1601))*P1596*4.348),B1618/P1595*P1596)),2)</f>
        <v>0</v>
      </c>
      <c r="C1619" s="21">
        <f>ROUND(IFERROR((LOOKUP(2,1/(A1604=A1619),E1604)),0)+IFERROR((LOOKUP(2,1/(A1605=A1619),E1605)),0),2)</f>
        <v>0</v>
      </c>
      <c r="D1619" s="21">
        <f>ROUND(IF(B1619=0,0,D1612/M1591*P1596),2)</f>
        <v>0</v>
      </c>
      <c r="E1619" s="21">
        <f>ROUND(IF(B1619=0,0,E1612/N1587*P1596),2)</f>
        <v>0</v>
      </c>
      <c r="F1619" s="22">
        <f>ROUND(IF(P1596=0,0,IFERROR(((LOOKUP(2,1/(A1598:A1601=A1619),I1598:I1601))/N1587*P1596),F1618/P1595*P1596)),2)</f>
        <v>0</v>
      </c>
      <c r="G1619" s="25">
        <f t="shared" si="257"/>
        <v>0</v>
      </c>
      <c r="H1619" s="64">
        <f>IF(B1619=0,0,IF(AND(H1604="ja",((U1619)&lt;R1629)),ROUND(((R1631*R1628+((R1629/(R1629-R1628))-(R1628/(R1629-R1628))*R1631)*((U1619)-R1628))*(H1612*2))-(((R1629/(R1629-R1628))*((U1619)-R1628))*H1612),2),ROUND(IF(V1618&lt;(SUM(R1613:R1618)),IF((V1619)&gt;(SUM(R1613:R1619)),(((SUM(R1613:R1619))-(V1619-C1618))*H1612)+((U1619-C1618)*H1612),U1619*H1612),IF(V1619&gt;(SUM(R1613:R1619)),R1619*H1612,U1619*H1612)),2)))</f>
        <v>0</v>
      </c>
      <c r="I1619" s="64">
        <f>IF(B1619=0,0,IF(AND(H1604="ja",((U1619)&lt;R1629)),ROUND(((R1631*R1628+((R1629/(R1629-R1628))-(R1628/(R1629-R1628))*R1631)*((U1619)-R1628))*(I1612*2))-(((R1629/(R1629-R1628))*((U1619)-R1628))*I1612),2),ROUND(IF(V1618&lt;(SUM(S1613:S1618)),IF((V1619)&gt;(SUM(S1613:S1619)),(((SUM(S1613:S1619))-(V1619-C1618))*I1612)+((U1619-C1618)*I1612),U1619*I1612),IF(V1619&gt;(SUM(S1613:S1619)),S1619*I1612,U1619*I1612)),2)))</f>
        <v>0</v>
      </c>
      <c r="J1619" s="64">
        <f>IF(B1619=0,0,IF(AND(H1604="ja",((U1619)&lt;R1629)),ROUND(((R1631*R1628+((R1629/(R1629-R1628))-(R1628/(R1629-R1628))*R1631)*((U1619)-R1628))*(J1612*2))-(((R1629/(R1629-R1628))*((U1619)-R1628))*J1612),2),ROUND(IF(V1618&lt;(SUM(S1613:S1618)),IF((V1619)&gt;(SUM(S1613:S1619)),(((SUM(S1613:S1619))-(V1619-C1618))*J1612)+((U1619-C1618)*J1612),U1619*J1612),IF(V1619&gt;(SUM(S1613:S1619)),S1619*J1612,U1619*J1612)),2)))</f>
        <v>0</v>
      </c>
      <c r="K1619" s="64">
        <f>IF(B1619=0,0,IF(AND(H1604="ja",((U1619)&lt;R1629)),ROUND(((R1631*R1628+((R1629/(R1629-R1628))-(R1628/(R1629-R1628))*R1631)*((U1619)-R1628))*(K1612*2))-(((R1629/(R1629-R1628))*((U1619)-R1628))*K1612),2),ROUND(IF(V1618&lt;(SUM(R1613:R1618)),IF((V1619)&gt;(SUM(R1613:R1619)),(((SUM(R1613:R1619))-(V1619-C1618))*K1612)+((U1619-C1618)*K1612),U1619*K1612),IF(V1619&gt;(SUM(R1613:R1619)),R1619*K1612,U1619*K1612)),2)))</f>
        <v>0</v>
      </c>
      <c r="L1619" s="64">
        <f>IF(B1619=0,0,IF(AND(H1604="ja",((U1619-C1619)&lt;R1629)),ROUND(((R1631*R1628+((R1629/(R1629-R1628))-(R1628/(R1629-R1628))*R1631)*((U1619-C1619)-R1628))*(L1612)),2),ROUND(IF(SUM(B1613:F1618)&lt;(SUM(S1613:S1618)),IF((SUM(B1613:F1619))&gt;(SUM(S1613:S1619)),(((SUM(S1613:S1619))-(SUM(B1613:F1619)-C1619))*L1612)+((SUM(B1619:F1619)-C1619)*L1612),(SUM(B1619:F1619)-C1619)*L1612),IF(SUM(B1613:F1619)&gt;(SUM(S1613:S1619)),S1619*L1612,SUM(B1619:F1619)*L1612)),2)))</f>
        <v>0</v>
      </c>
      <c r="M1619" s="64">
        <f>IF(B1619=0,0,IF(AND(H1604="ja",((U1619-C1619)&lt;R1629)),ROUND(((R1631*R1628+((R1629/(R1629-R1628))-(R1628/(R1629-R1628))*R1631)*((U1619-C1619)-R1628))*(M1612)),2),ROUND(IF(SUM(B1613:F1618)&lt;(SUM(S1613:S1618)),IF((SUM(B1613:F1619))&gt;(SUM(S1613:S1619)),(((SUM(S1613:S1619))-(SUM(B1613:F1619)-C1619))*M1612)+((SUM(B1619:F1619)-C1619)*M1612),(SUM(B1619:F1619)-C1619)*M1612),IF(SUM(B1613:F1619)&gt;(SUM(S1613:S1619)),S1619*M1612,SUM(B1619:F1619)*M1612)),2)))</f>
        <v>0</v>
      </c>
      <c r="N1619" s="64">
        <f>IF(B1619=0,0,IF(AND(H1604="ja",((U1619)&lt;R1629)),ROUND(((R1631*R1628+((R1629/(R1629-R1628))-(R1628/(R1629-R1628))*R1631)*((U1619)-R1628))*(N1612)),2),ROUND(IF(SUM(B1613:F1618)&lt;(SUM(S1613:S1618)),IF((SUM(B1613:F1619))&gt;(SUM(S1613:S1619)),(((SUM(S1613:S1619))-(SUM(B1613:F1619)-C1618))*N1612)+((SUM(B1619:F1619)-C1618)*N1612),SUM(B1619:F1619)*N1612),IF(SUM(B1613:F1619)&gt;(SUM(S1613:S1619)),S1619*N1612,SUM(B1619:F1619)*N1612)),2)))</f>
        <v>0</v>
      </c>
      <c r="O1619" s="21">
        <f>ROUND(SUM(B1619+C1619+F1619)*O1612,2)</f>
        <v>0</v>
      </c>
      <c r="P1619" s="25">
        <f t="shared" si="258"/>
        <v>0</v>
      </c>
      <c r="Q1619" s="456"/>
      <c r="R1619" s="140">
        <f>ROUND(IF(M1591="",R1607,R1607/M1591*P1596),2)</f>
        <v>5175</v>
      </c>
      <c r="S1619" s="140">
        <f>ROUND(IF(M1591="",R1608,R1608/M1591*P1596),2)</f>
        <v>7450</v>
      </c>
      <c r="U1619" s="950">
        <f t="shared" si="259"/>
        <v>0</v>
      </c>
      <c r="V1619" s="950">
        <f>SUM(B1613:F1619)</f>
        <v>0</v>
      </c>
    </row>
    <row r="1620" spans="1:24" s="1" customFormat="1" x14ac:dyDescent="0.2">
      <c r="A1620" s="76" t="str">
        <f>CONCATENATE("Aug ",O1589)</f>
        <v>Aug 2025</v>
      </c>
      <c r="B1620" s="22">
        <f>ROUND(IF(P1597=0,0,IFERROR(((LOOKUP(2,1/(A1598:A1601=A1620),G1598:G1601))*P1597*4.348),B1619/P1596*P1597)),2)</f>
        <v>0</v>
      </c>
      <c r="C1620" s="21">
        <f>ROUND(IFERROR((LOOKUP(2,1/(A1604=A1620),E1604)),0)+IFERROR((LOOKUP(2,1/(A1605=A1620),E1605)),0),2)</f>
        <v>0</v>
      </c>
      <c r="D1620" s="21">
        <f>ROUND(IF(B1620=0,0,D1612/M1591*P1597),2)</f>
        <v>0</v>
      </c>
      <c r="E1620" s="21">
        <f>ROUND(IF(B1620=0,0,E1612/N1587*P1597),2)</f>
        <v>0</v>
      </c>
      <c r="F1620" s="22">
        <f>ROUND(IF(P1597=0,0,IFERROR(((LOOKUP(2,1/(A1598:A1601=A1620),I1598:I1601))/N1587*P1597),F1619/P1596*P1597)),2)</f>
        <v>0</v>
      </c>
      <c r="G1620" s="25">
        <f t="shared" si="257"/>
        <v>0</v>
      </c>
      <c r="H1620" s="64">
        <f>IF(B1620=0,0,IF(AND(H1604="ja",((U1620)&lt;R1629)),ROUND(((R1631*R1628+((R1629/(R1629-R1628))-(R1628/(R1629-R1628))*R1631)*((U1620)-R1628))*(H1612*2))-(((R1629/(R1629-R1628))*((U1620)-R1628))*H1612),2),ROUND(IF(V1619&lt;(SUM(R1613:R1619)),IF((V1620)&gt;(SUM(R1613:R1620)),(((SUM(R1613:R1620))-(V1620-C1619))*H1612)+((U1620-C1619)*H1612),U1620*H1612),IF(V1620&gt;(SUM(R1613:R1620)),R1620*H1612,U1620*H1612)),2)))</f>
        <v>0</v>
      </c>
      <c r="I1620" s="64">
        <f>IF(B1620=0,0,IF(AND(H1604="ja",((U1620)&lt;R1629)),ROUND(((R1631*R1628+((R1629/(R1629-R1628))-(R1628/(R1629-R1628))*R1631)*((U1620)-R1628))*(I1612*2))-(((R1629/(R1629-R1628))*((U1620)-R1628))*I1612),2),ROUND(IF(V1619&lt;(SUM(S1613:S1619)),IF((V1620)&gt;(SUM(S1613:S1620)),(((SUM(S1613:S1620))-(V1620-C1619))*I1612)+((U1620-C1619)*I1612),U1620*I1612),IF(V1620&gt;(SUM(S1613:S1620)),S1620*I1612,U1620*I1612)),2)))</f>
        <v>0</v>
      </c>
      <c r="J1620" s="64">
        <f>IF(B1620=0,0,IF(AND(H1604="ja",((U1620)&lt;R1629)),ROUND(((R1631*R1628+((R1629/(R1629-R1628))-(R1628/(R1629-R1628))*R1631)*((U1620)-R1628))*(J1612*2))-(((R1629/(R1629-R1628))*((U1620)-R1628))*J1612),2),ROUND(IF(V1619&lt;(SUM(S1613:S1619)),IF((V1620)&gt;(SUM(S1613:S1620)),(((SUM(S1613:S1620))-(V1620-C1619))*J1612)+((U1620-C1619)*J1612),U1620*J1612),IF(V1620&gt;(SUM(S1613:S1620)),S1620*J1612,U1620*J1612)),2)))</f>
        <v>0</v>
      </c>
      <c r="K1620" s="64">
        <f>IF(B1620=0,0,IF(AND(H1604="ja",((U1620)&lt;R1629)),ROUND(((R1631*R1628+((R1629/(R1629-R1628))-(R1628/(R1629-R1628))*R1631)*((U1620)-R1628))*(K1612*2))-(((R1629/(R1629-R1628))*((U1620)-R1628))*K1612),2),ROUND(IF(V1619&lt;(SUM(R1613:R1619)),IF((V1620)&gt;(SUM(R1613:R1620)),(((SUM(R1613:R1620))-(V1620-C1619))*K1612)+((U1620-C1619)*K1612),U1620*K1612),IF(V1620&gt;(SUM(R1613:R1620)),R1620*K1612,U1620*K1612)),2)))</f>
        <v>0</v>
      </c>
      <c r="L1620" s="64">
        <f>IF(B1620=0,0,IF(AND(H1604="ja",((U1620-C1620)&lt;R1629)),ROUND(((R1631*R1628+((R1629/(R1629-R1628))-(R1628/(R1629-R1628))*R1631)*((U1620-C1620)-R1628))*(L1612)),2),ROUND(IF(SUM(B1613:F1619)&lt;(SUM(S1613:S1619)),IF((SUM(B1613:F1620))&gt;(SUM(S1613:S1620)),(((SUM(S1613:S1620))-(SUM(B1613:F1620)-C1620))*L1612)+((SUM(B1620:F1620)-C1620)*L1612),(SUM(B1620:F1620)-C1620)*L1612),IF(SUM(B1613:F1620)&gt;(SUM(S1613:S1620)),S1620*L1612,SUM(B1620:F1620)*L1612)),2)))</f>
        <v>0</v>
      </c>
      <c r="M1620" s="64">
        <f>IF(B1620=0,0,IF(AND(H1604="ja",((U1620-C1620)&lt;R1629)),ROUND(((R1631*R1628+((R1629/(R1629-R1628))-(R1628/(R1629-R1628))*R1631)*((U1620-C1620)-R1628))*(M1612)),2),ROUND(IF(SUM(B1613:F1619)&lt;(SUM(S1613:S1619)),IF((SUM(B1613:F1620))&gt;(SUM(S1613:S1620)),(((SUM(S1613:S1620))-(SUM(B1613:F1620)-C1620))*M1612)+((SUM(B1620:F1620)-C1620)*M1612),(SUM(B1620:F1620)-C1620)*M1612),IF(SUM(B1613:F1620)&gt;(SUM(S1613:S1620)),S1620*M1612,SUM(B1620:F1620)*M1612)),2)))</f>
        <v>0</v>
      </c>
      <c r="N1620" s="64">
        <f>IF(B1620=0,0,IF(AND(H1604="ja",((U1620)&lt;R1629)),ROUND(((R1631*R1628+((R1629/(R1629-R1628))-(R1628/(R1629-R1628))*R1631)*((U1620)-R1628))*(N1612)),2),ROUND(IF(SUM(B1613:F1619)&lt;(SUM(S1613:S1619)),IF((SUM(B1613:F1620))&gt;(SUM(S1613:S1620)),(((SUM(S1613:S1620))-(SUM(B1613:F1620)-C1619))*N1612)+((SUM(B1620:F1620)-C1619)*N1612),SUM(B1620:F1620)*N1612),IF(SUM(B1613:F1620)&gt;(SUM(S1613:S1620)),S1620*N1612,SUM(B1620:F1620)*N1612)),2)))</f>
        <v>0</v>
      </c>
      <c r="O1620" s="21">
        <f>ROUND(SUM(B1620+C1620+F1620)*O1612,2)</f>
        <v>0</v>
      </c>
      <c r="P1620" s="25">
        <f t="shared" si="258"/>
        <v>0</v>
      </c>
      <c r="Q1620" s="456"/>
      <c r="R1620" s="140">
        <f>ROUND(IF(M1591="",R1607,R1607/M1591*P1597),2)</f>
        <v>5175</v>
      </c>
      <c r="S1620" s="140">
        <f>ROUND(IF(M1591="",R1608,R1608/M1591*P1597),2)</f>
        <v>7450</v>
      </c>
      <c r="U1620" s="950">
        <f t="shared" si="259"/>
        <v>0</v>
      </c>
      <c r="V1620" s="950">
        <f>SUM(B1613:F1620)</f>
        <v>0</v>
      </c>
    </row>
    <row r="1621" spans="1:24" s="1" customFormat="1" x14ac:dyDescent="0.2">
      <c r="A1621" s="76" t="str">
        <f>CONCATENATE("Sep ",O1589)</f>
        <v>Sep 2025</v>
      </c>
      <c r="B1621" s="22">
        <f>ROUND(IF(P1598=0,0,IFERROR(((LOOKUP(2,1/(A1598:A1601=A1621),G1598:G1601))*P1598*4.348),B1620/P1597*P1598)),2)</f>
        <v>0</v>
      </c>
      <c r="C1621" s="21">
        <f>ROUND(IFERROR((LOOKUP(2,1/(A1604=A1621),E1604)),0)+IFERROR((LOOKUP(2,1/(A1605=A1621),E1605)),0),2)</f>
        <v>0</v>
      </c>
      <c r="D1621" s="21">
        <f>ROUND(IF(B1621=0,0,D1612/M1591*P1598),2)</f>
        <v>0</v>
      </c>
      <c r="E1621" s="21">
        <f>ROUND(IF(B1621=0,0,E1612/N1587*P1598),2)</f>
        <v>0</v>
      </c>
      <c r="F1621" s="22">
        <f>ROUND(IF(P1598=0,0,IFERROR(((LOOKUP(2,1/(A1598:A1601=A1621),I1598:I1601))/N1587*P1598),F1620/P1597*P1598)),2)</f>
        <v>0</v>
      </c>
      <c r="G1621" s="25">
        <f t="shared" si="257"/>
        <v>0</v>
      </c>
      <c r="H1621" s="64">
        <f>IF(B1621=0,0,IF(AND(H1604="ja",((U1621)&lt;R1629)),ROUND(((R1631*R1628+((R1629/(R1629-R1628))-(R1628/(R1629-R1628))*R1631)*((U1621)-R1628))*(H1612*2))-(((R1629/(R1629-R1628))*((U1621)-R1628))*H1612),2),ROUND(IF(V1620&lt;(SUM(R1613:R1620)),IF((V1621)&gt;(SUM(R1613:R1621)),(((SUM(R1613:R1621))-(V1621-C1620))*H1612)+((U1621-C1620)*H1612),U1621*H1612),IF(V1621&gt;(SUM(R1613:R1621)),R1621*H1612,U1621*H1612)),2)))</f>
        <v>0</v>
      </c>
      <c r="I1621" s="64">
        <f>IF(B1621=0,0,IF(AND(H1604="ja",((U1621)&lt;R1629)),ROUND(((R1631*R1628+((R1629/(R1629-R1628))-(R1628/(R1629-R1628))*R1631)*((U1621)-R1628))*(I1612*2))-(((R1629/(R1629-R1628))*((U1621)-R1628))*I1612),2),ROUND(IF(V1620&lt;(SUM(S1613:S1620)),IF((V1621)&gt;(SUM(S1613:S1621)),(((SUM(S1613:S1621))-(V1621-C1620))*I1612)+((U1621-C1620)*I1612),U1621*I1612),IF(V1621&gt;(SUM(S1613:S1621)),S1621*I1612,U1621*I1612)),2)))</f>
        <v>0</v>
      </c>
      <c r="J1621" s="64">
        <f>IF(B1621=0,0,IF(AND(H1604="ja",((U1621)&lt;R1629)),ROUND(((R1631*R1628+((R1629/(R1629-R1628))-(R1628/(R1629-R1628))*R1631)*((U1621)-R1628))*(J1612*2))-(((R1629/(R1629-R1628))*((U1621)-R1628))*J1612),2),ROUND(IF(V1620&lt;(SUM(S1613:S1620)),IF((V1621)&gt;(SUM(S1613:S1621)),(((SUM(S1613:S1621))-(V1621-C1620))*J1612)+((U1621-C1620)*J1612),U1621*J1612),IF(V1621&gt;(SUM(S1613:S1621)),S1621*J1612,U1621*J1612)),2)))</f>
        <v>0</v>
      </c>
      <c r="K1621" s="64">
        <f>IF(B1621=0,0,IF(AND(H1604="ja",((U1621)&lt;R1629)),ROUND(((R1631*R1628+((R1629/(R1629-R1628))-(R1628/(R1629-R1628))*R1631)*((U1621)-R1628))*(K1612*2))-(((R1629/(R1629-R1628))*((U1621)-R1628))*K1612),2),ROUND(IF(V1620&lt;(SUM(R1613:R1620)),IF((V1621)&gt;(SUM(R1613:R1621)),(((SUM(R1613:R1621))-(V1621-C1620))*K1612)+((U1621-C1620)*K1612),U1621*K1612),IF(V1621&gt;(SUM(R1613:R1621)),R1621*K1612,U1621*K1612)),2)))</f>
        <v>0</v>
      </c>
      <c r="L1621" s="64">
        <f>IF(B1621=0,0,IF(AND(H1604="ja",((U1621-C1621)&lt;R1629)),ROUND(((R1631*R1628+((R1629/(R1629-R1628))-(R1628/(R1629-R1628))*R1631)*((U1621-C1621)-R1628))*(L1612)),2),ROUND(IF(SUM(B1613:F1620)&lt;(SUM(S1613:S1620)),IF((SUM(B1613:F1621))&gt;(SUM(S1613:S1621)),(((SUM(S1613:S1621))-(SUM(B1613:F1621)-C1621))*L1612)+((SUM(B1621:F1621)-C1621)*L1612),(SUM(B1621:F1621)-C1621)*L1612),IF(SUM(B1613:F1621)&gt;(SUM(S1613:S1621)),S1621*L1612,SUM(B1621:F1621)*L1612)),2)))</f>
        <v>0</v>
      </c>
      <c r="M1621" s="64">
        <f>IF(B1621=0,0,IF(AND(H1604="ja",((U1621-C1621)&lt;R1629)),ROUND(((R1631*R1628+((R1629/(R1629-R1628))-(R1628/(R1629-R1628))*R1631)*((U1621-C1621)-R1628))*(M1612)),2),ROUND(IF(SUM(B1613:F1620)&lt;(SUM(S1613:S1620)),IF((SUM(B1613:F1621))&gt;(SUM(S1613:S1621)),(((SUM(S1613:S1621))-(SUM(B1613:F1621)-C1621))*M1612)+((SUM(B1621:F1621)-C1621)*M1612),(SUM(B1621:F1621)-C1621)*M1612),IF(SUM(B1613:F1621)&gt;(SUM(S1613:S1621)),S1621*M1612,SUM(B1621:F1621)*M1612)),2)))</f>
        <v>0</v>
      </c>
      <c r="N1621" s="64">
        <f>IF(B1621=0,0,IF(AND(H1604="ja",((U1621)&lt;R1629)),ROUND(((R1631*R1628+((R1629/(R1629-R1628))-(R1628/(R1629-R1628))*R1631)*((U1621)-R1628))*(N1612)),2),ROUND(IF(SUM(B1613:F1620)&lt;(SUM(S1613:S1620)),IF((SUM(B1613:F1621))&gt;(SUM(S1613:S1621)),(((SUM(S1613:S1621))-(SUM(B1613:F1621)-C1620))*N1612)+((SUM(B1621:F1621)-C1620)*N1612),SUM(B1621:F1621)*N1612),IF(SUM(B1613:F1621)&gt;(SUM(S1613:S1621)),S1621*N1612,SUM(B1621:F1621)*N1612)),2)))</f>
        <v>0</v>
      </c>
      <c r="O1621" s="21">
        <f>ROUND(SUM(B1621+C1621+F1621)*O1612,2)</f>
        <v>0</v>
      </c>
      <c r="P1621" s="25">
        <f t="shared" si="258"/>
        <v>0</v>
      </c>
      <c r="Q1621" s="456"/>
      <c r="R1621" s="140">
        <f>ROUND(IF(M1591="",R1607,R1607/M1591*P1598),2)</f>
        <v>5175</v>
      </c>
      <c r="S1621" s="140">
        <f>ROUND(IF(M1591="",R1608,R1608/M1591*P1598),2)</f>
        <v>7450</v>
      </c>
      <c r="U1621" s="950">
        <f t="shared" si="259"/>
        <v>0</v>
      </c>
      <c r="V1621" s="950">
        <f>SUM(B1613:F1621)</f>
        <v>0</v>
      </c>
    </row>
    <row r="1622" spans="1:24" s="12" customFormat="1" ht="15" x14ac:dyDescent="0.25">
      <c r="A1622" s="76" t="str">
        <f>CONCATENATE("Okt ",O1589)</f>
        <v>Okt 2025</v>
      </c>
      <c r="B1622" s="22">
        <f>ROUND(IF(P1599=0,0,IFERROR(((LOOKUP(2,1/(A1598:A1601=A1622),G1598:G1601))*P1599*4.348),B1621/P1598*P1599)),2)</f>
        <v>0</v>
      </c>
      <c r="C1622" s="21">
        <f>ROUND(IFERROR((LOOKUP(2,1/(A1604=A1622),E1604)),0)+IFERROR((LOOKUP(2,1/(A1605=A1622),E1605)),0),2)</f>
        <v>0</v>
      </c>
      <c r="D1622" s="21">
        <f>ROUND(IF(B1622=0,0,D1612/M1591*P1599),2)</f>
        <v>0</v>
      </c>
      <c r="E1622" s="21">
        <f>ROUND(IF(B1622=0,0,E1612/N1587*P1599),2)</f>
        <v>0</v>
      </c>
      <c r="F1622" s="22">
        <f>ROUND(IF(P1599=0,0,IFERROR(((LOOKUP(2,1/(A1598:A1601=A1622),I1598:I1601))/N1587*P1599),F1621/P1598*P1599)),2)</f>
        <v>0</v>
      </c>
      <c r="G1622" s="25">
        <f t="shared" si="257"/>
        <v>0</v>
      </c>
      <c r="H1622" s="64">
        <f>IF(B1622=0,0,IF(AND(H1604="ja",((U1622)&lt;R1629)),ROUND(((R1631*R1628+((R1629/(R1629-R1628))-(R1628/(R1629-R1628))*R1631)*((U1622)-R1628))*(H1612*2))-(((R1629/(R1629-R1628))*((U1622)-R1628))*H1612),2),ROUND(IF(V1621&lt;(SUM(R1613:R1621)),IF((V1622)&gt;(SUM(R1613:R1622)),(((SUM(R1613:R1622))-(V1622-C1621))*H1612)+((U1622-C1621)*H1612),U1622*H1612),IF(V1622&gt;(SUM(R1613:R1622)),R1622*H1612,U1622*H1612)),2)))</f>
        <v>0</v>
      </c>
      <c r="I1622" s="64">
        <f>IF(B1622=0,0,IF(AND(H1604="ja",((U1622)&lt;R1629)),ROUND(((R1631*R1628+((R1629/(R1629-R1628))-(R1628/(R1629-R1628))*R1631)*((U1622)-R1628))*(I1612*2))-(((R1629/(R1629-R1628))*((U1622)-R1628))*I1612),2),ROUND(IF(V1621&lt;(SUM(S1613:S1621)),IF((V1622)&gt;(SUM(S1613:S1622)),(((SUM(S1613:S1622))-(V1622-C1621))*I1612)+((U1622-C1621)*I1612),U1622*I1612),IF(V1622&gt;(SUM(S1613:S1622)),S1622*I1612,U1622*I1612)),2)))</f>
        <v>0</v>
      </c>
      <c r="J1622" s="64">
        <f>IF(B1622=0,0,IF(AND(H1604="ja",((U1622)&lt;R1629)),ROUND(((R1631*R1628+((R1629/(R1629-R1628))-(R1628/(R1629-R1628))*R1631)*((U1622)-R1628))*(J1612*2))-(((R1629/(R1629-R1628))*((U1622)-R1628))*J1612),2),ROUND(IF(V1621&lt;(SUM(S1613:S1621)),IF((V1622)&gt;(SUM(S1613:S1622)),(((SUM(S1613:S1622))-(V1622-C1621))*J1612)+((U1622-C1621)*J1612),U1622*J1612),IF(V1622&gt;(SUM(S1613:S1622)),S1622*J1612,U1622*J1612)),2)))</f>
        <v>0</v>
      </c>
      <c r="K1622" s="64">
        <f>IF(B1622=0,0,IF(AND(H1604="ja",((U1622)&lt;R1629)),ROUND(((R1631*R1628+((R1629/(R1629-R1628))-(R1628/(R1629-R1628))*R1631)*((U1622)-R1628))*(K1612*2))-(((R1629/(R1629-R1628))*((U1622)-R1628))*K1612),2),ROUND(IF(V1621&lt;(SUM(R1613:R1621)),IF((V1622)&gt;(SUM(R1613:R1622)),(((SUM(R1613:R1622))-(V1622-C1621))*K1612)+((U1622-C1621)*K1612),U1622*K1612),IF(V1622&gt;(SUM(R1613:R1622)),R1622*K1612,U1622*K1612)),2)))</f>
        <v>0</v>
      </c>
      <c r="L1622" s="64">
        <f>IF(B1622=0,0,IF(AND(H1604="ja",((U1622-C1622)&lt;R1629)),ROUND(((R1631*R1628+((R1629/(R1629-R1628))-(R1628/(R1629-R1628))*R1631)*((U1622-C1622)-R1628))*(L1612)),2),ROUND(IF(SUM(B1613:F1621)&lt;(SUM(S1613:S1621)),IF((SUM(B1613:F1622))&gt;(SUM(S1613:S1622)),(((SUM(S1613:S1622))-(SUM(B1613:F1622)-C1622))*L1612)+((SUM(B1622:F1622)-C1622)*L1612),(SUM(B1622:F1622)-C1622)*L1612),IF(SUM(B1613:F1622)&gt;(SUM(S1613:S1622)),S1622*L1612,SUM(B1622:F1622)*L1612)),2)))</f>
        <v>0</v>
      </c>
      <c r="M1622" s="64">
        <f>IF(B1622=0,0,IF(AND(H1604="ja",((U1622-C1622)&lt;R1629)),ROUND(((R1631*R1628+((R1629/(R1629-R1628))-(R1628/(R1629-R1628))*R1631)*((U1622-C1622)-R1628))*(M1612)),2),ROUND(IF(SUM(B1613:F1621)&lt;(SUM(S1613:S1621)),IF((SUM(B1613:F1622))&gt;(SUM(S1613:S1622)),(((SUM(S1613:S1622))-(SUM(B1613:F1622)-C1622))*M1612)+((SUM(B1622:F1622)-C1622)*M1612),(SUM(B1622:F1622)-C1622)*M1612),IF(SUM(B1613:F1622)&gt;(SUM(S1613:S1622)),S1622*M1612,SUM(B1622:F1622)*M1612)),2)))</f>
        <v>0</v>
      </c>
      <c r="N1622" s="64">
        <f>IF(B1622=0,0,IF(AND(H1604="ja",((U1622)&lt;R1629)),ROUND(((R1631*R1628+((R1629/(R1629-R1628))-(R1628/(R1629-R1628))*R1631)*((U1622)-R1628))*(N1612)),2),ROUND(IF(SUM(B1613:F1621)&lt;(SUM(S1613:S1621)),IF((SUM(B1613:F1622))&gt;(SUM(S1613:S1622)),(((SUM(S1613:S1622))-(SUM(B1613:F1622)-C1621))*N1612)+((SUM(B1622:F1622)-C1621)*N1612),SUM(B1622:F1622)*N1612),IF(SUM(B1613:F1622)&gt;(SUM(S1613:S1622)),S1622*N1612,SUM(B1622:F1622)*N1612)),2)))</f>
        <v>0</v>
      </c>
      <c r="O1622" s="21">
        <f>ROUND(SUM(B1622+C1622+F1622)*O1612,2)</f>
        <v>0</v>
      </c>
      <c r="P1622" s="25">
        <f t="shared" si="258"/>
        <v>0</v>
      </c>
      <c r="Q1622" s="936"/>
      <c r="R1622" s="140">
        <f>ROUND(IF(M1591="",R1607,R1607/M1591*P1599),2)</f>
        <v>5175</v>
      </c>
      <c r="S1622" s="140">
        <f>ROUND(IF(M1591="",R1608,R1608/M1591*P1599),2)</f>
        <v>7450</v>
      </c>
      <c r="U1622" s="950">
        <f t="shared" si="259"/>
        <v>0</v>
      </c>
      <c r="V1622" s="950">
        <f>SUM(B1613:F1622)</f>
        <v>0</v>
      </c>
      <c r="X1622" s="1"/>
    </row>
    <row r="1623" spans="1:24" s="11" customFormat="1" x14ac:dyDescent="0.2">
      <c r="A1623" s="76" t="str">
        <f>CONCATENATE("Nov ",O1589)</f>
        <v>Nov 2025</v>
      </c>
      <c r="B1623" s="22">
        <f>ROUND(IF(P1600=0,0,IFERROR(((LOOKUP(2,1/(A1598:A1601=A1623),G1598:G1601))*P1600*4.348),B1622/P1599*P1600)),2)</f>
        <v>0</v>
      </c>
      <c r="C1623" s="21">
        <f>ROUND(IFERROR((LOOKUP(2,1/(A1604=A1623),E1604)),0)+(IFERROR((LOOKUP(2,1/(A1605=A1623),E1605)),0)),2)</f>
        <v>0</v>
      </c>
      <c r="D1623" s="21">
        <f>ROUND(IF(B1623=0,0,D1612/M1591*P1600),2)</f>
        <v>0</v>
      </c>
      <c r="E1623" s="21">
        <f>ROUND(IF(B1623=0,0,E1612/N1587*P1600),2)</f>
        <v>0</v>
      </c>
      <c r="F1623" s="22">
        <f>ROUND(IF(P1600=0,0,IFERROR(((LOOKUP(2,1/(A1598:A1601=A1623),I1598:I1601))/N1587*P1600),F1622/P1599*P1600)),2)</f>
        <v>0</v>
      </c>
      <c r="G1623" s="25">
        <f t="shared" si="257"/>
        <v>0</v>
      </c>
      <c r="H1623" s="64">
        <f>IF(B1623=0,0,IF(AND(H1604="ja",((U1623)&lt;R1629)),ROUND(((R1631*R1628+((R1629/(R1629-R1628))-(R1628/(R1629-R1628))*R1631)*((U1623)-R1628))*(H1612*2))-(((R1629/(R1629-R1628))*((U1623)-R1628))*H1612),2),ROUND(IF(V1622&lt;(SUM(R1613:R1622)),IF((V1623)&gt;(SUM(R1613:R1623)),(((SUM(R1613:R1623))-(V1623-C1622))*H1612)+((U1623-C1622)*H1612),U1623*H1612),IF(V1623&gt;(SUM(R1613:R1623)),R1623*H1612,U1623*H1612)),2)))</f>
        <v>0</v>
      </c>
      <c r="I1623" s="64">
        <f>IF(B1623=0,0,IF(AND(H1604="ja",((U1623)&lt;R1629)),ROUND(((R1631*R1628+((R1629/(R1629-R1628))-(R1628/(R1629-R1628))*R1631)*((U1623)-R1628))*(I1612*2))-(((R1629/(R1629-R1628))*((U1623)-R1628))*I1612),2),ROUND(IF(V1622&lt;(SUM(S1613:S1622)),IF((V1623)&gt;(SUM(S1613:S1623)),(((SUM(S1613:S1623))-(V1623-C1622))*I1612)+((U1623-C1622)*I1612),U1623*I1612),IF(V1623&gt;(SUM(S1613:S1623)),S1623*I1612,U1623*I1612)),2)))</f>
        <v>0</v>
      </c>
      <c r="J1623" s="64">
        <f>IF(B1623=0,0,IF(AND(H1604="ja",((U1623)&lt;R1629)),ROUND(((R1631*R1628+((R1629/(R1629-R1628))-(R1628/(R1629-R1628))*R1631)*((U1623)-R1628))*(J1612*2))-(((R1629/(R1629-R1628))*((U1623)-R1628))*J1612),2),ROUND(IF(V1622&lt;(SUM(S1613:S1622)),IF((V1623)&gt;(SUM(S1613:S1623)),(((SUM(S1613:S1623))-(V1623-C1622))*J1612)+((U1623-C1622)*J1612),U1623*J1612),IF(V1623&gt;(SUM(S1613:S1623)),S1623*J1612,U1623*J1612)),2)))</f>
        <v>0</v>
      </c>
      <c r="K1623" s="64">
        <f>IF(B1623=0,0,IF(AND(H1604="ja",((U1623)&lt;R1629)),ROUND(((R1631*R1628+((R1629/(R1629-R1628))-(R1628/(R1629-R1628))*R1631)*((U1623)-R1628))*(K1612*2))-(((R1629/(R1629-R1628))*((U1623)-R1628))*K1612),2),ROUND(IF(V1622&lt;(SUM(R1613:R1622)),IF((V1623)&gt;(SUM(R1613:R1623)),(((SUM(R1613:R1623))-(V1623-C1622))*K1612)+((U1623-C1622)*K1612),U1623*K1612),IF(V1623&gt;(SUM(R1613:R1623)),R1623*K1612,U1623*K1612)),2)))</f>
        <v>0</v>
      </c>
      <c r="L1623" s="64">
        <f>IF(B1623=0,0,IF(AND(H1604="ja",((U1623-C1623)&lt;R1629)),ROUND(((R1631*R1628+((R1629/(R1629-R1628))-(R1628/(R1629-R1628))*R1631)*((U1623-C1623)-R1628))*(L1612)),2),ROUND(IF(SUM(B1613:F1622)&lt;(SUM(S1613:S1622)),IF((SUM(B1613:F1623))&gt;(SUM(S1613:S1623)),(((SUM(S1613:S1623))-(SUM(B1613:F1623)-C1623))*L1612)+((SUM(B1623:F1623)-C1623)*L1612),(SUM(B1623:F1623)-C1623)*L1612),IF(SUM(B1613:F1623)&gt;(SUM(S1613:S1623)),S1623*L1612,SUM(B1623:F1623)*L1612)),2)))</f>
        <v>0</v>
      </c>
      <c r="M1623" s="64">
        <f>IF(B1623=0,0,IF(AND(H1604="ja",((U1623-C1623)&lt;R1629)),ROUND(((R1631*R1628+((R1629/(R1629-R1628))-(R1628/(R1629-R1628))*R1631)*((U1623-C1623)-R1628))*(M1612)),2),ROUND(IF(SUM(B1613:F1622)&lt;(SUM(S1613:S1622)),IF((SUM(B1613:F1623))&gt;(SUM(S1613:S1623)),(((SUM(S1613:S1623))-(SUM(B1613:F1623)-C1623))*M1612)+((SUM(B1623:F1623)-C1623)*M1612),(SUM(B1623:F1623)-C1623)*M1612),IF(SUM(B1613:F1623)&gt;(SUM(S1613:S1623)),S1623*M1612,SUM(B1623:F1623)*M1612)),2)))</f>
        <v>0</v>
      </c>
      <c r="N1623" s="64">
        <f>IF(B1623=0,0,IF(AND(H1604="ja",((U1623)&lt;R1629)),ROUND(((R1631*R1628+((R1629/(R1629-R1628))-(R1628/(R1629-R1628))*R1631)*((U1623)-R1628))*(N1612)),2),ROUND(IF(SUM(B1613:F1622)&lt;(SUM(S1613:S1622)),IF((SUM(B1613:F1623))&gt;(SUM(S1613:S1623)),(((SUM(S1613:S1623))-(SUM(B1613:F1623)-C1622))*N1612)+((SUM(B1623:F1623)-C1622)*N1612),SUM(B1623:F1623)*N1612),IF(SUM(B1613:F1623)&gt;(SUM(S1613:S1623)),S1623*N1612,SUM(B1623:F1623)*N1612)),2)))</f>
        <v>0</v>
      </c>
      <c r="O1623" s="21">
        <f>ROUND(SUM(B1623+C1623+F1623)*O1612,2)</f>
        <v>0</v>
      </c>
      <c r="P1623" s="25">
        <f t="shared" si="258"/>
        <v>0</v>
      </c>
      <c r="R1623" s="140">
        <f>ROUND(IF(M1591="",R1607,R1607/M1591*P1600),2)</f>
        <v>5175</v>
      </c>
      <c r="S1623" s="140">
        <f>ROUND(IF(M1591="",R1608,R1608/M1591*P1600),2)</f>
        <v>7450</v>
      </c>
      <c r="U1623" s="950">
        <f t="shared" si="259"/>
        <v>0</v>
      </c>
      <c r="V1623" s="950">
        <f>SUM(B1613:F1623)</f>
        <v>0</v>
      </c>
      <c r="X1623" s="1"/>
    </row>
    <row r="1624" spans="1:24" s="1" customFormat="1" ht="14.25" customHeight="1" x14ac:dyDescent="0.2">
      <c r="A1624" s="76" t="str">
        <f>CONCATENATE("Dez ",O1589)</f>
        <v>Dez 2025</v>
      </c>
      <c r="B1624" s="22">
        <f>ROUND(IF(P1601=0,0,IFERROR(((LOOKUP(2,1/(A1598:A1601=A1624),G1598:G1601))*P1601*4.348),B1623/P1600*P1601)),2)</f>
        <v>0</v>
      </c>
      <c r="C1624" s="21">
        <f>ROUND(IFERROR((LOOKUP(2,1/(A1604=A1624),E1604)),0)+IFERROR((LOOKUP(2,1/(A1605=A1624),E1605)),0),2)</f>
        <v>0</v>
      </c>
      <c r="D1624" s="21">
        <f>ROUND(IF(B1624=0,0,D1612/M1591*P1601),2)</f>
        <v>0</v>
      </c>
      <c r="E1624" s="21">
        <f>ROUND(IF(B1624=0,0,E1612/N1587*P1601),2)</f>
        <v>0</v>
      </c>
      <c r="F1624" s="22">
        <f>ROUND(IF(P1601=0,0,IFERROR(((LOOKUP(2,1/(A1598:A1601=A1624),I1598:I1601))/N1587*P1601),F1623/P1600*P1601)),2)</f>
        <v>0</v>
      </c>
      <c r="G1624" s="25">
        <f t="shared" si="257"/>
        <v>0</v>
      </c>
      <c r="H1624" s="64">
        <f>IF(B1624=0,0,IF(AND(H1604="ja",((U1624)&lt;R1629)),ROUND(((R1631*R1628+((R1629/(R1629-R1628))-(R1628/(R1629-R1628))*R1631)*((U1624)-R1628))*(H1612*2))-(((R1629/(R1629-R1628))*((U1624)-R1628))*H1612),2),ROUND(IF(V1623&lt;(SUM(R1613:R1623)),IF((V1624)&gt;(SUM(R1613:R1624)),(((SUM(R1613:R1624))-(V1624-C1623))*H1612)+((U1624-C1623)*H1612),U1624*H1612),IF(V1624&gt;(SUM(R1613:R1624)),R1624*H1612,U1624*H1612)),2)))</f>
        <v>0</v>
      </c>
      <c r="I1624" s="64">
        <f>IF(B1624=0,0,IF(AND(H1604="ja",((U1624)&lt;R1629)),ROUND(((R1631*R1628+((R1629/(R1629-R1628))-(R1628/(R1629-R1628))*R1631)*((U1624)-R1628))*(I1612*2))-(((R1629/(R1629-R1628))*((U1624)-R1628))*I1612),2),ROUND(IF(V1623&lt;(SUM(S1613:S1623)),IF((V1624)&gt;(SUM(S1613:S1624)),(((SUM(S1613:S1624))-(V1624-C1623))*I1612)+((U1624-C1623)*I1612),U1624*I1612),IF(V1624&gt;(SUM(S1613:S1624)),S1624*I1612,U1624*I1612)),2)))</f>
        <v>0</v>
      </c>
      <c r="J1624" s="64">
        <f>IF(B1624=0,0,IF(AND(H1604="ja",((U1624)&lt;R1629)),ROUND(((R1631*R1628+((R1629/(R1629-R1628))-(R1628/(R1629-R1628))*R1631)*((U1624)-R1628))*(J1612*2))-(((R1629/(R1629-R1628))*((U1624)-R1628))*J1612),2),ROUND(IF(V1623&lt;(SUM(S1613:S1623)),IF((V1624)&gt;(SUM(S1613:S1624)),(((SUM(S1613:S1624))-(V1624-C1623))*J1612)+((U1624-C1623)*J1612),U1624*J1612),IF(V1624&gt;(SUM(S1613:S1624)),S1624*J1612,U1624*J1612)),2)))</f>
        <v>0</v>
      </c>
      <c r="K1624" s="64">
        <f>IF(B1624=0,0,IF(AND(H1604="ja",((U1624)&lt;R1629)),ROUND(((R1631*R1628+((R1629/(R1629-R1628))-(R1628/(R1629-R1628))*R1631)*((U1624)-R1628))*(K1612*2))-(((R1629/(R1629-R1628))*((U1624)-R1628))*K1612),2),ROUND(IF(V1623&lt;(SUM(R1613:R1623)),IF((V1624)&gt;(SUM(R1613:R1624)),(((SUM(R1613:R1624))-(V1624-C1623))*K1612)+((U1624-C1623)*K1612),U1624*K1612),IF(V1624&gt;(SUM(R1613:R1624)),R1624*K1612,U1624*K1612)),2)))</f>
        <v>0</v>
      </c>
      <c r="L1624" s="64">
        <f>IF(B1624=0,0,IF(AND(H1604="ja",((U1624-C1624)&lt;R1629)),ROUND(((R1631*R1628+((R1629/(R1629-R1628))-(R1628/(R1629-R1628))*R1631)*((U1624-C1624)-R1628))*(L1612)),2),ROUND(IF(SUM(B1613:F1623)&lt;(SUM(S1613:S1623)),IF((SUM(B1613:F1624))&gt;(SUM(S1613:S1624)),(((SUM(S1613:S1624))-(SUM(B1613:F1624)-C1624))*L1612)+((SUM(B1624:F1624)-C1624)*L1612),(SUM(B1624:F1624)-C1624)*L1612),IF(SUM(B1613:F1624)&gt;(SUM(S1613:S1624)),S1624*L1612,SUM(B1624:F1624)*L1612)),2)))</f>
        <v>0</v>
      </c>
      <c r="M1624" s="64">
        <f>IF(B1624=0,0,IF(AND(H1604="ja",((U1624-C1624)&lt;R1629)),ROUND(((R1631*R1628+((R1629/(R1629-R1628))-(R1628/(R1629-R1628))*R1631)*((U1624-C1624)-R1628))*(M1612)),2),ROUND(IF(SUM(B1613:F1623)&lt;(SUM(S1613:S1623)),IF((SUM(B1613:F1624))&gt;(SUM(S1613:S1624)),(((SUM(S1613:S1624))-(SUM(B1613:F1624)-C1624))*M1612)+((SUM(B1624:F1624)-C1624)*M1612),(SUM(B1624:F1624)-C1624)*M1612),IF(SUM(B1613:F1624)&gt;(SUM(S1613:S1624)),S1624*M1612,SUM(B1624:F1624)*M1612)),2)))</f>
        <v>0</v>
      </c>
      <c r="N1624" s="64">
        <f>IF(B1624=0,0,IF(AND(H1604="ja",((U1624)&lt;R1629)),ROUND(((R1631*R1628+((R1629/(R1629-R1628))-(R1628/(R1629-R1628))*R1631)*((U1624)-R1628))*(N1612)),2),ROUND(IF(SUM(B1613:F1623)&lt;(SUM(S1613:S1623)),IF((SUM(B1613:F1624))&gt;(SUM(S1613:S1624)),(((SUM(S1613:S1624))-(SUM(B1613:F1624)-C1623))*N1612)+((SUM(B1624:F1624)-C1623)*N1612),SUM(B1624:F1624)*N1612),IF(SUM(B1613:F1624)&gt;(SUM(S1613:S1624)),S1624*N1612,SUM(B1624:F1624)*N1612)),2)))</f>
        <v>0</v>
      </c>
      <c r="O1624" s="21">
        <f>ROUND(SUM(B1624+C1624+F1624)*O1612,2)</f>
        <v>0</v>
      </c>
      <c r="P1624" s="25">
        <f t="shared" si="258"/>
        <v>0</v>
      </c>
      <c r="Q1624" s="11"/>
      <c r="R1624" s="140">
        <f>ROUND(IF(M1591="",R1607,R1607/M1591*P1601),2)</f>
        <v>5175</v>
      </c>
      <c r="S1624" s="140">
        <f>ROUND(IF(M1591="",R1608,R1608/M1591*P1601),2)</f>
        <v>7450</v>
      </c>
      <c r="U1624" s="950">
        <f t="shared" si="259"/>
        <v>0</v>
      </c>
      <c r="V1624" s="950">
        <f>SUM(B1613:F1624)</f>
        <v>0</v>
      </c>
    </row>
    <row r="1625" spans="1:24" s="1" customFormat="1" ht="15" customHeight="1" x14ac:dyDescent="0.2">
      <c r="A1625" s="2" t="s">
        <v>1</v>
      </c>
      <c r="B1625" s="25">
        <f t="shared" ref="B1625:G1625" si="260">SUM(B1613:B1624)</f>
        <v>0</v>
      </c>
      <c r="C1625" s="25">
        <f t="shared" si="260"/>
        <v>0</v>
      </c>
      <c r="D1625" s="25">
        <f t="shared" si="260"/>
        <v>0</v>
      </c>
      <c r="E1625" s="25">
        <f t="shared" si="260"/>
        <v>0</v>
      </c>
      <c r="F1625" s="25">
        <f t="shared" si="260"/>
        <v>0</v>
      </c>
      <c r="G1625" s="25">
        <f t="shared" si="260"/>
        <v>0</v>
      </c>
      <c r="H1625" s="1309">
        <f>SUM(H1613:N1624)</f>
        <v>0</v>
      </c>
      <c r="I1625" s="1310"/>
      <c r="J1625" s="1310"/>
      <c r="K1625" s="1310"/>
      <c r="L1625" s="1310"/>
      <c r="M1625" s="1310"/>
      <c r="N1625" s="1311"/>
      <c r="O1625" s="25">
        <f>SUM(O1613:O1624)</f>
        <v>0</v>
      </c>
      <c r="P1625" s="25">
        <f>SUM(P1613:P1624)</f>
        <v>0</v>
      </c>
    </row>
    <row r="1626" spans="1:24" s="1" customFormat="1" ht="12" customHeight="1" x14ac:dyDescent="0.2"/>
    <row r="1627" spans="1:24" s="1" customFormat="1" ht="14.25" customHeight="1" x14ac:dyDescent="0.2">
      <c r="B1627" s="906"/>
      <c r="H1627" s="905"/>
      <c r="I1627" s="62"/>
      <c r="J1627" s="914" t="s">
        <v>123</v>
      </c>
      <c r="L1627" s="900" t="s">
        <v>124</v>
      </c>
      <c r="M1627" s="974" t="str">
        <f>IF(IF(G1625=0,"",'päd.Personal - Leitung'!$M$43)=0,"",IF(G1625=0,"",'päd.Personal - Leitung'!$M$43))</f>
        <v/>
      </c>
      <c r="N1627" s="902" t="s">
        <v>125</v>
      </c>
      <c r="O1627" s="963" t="str">
        <f>IF(IF(G1625=0,"",'päd.Personal - Leitung'!$O$43)=0,"",IF(G1625=0,"",'päd.Personal - Leitung'!$O$43))</f>
        <v/>
      </c>
      <c r="P1627" s="25">
        <f>ROUND(IF(M1627="",0,G1625*M1627*O1627/1000),2)</f>
        <v>0</v>
      </c>
      <c r="Q1627" s="937"/>
      <c r="R1627" s="938">
        <v>2025</v>
      </c>
      <c r="S1627" s="939"/>
    </row>
    <row r="1628" spans="1:24" s="1" customFormat="1" ht="14.25" customHeight="1" x14ac:dyDescent="0.2">
      <c r="H1628" s="907"/>
      <c r="I1628" s="42"/>
      <c r="M1628" s="915" t="s">
        <v>129</v>
      </c>
      <c r="N1628" s="80" t="s">
        <v>125</v>
      </c>
      <c r="O1628" s="75" t="str">
        <f>IF(IF(G1625=0,"",'päd.Personal - Leitung'!$O$44)=0,"",IF(G1625=0,"",'päd.Personal - Leitung'!$O$44))</f>
        <v/>
      </c>
      <c r="P1628" s="25">
        <f>ROUND(IF(O1628="",0,G1625*O1628/1000),2)</f>
        <v>0</v>
      </c>
      <c r="Q1628" s="942" t="s">
        <v>737</v>
      </c>
      <c r="R1628" s="141">
        <f>'päd.Personal - Leitung'!$R$44</f>
        <v>556</v>
      </c>
      <c r="S1628" s="955">
        <f>'päd.Personal - Leitung'!$S$44</f>
        <v>12.82</v>
      </c>
    </row>
    <row r="1629" spans="1:24" s="1" customFormat="1" ht="14.25" customHeight="1" x14ac:dyDescent="0.2">
      <c r="H1629" s="912" t="s">
        <v>126</v>
      </c>
      <c r="I1629" s="1013" t="s">
        <v>127</v>
      </c>
      <c r="J1629" s="975" t="str">
        <f>IF(IF(G1625=0,"",'päd.Personal - Leitung'!$J$45)=0,"",IF(G1625=0,"",'päd.Personal - Leitung'!$J$45))</f>
        <v/>
      </c>
      <c r="K1629" s="902" t="s">
        <v>128</v>
      </c>
      <c r="L1629" s="964" t="str">
        <f>IF(IF(G1625=0,"",'päd.Personal - Leitung'!$L$45)=0,"",IF(G1625=0,"",'päd.Personal - Leitung'!$L$45))</f>
        <v/>
      </c>
      <c r="M1629" s="16"/>
      <c r="N1629" s="900" t="s">
        <v>132</v>
      </c>
      <c r="O1629" s="965" t="str">
        <f>IF(IF(G1625=0,"",'päd.Personal - Leitung'!$O$45)=0,"",IF(G1625=0,"",'päd.Personal - Leitung'!$O$45))</f>
        <v/>
      </c>
      <c r="P1629" s="25">
        <f>ROUND(IF(J1629="",0,(J1629*L1629/O1629)/M1593*M1594),2)</f>
        <v>0</v>
      </c>
      <c r="Q1629" s="942" t="s">
        <v>738</v>
      </c>
      <c r="R1629" s="140">
        <f>'päd.Personal - Leitung'!$R$45</f>
        <v>2000</v>
      </c>
      <c r="S1629" s="939"/>
    </row>
    <row r="1630" spans="1:24" s="1" customFormat="1" ht="14.25" customHeight="1" x14ac:dyDescent="0.2">
      <c r="D1630" s="16"/>
      <c r="I1630" s="16"/>
      <c r="J1630" s="16"/>
      <c r="K1630" s="63"/>
      <c r="L1630" s="67"/>
      <c r="M1630" s="915" t="s">
        <v>130</v>
      </c>
      <c r="N1630" s="80" t="s">
        <v>131</v>
      </c>
      <c r="O1630" s="904">
        <f>IF(IF(G1625="",0,'päd.Personal - Leitung'!$O$94)=0,0,IF(G1625="",0,'päd.Personal - Leitung'!$O$94))</f>
        <v>0</v>
      </c>
      <c r="P1630" s="21">
        <f>ROUND(IF(G1625=0,0,O1630/M1591*M1592),2)</f>
        <v>0</v>
      </c>
      <c r="Q1630" s="942" t="s">
        <v>740</v>
      </c>
      <c r="R1630" s="956">
        <f>'päd.Personal - Leitung'!$R$46</f>
        <v>0.40900000000000003</v>
      </c>
    </row>
    <row r="1631" spans="1:24" s="1" customFormat="1" ht="14.25" customHeight="1" x14ac:dyDescent="0.2">
      <c r="A1631" s="16"/>
      <c r="B1631" s="16"/>
      <c r="I1631" s="905"/>
      <c r="J1631" s="961" t="s">
        <v>176</v>
      </c>
      <c r="K1631" s="1312" t="str">
        <f>IF($K$47="","",$K$47)</f>
        <v/>
      </c>
      <c r="L1631" s="1312"/>
      <c r="M1631" s="1312"/>
      <c r="N1631" s="80" t="s">
        <v>131</v>
      </c>
      <c r="O1631" s="904">
        <f>IF(IF(G1625="",0,'päd.Personal - Leitung'!$O$95)=0,0,IF(G1625="",0,'päd.Personal - Leitung'!$O$95))</f>
        <v>0</v>
      </c>
      <c r="P1631" s="21">
        <f>ROUND(IF(G1625=0,0,O1631/M1591*M1592),2)</f>
        <v>0</v>
      </c>
      <c r="Q1631" s="942" t="s">
        <v>739</v>
      </c>
      <c r="R1631" s="940">
        <f>'päd.Personal - Leitung'!$R$47</f>
        <v>0.68459999999999999</v>
      </c>
      <c r="S1631" s="957">
        <f>'päd.Personal - Leitung'!$S$47</f>
        <v>0.28000000000000003</v>
      </c>
    </row>
    <row r="1632" spans="1:24" s="1" customFormat="1" ht="14.25" customHeight="1" x14ac:dyDescent="0.2">
      <c r="A1632" s="908"/>
      <c r="B1632" s="908"/>
      <c r="C1632" s="960"/>
      <c r="D1632" s="960"/>
      <c r="I1632" s="913"/>
      <c r="J1632" s="913"/>
      <c r="K1632" s="916"/>
      <c r="L1632" s="27"/>
      <c r="M1632" s="27"/>
      <c r="N1632" s="27"/>
      <c r="O1632" s="26" t="s">
        <v>0</v>
      </c>
      <c r="P1632" s="25">
        <f>P1625+SUM(P1627:P1631)</f>
        <v>0</v>
      </c>
    </row>
    <row r="1633" spans="1:19" s="10" customFormat="1" ht="13.5" customHeight="1" x14ac:dyDescent="0.2">
      <c r="A1633" s="1321" t="s">
        <v>17</v>
      </c>
      <c r="B1633" s="1321"/>
      <c r="C1633" s="1321"/>
      <c r="D1633" s="1320" t="str">
        <f>IF('päd.Personal - Leitung'!$D$1="","",'päd.Personal - Leitung'!$D$1)</f>
        <v/>
      </c>
      <c r="E1633" s="1320"/>
      <c r="F1633" s="1320"/>
      <c r="G1633" s="1320"/>
      <c r="H1633" s="1320"/>
      <c r="I1633" s="1320"/>
      <c r="J1633" s="1320"/>
      <c r="K1633" s="1320"/>
      <c r="L1633" s="1320"/>
      <c r="M1633" s="1320"/>
      <c r="N1633" s="1320"/>
    </row>
    <row r="1634" spans="1:19" s="10" customFormat="1" ht="15" customHeight="1" x14ac:dyDescent="0.2">
      <c r="A1634" s="1321" t="s">
        <v>16</v>
      </c>
      <c r="B1634" s="1321"/>
      <c r="C1634" s="1321" t="s">
        <v>14</v>
      </c>
      <c r="D1634" s="1320" t="str">
        <f>IF('päd.Personal - Leitung'!$D$2="","",'päd.Personal - Leitung'!$D$2)</f>
        <v/>
      </c>
      <c r="E1634" s="1320"/>
      <c r="F1634" s="1320"/>
      <c r="G1634" s="1320"/>
      <c r="H1634" s="1320"/>
      <c r="I1634" s="1320"/>
      <c r="J1634" s="1320"/>
      <c r="K1634" s="1320"/>
      <c r="L1634" s="1320"/>
      <c r="M1634" s="1320"/>
      <c r="N1634" s="1320"/>
    </row>
    <row r="1635" spans="1:19" s="10" customFormat="1" ht="15" customHeight="1" x14ac:dyDescent="0.2">
      <c r="A1635" s="1321" t="s">
        <v>15</v>
      </c>
      <c r="B1635" s="1321"/>
      <c r="C1635" s="1321" t="s">
        <v>14</v>
      </c>
      <c r="D1635" s="1320" t="str">
        <f>IF('päd.Personal - Leitung'!$D$3="","",'päd.Personal - Leitung'!$D$3)</f>
        <v/>
      </c>
      <c r="E1635" s="1320"/>
      <c r="F1635" s="1320"/>
      <c r="G1635" s="1320"/>
      <c r="H1635" s="1320"/>
      <c r="I1635" s="1320"/>
      <c r="J1635" s="1320"/>
      <c r="K1635" s="1321" t="s">
        <v>100</v>
      </c>
      <c r="L1635" s="1321"/>
      <c r="M1635" s="1321"/>
      <c r="N1635" s="38" t="str">
        <f>IF('päd.Personal - Leitung'!$N$3="","",'päd.Personal - Leitung'!$N$3)</f>
        <v/>
      </c>
    </row>
    <row r="1636" spans="1:19" s="923" customFormat="1" ht="7.5" customHeight="1" x14ac:dyDescent="0.15">
      <c r="A1636" s="1353"/>
      <c r="B1636" s="1353"/>
      <c r="C1636" s="1353"/>
      <c r="D1636" s="1354"/>
      <c r="E1636" s="1354"/>
      <c r="F1636" s="1354"/>
      <c r="G1636" s="1354"/>
      <c r="H1636" s="1354"/>
      <c r="I1636" s="1354"/>
      <c r="J1636" s="1354"/>
      <c r="K1636" s="922"/>
      <c r="L1636" s="922"/>
      <c r="M1636" s="922"/>
      <c r="N1636" s="922"/>
      <c r="O1636" s="922"/>
      <c r="P1636" s="922"/>
    </row>
    <row r="1637" spans="1:19" s="13" customFormat="1" ht="13.5" customHeight="1" x14ac:dyDescent="0.2">
      <c r="A1637" s="1355" t="s">
        <v>151</v>
      </c>
      <c r="B1637" s="1355"/>
      <c r="C1637" s="1355"/>
      <c r="D1637" s="1355"/>
      <c r="E1637" s="1355"/>
      <c r="F1637" s="1355"/>
      <c r="G1637" s="1355"/>
      <c r="H1637" s="1355"/>
      <c r="I1637" s="1355"/>
      <c r="J1637" s="1355"/>
      <c r="K1637" s="7"/>
      <c r="L1637" s="7"/>
      <c r="M1637" s="7"/>
      <c r="N1637" s="52"/>
      <c r="O1637" s="138">
        <f>'päd.Personal - Leitung'!$O$5</f>
        <v>2025</v>
      </c>
      <c r="P1637" s="52" t="s">
        <v>140</v>
      </c>
    </row>
    <row r="1638" spans="1:19" s="8" customFormat="1" ht="13.5" customHeight="1" x14ac:dyDescent="0.25">
      <c r="B1638" s="29"/>
      <c r="C1638" s="29"/>
      <c r="D1638" s="3" t="s">
        <v>189</v>
      </c>
      <c r="E1638" s="28"/>
      <c r="F1638" s="28"/>
      <c r="G1638" s="28"/>
      <c r="H1638" s="28"/>
      <c r="I1638" s="24"/>
      <c r="K1638" s="1327" t="s">
        <v>13</v>
      </c>
      <c r="L1638" s="1327"/>
      <c r="M1638" s="131"/>
      <c r="O1638" s="928" t="str">
        <f>A1661</f>
        <v>Jan 2025</v>
      </c>
      <c r="P1638" s="1402">
        <f>IF(M1640="","",M1640)</f>
        <v>0</v>
      </c>
    </row>
    <row r="1639" spans="1:19" s="5" customFormat="1" ht="13.5" customHeight="1" x14ac:dyDescent="0.25">
      <c r="A1639" s="1328" t="s">
        <v>754</v>
      </c>
      <c r="B1639" s="1328"/>
      <c r="C1639" s="1328"/>
      <c r="D1639" s="1345"/>
      <c r="E1639" s="1345"/>
      <c r="F1639" s="1345"/>
      <c r="G1639" s="1345"/>
      <c r="H1639" s="1345"/>
      <c r="I1639" s="1345"/>
      <c r="K1639" s="1327" t="s">
        <v>101</v>
      </c>
      <c r="L1639" s="1327"/>
      <c r="M1639" s="101"/>
      <c r="O1639" s="928" t="str">
        <f t="shared" ref="O1639:O1649" si="261">A1662</f>
        <v>Feb 2025</v>
      </c>
      <c r="P1639" s="1403">
        <f t="shared" ref="P1639:P1649" si="262">IF(P1638="","",P1638)</f>
        <v>0</v>
      </c>
    </row>
    <row r="1640" spans="1:19" s="1" customFormat="1" ht="13.5" customHeight="1" x14ac:dyDescent="0.2">
      <c r="A1640" s="1328" t="s">
        <v>12</v>
      </c>
      <c r="B1640" s="1328"/>
      <c r="C1640" s="1328"/>
      <c r="D1640" s="1345"/>
      <c r="E1640" s="1345"/>
      <c r="F1640" s="1345"/>
      <c r="G1640" s="1345"/>
      <c r="H1640" s="1345"/>
      <c r="I1640" s="1345"/>
      <c r="K1640" s="1327" t="s">
        <v>149</v>
      </c>
      <c r="L1640" s="1327"/>
      <c r="M1640" s="101">
        <f>IF((M1641+M1642)&gt;M1639,0,M1639-M1641-M1642)</f>
        <v>0</v>
      </c>
      <c r="O1640" s="928" t="str">
        <f t="shared" si="261"/>
        <v>Mrz 2025</v>
      </c>
      <c r="P1640" s="1403">
        <f t="shared" si="262"/>
        <v>0</v>
      </c>
    </row>
    <row r="1641" spans="1:19" s="1" customFormat="1" ht="13.5" customHeight="1" x14ac:dyDescent="0.2">
      <c r="A1641" s="1328" t="s">
        <v>11</v>
      </c>
      <c r="B1641" s="1328"/>
      <c r="C1641" s="1328"/>
      <c r="D1641" s="1345"/>
      <c r="E1641" s="1345"/>
      <c r="F1641" s="1345"/>
      <c r="G1641" s="1345"/>
      <c r="H1641" s="1345"/>
      <c r="I1641" s="1345"/>
      <c r="K1641" s="1327" t="s">
        <v>150</v>
      </c>
      <c r="L1641" s="1327"/>
      <c r="M1641" s="101"/>
      <c r="O1641" s="928" t="str">
        <f t="shared" si="261"/>
        <v>Apr 2025</v>
      </c>
      <c r="P1641" s="1403">
        <f t="shared" si="262"/>
        <v>0</v>
      </c>
    </row>
    <row r="1642" spans="1:19" s="1" customFormat="1" ht="13.5" customHeight="1" x14ac:dyDescent="0.2">
      <c r="A1642" s="1328" t="s">
        <v>18</v>
      </c>
      <c r="B1642" s="1328"/>
      <c r="C1642" s="1328"/>
      <c r="D1642" s="1345"/>
      <c r="E1642" s="1345"/>
      <c r="F1642" s="1345"/>
      <c r="G1642" s="1345"/>
      <c r="H1642" s="1345"/>
      <c r="I1642" s="1345"/>
      <c r="K1642" s="1327" t="s">
        <v>222</v>
      </c>
      <c r="L1642" s="1327"/>
      <c r="M1642" s="101"/>
      <c r="O1642" s="928" t="str">
        <f t="shared" si="261"/>
        <v>Mai 2025</v>
      </c>
      <c r="P1642" s="1403">
        <f t="shared" si="262"/>
        <v>0</v>
      </c>
    </row>
    <row r="1643" spans="1:19" s="1" customFormat="1" ht="13.5" customHeight="1" x14ac:dyDescent="0.2">
      <c r="B1643" s="6"/>
      <c r="C1643" s="959" t="s">
        <v>147</v>
      </c>
      <c r="D1643" s="1324"/>
      <c r="E1643" s="1324"/>
      <c r="F1643" s="1359" t="s">
        <v>103</v>
      </c>
      <c r="G1643" s="1359"/>
      <c r="H1643" s="1361"/>
      <c r="I1643" s="1361"/>
      <c r="K1643" s="1327" t="s">
        <v>94</v>
      </c>
      <c r="L1643" s="1327"/>
      <c r="M1643" s="15" t="str">
        <f>IF(IF((COUNTIF(B1661:B1672,"&gt;0"))=0,0,(COUNTIF(B1661:B1672,"&gt;0")))&gt;Grundlagen!$C$26,Grundlagen!$C$26,IF((COUNTIF(B1661:B1672,"&gt;0"))=0,"",(COUNTIF(B1661:B1672,"&gt;0"))))</f>
        <v/>
      </c>
      <c r="O1643" s="928" t="str">
        <f t="shared" si="261"/>
        <v>Jun 2025</v>
      </c>
      <c r="P1643" s="1403">
        <f t="shared" si="262"/>
        <v>0</v>
      </c>
    </row>
    <row r="1644" spans="1:19" s="1" customFormat="1" ht="13.5" customHeight="1" x14ac:dyDescent="0.2">
      <c r="I1644" s="4"/>
      <c r="M1644" s="102" t="str">
        <f>IF((SUM(F1646:F1649))=0,"",IF(P1650&gt;M1640,M1640,IF(M1640="","",IF(M1643="","",P1650))))</f>
        <v/>
      </c>
      <c r="O1644" s="928" t="str">
        <f t="shared" si="261"/>
        <v>Jul 2025</v>
      </c>
      <c r="P1644" s="1403">
        <f t="shared" si="262"/>
        <v>0</v>
      </c>
    </row>
    <row r="1645" spans="1:19" s="46" customFormat="1" ht="13.5" customHeight="1" x14ac:dyDescent="0.2">
      <c r="A1645" s="54" t="s">
        <v>134</v>
      </c>
      <c r="B1645" s="1356" t="s">
        <v>135</v>
      </c>
      <c r="C1645" s="1356"/>
      <c r="D1645" s="55" t="s">
        <v>136</v>
      </c>
      <c r="E1645" s="56" t="s">
        <v>137</v>
      </c>
      <c r="F1645" s="57" t="str">
        <f>CONCATENATE("Entg. ",N1635," h/Wo")</f>
        <v>Entg.  h/Wo</v>
      </c>
      <c r="G1645" s="58" t="s">
        <v>138</v>
      </c>
      <c r="I1645" s="58" t="s">
        <v>139</v>
      </c>
      <c r="K1645" s="970"/>
      <c r="L1645" s="970"/>
      <c r="M1645" s="59"/>
      <c r="N1645" s="968"/>
      <c r="O1645" s="928" t="str">
        <f t="shared" si="261"/>
        <v>Aug 2025</v>
      </c>
      <c r="P1645" s="1403">
        <f t="shared" si="262"/>
        <v>0</v>
      </c>
      <c r="Q1645" s="85"/>
      <c r="R1645" s="85"/>
      <c r="S1645" s="85"/>
    </row>
    <row r="1646" spans="1:19" s="46" customFormat="1" ht="13.5" customHeight="1" x14ac:dyDescent="0.25">
      <c r="A1646" s="48" t="str">
        <f>'päd.Personal - Leitung'!$A$14</f>
        <v>Jan 2025</v>
      </c>
      <c r="B1646" s="1357" t="str">
        <f>IF($D$3="","",$D$3)</f>
        <v/>
      </c>
      <c r="C1646" s="1358"/>
      <c r="D1646" s="132"/>
      <c r="E1646" s="132"/>
      <c r="F1646" s="71"/>
      <c r="G1646" s="50">
        <f>IF(N1635="",0,F1646/N1635/4.348)</f>
        <v>0</v>
      </c>
      <c r="I1646" s="125">
        <f>SUM(J1646:M1646)</f>
        <v>0</v>
      </c>
      <c r="J1646" s="124"/>
      <c r="K1646" s="124"/>
      <c r="L1646" s="124"/>
      <c r="M1646" s="124"/>
      <c r="N1646" s="969"/>
      <c r="O1646" s="928" t="str">
        <f t="shared" si="261"/>
        <v>Sep 2025</v>
      </c>
      <c r="P1646" s="1403">
        <f t="shared" si="262"/>
        <v>0</v>
      </c>
      <c r="Q1646" s="85"/>
      <c r="R1646" s="85"/>
      <c r="S1646" s="85"/>
    </row>
    <row r="1647" spans="1:19" s="46" customFormat="1" ht="13.5" customHeight="1" x14ac:dyDescent="0.25">
      <c r="A1647" s="49"/>
      <c r="B1647" s="1322" t="str">
        <f>IF(A1647="","",B1646)</f>
        <v/>
      </c>
      <c r="C1647" s="1323"/>
      <c r="D1647" s="132"/>
      <c r="E1647" s="132"/>
      <c r="F1647" s="71"/>
      <c r="G1647" s="50">
        <f>IF(N1635="",0,F1647/N1635/4.348)</f>
        <v>0</v>
      </c>
      <c r="I1647" s="125">
        <f t="shared" ref="I1647:I1649" si="263">SUM(J1647:M1647)</f>
        <v>0</v>
      </c>
      <c r="J1647" s="124"/>
      <c r="K1647" s="124"/>
      <c r="L1647" s="124"/>
      <c r="M1647" s="124"/>
      <c r="N1647" s="969"/>
      <c r="O1647" s="928" t="str">
        <f t="shared" si="261"/>
        <v>Okt 2025</v>
      </c>
      <c r="P1647" s="1403">
        <f t="shared" si="262"/>
        <v>0</v>
      </c>
      <c r="Q1647" s="85"/>
      <c r="R1647" s="85"/>
      <c r="S1647" s="85"/>
    </row>
    <row r="1648" spans="1:19" s="46" customFormat="1" ht="13.5" customHeight="1" x14ac:dyDescent="0.25">
      <c r="A1648" s="49"/>
      <c r="B1648" s="1322" t="str">
        <f>IF(A1648="","",B1647)</f>
        <v/>
      </c>
      <c r="C1648" s="1323"/>
      <c r="D1648" s="132"/>
      <c r="E1648" s="132"/>
      <c r="F1648" s="71"/>
      <c r="G1648" s="50">
        <f>IF(N1635="",0,F1648/N1635/4.348)</f>
        <v>0</v>
      </c>
      <c r="I1648" s="125">
        <f t="shared" si="263"/>
        <v>0</v>
      </c>
      <c r="J1648" s="124"/>
      <c r="K1648" s="124"/>
      <c r="L1648" s="124"/>
      <c r="M1648" s="124"/>
      <c r="N1648" s="969"/>
      <c r="O1648" s="928" t="str">
        <f t="shared" si="261"/>
        <v>Nov 2025</v>
      </c>
      <c r="P1648" s="1403">
        <f t="shared" si="262"/>
        <v>0</v>
      </c>
      <c r="Q1648" s="85"/>
      <c r="R1648" s="85"/>
      <c r="S1648" s="85"/>
    </row>
    <row r="1649" spans="1:22" s="46" customFormat="1" ht="13.5" customHeight="1" x14ac:dyDescent="0.25">
      <c r="A1649" s="49"/>
      <c r="B1649" s="1322" t="str">
        <f>IF(A1649="","",B1648)</f>
        <v/>
      </c>
      <c r="C1649" s="1323"/>
      <c r="D1649" s="132"/>
      <c r="E1649" s="132"/>
      <c r="F1649" s="71"/>
      <c r="G1649" s="50">
        <f>IF(N1635="",0,F1649/N1635/4.348)</f>
        <v>0</v>
      </c>
      <c r="I1649" s="125">
        <f t="shared" si="263"/>
        <v>0</v>
      </c>
      <c r="J1649" s="124"/>
      <c r="K1649" s="124"/>
      <c r="L1649" s="124"/>
      <c r="M1649" s="124"/>
      <c r="N1649" s="969"/>
      <c r="O1649" s="928" t="str">
        <f t="shared" si="261"/>
        <v>Dez 2025</v>
      </c>
      <c r="P1649" s="1403">
        <f t="shared" si="262"/>
        <v>0</v>
      </c>
      <c r="Q1649" s="85"/>
      <c r="R1649" s="85"/>
      <c r="S1649" s="85"/>
    </row>
    <row r="1650" spans="1:22" s="46" customFormat="1" ht="13.5" customHeight="1" x14ac:dyDescent="0.25">
      <c r="B1650" s="972"/>
      <c r="C1650" s="972"/>
      <c r="E1650" s="972"/>
      <c r="F1650" s="972"/>
      <c r="I1650" s="930" t="s">
        <v>730</v>
      </c>
      <c r="J1650" s="1060"/>
      <c r="K1650" s="1060"/>
      <c r="L1650" s="1060"/>
      <c r="M1650" s="1060"/>
      <c r="N1650" s="971"/>
      <c r="O1650" s="126" t="s">
        <v>221</v>
      </c>
      <c r="P1650" s="127">
        <f>IF(M1643="",0,((IF(SUMIF(B1661,"&gt;0"),P1638,0))+(IF(SUMIF(B1662,"&gt;0"),P1639,0))+(IF(SUMIF(B1663,"&gt;0"),P1640,0))+(IF(SUMIF(B1664,"&gt;0"),P1641,0))+(IF(SUMIF(B1665,"&gt;0"),P1642,0))+(IF(SUMIF(B1666,"&gt;0"),P1643,0))+(IF(SUMIF(B1667,"&gt;0"),P1644,0))+(IF(SUMIF(B1668,"&gt;0"),P1645,0))+(IF(SUMIF(B1669,"&gt;0"),P1646,0))+(IF(SUMIF(B1670,"&gt;0"),P1647,0))+(IF(SUMIF(B1671,"&gt;0"),P1648,0))+(IF(SUMIF(B1672,"&gt;0"),P1649,0)))/Grundlagen!$C$26)</f>
        <v>0</v>
      </c>
      <c r="Q1650" s="958" t="str">
        <f>CONCATENATE("BBG"," anteilig ",O1652)</f>
        <v>BBG anteilig 2025</v>
      </c>
      <c r="R1650" s="931" t="s">
        <v>659</v>
      </c>
      <c r="S1650" s="931" t="s">
        <v>398</v>
      </c>
      <c r="T1650" s="107"/>
    </row>
    <row r="1651" spans="1:22" s="46" customFormat="1" ht="13.5" customHeight="1" x14ac:dyDescent="0.2">
      <c r="A1651" s="924" t="s">
        <v>732</v>
      </c>
      <c r="D1651" s="55" t="s">
        <v>369</v>
      </c>
      <c r="E1651" s="56" t="s">
        <v>368</v>
      </c>
      <c r="F1651" s="58"/>
      <c r="J1651" s="61"/>
      <c r="Q1651" s="932" t="s">
        <v>144</v>
      </c>
      <c r="R1651" s="140">
        <f>IF(M1640=0,R1655,IF(M1639="",R1655,(SUM(R1661:R1672)/M1643)))</f>
        <v>5175</v>
      </c>
      <c r="S1651" s="933">
        <f>IF(M1640=0,S1655,IF(M1639="",S1655,SUM(R1661:R1672)))</f>
        <v>0</v>
      </c>
      <c r="T1651" s="107"/>
    </row>
    <row r="1652" spans="1:22" s="46" customFormat="1" ht="13.5" customHeight="1" x14ac:dyDescent="0.25">
      <c r="A1652" s="60"/>
      <c r="B1652" s="1314" t="str">
        <f>IF($B$20="","",$B$20)</f>
        <v>Jahressonderzahlung (JSZ)</v>
      </c>
      <c r="C1652" s="1315"/>
      <c r="D1652" s="926"/>
      <c r="E1652" s="929" t="str">
        <f>IF(A1652="","",ROUND((((SUM(B1667:B1669)+SUM(F1667:F1669))/3)*D1652)/Grundlagen!$C$26*M1643,2))</f>
        <v/>
      </c>
      <c r="G1652" s="941" t="s">
        <v>733</v>
      </c>
      <c r="H1652" s="943"/>
      <c r="I1652" s="1316" t="str">
        <f>CONCATENATE(R1675,":"," Übergangsbereich von ",R1676+0.01," €"," bis ",R1677," €")</f>
        <v>2025: Übergangsbereich von 556,01 € bis 2000 €</v>
      </c>
      <c r="J1652" s="1317"/>
      <c r="K1652" s="1317"/>
      <c r="L1652" s="1067"/>
      <c r="M1652" s="1067"/>
      <c r="N1652" s="1068" t="s">
        <v>736</v>
      </c>
      <c r="O1652" s="1069">
        <f>P1652+1</f>
        <v>2025</v>
      </c>
      <c r="P1652" s="1069" t="s">
        <v>721</v>
      </c>
      <c r="Q1652" s="932" t="s">
        <v>145</v>
      </c>
      <c r="R1652" s="140">
        <f>IF(M1640=0,R1656,IF(M1639="",R1656,(SUM(S1661:S1672)/M1643)))</f>
        <v>7450</v>
      </c>
      <c r="S1652" s="933">
        <f>IF(M1640=0,S1656,IF(M1639="",S1656,SUM(S1661:S1672)))</f>
        <v>0</v>
      </c>
      <c r="T1652" s="109"/>
    </row>
    <row r="1653" spans="1:22" s="1" customFormat="1" ht="14.25" customHeight="1" x14ac:dyDescent="0.2">
      <c r="A1653" s="60"/>
      <c r="B1653" s="1314" t="str">
        <f>IF($B$21="","",$B$21)</f>
        <v>Leistungsentgelt (LOB)</v>
      </c>
      <c r="C1653" s="1315"/>
      <c r="D1653" s="926"/>
      <c r="E1653" s="929" t="str">
        <f>IF(A1653="","",ROUND(((B1673+F1673)*D1653)/Grundlagen!$C$26*M1643,2))</f>
        <v/>
      </c>
      <c r="G1653" s="941" t="str">
        <f>IF(OR(H1652="",H1652="nein")=TRUE,"","Faktor (F):")</f>
        <v/>
      </c>
      <c r="H1653" s="949" t="str">
        <f>IF(OR(H1652="",H1652="nein")=TRUE,"",IF(H1652="","",R1679))</f>
        <v/>
      </c>
      <c r="I1653" s="1318" t="str">
        <f>IF(OR(H1652="",H1652="nein")=TRUE,"",IF(H1653="","",CONCATENATE(S1679*100,"%"," / ","(",R1678*100,"%"," Gesamt-SV-Beitragssatz 2024)")))</f>
        <v/>
      </c>
      <c r="J1653" s="1319"/>
      <c r="K1653" s="1319"/>
      <c r="L1653" s="1070"/>
      <c r="M1653" s="1070"/>
      <c r="N1653" s="1071" t="s">
        <v>144</v>
      </c>
      <c r="O1653" s="1072">
        <f>'päd.Personal - Leitung'!$O$21</f>
        <v>5175</v>
      </c>
      <c r="P1653" s="1072">
        <f>'päd.Personal - Leitung'!$P$21</f>
        <v>5175</v>
      </c>
      <c r="Q1653" s="11"/>
      <c r="R1653" s="11"/>
      <c r="S1653" s="11"/>
      <c r="T1653" s="109"/>
    </row>
    <row r="1654" spans="1:22" s="1" customFormat="1" ht="14.25" customHeight="1" x14ac:dyDescent="0.2">
      <c r="C1654" s="925" t="s">
        <v>731</v>
      </c>
      <c r="L1654" s="1070"/>
      <c r="M1654" s="1070"/>
      <c r="N1654" s="1071" t="s">
        <v>145</v>
      </c>
      <c r="O1654" s="1073">
        <f>'päd.Personal - Leitung'!$O$22</f>
        <v>7450</v>
      </c>
      <c r="P1654" s="1073">
        <f>'päd.Personal - Leitung'!$P$22</f>
        <v>7450</v>
      </c>
      <c r="Q1654" s="958" t="str">
        <f>CONCATENATE("BBG"," ",O1652)</f>
        <v>BBG 2025</v>
      </c>
      <c r="R1654" s="11"/>
      <c r="S1654" s="11"/>
      <c r="T1654" s="109"/>
    </row>
    <row r="1655" spans="1:22" s="1" customFormat="1" ht="14.25" customHeight="1" x14ac:dyDescent="0.2">
      <c r="A1655" s="53" t="s">
        <v>141</v>
      </c>
      <c r="B1655" s="46"/>
      <c r="C1655" s="46"/>
      <c r="D1655" s="46"/>
      <c r="E1655" s="46"/>
      <c r="F1655" s="46"/>
      <c r="G1655" s="46"/>
      <c r="H1655" s="46"/>
      <c r="I1655" s="46"/>
      <c r="J1655" s="46"/>
      <c r="K1655" s="46"/>
      <c r="L1655" s="46"/>
      <c r="M1655" s="46"/>
      <c r="N1655" s="46"/>
      <c r="O1655" s="46"/>
      <c r="P1655" s="46"/>
      <c r="Q1655" s="932" t="s">
        <v>144</v>
      </c>
      <c r="R1655" s="141">
        <f>IF($O$21="",0,$O$21)</f>
        <v>5175</v>
      </c>
      <c r="S1655" s="933">
        <f>R1655*IF(M1643="",0,M1643)</f>
        <v>0</v>
      </c>
      <c r="T1655" s="295"/>
    </row>
    <row r="1656" spans="1:22" s="1" customFormat="1" x14ac:dyDescent="0.2">
      <c r="A1656" s="1346"/>
      <c r="B1656" s="1348" t="s">
        <v>8</v>
      </c>
      <c r="C1656" s="1349"/>
      <c r="D1656" s="1349"/>
      <c r="E1656" s="1349"/>
      <c r="F1656" s="1349"/>
      <c r="G1656" s="1350"/>
      <c r="H1656" s="1351" t="s">
        <v>113</v>
      </c>
      <c r="I1656" s="1352"/>
      <c r="J1656" s="1352"/>
      <c r="K1656" s="1352"/>
      <c r="L1656" s="1352"/>
      <c r="M1656" s="1352"/>
      <c r="N1656" s="1352"/>
      <c r="O1656" s="30"/>
      <c r="P1656" s="1330" t="s">
        <v>0</v>
      </c>
      <c r="Q1656" s="932" t="s">
        <v>145</v>
      </c>
      <c r="R1656" s="141">
        <f>IF($O$22="",0,$O$22)</f>
        <v>7450</v>
      </c>
      <c r="S1656" s="933">
        <f>R1656*IF(M1643="",0,M1643)</f>
        <v>0</v>
      </c>
      <c r="T1656" s="830"/>
    </row>
    <row r="1657" spans="1:22" s="1" customFormat="1" ht="14.25" customHeight="1" x14ac:dyDescent="0.2">
      <c r="A1657" s="1347"/>
      <c r="B1657" s="1333" t="s">
        <v>111</v>
      </c>
      <c r="C1657" s="1335" t="s">
        <v>743</v>
      </c>
      <c r="D1657" s="1337" t="s">
        <v>226</v>
      </c>
      <c r="E1657" s="1339" t="s">
        <v>133</v>
      </c>
      <c r="F1657" s="962" t="s">
        <v>6</v>
      </c>
      <c r="G1657" s="1340" t="s">
        <v>5</v>
      </c>
      <c r="H1657" s="1339" t="s">
        <v>119</v>
      </c>
      <c r="I1657" s="1339" t="s">
        <v>4</v>
      </c>
      <c r="J1657" s="1339" t="s">
        <v>3</v>
      </c>
      <c r="K1657" s="1339" t="s">
        <v>2</v>
      </c>
      <c r="L1657" s="1339" t="s">
        <v>114</v>
      </c>
      <c r="M1657" s="1339" t="s">
        <v>115</v>
      </c>
      <c r="N1657" s="1339" t="s">
        <v>116</v>
      </c>
      <c r="O1657" s="1338" t="s">
        <v>109</v>
      </c>
      <c r="P1657" s="1331"/>
      <c r="Q1657" s="456"/>
      <c r="R1657" s="11"/>
      <c r="S1657" s="11"/>
      <c r="T1657" s="621"/>
    </row>
    <row r="1658" spans="1:22" s="1" customFormat="1" x14ac:dyDescent="0.2">
      <c r="A1658" s="1347"/>
      <c r="B1658" s="1333"/>
      <c r="C1658" s="1335"/>
      <c r="D1658" s="1338"/>
      <c r="E1658" s="1339"/>
      <c r="F1658" s="1343" t="str">
        <f>I1650</f>
        <v>Zuschläge / Zulagen / o.ä.:</v>
      </c>
      <c r="G1658" s="1340"/>
      <c r="H1658" s="1342" t="s">
        <v>117</v>
      </c>
      <c r="I1658" s="1342"/>
      <c r="J1658" s="1342"/>
      <c r="K1658" s="1342"/>
      <c r="L1658" s="1342"/>
      <c r="M1658" s="1342"/>
      <c r="N1658" s="1342"/>
      <c r="O1658" s="1338"/>
      <c r="P1658" s="1331"/>
      <c r="Q1658" s="456"/>
      <c r="R1658" s="1306" t="str">
        <f>Q1650</f>
        <v>BBG anteilig 2025</v>
      </c>
      <c r="S1658" s="1306"/>
      <c r="T1658" s="829"/>
    </row>
    <row r="1659" spans="1:22" s="1" customFormat="1" ht="14.25" customHeight="1" x14ac:dyDescent="0.2">
      <c r="A1659" s="1347"/>
      <c r="B1659" s="1333"/>
      <c r="C1659" s="1335"/>
      <c r="D1659" s="1338"/>
      <c r="E1659" s="1339"/>
      <c r="F1659" s="1343"/>
      <c r="G1659" s="1340"/>
      <c r="H1659" s="39" t="str">
        <f>'päd.Personal - Leitung'!$H$27</f>
        <v>(7,30% + Zusatz)</v>
      </c>
      <c r="I1659" s="39" t="str">
        <f>'päd.Personal - Leitung'!$I$27</f>
        <v xml:space="preserve"> (2024: 9,30%)</v>
      </c>
      <c r="J1659" s="39" t="str">
        <f>'päd.Personal - Leitung'!$J$27</f>
        <v>(2024: 1,30%)</v>
      </c>
      <c r="K1659" s="39" t="str">
        <f>'päd.Personal - Leitung'!$K$27</f>
        <v>(2024: 1,700%)</v>
      </c>
      <c r="L1659" s="39"/>
      <c r="M1659" s="39"/>
      <c r="N1659" s="39" t="str">
        <f>'päd.Personal - Leitung'!$N$27</f>
        <v>(2024: 0,06%)</v>
      </c>
      <c r="O1659" s="1338"/>
      <c r="P1659" s="1331"/>
      <c r="Q1659" s="456"/>
      <c r="R1659" s="1307" t="s">
        <v>659</v>
      </c>
      <c r="S1659" s="1307"/>
      <c r="T1659" s="829"/>
      <c r="U1659" s="1308" t="s">
        <v>1</v>
      </c>
      <c r="V1659" s="1308" t="s">
        <v>741</v>
      </c>
    </row>
    <row r="1660" spans="1:22" s="1" customFormat="1" x14ac:dyDescent="0.2">
      <c r="A1660" s="1347"/>
      <c r="B1660" s="1334"/>
      <c r="C1660" s="1336"/>
      <c r="D1660" s="45"/>
      <c r="E1660" s="45"/>
      <c r="F1660" s="1344"/>
      <c r="G1660" s="1341"/>
      <c r="H1660" s="74"/>
      <c r="I1660" s="99">
        <f>'päd.Personal - Leitung'!$I$28</f>
        <v>0</v>
      </c>
      <c r="J1660" s="99">
        <f>'päd.Personal - Leitung'!$J$28</f>
        <v>0</v>
      </c>
      <c r="K1660" s="40">
        <f>'päd.Personal - Leitung'!$K$28</f>
        <v>0</v>
      </c>
      <c r="L1660" s="19"/>
      <c r="M1660" s="19"/>
      <c r="N1660" s="99">
        <f>'päd.Personal - Leitung'!$N$28</f>
        <v>0</v>
      </c>
      <c r="O1660" s="23"/>
      <c r="P1660" s="1332"/>
      <c r="Q1660" s="456"/>
      <c r="R1660" s="935" t="s">
        <v>144</v>
      </c>
      <c r="S1660" s="935" t="s">
        <v>145</v>
      </c>
      <c r="T1660" s="829"/>
      <c r="U1660" s="1308"/>
      <c r="V1660" s="1308"/>
    </row>
    <row r="1661" spans="1:22" s="1" customFormat="1" x14ac:dyDescent="0.2">
      <c r="A1661" s="76" t="str">
        <f>CONCATENATE("Jan ",O1637)</f>
        <v>Jan 2025</v>
      </c>
      <c r="B1661" s="22">
        <f>ROUND(IF(P1638=0,0,(LOOKUP(2,1/(A1646:A1649=A1661),G1646:G1649))*P1638*4.348),2)</f>
        <v>0</v>
      </c>
      <c r="C1661" s="21">
        <f>ROUND(IFERROR((LOOKUP(2,1/(A1652=A1661),E1652)),0)+IFERROR((LOOKUP(2,1/(A1653=A1661),E1653)),0),2)</f>
        <v>0</v>
      </c>
      <c r="D1661" s="21">
        <f>ROUND(IF(B1661=0,0,D1660/M1639*P1638),2)</f>
        <v>0</v>
      </c>
      <c r="E1661" s="21">
        <f>ROUND(IF(B1661=0,0,E1660/N1635*P1638),2)</f>
        <v>0</v>
      </c>
      <c r="F1661" s="22">
        <f>ROUND(IF(P1638=0,0,(LOOKUP(2,1/(A1646:A1649=A1661),I1646:I1649))/N1635*P1638),2)</f>
        <v>0</v>
      </c>
      <c r="G1661" s="25">
        <f t="shared" ref="G1661:G1672" si="264">SUM(B1661+C1661+E1661+F1661)</f>
        <v>0</v>
      </c>
      <c r="H1661" s="64">
        <f>IF(B1661=0,0,IF(AND(H1652="ja",((U1661)&lt;R1677)),ROUND(((R1679*R1676+((R1677/(R1677-R1676))-(R1676/(R1677-R1676))*R1679)*((U1661)-R1676))*(H1660*2))-(((R1677/(R1677-R1676))*((U1661)-R1676))*H1660),2),ROUND(IF((U1661)&gt;R1661,R1661*H1660,U1661*H1660),2)))</f>
        <v>0</v>
      </c>
      <c r="I1661" s="64">
        <f>IF(B1661=0,0,IF(AND(H1652="ja",((U1661)&lt;R1677)),ROUND(((R1679*R1676+((R1677/(R1677-R1676))-(R1676/(R1677-R1676))*R1679)*((U1661)-R1676))*(I1660*2))-(((R1677/(R1677-R1676))*((U1661)-R1676))*I1660),2),ROUND(IF((U1661)&gt;S1661,S1661*I1660,U1661*I1660),2)))</f>
        <v>0</v>
      </c>
      <c r="J1661" s="64">
        <f>IF(B1661=0,0,IF(AND(H1652="ja",((U1661)&lt;R1677)),ROUND(((R1679*R1676+((R1677/(R1677-R1676))-(R1676/(R1677-R1676))*R1679)*((U1661)-R1676))*(J1660*2))-(((R1677/(R1677-R1676))*((U1661)-R1676))*J1660),2),ROUND(IF((U1661)&gt;S1661,S1661*J1660,U1661*J1660),2)))</f>
        <v>0</v>
      </c>
      <c r="K1661" s="64">
        <f>IF(B1661=0,0,IF(AND(H1652="ja",((U1661)&lt;R1677)),ROUND(((R1679*R1676+((R1677/(R1677-R1676))-(R1676/(R1677-R1676))*R1679)*((U1661)-R1676))*(K1660*2))-(((R1677/(R1677-R1676))*((U1661)-R1676))*K1660),2),ROUND(IF((U1661)&gt;R1661,R1661*K1660,U1661*K1660),2)))</f>
        <v>0</v>
      </c>
      <c r="L1661" s="64">
        <f>IF(B1661=0,0,IF(AND(H1652="ja",((U1661-C1661)&lt;R1677)),ROUND(((R1679*R1676+((R1677/(R1677-R1676))-(R1676/(R1677-R1676))*R1679)*((U1661-C1661)-R1676))*(L1660)),2),ROUND(IF((SUM(B1661:F1661))&gt;S1661,S1661*L1660,(SUM(B1661:F1661)-C1661)*L1660),2)))</f>
        <v>0</v>
      </c>
      <c r="M1661" s="64">
        <f>IF(B1661=0,0,IF(AND(H1652="ja",((U1661-C1661)&lt;R1677)),ROUND(((R1679*R1676+((R1677/(R1677-R1676))-(R1676/(R1677-R1676))*R1679)*((U1661-C1661)-R1676))*(M1660)),2),ROUND(IF((SUM(B1661:F1661))&gt;S1661,S1661*M1660,(SUM(B1661:F1661)-C1661)*M1660),2)))</f>
        <v>0</v>
      </c>
      <c r="N1661" s="64">
        <f>IF(B1661=0,0,IF(AND(H1652="ja",((U1661)&lt;R1677)),ROUND(((R1679*R1676+((R1677/(R1677-R1676))-(R1676/(R1677-R1676))*R1679)*((U1661)-R1676))*(N1660)),2),ROUND(IF((SUM(B1661:F1661))&gt;S1661,S1661*N1660,SUM(B1661:F1661)*N1660),2)))</f>
        <v>0</v>
      </c>
      <c r="O1661" s="21">
        <f>ROUND(SUM(B1661+C1661+F1661)*O1660,2)</f>
        <v>0</v>
      </c>
      <c r="P1661" s="25">
        <f>SUM(G1661:O1661)</f>
        <v>0</v>
      </c>
      <c r="Q1661" s="456"/>
      <c r="R1661" s="140">
        <f>ROUND(IF(M1639="",R1655,R1655/M1639*P1638),2)</f>
        <v>5175</v>
      </c>
      <c r="S1661" s="140">
        <f>ROUND(IF(M1639="",R1656,R1656/M1639*P1638),2)</f>
        <v>7450</v>
      </c>
      <c r="U1661" s="950">
        <f>SUM(B1661:F1661)</f>
        <v>0</v>
      </c>
      <c r="V1661" s="950">
        <f>SUM(B1661:F1661)</f>
        <v>0</v>
      </c>
    </row>
    <row r="1662" spans="1:22" s="1" customFormat="1" x14ac:dyDescent="0.2">
      <c r="A1662" s="76" t="str">
        <f>CONCATENATE("Feb ",O1637)</f>
        <v>Feb 2025</v>
      </c>
      <c r="B1662" s="22">
        <f>ROUND(IF(P1639=0,0,IFERROR(((LOOKUP(2,1/(A1646:A1649=A1662),G1646:G1649))*P1639*4.348),B1661/P1638*P1639)),2)</f>
        <v>0</v>
      </c>
      <c r="C1662" s="21">
        <f>ROUND(IFERROR((LOOKUP(2,1/(A1652=A1662),E1652)),0)+IFERROR((LOOKUP(2,1/(A1653=A1662),E1653)),0),2)</f>
        <v>0</v>
      </c>
      <c r="D1662" s="21">
        <f>ROUND(IF(B1662=0,0,D1660/M1639*P1639),2)</f>
        <v>0</v>
      </c>
      <c r="E1662" s="21">
        <f>ROUND(IF(B1662=0,0,E1660/N1635*P1639),2)</f>
        <v>0</v>
      </c>
      <c r="F1662" s="22">
        <f>ROUND(IF(P1639=0,0,IFERROR(((LOOKUP(2,1/(A1646:A1649=A1662),I1646:I1649))/N1635*P1639),F1661/P1638*P1639)),2)</f>
        <v>0</v>
      </c>
      <c r="G1662" s="25">
        <f t="shared" si="264"/>
        <v>0</v>
      </c>
      <c r="H1662" s="64">
        <f>IF(B1662=0,0,IF(AND(H1652="ja",((U1662)&lt;R1677)),ROUND(((R1679*R1676+((R1677/(R1677-R1676))-(R1676/(R1677-R1676))*R1679)*((U1662)-R1676))*(H1660*2))-(((R1677/(R1677-R1676))*((U1662)-R1676))*H1660),2),ROUND(IF(U1661&lt;(R1661),IF((V1662)&gt;(SUM(R1661:R1662)),(((SUM(R1661:R1662))-(V1662-C1661))*H1660)+((U1662-C1661)*H1660),U1662*H1660),IF(V1662&gt;(SUM(R1661:R1662)),R1662*H1660,U1662*H1660)),2)))</f>
        <v>0</v>
      </c>
      <c r="I1662" s="64">
        <f>IF(B1662=0,0,IF(AND(H1652="ja",((U1662)&lt;R1677)),ROUND(((R1679*R1676+((R1677/(R1677-R1676))-(R1676/(R1677-R1676))*R1679)*((U1662)-R1676))*(I1660*2))-(((R1677/(R1677-R1676))*((U1662)-R1676))*I1660),2),ROUND(IF(U1661&lt;(S1661),IF((V1662)&gt;(SUM(S1661:S1662)),(((SUM(S1661:S1662))-(V1662-C1661))*I1660)+((U1662-C1661)*I1660),U1662*I1660),IF(V1662&gt;(SUM(S1661:S1662)),S1662*I1660,U1662*I1660)),2)))</f>
        <v>0</v>
      </c>
      <c r="J1662" s="64">
        <f>IF(B1662=0,0,IF(AND(H1652="ja",((U1662)&lt;R1677)),ROUND(((R1679*R1676+((R1677/(R1677-R1676))-(R1676/(R1677-R1676))*R1679)*((U1662)-R1676))*(J1660*2))-(((R1677/(R1677-R1676))*((U1662)-R1676))*J1660),2),ROUND(IF(U1661&lt;(S1661),IF((V1662)&gt;(SUM(S1661:S1662)),(((SUM(S1661:S1662))-(V1662-C1661))*J1660)+((U1662-C1661)*J1660),U1662*J1660),IF(V1662&gt;(SUM(S1661:S1662)),S1662*J1660,U1662*J1660)),2)))</f>
        <v>0</v>
      </c>
      <c r="K1662" s="64">
        <f>IF(B1662=0,0,IF(AND(H1652="ja",((U1662)&lt;R1677)),ROUND(((R1679*R1676+((R1677/(R1677-R1676))-(R1676/(R1677-R1676))*R1679)*((U1662)-R1676))*(K1660*2))-(((R1677/(R1677-R1676))*((U1662)-R1676))*K1660),2),ROUND(IF(U1661&lt;(R1661),IF((V1662)&gt;(SUM(R1661:R1662)),(((SUM(R1661:R1662))-(V1662-C1661))*K1660)+((U1662-C1661)*K1660),U1662*K1660),IF(V1662&gt;(SUM(R1661:R1662)),R1662*K1660,U1662*K1660)),2)))</f>
        <v>0</v>
      </c>
      <c r="L1662" s="64">
        <f>IF(B1662=0,0,IF(AND(H1652="ja",((U1662-C1662)&lt;R1677)),ROUND(((R1679*R1676+((R1677/(R1677-R1676))-(R1676/(R1677-R1676))*R1679)*((U1662-C1662)-R1676))*(L1660)),2),ROUND(IF(SUM(B1661:F1661)&lt;(S1661),IF((SUM(B1661:F1662))&gt;(SUM(S1661:S1662)),(((SUM(S1661:S1662))-(SUM(B1661:F1662)-C1662))*L1660)+((SUM(B1662:F1662)-C1662)*L1660),(SUM(B1662:F1662)-C1662)*L1660),IF(SUM(B1661:F1662)&gt;(SUM(S1661:S1662)),S1662*L1660,SUM(B1662:F1662)*L1660)),2)))</f>
        <v>0</v>
      </c>
      <c r="M1662" s="64">
        <f>IF(B1662=0,0,IF(AND(H1652="ja",((U1662-C1662)&lt;R1677)),ROUND(((R1679*R1676+((R1677/(R1677-R1676))-(R1676/(R1677-R1676))*R1679)*((U1662-C1662)-R1676))*(M1660)),2),ROUND(IF(SUM(B1661:F1661)&lt;(S1661),IF((SUM(B1661:F1662))&gt;(SUM(S1661:S1662)),(((SUM(S1661:S1662))-(SUM(B1661:F1662)-C1662))*M1660)+((SUM(B1662:F1662)-C1662)*M1660),(SUM(B1662:F1662)-C1662)*M1660),IF(SUM(B1661:F1662)&gt;(SUM(S1661:S1662)),S1662*M1660,SUM(B1662:F1662)*M1660)),2)))</f>
        <v>0</v>
      </c>
      <c r="N1662" s="64">
        <f>IF(B1662=0,0,IF(AND(H1652="ja",((U1662)&lt;R1677)),ROUND(((R1679*R1676+((R1677/(R1677-R1676))-(R1676/(R1677-R1676))*R1679)*((U1662)-R1676))*(N1660)),2),ROUND(IF(SUM(B1661:F1661)&lt;(S1661),IF((SUM(B1661:F1662))&gt;(SUM(S1661:S1662)),(((SUM(S1661:S1662))-(SUM(B1661:F1662)-C1661))*N1660)+((SUM(B1662:F1662)-C1661)*N1660),SUM(B1662:F1662)*N1660),IF(SUM(B1661:F1662)&gt;(SUM(S1661:S1662)),S1662*N1660,SUM(B1662:F1662)*N1660)),2)))</f>
        <v>0</v>
      </c>
      <c r="O1662" s="21">
        <f>ROUND(SUM(B1662+C1662+F1662)*O1660,2)</f>
        <v>0</v>
      </c>
      <c r="P1662" s="25">
        <f t="shared" ref="P1662:P1672" si="265">SUM(G1662:O1662)</f>
        <v>0</v>
      </c>
      <c r="Q1662" s="456"/>
      <c r="R1662" s="140">
        <f>ROUND(IF(M1639="",R1655,R1655/M1639*P1639),2)</f>
        <v>5175</v>
      </c>
      <c r="S1662" s="140">
        <f>ROUND(IF(M1639="",R1656,R1656/M1639*P1639),2)</f>
        <v>7450</v>
      </c>
      <c r="U1662" s="950">
        <f t="shared" ref="U1662:U1672" si="266">SUM(B1662:F1662)</f>
        <v>0</v>
      </c>
      <c r="V1662" s="950">
        <f>SUM(B1661:F1662)</f>
        <v>0</v>
      </c>
    </row>
    <row r="1663" spans="1:22" s="1" customFormat="1" x14ac:dyDescent="0.2">
      <c r="A1663" s="76" t="str">
        <f>CONCATENATE("Mrz ",O1637)</f>
        <v>Mrz 2025</v>
      </c>
      <c r="B1663" s="22">
        <f>ROUND(IF(P1640=0,0,IFERROR(((LOOKUP(2,1/(A1646:A1649=A1663),G1646:G1649))*P1640*4.348),B1662/P1639*P1640)),2)</f>
        <v>0</v>
      </c>
      <c r="C1663" s="21">
        <f>ROUND(IFERROR((LOOKUP(2,1/(A1652=A1663),E1652)),0)+IFERROR((LOOKUP(2,1/(A1653=A1663),E1653)),0),2)</f>
        <v>0</v>
      </c>
      <c r="D1663" s="21">
        <f>ROUND(IF(B1663=0,0,D1660/M1639*P1640),2)</f>
        <v>0</v>
      </c>
      <c r="E1663" s="21">
        <f>ROUND(IF(B1663=0,0,E1660/N1635*P1640),2)</f>
        <v>0</v>
      </c>
      <c r="F1663" s="22">
        <f>ROUND(IF(P1640=0,0,IFERROR(((LOOKUP(2,1/(A1646:A1649=A1663),I1646:I1649))/N1635*P1640),F1662/P1639*P1640)),2)</f>
        <v>0</v>
      </c>
      <c r="G1663" s="25">
        <f t="shared" si="264"/>
        <v>0</v>
      </c>
      <c r="H1663" s="64">
        <f>IF(B1663=0,0,IF(AND(H1652="ja",((U1663)&lt;R1677)),ROUND(((R1679*R1676+((R1677/(R1677-R1676))-(R1676/(R1677-R1676))*R1679)*((U1663)-R1676))*(H1660*2))-(((R1677/(R1677-R1676))*((U1663)-R1676))*H1660),2),ROUND(IF(V1662&lt;(SUM(R1661:R1662)),IF((V1663)&gt;(SUM(R1661:R1663)),(((SUM(R1661:R1663))-(V1663-C1662))*H1660)+((U1663-C1662)*H1660),U1663*H1660),IF(V1663&gt;(SUM(R1661:R1663)),R1663*H1660,U1663*H1660)),2)))</f>
        <v>0</v>
      </c>
      <c r="I1663" s="64">
        <f>IF(B1663=0,0,IF(AND(H1652="ja",((U1663)&lt;R1677)),ROUND(((R1679*R1676+((R1677/(R1677-R1676))-(R1676/(R1677-R1676))*R1679)*((U1663)-R1676))*(I1660*2))-(((R1677/(R1677-R1676))*((U1663)-R1676))*I1660),2),ROUND(IF(V1662&lt;(SUM(S1661:S1662)),IF((V1663)&gt;(SUM(S1661:S1663)),(((SUM(S1661:S1663))-(V1663-C1662))*I1660)+((U1663-C1662)*I1660),U1663*I1660),IF(V1663&gt;(SUM(S1661:S1663)),S1663*I1660,U1663*I1660)),2)))</f>
        <v>0</v>
      </c>
      <c r="J1663" s="64">
        <f>IF(B1663=0,0,IF(AND(H1652="ja",((U1663)&lt;R1677)),ROUND(((R1679*R1676+((R1677/(R1677-R1676))-(R1676/(R1677-R1676))*R1679)*((U1663)-R1676))*(J1660*2))-(((R1677/(R1677-R1676))*((U1663)-R1676))*J1660),2),ROUND(IF(V1662&lt;(SUM(S1661:S1662)),IF((V1663)&gt;(SUM(S1661:S1663)),(((SUM(S1661:S1663))-(V1663-C1662))*J1660)+((U1663-C1662)*J1660),U1663*J1660),IF(V1663&gt;(SUM(S1661:S1663)),S1663*J1660,U1663*J1660)),2)))</f>
        <v>0</v>
      </c>
      <c r="K1663" s="64">
        <f>IF(B1663=0,0,IF(AND(H1652="ja",((U1663)&lt;R1677)),ROUND(((R1679*R1676+((R1677/(R1677-R1676))-(R1676/(R1677-R1676))*R1679)*((U1663)-R1676))*(K1660*2))-(((R1677/(R1677-R1676))*((U1663)-R1676))*K1660),2),ROUND(IF(V1662&lt;(SUM(R1661:R1662)),IF((V1663)&gt;(SUM(R1661:R1663)),(((SUM(R1661:R1663))-(V1663-C1662))*K1660)+((U1663-C1662)*K1660),U1663*K1660),IF(V1663&gt;(SUM(R1661:R1663)),R1663*K1660,U1663*K1660)),2)))</f>
        <v>0</v>
      </c>
      <c r="L1663" s="64">
        <f>IF(B1663=0,0,IF(AND(H1652="ja",((U1663-C1663)&lt;R1677)),ROUND(((R1679*R1676+((R1677/(R1677-R1676))-(R1676/(R1677-R1676))*R1679)*((U1663-C1663)-R1676))*(L1660)),2),ROUND(IF(SUM(B1661:F1662)&lt;(SUM(S1661:S1662)),IF((SUM(B1661:F1663))&gt;(SUM(S1661:S1663)),(((SUM(S1661:S1663))-(SUM(B1661:F1663)-C1663))*L1660)+((SUM(B1663:F1663)-C1663)*L1660),(SUM(B1663:F1663)-C1663)*L1660),IF(SUM(B1661:F1663)&gt;(SUM(S1661:S1663)),S1663*L1660,SUM(B1663:F1663)*L1660)),2)))</f>
        <v>0</v>
      </c>
      <c r="M1663" s="64">
        <f>IF(B1663=0,0,IF(AND(H1652="ja",((U1663-C1663)&lt;R1677)),ROUND(((R1679*R1676+((R1677/(R1677-R1676))-(R1676/(R1677-R1676))*R1679)*((U1663-C1663)-R1676))*(M1660)),2),ROUND(IF(SUM(B1661:F1662)&lt;(SUM(S1661:S1662)),IF((SUM(B1661:F1663))&gt;(SUM(S1661:S1663)),(((SUM(S1661:S1663))-(SUM(B1661:F1663)-C1663))*M1660)+((SUM(B1663:F1663)-C1663)*M1660),(SUM(B1663:F1663)-C1663)*M1660),IF(SUM(B1661:F1663)&gt;(SUM(S1661:S1663)),S1663*M1660,SUM(B1663:F1663)*M1660)),2)))</f>
        <v>0</v>
      </c>
      <c r="N1663" s="64">
        <f>IF(B1663=0,0,IF(AND(H1652="ja",((U1663)&lt;R1677)),ROUND(((R1679*R1676+((R1677/(R1677-R1676))-(R1676/(R1677-R1676))*R1679)*((U1663)-R1676))*(N1660)),2),ROUND(IF(SUM(B1661:F1662)&lt;(SUM(S1661:S1662)),IF((SUM(B1661:F1663))&gt;(SUM(S1661:S1663)),(((SUM(S1661:S1663))-(SUM(B1661:F1663)-C1662))*N1660)+((SUM(B1663:F1663)-C1662)*N1660),SUM(B1663:F1663)*N1660),IF(SUM(B1661:F1663)&gt;(SUM(S1661:S1663)),S1663*N1660,SUM(B1663:F1663)*N1660)),2)))</f>
        <v>0</v>
      </c>
      <c r="O1663" s="21">
        <f>ROUND(SUM(B1663+C1663+F1663)*O1660,2)</f>
        <v>0</v>
      </c>
      <c r="P1663" s="25">
        <f t="shared" si="265"/>
        <v>0</v>
      </c>
      <c r="Q1663" s="456"/>
      <c r="R1663" s="140">
        <f>ROUND(IF(M1639="",R1655,R1655/M1639*P1640),2)</f>
        <v>5175</v>
      </c>
      <c r="S1663" s="140">
        <f>ROUND(IF(M1639="",R1656,R1656/M1639*P1640),2)</f>
        <v>7450</v>
      </c>
      <c r="U1663" s="950">
        <f t="shared" si="266"/>
        <v>0</v>
      </c>
      <c r="V1663" s="950">
        <f>SUM(B1661:F1663)</f>
        <v>0</v>
      </c>
    </row>
    <row r="1664" spans="1:22" s="1" customFormat="1" x14ac:dyDescent="0.2">
      <c r="A1664" s="76" t="str">
        <f>CONCATENATE("Apr ",O1637)</f>
        <v>Apr 2025</v>
      </c>
      <c r="B1664" s="22">
        <f>ROUND(IF(P1641=0,0,IFERROR(((LOOKUP(2,1/(A1646:A1649=A1664),G1646:G1649))*P1641*4.348),B1663/P1640*P1641)),2)</f>
        <v>0</v>
      </c>
      <c r="C1664" s="21">
        <f>ROUND(IFERROR((LOOKUP(2,1/(A1652=A1664),E1652)),0)+IFERROR((LOOKUP(2,1/(A1653=A1664),E1653)),0),2)</f>
        <v>0</v>
      </c>
      <c r="D1664" s="21">
        <f>ROUND(IF(B1664=0,0,D1660/M1639*P1641),2)</f>
        <v>0</v>
      </c>
      <c r="E1664" s="21">
        <f>ROUND(IF(B1664=0,0,E1660/N1635*P1641),2)</f>
        <v>0</v>
      </c>
      <c r="F1664" s="22">
        <f>ROUND(IF(P1641=0,0,IFERROR(((LOOKUP(2,1/(A1646:A1649=A1664),I1646:I1649))/N1635*P1641),F1663/P1640*P1641)),2)</f>
        <v>0</v>
      </c>
      <c r="G1664" s="25">
        <f t="shared" si="264"/>
        <v>0</v>
      </c>
      <c r="H1664" s="64">
        <f>IF(B1664=0,0,IF(AND(H1652="ja",((U1664)&lt;R1677)),ROUND(((R1679*R1676+((R1677/(R1677-R1676))-(R1676/(R1677-R1676))*R1679)*((U1664)-R1676))*(H1660*2))-(((R1677/(R1677-R1676))*((U1664)-R1676))*H1660),2),ROUND(IF(V1663&lt;(SUM(R1661:R1663)),IF((V1664)&gt;(SUM(R1661:R1664)),(((SUM(R1661:R1664))-(V1664-C1663))*H1660)+((U1664-C1663)*H1660),U1664*H1660),IF(V1664&gt;(SUM(R1661:R1664)),R1664*H1660,U1664*H1660)),2)))</f>
        <v>0</v>
      </c>
      <c r="I1664" s="64">
        <f>IF(B1664=0,0,IF(AND(H1652="ja",((U1664)&lt;R1677)),ROUND(((R1679*R1676+((R1677/(R1677-R1676))-(R1676/(R1677-R1676))*R1679)*((U1664)-R1676))*(I1660*2))-(((R1677/(R1677-R1676))*((U1664)-R1676))*I1660),2),ROUND(IF(V1663&lt;(SUM(S1661:S1663)),IF((V1664)&gt;(SUM(S1661:S1664)),(((SUM(S1661:S1664))-(V1664-C1663))*I1660)+((U1664-C1663)*I1660),U1664*I1660),IF(V1664&gt;(SUM(S1661:S1664)),S1664*I1660,U1664*I1660)),2)))</f>
        <v>0</v>
      </c>
      <c r="J1664" s="64">
        <f>IF(B1664=0,0,IF(AND(H1652="ja",((U1664)&lt;R1677)),ROUND(((R1679*R1676+((R1677/(R1677-R1676))-(R1676/(R1677-R1676))*R1679)*((U1664)-R1676))*(J1660*2))-(((R1677/(R1677-R1676))*((U1664)-R1676))*J1660),2),ROUND(IF(U1663&lt;(SUM(S1661:S1663)),IF((V1664)&gt;(SUM(S1661:S1664)),(((SUM(S1661:S1664))-(V1664-C1663))*J1660)+((U1664-C1663)*J1660),U1664*J1660),IF(V1664&gt;(SUM(S1661:S1664)),S1664*J1660,U1664*J1660)),2)))</f>
        <v>0</v>
      </c>
      <c r="K1664" s="64">
        <f>IF(B1664=0,0,IF(AND(H1652="ja",((U1664)&lt;R1677)),ROUND(((R1679*R1676+((R1677/(R1677-R1676))-(R1676/(R1677-R1676))*R1679)*((U1664)-R1676))*(K1660*2))-(((R1677/(R1677-R1676))*((U1664)-R1676))*K1660),2),ROUND(IF(V1663&lt;(SUM(R1661:R1663)),IF((V1664)&gt;(SUM(R1661:R1664)),(((SUM(R1661:R1664))-(V1664-C1663))*K1660)+((U1664-C1663)*K1660),U1664*K1660),IF(V1664&gt;(SUM(R1661:R1664)),R1664*K1660,U1664*K1660)),2)))</f>
        <v>0</v>
      </c>
      <c r="L1664" s="64">
        <f>IF(B1664=0,0,IF(AND(H1652="ja",((U1664-C1664)&lt;R1677)),ROUND(((R1679*R1676+((R1677/(R1677-R1676))-(R1676/(R1677-R1676))*R1679)*((U1664-C1664)-R1676))*(L1660)),2),ROUND(IF(SUM(B1661:F1663)&lt;(SUM(S1661:S1663)),IF((SUM(B1661:F1664))&gt;(SUM(S1661:S1664)),(((SUM(S1661:S1664))-(SUM(B1661:F1664)-C1664))*L1660)+((SUM(B1664:F1664)-C1664)*L1660),(SUM(B1664:F1664)-C1664)*L1660),IF(SUM(B1661:F1664)&gt;(SUM(S1661:S1664)),S1664*L1660,SUM(B1664:F1664)*L1660)),2)))</f>
        <v>0</v>
      </c>
      <c r="M1664" s="64">
        <f>IF(B1664=0,0,IF(AND(H1652="ja",((U1664-C1664)&lt;R1677)),ROUND(((R1679*R1676+((R1677/(R1677-R1676))-(R1676/(R1677-R1676))*R1679)*((U1664-C1664)-R1676))*(M1660)),2),ROUND(IF(SUM(B1661:F1663)&lt;(SUM(S1661:S1663)),IF((SUM(B1661:F1664))&gt;(SUM(S1661:S1664)),(((SUM(S1661:S1664))-(SUM(B1661:F1664)-C1664))*M1660)+((SUM(B1664:F1664)-C1664)*M1660),(SUM(B1664:F1664)-C1664)*M1660),IF(SUM(B1661:F1664)&gt;(SUM(S1661:S1664)),S1664*M1660,SUM(B1664:F1664)*M1660)),2)))</f>
        <v>0</v>
      </c>
      <c r="N1664" s="64">
        <f>IF(B1664=0,0,IF(AND(H1652="ja",((U1664)&lt;R1677)),ROUND(((R1679*R1676+((R1677/(R1677-R1676))-(R1676/(R1677-R1676))*R1679)*((U1664)-R1676))*(N1660)),2),ROUND(IF(SUM(B1661:F1663)&lt;(SUM(S1661:S1663)),IF((SUM(B1661:F1664))&gt;(SUM(S1661:S1664)),(((SUM(S1661:S1664))-(SUM(B1661:F1664)-C1663))*N1660)+((SUM(B1664:F1664)-C1663)*N1660),SUM(B1664:F1664)*N1660),IF(SUM(B1661:F1664)&gt;(SUM(S1661:S1664)),S1664*N1660,SUM(B1664:F1664)*N1660)),2)))</f>
        <v>0</v>
      </c>
      <c r="O1664" s="21">
        <f>ROUND(SUM(B1664+C1664+F1664)*O1660,2)</f>
        <v>0</v>
      </c>
      <c r="P1664" s="25">
        <f t="shared" si="265"/>
        <v>0</v>
      </c>
      <c r="Q1664" s="456"/>
      <c r="R1664" s="140">
        <f>ROUND(IF(M1639="",R1655,R1655/M1639*P1641),2)</f>
        <v>5175</v>
      </c>
      <c r="S1664" s="140">
        <f>ROUND(IF(M1639="",R1656,R1656/M1639*P1641),2)</f>
        <v>7450</v>
      </c>
      <c r="U1664" s="950">
        <f t="shared" si="266"/>
        <v>0</v>
      </c>
      <c r="V1664" s="950">
        <f>SUM(B1661:F1664)</f>
        <v>0</v>
      </c>
    </row>
    <row r="1665" spans="1:24" s="1" customFormat="1" x14ac:dyDescent="0.2">
      <c r="A1665" s="76" t="str">
        <f>CONCATENATE("Mai ",O1637)</f>
        <v>Mai 2025</v>
      </c>
      <c r="B1665" s="22">
        <f>ROUND(IF(P1642=0,0,IFERROR(((LOOKUP(2,1/(A1646:A1649=A1665),G1646:G1649))*P1642*4.348),B1664/P1641*P1642)),2)</f>
        <v>0</v>
      </c>
      <c r="C1665" s="21">
        <f>ROUND(IFERROR((LOOKUP(2,1/(A1652=A1665),E1652)),0)+IFERROR((LOOKUP(2,1/(A1653=A1665),E1653)),0),2)</f>
        <v>0</v>
      </c>
      <c r="D1665" s="21">
        <f>ROUND(IF(B1665=0,0,D1660/M1639*P1642),2)</f>
        <v>0</v>
      </c>
      <c r="E1665" s="21">
        <f>ROUND(IF(B1665=0,0,E1660/N1635*P1642),2)</f>
        <v>0</v>
      </c>
      <c r="F1665" s="22">
        <f>ROUND(IF(P1642=0,0,IFERROR(((LOOKUP(2,1/(A1646:A1649=A1665),I1646:I1649))/N1635*P1642),F1664/P1641*P1642)),2)</f>
        <v>0</v>
      </c>
      <c r="G1665" s="25">
        <f t="shared" si="264"/>
        <v>0</v>
      </c>
      <c r="H1665" s="64">
        <f>IF(B1665=0,0,IF(AND(H1652="ja",((U1665)&lt;R1677)),ROUND(((R1679*R1676+((R1677/(R1677-R1676))-(R1676/(R1677-R1676))*R1679)*((U1665)-R1676))*(H1660*2))-(((R1677/(R1677-R1676))*((U1665)-R1676))*H1660),2),ROUND(IF(V1664&lt;(SUM(R1661:R1664)),IF((V1665)&gt;(SUM(R1661:R1665)),(((SUM(R1661:R1665))-(V1665-C1664))*H1660)+((U1665-C1664)*H1660),U1665*H1660),IF(V1665&gt;(SUM(R1661:R1665)),R1665*H1660,U1665*H1660)),2)))</f>
        <v>0</v>
      </c>
      <c r="I1665" s="64">
        <f>IF(B1665=0,0,IF(AND(H1652="ja",((U1665)&lt;R1677)),ROUND(((R1679*R1676+((R1677/(R1677-R1676))-(R1676/(R1677-R1676))*R1679)*((U1665)-R1676))*(I1660*2))-(((R1677/(R1677-R1676))*((U1665)-R1676))*I1660),2),ROUND(IF(V1664&lt;(SUM(S1661:S1664)),IF((V1665)&gt;(SUM(S1661:S1665)),(((SUM(S1661:S1665))-(V1665-C1664))*I1660)+((U1665-C1664)*I1660),U1665*I1660),IF(V1665&gt;(SUM(S1661:S1665)),S1665*I1660,U1665*I1660)),2)))</f>
        <v>0</v>
      </c>
      <c r="J1665" s="64">
        <f>IF(B1665=0,0,IF(AND(H1652="ja",((U1665)&lt;R1677)),ROUND(((R1679*R1676+((R1677/(R1677-R1676))-(R1676/(R1677-R1676))*R1679)*((U1665)-R1676))*(J1660*2))-(((R1677/(R1677-R1676))*((U1665)-R1676))*J1660),2),ROUND(IF(V1664&lt;(SUM(S1661:S1664)),IF((V1665)&gt;(SUM(S1661:S1665)),(((SUM(S1661:S1665))-(V1665-C1664))*J1660)+((U1665-C1664)*J1660),U1665*J1660),IF(V1665&gt;(SUM(S1661:S1665)),S1665*J1660,U1665*J1660)),2)))</f>
        <v>0</v>
      </c>
      <c r="K1665" s="64">
        <f>IF(B1665=0,0,IF(AND(H1652="ja",((U1665)&lt;R1677)),ROUND(((R1679*R1676+((R1677/(R1677-R1676))-(R1676/(R1677-R1676))*R1679)*((U1665)-R1676))*(K1660*2))-(((R1677/(R1677-R1676))*((U1665)-R1676))*K1660),2),ROUND(IF(V1664&lt;(SUM(R1661:R1664)),IF((V1665)&gt;(SUM(R1661:R1665)),(((SUM(R1661:R1665))-(V1665-C1664))*K1660)+((U1665-C1664)*K1660),U1665*K1660),IF(V1665&gt;(SUM(R1661:R1665)),R1665*K1660,U1665*K1660)),2)))</f>
        <v>0</v>
      </c>
      <c r="L1665" s="64">
        <f>IF(B1665=0,0,IF(AND(H1652="ja",((U1665-C1665)&lt;R1677)),ROUND(((R1679*R1676+((R1677/(R1677-R1676))-(R1676/(R1677-R1676))*R1679)*((U1665-C1665)-R1676))*(L1660)),2),ROUND(IF(SUM(B1661:F1664)&lt;(SUM(S1661:S1664)),IF((SUM(B1661:F1665))&gt;(SUM(S1661:S1665)),(((SUM(S1661:S1665))-(SUM(B1661:F1665)-C1665))*L1660)+((SUM(B1665:F1665)-C1665)*L1660),(SUM(B1665:F1665)-C1665)*L1660),IF(SUM(B1661:F1665)&gt;(SUM(S1661:S1665)),S1665*L1660,SUM(B1665:F1665)*L1660)),2)))</f>
        <v>0</v>
      </c>
      <c r="M1665" s="64">
        <f>IF(B1665=0,0,IF(AND(H1652="ja",((U1665-C1665)&lt;R1677)),ROUND(((R1679*R1676+((R1677/(R1677-R1676))-(R1676/(R1677-R1676))*R1679)*((U1665-C1665)-R1676))*(M1660)),2),ROUND(IF(SUM(B1661:F1664)&lt;(SUM(S1661:S1664)),IF((SUM(B1661:F1665))&gt;(SUM(S1661:S1665)),(((SUM(S1661:S1665))-(SUM(B1661:F1665)-C1665))*M1660)+((SUM(B1665:F1665)-C1665)*M1660),(SUM(B1665:F1665)-C1665)*M1660),IF(SUM(B1661:F1665)&gt;(SUM(S1661:S1665)),S1665*M1660,SUM(B1665:F1665)*M1660)),2)))</f>
        <v>0</v>
      </c>
      <c r="N1665" s="64">
        <f>IF(B1665=0,0,IF(AND(H1652="ja",((U1665)&lt;R1677)),ROUND(((R1679*R1676+((R1677/(R1677-R1676))-(R1676/(R1677-R1676))*R1679)*((U1665)-R1676))*(N1660)),2),ROUND(IF(SUM(B1661:F1664)&lt;(SUM(S1661:S1664)),IF((SUM(B1661:F1665))&gt;(SUM(S1661:S1665)),(((SUM(S1661:S1665))-(SUM(B1661:F1665)-C1664))*N1660)+((SUM(B1665:F1665)-C1664)*N1660),SUM(B1665:F1665)*N1660),IF(SUM(B1661:F1665)&gt;(SUM(S1661:S1665)),S1665*N1660,SUM(B1665:F1665)*N1660)),2)))</f>
        <v>0</v>
      </c>
      <c r="O1665" s="21">
        <f>ROUND(SUM(B1665+C1665+F1665)*O1660,2)</f>
        <v>0</v>
      </c>
      <c r="P1665" s="25">
        <f t="shared" si="265"/>
        <v>0</v>
      </c>
      <c r="Q1665" s="456"/>
      <c r="R1665" s="140">
        <f>ROUND(IF(M1639="",R1655,R1655/M1639*P1642),2)</f>
        <v>5175</v>
      </c>
      <c r="S1665" s="140">
        <f>ROUND(IF(M1639="",R1656,R1656/M1639*P1642),2)</f>
        <v>7450</v>
      </c>
      <c r="U1665" s="950">
        <f t="shared" si="266"/>
        <v>0</v>
      </c>
      <c r="V1665" s="950">
        <f>SUM(B1661:F1665)</f>
        <v>0</v>
      </c>
    </row>
    <row r="1666" spans="1:24" s="1" customFormat="1" x14ac:dyDescent="0.2">
      <c r="A1666" s="76" t="str">
        <f>CONCATENATE("Jun ",O1637)</f>
        <v>Jun 2025</v>
      </c>
      <c r="B1666" s="22">
        <f>ROUND(IF(P1643=0,0,IFERROR(((LOOKUP(2,1/(A1646:A1649=A1666),G1646:G1649))*P1643*4.348),B1665/P1642*P1643)),2)</f>
        <v>0</v>
      </c>
      <c r="C1666" s="21">
        <f>ROUND(IFERROR((LOOKUP(2,1/(A1652=A1666),E1652)),0)+IFERROR((LOOKUP(2,1/(A1653=A1666),E1653)),0),2)</f>
        <v>0</v>
      </c>
      <c r="D1666" s="21">
        <f>ROUND(IF(B1666=0,0,D1660/M1639*P1643),2)</f>
        <v>0</v>
      </c>
      <c r="E1666" s="21">
        <f>ROUND(IF(B1666=0,0,E1660/N1635*P1643),2)</f>
        <v>0</v>
      </c>
      <c r="F1666" s="22">
        <f>ROUND(IF(P1643=0,0,IFERROR(((LOOKUP(2,1/(A1646:A1649=A1666),I1646:I1649))/N1635*P1643),F1665/P1642*P1643)),2)</f>
        <v>0</v>
      </c>
      <c r="G1666" s="25">
        <f t="shared" si="264"/>
        <v>0</v>
      </c>
      <c r="H1666" s="64">
        <f>IF(B1666=0,0,IF(AND(H1652="ja",((U1666)&lt;R1677)),ROUND(((R1679*R1676+((R1677/(R1677-R1676))-(R1676/(R1677-R1676))*R1679)*((U1666)-R1676))*(H1660*2))-(((R1677/(R1677-R1676))*((U1666)-R1676))*H1660),2),ROUND(IF(V1665&lt;(SUM(R1661:R1665)),IF((V1666)&gt;(SUM(R1661:R1666)),(((SUM(R1661:R1666))-(V1666-C1665))*H1660)+((U1666-C1665)*H1660),U1666*H1660),IF(V1666&gt;(SUM(R1661:R1666)),R1666*H1660,U1666*H1660)),2)))</f>
        <v>0</v>
      </c>
      <c r="I1666" s="64">
        <f>IF(B1666=0,0,IF(AND(H1652="ja",((U1666)&lt;R1677)),ROUND(((R1679*R1676+((R1677/(R1677-R1676))-(R1676/(R1677-R1676))*R1679)*((U1666)-R1676))*(I1660*2))-(((R1677/(R1677-R1676))*((U1666)-R1676))*I1660),2),ROUND(IF(V1665&lt;(SUM(S1661:S1665)),IF((V1666)&gt;(SUM(S1661:S1666)),(((SUM(S1661:S1666))-(V1666-C1665))*I1660)+((U1666-C1665)*I1660),U1666*I1660),IF(V1666&gt;(SUM(S1661:S1666)),S1666*I1660,U1666*I1660)),2)))</f>
        <v>0</v>
      </c>
      <c r="J1666" s="64">
        <f>IF(B1666=0,0,IF(AND(H1652="ja",((U1666)&lt;R1677)),ROUND(((R1679*R1676+((R1677/(R1677-R1676))-(R1676/(R1677-R1676))*R1679)*((U1666)-R1676))*(J1660*2))-(((R1677/(R1677-R1676))*((U1666)-R1676))*J1660),2),ROUND(IF(V1665&lt;(SUM(S1661:S1665)),IF((V1666)&gt;(SUM(S1661:S1666)),(((SUM(S1661:S1666))-(V1666-C1665))*J1660)+((U1666-C1665)*J1660),U1666*J1660),IF(V1666&gt;(SUM(S1661:S1666)),S1666*J1660,U1666*J1660)),2)))</f>
        <v>0</v>
      </c>
      <c r="K1666" s="64">
        <f>IF(B1666=0,0,IF(AND(H1652="ja",((U1666)&lt;R1677)),ROUND(((R1679*R1676+((R1677/(R1677-R1676))-(R1676/(R1677-R1676))*R1679)*((U1666)-R1676))*(K1660*2))-(((R1677/(R1677-R1676))*((U1666)-R1676))*K1660),2),ROUND(IF(V1665&lt;(SUM(R1661:R1665)),IF((V1666)&gt;(SUM(R1661:R1666)),(((SUM(R1661:R1666))-(V1666-C1665))*K1660)+((U1666-C1665)*K1660),U1666*K1660),IF(V1666&gt;(SUM(R1661:R1666)),R1666*K1660,U1666*K1660)),2)))</f>
        <v>0</v>
      </c>
      <c r="L1666" s="64">
        <f>IF(B1666=0,0,IF(AND(H1652="ja",((U1666-C1666)&lt;R1677)),ROUND(((R1679*R1676+((R1677/(R1677-R1676))-(R1676/(R1677-R1676))*R1679)*((U1666-C1666)-R1676))*(L1660)),2),ROUND(IF(SUM(B1661:F1665)&lt;(SUM(S1661:S1665)),IF((SUM(B1661:F1666))&gt;(SUM(S1661:S1666)),(((SUM(S1661:S1666))-(SUM(B1661:F1666)-C1666))*L1660)+((SUM(B1666:F1666)-C1666)*L1660),(SUM(B1666:F1666)-C1666)*L1660),IF(SUM(B1661:F1666)&gt;(SUM(S1661:S1666)),S1666*L1660,SUM(B1666:F1666)*L1660)),2)))</f>
        <v>0</v>
      </c>
      <c r="M1666" s="64">
        <f>IF(B1666=0,0,IF(AND(H1652="ja",((U1666-C1666)&lt;R1677)),ROUND(((R1679*R1676+((R1677/(R1677-R1676))-(R1676/(R1677-R1676))*R1679)*((U1666-C1666)-R1676))*(M1660)),2),ROUND(IF(SUM(B1661:F1665)&lt;(SUM(S1661:S1665)),IF((SUM(B1661:F1666))&gt;(SUM(S1661:S1666)),(((SUM(S1661:S1666))-(SUM(B1661:F1666)-C1666))*M1660)+((SUM(B1666:F1666)-C1666)*M1660),(SUM(B1666:F1666)-C1666)*M1660),IF(SUM(B1661:F1666)&gt;(SUM(S1661:S1666)),S1666*M1660,SUM(B1666:F1666)*M1660)),2)))</f>
        <v>0</v>
      </c>
      <c r="N1666" s="64">
        <f>IF(B1666=0,0,IF(AND(H1652="ja",((U1666)&lt;R1677)),ROUND(((R1679*R1676+((R1677/(R1677-R1676))-(R1676/(R1677-R1676))*R1679)*((U1666)-R1676))*(N1660)),2),ROUND(IF(SUM(B1661:F1665)&lt;(SUM(S1661:S1665)),IF((SUM(B1661:F1666))&gt;(SUM(S1661:S1666)),(((SUM(S1661:S1666))-(SUM(B1661:F1666)-C1665))*N1660)+((SUM(B1666:F1666)-C1665)*N1660),SUM(B1666:F1666)*N1660),IF(SUM(B1661:F1666)&gt;(SUM(S1661:S1666)),S1666*N1660,SUM(B1666:F1666)*N1660)),2)))</f>
        <v>0</v>
      </c>
      <c r="O1666" s="21">
        <f>ROUND(SUM(B1666+C1666+F1666)*O1660,2)</f>
        <v>0</v>
      </c>
      <c r="P1666" s="25">
        <f t="shared" si="265"/>
        <v>0</v>
      </c>
      <c r="Q1666" s="456"/>
      <c r="R1666" s="140">
        <f>ROUND(IF(M1639="",R1655,R1655/M1639*P1643),2)</f>
        <v>5175</v>
      </c>
      <c r="S1666" s="140">
        <f>ROUND(IF(M1639="",R1656,R1656/M1639*P1643),2)</f>
        <v>7450</v>
      </c>
      <c r="U1666" s="950">
        <f t="shared" si="266"/>
        <v>0</v>
      </c>
      <c r="V1666" s="950">
        <f>SUM(B1661:F1666)</f>
        <v>0</v>
      </c>
    </row>
    <row r="1667" spans="1:24" s="1" customFormat="1" x14ac:dyDescent="0.2">
      <c r="A1667" s="76" t="str">
        <f>CONCATENATE("Jul ",O1637)</f>
        <v>Jul 2025</v>
      </c>
      <c r="B1667" s="22">
        <f>ROUND(IF(P1644=0,0,IFERROR(((LOOKUP(2,1/(A1646:A1649=A1667),G1646:G1649))*P1644*4.348),B1666/P1643*P1644)),2)</f>
        <v>0</v>
      </c>
      <c r="C1667" s="21">
        <f>ROUND(IFERROR((LOOKUP(2,1/(A1652=A1667),E1652)),0)+IFERROR((LOOKUP(2,1/(A1653=A1667),E1653)),0),2)</f>
        <v>0</v>
      </c>
      <c r="D1667" s="21">
        <f>ROUND(IF(B1667=0,0,D1660/M1639*P1644),2)</f>
        <v>0</v>
      </c>
      <c r="E1667" s="21">
        <f>ROUND(IF(B1667=0,0,E1660/N1635*P1644),2)</f>
        <v>0</v>
      </c>
      <c r="F1667" s="22">
        <f>ROUND(IF(P1644=0,0,IFERROR(((LOOKUP(2,1/(A1646:A1649=A1667),I1646:I1649))/N1635*P1644),F1666/P1643*P1644)),2)</f>
        <v>0</v>
      </c>
      <c r="G1667" s="25">
        <f t="shared" si="264"/>
        <v>0</v>
      </c>
      <c r="H1667" s="64">
        <f>IF(B1667=0,0,IF(AND(H1652="ja",((U1667)&lt;R1677)),ROUND(((R1679*R1676+((R1677/(R1677-R1676))-(R1676/(R1677-R1676))*R1679)*((U1667)-R1676))*(H1660*2))-(((R1677/(R1677-R1676))*((U1667)-R1676))*H1660),2),ROUND(IF(V1666&lt;(SUM(R1661:R1666)),IF((V1667)&gt;(SUM(R1661:R1667)),(((SUM(R1661:R1667))-(V1667-C1666))*H1660)+((U1667-C1666)*H1660),U1667*H1660),IF(V1667&gt;(SUM(R1661:R1667)),R1667*H1660,U1667*H1660)),2)))</f>
        <v>0</v>
      </c>
      <c r="I1667" s="64">
        <f>IF(B1667=0,0,IF(AND(H1652="ja",((U1667)&lt;R1677)),ROUND(((R1679*R1676+((R1677/(R1677-R1676))-(R1676/(R1677-R1676))*R1679)*((U1667)-R1676))*(I1660*2))-(((R1677/(R1677-R1676))*((U1667)-R1676))*I1660),2),ROUND(IF(V1666&lt;(SUM(S1661:S1666)),IF((V1667)&gt;(SUM(S1661:S1667)),(((SUM(S1661:S1667))-(V1667-C1666))*I1660)+((U1667-C1666)*I1660),U1667*I1660),IF(V1667&gt;(SUM(S1661:S1667)),S1667*I1660,U1667*I1660)),2)))</f>
        <v>0</v>
      </c>
      <c r="J1667" s="64">
        <f>IF(B1667=0,0,IF(AND(H1652="ja",((U1667)&lt;R1677)),ROUND(((R1679*R1676+((R1677/(R1677-R1676))-(R1676/(R1677-R1676))*R1679)*((U1667)-R1676))*(J1660*2))-(((R1677/(R1677-R1676))*((U1667)-R1676))*J1660),2),ROUND(IF(V1666&lt;(SUM(S1661:S1666)),IF((V1667)&gt;(SUM(S1661:S1667)),(((SUM(S1661:S1667))-(V1667-C1666))*J1660)+((U1667-C1666)*J1660),U1667*J1660),IF(V1667&gt;(SUM(S1661:S1667)),S1667*J1660,U1667*J1660)),2)))</f>
        <v>0</v>
      </c>
      <c r="K1667" s="64">
        <f>IF(B1667=0,0,IF(AND(H1652="ja",((U1667)&lt;R1677)),ROUND(((R1679*R1676+((R1677/(R1677-R1676))-(R1676/(R1677-R1676))*R1679)*((U1667)-R1676))*(K1660*2))-(((R1677/(R1677-R1676))*((U1667)-R1676))*K1660),2),ROUND(IF(V1666&lt;(SUM(R1661:R1666)),IF((V1667)&gt;(SUM(R1661:R1667)),(((SUM(R1661:R1667))-(V1667-C1666))*K1660)+((U1667-C1666)*K1660),U1667*K1660),IF(V1667&gt;(SUM(R1661:R1667)),R1667*K1660,U1667*K1660)),2)))</f>
        <v>0</v>
      </c>
      <c r="L1667" s="64">
        <f>IF(B1667=0,0,IF(AND(H1652="ja",((U1667-C1667)&lt;R1677)),ROUND(((R1679*R1676+((R1677/(R1677-R1676))-(R1676/(R1677-R1676))*R1679)*((U1667-C1667)-R1676))*(L1660)),2),ROUND(IF(SUM(B1661:F1666)&lt;(SUM(S1661:S1666)),IF((SUM(B1661:F1667))&gt;(SUM(S1661:S1667)),(((SUM(S1661:S1667))-(SUM(B1661:F1667)-C1667))*L1660)+((SUM(B1667:F1667)-C1667)*L1660),(SUM(B1667:F1667)-C1667)*L1660),IF(SUM(B1661:F1667)&gt;(SUM(S1661:S1667)),S1667*L1660,SUM(B1667:F1667)*L1660)),2)))</f>
        <v>0</v>
      </c>
      <c r="M1667" s="64">
        <f>IF(B1667=0,0,IF(AND(H1652="ja",((U1667-C1667)&lt;R1677)),ROUND(((R1679*R1676+((R1677/(R1677-R1676))-(R1676/(R1677-R1676))*R1679)*((U1667-C1667)-R1676))*(M1660)),2),ROUND(IF(SUM(B1661:F1666)&lt;(SUM(S1661:S1666)),IF((SUM(B1661:F1667))&gt;(SUM(S1661:S1667)),(((SUM(S1661:S1667))-(SUM(B1661:F1667)-C1667))*M1660)+((SUM(B1667:F1667)-C1667)*M1660),(SUM(B1667:F1667)-C1667)*M1660),IF(SUM(B1661:F1667)&gt;(SUM(S1661:S1667)),S1667*M1660,SUM(B1667:F1667)*M1660)),2)))</f>
        <v>0</v>
      </c>
      <c r="N1667" s="64">
        <f>IF(B1667=0,0,IF(AND(H1652="ja",((U1667)&lt;R1677)),ROUND(((R1679*R1676+((R1677/(R1677-R1676))-(R1676/(R1677-R1676))*R1679)*((U1667)-R1676))*(N1660)),2),ROUND(IF(SUM(B1661:F1666)&lt;(SUM(S1661:S1666)),IF((SUM(B1661:F1667))&gt;(SUM(S1661:S1667)),(((SUM(S1661:S1667))-(SUM(B1661:F1667)-C1666))*N1660)+((SUM(B1667:F1667)-C1666)*N1660),SUM(B1667:F1667)*N1660),IF(SUM(B1661:F1667)&gt;(SUM(S1661:S1667)),S1667*N1660,SUM(B1667:F1667)*N1660)),2)))</f>
        <v>0</v>
      </c>
      <c r="O1667" s="21">
        <f>ROUND(SUM(B1667+C1667+F1667)*O1660,2)</f>
        <v>0</v>
      </c>
      <c r="P1667" s="25">
        <f t="shared" si="265"/>
        <v>0</v>
      </c>
      <c r="Q1667" s="456"/>
      <c r="R1667" s="140">
        <f>ROUND(IF(M1639="",R1655,R1655/M1639*P1644),2)</f>
        <v>5175</v>
      </c>
      <c r="S1667" s="140">
        <f>ROUND(IF(M1639="",R1656,R1656/M1639*P1644),2)</f>
        <v>7450</v>
      </c>
      <c r="U1667" s="950">
        <f t="shared" si="266"/>
        <v>0</v>
      </c>
      <c r="V1667" s="950">
        <f>SUM(B1661:F1667)</f>
        <v>0</v>
      </c>
    </row>
    <row r="1668" spans="1:24" s="1" customFormat="1" x14ac:dyDescent="0.2">
      <c r="A1668" s="76" t="str">
        <f>CONCATENATE("Aug ",O1637)</f>
        <v>Aug 2025</v>
      </c>
      <c r="B1668" s="22">
        <f>ROUND(IF(P1645=0,0,IFERROR(((LOOKUP(2,1/(A1646:A1649=A1668),G1646:G1649))*P1645*4.348),B1667/P1644*P1645)),2)</f>
        <v>0</v>
      </c>
      <c r="C1668" s="21">
        <f>ROUND(IFERROR((LOOKUP(2,1/(A1652=A1668),E1652)),0)+IFERROR((LOOKUP(2,1/(A1653=A1668),E1653)),0),2)</f>
        <v>0</v>
      </c>
      <c r="D1668" s="21">
        <f>ROUND(IF(B1668=0,0,D1660/M1639*P1645),2)</f>
        <v>0</v>
      </c>
      <c r="E1668" s="21">
        <f>ROUND(IF(B1668=0,0,E1660/N1635*P1645),2)</f>
        <v>0</v>
      </c>
      <c r="F1668" s="22">
        <f>ROUND(IF(P1645=0,0,IFERROR(((LOOKUP(2,1/(A1646:A1649=A1668),I1646:I1649))/N1635*P1645),F1667/P1644*P1645)),2)</f>
        <v>0</v>
      </c>
      <c r="G1668" s="25">
        <f t="shared" si="264"/>
        <v>0</v>
      </c>
      <c r="H1668" s="64">
        <f>IF(B1668=0,0,IF(AND(H1652="ja",((U1668)&lt;R1677)),ROUND(((R1679*R1676+((R1677/(R1677-R1676))-(R1676/(R1677-R1676))*R1679)*((U1668)-R1676))*(H1660*2))-(((R1677/(R1677-R1676))*((U1668)-R1676))*H1660),2),ROUND(IF(V1667&lt;(SUM(R1661:R1667)),IF((V1668)&gt;(SUM(R1661:R1668)),(((SUM(R1661:R1668))-(V1668-C1667))*H1660)+((U1668-C1667)*H1660),U1668*H1660),IF(V1668&gt;(SUM(R1661:R1668)),R1668*H1660,U1668*H1660)),2)))</f>
        <v>0</v>
      </c>
      <c r="I1668" s="64">
        <f>IF(B1668=0,0,IF(AND(H1652="ja",((U1668)&lt;R1677)),ROUND(((R1679*R1676+((R1677/(R1677-R1676))-(R1676/(R1677-R1676))*R1679)*((U1668)-R1676))*(I1660*2))-(((R1677/(R1677-R1676))*((U1668)-R1676))*I1660),2),ROUND(IF(V1667&lt;(SUM(S1661:S1667)),IF((V1668)&gt;(SUM(S1661:S1668)),(((SUM(S1661:S1668))-(V1668-C1667))*I1660)+((U1668-C1667)*I1660),U1668*I1660),IF(V1668&gt;(SUM(S1661:S1668)),S1668*I1660,U1668*I1660)),2)))</f>
        <v>0</v>
      </c>
      <c r="J1668" s="64">
        <f>IF(B1668=0,0,IF(AND(H1652="ja",((U1668)&lt;R1677)),ROUND(((R1679*R1676+((R1677/(R1677-R1676))-(R1676/(R1677-R1676))*R1679)*((U1668)-R1676))*(J1660*2))-(((R1677/(R1677-R1676))*((U1668)-R1676))*J1660),2),ROUND(IF(V1667&lt;(SUM(S1661:S1667)),IF((V1668)&gt;(SUM(S1661:S1668)),(((SUM(S1661:S1668))-(V1668-C1667))*J1660)+((U1668-C1667)*J1660),U1668*J1660),IF(V1668&gt;(SUM(S1661:S1668)),S1668*J1660,U1668*J1660)),2)))</f>
        <v>0</v>
      </c>
      <c r="K1668" s="64">
        <f>IF(B1668=0,0,IF(AND(H1652="ja",((U1668)&lt;R1677)),ROUND(((R1679*R1676+((R1677/(R1677-R1676))-(R1676/(R1677-R1676))*R1679)*((U1668)-R1676))*(K1660*2))-(((R1677/(R1677-R1676))*((U1668)-R1676))*K1660),2),ROUND(IF(V1667&lt;(SUM(R1661:R1667)),IF((V1668)&gt;(SUM(R1661:R1668)),(((SUM(R1661:R1668))-(V1668-C1667))*K1660)+((U1668-C1667)*K1660),U1668*K1660),IF(V1668&gt;(SUM(R1661:R1668)),R1668*K1660,U1668*K1660)),2)))</f>
        <v>0</v>
      </c>
      <c r="L1668" s="64">
        <f>IF(B1668=0,0,IF(AND(H1652="ja",((U1668-C1668)&lt;R1677)),ROUND(((R1679*R1676+((R1677/(R1677-R1676))-(R1676/(R1677-R1676))*R1679)*((U1668-C1668)-R1676))*(L1660)),2),ROUND(IF(SUM(B1661:F1667)&lt;(SUM(S1661:S1667)),IF((SUM(B1661:F1668))&gt;(SUM(S1661:S1668)),(((SUM(S1661:S1668))-(SUM(B1661:F1668)-C1668))*L1660)+((SUM(B1668:F1668)-C1668)*L1660),(SUM(B1668:F1668)-C1668)*L1660),IF(SUM(B1661:F1668)&gt;(SUM(S1661:S1668)),S1668*L1660,SUM(B1668:F1668)*L1660)),2)))</f>
        <v>0</v>
      </c>
      <c r="M1668" s="64">
        <f>IF(B1668=0,0,IF(AND(H1652="ja",((U1668-C1668)&lt;R1677)),ROUND(((R1679*R1676+((R1677/(R1677-R1676))-(R1676/(R1677-R1676))*R1679)*((U1668-C1668)-R1676))*(M1660)),2),ROUND(IF(SUM(B1661:F1667)&lt;(SUM(S1661:S1667)),IF((SUM(B1661:F1668))&gt;(SUM(S1661:S1668)),(((SUM(S1661:S1668))-(SUM(B1661:F1668)-C1668))*M1660)+((SUM(B1668:F1668)-C1668)*M1660),(SUM(B1668:F1668)-C1668)*M1660),IF(SUM(B1661:F1668)&gt;(SUM(S1661:S1668)),S1668*M1660,SUM(B1668:F1668)*M1660)),2)))</f>
        <v>0</v>
      </c>
      <c r="N1668" s="64">
        <f>IF(B1668=0,0,IF(AND(H1652="ja",((U1668)&lt;R1677)),ROUND(((R1679*R1676+((R1677/(R1677-R1676))-(R1676/(R1677-R1676))*R1679)*((U1668)-R1676))*(N1660)),2),ROUND(IF(SUM(B1661:F1667)&lt;(SUM(S1661:S1667)),IF((SUM(B1661:F1668))&gt;(SUM(S1661:S1668)),(((SUM(S1661:S1668))-(SUM(B1661:F1668)-C1667))*N1660)+((SUM(B1668:F1668)-C1667)*N1660),SUM(B1668:F1668)*N1660),IF(SUM(B1661:F1668)&gt;(SUM(S1661:S1668)),S1668*N1660,SUM(B1668:F1668)*N1660)),2)))</f>
        <v>0</v>
      </c>
      <c r="O1668" s="21">
        <f>ROUND(SUM(B1668+C1668+F1668)*O1660,2)</f>
        <v>0</v>
      </c>
      <c r="P1668" s="25">
        <f t="shared" si="265"/>
        <v>0</v>
      </c>
      <c r="Q1668" s="456"/>
      <c r="R1668" s="140">
        <f>ROUND(IF(M1639="",R1655,R1655/M1639*P1645),2)</f>
        <v>5175</v>
      </c>
      <c r="S1668" s="140">
        <f>ROUND(IF(M1639="",R1656,R1656/M1639*P1645),2)</f>
        <v>7450</v>
      </c>
      <c r="U1668" s="950">
        <f t="shared" si="266"/>
        <v>0</v>
      </c>
      <c r="V1668" s="950">
        <f>SUM(B1661:F1668)</f>
        <v>0</v>
      </c>
    </row>
    <row r="1669" spans="1:24" s="1" customFormat="1" x14ac:dyDescent="0.2">
      <c r="A1669" s="76" t="str">
        <f>CONCATENATE("Sep ",O1637)</f>
        <v>Sep 2025</v>
      </c>
      <c r="B1669" s="22">
        <f>ROUND(IF(P1646=0,0,IFERROR(((LOOKUP(2,1/(A1646:A1649=A1669),G1646:G1649))*P1646*4.348),B1668/P1645*P1646)),2)</f>
        <v>0</v>
      </c>
      <c r="C1669" s="21">
        <f>ROUND(IFERROR((LOOKUP(2,1/(A1652=A1669),E1652)),0)+IFERROR((LOOKUP(2,1/(A1653=A1669),E1653)),0),2)</f>
        <v>0</v>
      </c>
      <c r="D1669" s="21">
        <f>ROUND(IF(B1669=0,0,D1660/M1639*P1646),2)</f>
        <v>0</v>
      </c>
      <c r="E1669" s="21">
        <f>ROUND(IF(B1669=0,0,E1660/N1635*P1646),2)</f>
        <v>0</v>
      </c>
      <c r="F1669" s="22">
        <f>ROUND(IF(P1646=0,0,IFERROR(((LOOKUP(2,1/(A1646:A1649=A1669),I1646:I1649))/N1635*P1646),F1668/P1645*P1646)),2)</f>
        <v>0</v>
      </c>
      <c r="G1669" s="25">
        <f t="shared" si="264"/>
        <v>0</v>
      </c>
      <c r="H1669" s="64">
        <f>IF(B1669=0,0,IF(AND(H1652="ja",((U1669)&lt;R1677)),ROUND(((R1679*R1676+((R1677/(R1677-R1676))-(R1676/(R1677-R1676))*R1679)*((U1669)-R1676))*(H1660*2))-(((R1677/(R1677-R1676))*((U1669)-R1676))*H1660),2),ROUND(IF(V1668&lt;(SUM(R1661:R1668)),IF((V1669)&gt;(SUM(R1661:R1669)),(((SUM(R1661:R1669))-(V1669-C1668))*H1660)+((U1669-C1668)*H1660),U1669*H1660),IF(V1669&gt;(SUM(R1661:R1669)),R1669*H1660,U1669*H1660)),2)))</f>
        <v>0</v>
      </c>
      <c r="I1669" s="64">
        <f>IF(B1669=0,0,IF(AND(H1652="ja",((U1669)&lt;R1677)),ROUND(((R1679*R1676+((R1677/(R1677-R1676))-(R1676/(R1677-R1676))*R1679)*((U1669)-R1676))*(I1660*2))-(((R1677/(R1677-R1676))*((U1669)-R1676))*I1660),2),ROUND(IF(V1668&lt;(SUM(S1661:S1668)),IF((V1669)&gt;(SUM(S1661:S1669)),(((SUM(S1661:S1669))-(V1669-C1668))*I1660)+((U1669-C1668)*I1660),U1669*I1660),IF(V1669&gt;(SUM(S1661:S1669)),S1669*I1660,U1669*I1660)),2)))</f>
        <v>0</v>
      </c>
      <c r="J1669" s="64">
        <f>IF(B1669=0,0,IF(AND(H1652="ja",((U1669)&lt;R1677)),ROUND(((R1679*R1676+((R1677/(R1677-R1676))-(R1676/(R1677-R1676))*R1679)*((U1669)-R1676))*(J1660*2))-(((R1677/(R1677-R1676))*((U1669)-R1676))*J1660),2),ROUND(IF(V1668&lt;(SUM(S1661:S1668)),IF((V1669)&gt;(SUM(S1661:S1669)),(((SUM(S1661:S1669))-(V1669-C1668))*J1660)+((U1669-C1668)*J1660),U1669*J1660),IF(V1669&gt;(SUM(S1661:S1669)),S1669*J1660,U1669*J1660)),2)))</f>
        <v>0</v>
      </c>
      <c r="K1669" s="64">
        <f>IF(B1669=0,0,IF(AND(H1652="ja",((U1669)&lt;R1677)),ROUND(((R1679*R1676+((R1677/(R1677-R1676))-(R1676/(R1677-R1676))*R1679)*((U1669)-R1676))*(K1660*2))-(((R1677/(R1677-R1676))*((U1669)-R1676))*K1660),2),ROUND(IF(V1668&lt;(SUM(R1661:R1668)),IF((V1669)&gt;(SUM(R1661:R1669)),(((SUM(R1661:R1669))-(V1669-C1668))*K1660)+((U1669-C1668)*K1660),U1669*K1660),IF(V1669&gt;(SUM(R1661:R1669)),R1669*K1660,U1669*K1660)),2)))</f>
        <v>0</v>
      </c>
      <c r="L1669" s="64">
        <f>IF(B1669=0,0,IF(AND(H1652="ja",((U1669-C1669)&lt;R1677)),ROUND(((R1679*R1676+((R1677/(R1677-R1676))-(R1676/(R1677-R1676))*R1679)*((U1669-C1669)-R1676))*(L1660)),2),ROUND(IF(SUM(B1661:F1668)&lt;(SUM(S1661:S1668)),IF((SUM(B1661:F1669))&gt;(SUM(S1661:S1669)),(((SUM(S1661:S1669))-(SUM(B1661:F1669)-C1669))*L1660)+((SUM(B1669:F1669)-C1669)*L1660),(SUM(B1669:F1669)-C1669)*L1660),IF(SUM(B1661:F1669)&gt;(SUM(S1661:S1669)),S1669*L1660,SUM(B1669:F1669)*L1660)),2)))</f>
        <v>0</v>
      </c>
      <c r="M1669" s="64">
        <f>IF(B1669=0,0,IF(AND(H1652="ja",((U1669-C1669)&lt;R1677)),ROUND(((R1679*R1676+((R1677/(R1677-R1676))-(R1676/(R1677-R1676))*R1679)*((U1669-C1669)-R1676))*(M1660)),2),ROUND(IF(SUM(B1661:F1668)&lt;(SUM(S1661:S1668)),IF((SUM(B1661:F1669))&gt;(SUM(S1661:S1669)),(((SUM(S1661:S1669))-(SUM(B1661:F1669)-C1669))*M1660)+((SUM(B1669:F1669)-C1669)*M1660),(SUM(B1669:F1669)-C1669)*M1660),IF(SUM(B1661:F1669)&gt;(SUM(S1661:S1669)),S1669*M1660,SUM(B1669:F1669)*M1660)),2)))</f>
        <v>0</v>
      </c>
      <c r="N1669" s="64">
        <f>IF(B1669=0,0,IF(AND(H1652="ja",((U1669)&lt;R1677)),ROUND(((R1679*R1676+((R1677/(R1677-R1676))-(R1676/(R1677-R1676))*R1679)*((U1669)-R1676))*(N1660)),2),ROUND(IF(SUM(B1661:F1668)&lt;(SUM(S1661:S1668)),IF((SUM(B1661:F1669))&gt;(SUM(S1661:S1669)),(((SUM(S1661:S1669))-(SUM(B1661:F1669)-C1668))*N1660)+((SUM(B1669:F1669)-C1668)*N1660),SUM(B1669:F1669)*N1660),IF(SUM(B1661:F1669)&gt;(SUM(S1661:S1669)),S1669*N1660,SUM(B1669:F1669)*N1660)),2)))</f>
        <v>0</v>
      </c>
      <c r="O1669" s="21">
        <f>ROUND(SUM(B1669+C1669+F1669)*O1660,2)</f>
        <v>0</v>
      </c>
      <c r="P1669" s="25">
        <f t="shared" si="265"/>
        <v>0</v>
      </c>
      <c r="Q1669" s="456"/>
      <c r="R1669" s="140">
        <f>ROUND(IF(M1639="",R1655,R1655/M1639*P1646),2)</f>
        <v>5175</v>
      </c>
      <c r="S1669" s="140">
        <f>ROUND(IF(M1639="",R1656,R1656/M1639*P1646),2)</f>
        <v>7450</v>
      </c>
      <c r="U1669" s="950">
        <f t="shared" si="266"/>
        <v>0</v>
      </c>
      <c r="V1669" s="950">
        <f>SUM(B1661:F1669)</f>
        <v>0</v>
      </c>
    </row>
    <row r="1670" spans="1:24" s="12" customFormat="1" ht="15" x14ac:dyDescent="0.25">
      <c r="A1670" s="76" t="str">
        <f>CONCATENATE("Okt ",O1637)</f>
        <v>Okt 2025</v>
      </c>
      <c r="B1670" s="22">
        <f>ROUND(IF(P1647=0,0,IFERROR(((LOOKUP(2,1/(A1646:A1649=A1670),G1646:G1649))*P1647*4.348),B1669/P1646*P1647)),2)</f>
        <v>0</v>
      </c>
      <c r="C1670" s="21">
        <f>ROUND(IFERROR((LOOKUP(2,1/(A1652=A1670),E1652)),0)+IFERROR((LOOKUP(2,1/(A1653=A1670),E1653)),0),2)</f>
        <v>0</v>
      </c>
      <c r="D1670" s="21">
        <f>ROUND(IF(B1670=0,0,D1660/M1639*P1647),2)</f>
        <v>0</v>
      </c>
      <c r="E1670" s="21">
        <f>ROUND(IF(B1670=0,0,E1660/N1635*P1647),2)</f>
        <v>0</v>
      </c>
      <c r="F1670" s="22">
        <f>ROUND(IF(P1647=0,0,IFERROR(((LOOKUP(2,1/(A1646:A1649=A1670),I1646:I1649))/N1635*P1647),F1669/P1646*P1647)),2)</f>
        <v>0</v>
      </c>
      <c r="G1670" s="25">
        <f t="shared" si="264"/>
        <v>0</v>
      </c>
      <c r="H1670" s="64">
        <f>IF(B1670=0,0,IF(AND(H1652="ja",((U1670)&lt;R1677)),ROUND(((R1679*R1676+((R1677/(R1677-R1676))-(R1676/(R1677-R1676))*R1679)*((U1670)-R1676))*(H1660*2))-(((R1677/(R1677-R1676))*((U1670)-R1676))*H1660),2),ROUND(IF(V1669&lt;(SUM(R1661:R1669)),IF((V1670)&gt;(SUM(R1661:R1670)),(((SUM(R1661:R1670))-(V1670-C1669))*H1660)+((U1670-C1669)*H1660),U1670*H1660),IF(V1670&gt;(SUM(R1661:R1670)),R1670*H1660,U1670*H1660)),2)))</f>
        <v>0</v>
      </c>
      <c r="I1670" s="64">
        <f>IF(B1670=0,0,IF(AND(H1652="ja",((U1670)&lt;R1677)),ROUND(((R1679*R1676+((R1677/(R1677-R1676))-(R1676/(R1677-R1676))*R1679)*((U1670)-R1676))*(I1660*2))-(((R1677/(R1677-R1676))*((U1670)-R1676))*I1660),2),ROUND(IF(V1669&lt;(SUM(S1661:S1669)),IF((V1670)&gt;(SUM(S1661:S1670)),(((SUM(S1661:S1670))-(V1670-C1669))*I1660)+((U1670-C1669)*I1660),U1670*I1660),IF(V1670&gt;(SUM(S1661:S1670)),S1670*I1660,U1670*I1660)),2)))</f>
        <v>0</v>
      </c>
      <c r="J1670" s="64">
        <f>IF(B1670=0,0,IF(AND(H1652="ja",((U1670)&lt;R1677)),ROUND(((R1679*R1676+((R1677/(R1677-R1676))-(R1676/(R1677-R1676))*R1679)*((U1670)-R1676))*(J1660*2))-(((R1677/(R1677-R1676))*((U1670)-R1676))*J1660),2),ROUND(IF(V1669&lt;(SUM(S1661:S1669)),IF((V1670)&gt;(SUM(S1661:S1670)),(((SUM(S1661:S1670))-(V1670-C1669))*J1660)+((U1670-C1669)*J1660),U1670*J1660),IF(V1670&gt;(SUM(S1661:S1670)),S1670*J1660,U1670*J1660)),2)))</f>
        <v>0</v>
      </c>
      <c r="K1670" s="64">
        <f>IF(B1670=0,0,IF(AND(H1652="ja",((U1670)&lt;R1677)),ROUND(((R1679*R1676+((R1677/(R1677-R1676))-(R1676/(R1677-R1676))*R1679)*((U1670)-R1676))*(K1660*2))-(((R1677/(R1677-R1676))*((U1670)-R1676))*K1660),2),ROUND(IF(V1669&lt;(SUM(R1661:R1669)),IF((V1670)&gt;(SUM(R1661:R1670)),(((SUM(R1661:R1670))-(V1670-C1669))*K1660)+((U1670-C1669)*K1660),U1670*K1660),IF(V1670&gt;(SUM(R1661:R1670)),R1670*K1660,U1670*K1660)),2)))</f>
        <v>0</v>
      </c>
      <c r="L1670" s="64">
        <f>IF(B1670=0,0,IF(AND(H1652="ja",((U1670-C1670)&lt;R1677)),ROUND(((R1679*R1676+((R1677/(R1677-R1676))-(R1676/(R1677-R1676))*R1679)*((U1670-C1670)-R1676))*(L1660)),2),ROUND(IF(SUM(B1661:F1669)&lt;(SUM(S1661:S1669)),IF((SUM(B1661:F1670))&gt;(SUM(S1661:S1670)),(((SUM(S1661:S1670))-(SUM(B1661:F1670)-C1670))*L1660)+((SUM(B1670:F1670)-C1670)*L1660),(SUM(B1670:F1670)-C1670)*L1660),IF(SUM(B1661:F1670)&gt;(SUM(S1661:S1670)),S1670*L1660,SUM(B1670:F1670)*L1660)),2)))</f>
        <v>0</v>
      </c>
      <c r="M1670" s="64">
        <f>IF(B1670=0,0,IF(AND(H1652="ja",((U1670-C1670)&lt;R1677)),ROUND(((R1679*R1676+((R1677/(R1677-R1676))-(R1676/(R1677-R1676))*R1679)*((U1670-C1670)-R1676))*(M1660)),2),ROUND(IF(SUM(B1661:F1669)&lt;(SUM(S1661:S1669)),IF((SUM(B1661:F1670))&gt;(SUM(S1661:S1670)),(((SUM(S1661:S1670))-(SUM(B1661:F1670)-C1670))*M1660)+((SUM(B1670:F1670)-C1670)*M1660),(SUM(B1670:F1670)-C1670)*M1660),IF(SUM(B1661:F1670)&gt;(SUM(S1661:S1670)),S1670*M1660,SUM(B1670:F1670)*M1660)),2)))</f>
        <v>0</v>
      </c>
      <c r="N1670" s="64">
        <f>IF(B1670=0,0,IF(AND(H1652="ja",((U1670)&lt;R1677)),ROUND(((R1679*R1676+((R1677/(R1677-R1676))-(R1676/(R1677-R1676))*R1679)*((U1670)-R1676))*(N1660)),2),ROUND(IF(SUM(B1661:F1669)&lt;(SUM(S1661:S1669)),IF((SUM(B1661:F1670))&gt;(SUM(S1661:S1670)),(((SUM(S1661:S1670))-(SUM(B1661:F1670)-C1669))*N1660)+((SUM(B1670:F1670)-C1669)*N1660),SUM(B1670:F1670)*N1660),IF(SUM(B1661:F1670)&gt;(SUM(S1661:S1670)),S1670*N1660,SUM(B1670:F1670)*N1660)),2)))</f>
        <v>0</v>
      </c>
      <c r="O1670" s="21">
        <f>ROUND(SUM(B1670+C1670+F1670)*O1660,2)</f>
        <v>0</v>
      </c>
      <c r="P1670" s="25">
        <f t="shared" si="265"/>
        <v>0</v>
      </c>
      <c r="Q1670" s="936"/>
      <c r="R1670" s="140">
        <f>ROUND(IF(M1639="",R1655,R1655/M1639*P1647),2)</f>
        <v>5175</v>
      </c>
      <c r="S1670" s="140">
        <f>ROUND(IF(M1639="",R1656,R1656/M1639*P1647),2)</f>
        <v>7450</v>
      </c>
      <c r="U1670" s="950">
        <f t="shared" si="266"/>
        <v>0</v>
      </c>
      <c r="V1670" s="950">
        <f>SUM(B1661:F1670)</f>
        <v>0</v>
      </c>
      <c r="X1670" s="1"/>
    </row>
    <row r="1671" spans="1:24" s="11" customFormat="1" x14ac:dyDescent="0.2">
      <c r="A1671" s="76" t="str">
        <f>CONCATENATE("Nov ",O1637)</f>
        <v>Nov 2025</v>
      </c>
      <c r="B1671" s="22">
        <f>ROUND(IF(P1648=0,0,IFERROR(((LOOKUP(2,1/(A1646:A1649=A1671),G1646:G1649))*P1648*4.348),B1670/P1647*P1648)),2)</f>
        <v>0</v>
      </c>
      <c r="C1671" s="21">
        <f>ROUND(IFERROR((LOOKUP(2,1/(A1652=A1671),E1652)),0)+(IFERROR((LOOKUP(2,1/(A1653=A1671),E1653)),0)),2)</f>
        <v>0</v>
      </c>
      <c r="D1671" s="21">
        <f>ROUND(IF(B1671=0,0,D1660/M1639*P1648),2)</f>
        <v>0</v>
      </c>
      <c r="E1671" s="21">
        <f>ROUND(IF(B1671=0,0,E1660/N1635*P1648),2)</f>
        <v>0</v>
      </c>
      <c r="F1671" s="22">
        <f>ROUND(IF(P1648=0,0,IFERROR(((LOOKUP(2,1/(A1646:A1649=A1671),I1646:I1649))/N1635*P1648),F1670/P1647*P1648)),2)</f>
        <v>0</v>
      </c>
      <c r="G1671" s="25">
        <f t="shared" si="264"/>
        <v>0</v>
      </c>
      <c r="H1671" s="64">
        <f>IF(B1671=0,0,IF(AND(H1652="ja",((U1671)&lt;R1677)),ROUND(((R1679*R1676+((R1677/(R1677-R1676))-(R1676/(R1677-R1676))*R1679)*((U1671)-R1676))*(H1660*2))-(((R1677/(R1677-R1676))*((U1671)-R1676))*H1660),2),ROUND(IF(V1670&lt;(SUM(R1661:R1670)),IF((V1671)&gt;(SUM(R1661:R1671)),(((SUM(R1661:R1671))-(V1671-C1670))*H1660)+((U1671-C1670)*H1660),U1671*H1660),IF(V1671&gt;(SUM(R1661:R1671)),R1671*H1660,U1671*H1660)),2)))</f>
        <v>0</v>
      </c>
      <c r="I1671" s="64">
        <f>IF(B1671=0,0,IF(AND(H1652="ja",((U1671)&lt;R1677)),ROUND(((R1679*R1676+((R1677/(R1677-R1676))-(R1676/(R1677-R1676))*R1679)*((U1671)-R1676))*(I1660*2))-(((R1677/(R1677-R1676))*((U1671)-R1676))*I1660),2),ROUND(IF(V1670&lt;(SUM(S1661:S1670)),IF((V1671)&gt;(SUM(S1661:S1671)),(((SUM(S1661:S1671))-(V1671-C1670))*I1660)+((U1671-C1670)*I1660),U1671*I1660),IF(V1671&gt;(SUM(S1661:S1671)),S1671*I1660,U1671*I1660)),2)))</f>
        <v>0</v>
      </c>
      <c r="J1671" s="64">
        <f>IF(B1671=0,0,IF(AND(H1652="ja",((U1671)&lt;R1677)),ROUND(((R1679*R1676+((R1677/(R1677-R1676))-(R1676/(R1677-R1676))*R1679)*((U1671)-R1676))*(J1660*2))-(((R1677/(R1677-R1676))*((U1671)-R1676))*J1660),2),ROUND(IF(V1670&lt;(SUM(S1661:S1670)),IF((V1671)&gt;(SUM(S1661:S1671)),(((SUM(S1661:S1671))-(V1671-C1670))*J1660)+((U1671-C1670)*J1660),U1671*J1660),IF(V1671&gt;(SUM(S1661:S1671)),S1671*J1660,U1671*J1660)),2)))</f>
        <v>0</v>
      </c>
      <c r="K1671" s="64">
        <f>IF(B1671=0,0,IF(AND(H1652="ja",((U1671)&lt;R1677)),ROUND(((R1679*R1676+((R1677/(R1677-R1676))-(R1676/(R1677-R1676))*R1679)*((U1671)-R1676))*(K1660*2))-(((R1677/(R1677-R1676))*((U1671)-R1676))*K1660),2),ROUND(IF(V1670&lt;(SUM(R1661:R1670)),IF((V1671)&gt;(SUM(R1661:R1671)),(((SUM(R1661:R1671))-(V1671-C1670))*K1660)+((U1671-C1670)*K1660),U1671*K1660),IF(V1671&gt;(SUM(R1661:R1671)),R1671*K1660,U1671*K1660)),2)))</f>
        <v>0</v>
      </c>
      <c r="L1671" s="64">
        <f>IF(B1671=0,0,IF(AND(H1652="ja",((U1671-C1671)&lt;R1677)),ROUND(((R1679*R1676+((R1677/(R1677-R1676))-(R1676/(R1677-R1676))*R1679)*((U1671-C1671)-R1676))*(L1660)),2),ROUND(IF(SUM(B1661:F1670)&lt;(SUM(S1661:S1670)),IF((SUM(B1661:F1671))&gt;(SUM(S1661:S1671)),(((SUM(S1661:S1671))-(SUM(B1661:F1671)-C1671))*L1660)+((SUM(B1671:F1671)-C1671)*L1660),(SUM(B1671:F1671)-C1671)*L1660),IF(SUM(B1661:F1671)&gt;(SUM(S1661:S1671)),S1671*L1660,SUM(B1671:F1671)*L1660)),2)))</f>
        <v>0</v>
      </c>
      <c r="M1671" s="64">
        <f>IF(B1671=0,0,IF(AND(H1652="ja",((U1671-C1671)&lt;R1677)),ROUND(((R1679*R1676+((R1677/(R1677-R1676))-(R1676/(R1677-R1676))*R1679)*((U1671-C1671)-R1676))*(M1660)),2),ROUND(IF(SUM(B1661:F1670)&lt;(SUM(S1661:S1670)),IF((SUM(B1661:F1671))&gt;(SUM(S1661:S1671)),(((SUM(S1661:S1671))-(SUM(B1661:F1671)-C1671))*M1660)+((SUM(B1671:F1671)-C1671)*M1660),(SUM(B1671:F1671)-C1671)*M1660),IF(SUM(B1661:F1671)&gt;(SUM(S1661:S1671)),S1671*M1660,SUM(B1671:F1671)*M1660)),2)))</f>
        <v>0</v>
      </c>
      <c r="N1671" s="64">
        <f>IF(B1671=0,0,IF(AND(H1652="ja",((U1671)&lt;R1677)),ROUND(((R1679*R1676+((R1677/(R1677-R1676))-(R1676/(R1677-R1676))*R1679)*((U1671)-R1676))*(N1660)),2),ROUND(IF(SUM(B1661:F1670)&lt;(SUM(S1661:S1670)),IF((SUM(B1661:F1671))&gt;(SUM(S1661:S1671)),(((SUM(S1661:S1671))-(SUM(B1661:F1671)-C1670))*N1660)+((SUM(B1671:F1671)-C1670)*N1660),SUM(B1671:F1671)*N1660),IF(SUM(B1661:F1671)&gt;(SUM(S1661:S1671)),S1671*N1660,SUM(B1671:F1671)*N1660)),2)))</f>
        <v>0</v>
      </c>
      <c r="O1671" s="21">
        <f>ROUND(SUM(B1671+C1671+F1671)*O1660,2)</f>
        <v>0</v>
      </c>
      <c r="P1671" s="25">
        <f t="shared" si="265"/>
        <v>0</v>
      </c>
      <c r="R1671" s="140">
        <f>ROUND(IF(M1639="",R1655,R1655/M1639*P1648),2)</f>
        <v>5175</v>
      </c>
      <c r="S1671" s="140">
        <f>ROUND(IF(M1639="",R1656,R1656/M1639*P1648),2)</f>
        <v>7450</v>
      </c>
      <c r="U1671" s="950">
        <f t="shared" si="266"/>
        <v>0</v>
      </c>
      <c r="V1671" s="950">
        <f>SUM(B1661:F1671)</f>
        <v>0</v>
      </c>
      <c r="X1671" s="1"/>
    </row>
    <row r="1672" spans="1:24" s="1" customFormat="1" ht="14.25" customHeight="1" x14ac:dyDescent="0.2">
      <c r="A1672" s="76" t="str">
        <f>CONCATENATE("Dez ",O1637)</f>
        <v>Dez 2025</v>
      </c>
      <c r="B1672" s="22">
        <f>ROUND(IF(P1649=0,0,IFERROR(((LOOKUP(2,1/(A1646:A1649=A1672),G1646:G1649))*P1649*4.348),B1671/P1648*P1649)),2)</f>
        <v>0</v>
      </c>
      <c r="C1672" s="21">
        <f>ROUND(IFERROR((LOOKUP(2,1/(A1652=A1672),E1652)),0)+IFERROR((LOOKUP(2,1/(A1653=A1672),E1653)),0),2)</f>
        <v>0</v>
      </c>
      <c r="D1672" s="21">
        <f>ROUND(IF(B1672=0,0,D1660/M1639*P1649),2)</f>
        <v>0</v>
      </c>
      <c r="E1672" s="21">
        <f>ROUND(IF(B1672=0,0,E1660/N1635*P1649),2)</f>
        <v>0</v>
      </c>
      <c r="F1672" s="22">
        <f>ROUND(IF(P1649=0,0,IFERROR(((LOOKUP(2,1/(A1646:A1649=A1672),I1646:I1649))/N1635*P1649),F1671/P1648*P1649)),2)</f>
        <v>0</v>
      </c>
      <c r="G1672" s="25">
        <f t="shared" si="264"/>
        <v>0</v>
      </c>
      <c r="H1672" s="64">
        <f>IF(B1672=0,0,IF(AND(H1652="ja",((U1672)&lt;R1677)),ROUND(((R1679*R1676+((R1677/(R1677-R1676))-(R1676/(R1677-R1676))*R1679)*((U1672)-R1676))*(H1660*2))-(((R1677/(R1677-R1676))*((U1672)-R1676))*H1660),2),ROUND(IF(V1671&lt;(SUM(R1661:R1671)),IF((V1672)&gt;(SUM(R1661:R1672)),(((SUM(R1661:R1672))-(V1672-C1671))*H1660)+((U1672-C1671)*H1660),U1672*H1660),IF(V1672&gt;(SUM(R1661:R1672)),R1672*H1660,U1672*H1660)),2)))</f>
        <v>0</v>
      </c>
      <c r="I1672" s="64">
        <f>IF(B1672=0,0,IF(AND(H1652="ja",((U1672)&lt;R1677)),ROUND(((R1679*R1676+((R1677/(R1677-R1676))-(R1676/(R1677-R1676))*R1679)*((U1672)-R1676))*(I1660*2))-(((R1677/(R1677-R1676))*((U1672)-R1676))*I1660),2),ROUND(IF(V1671&lt;(SUM(S1661:S1671)),IF((V1672)&gt;(SUM(S1661:S1672)),(((SUM(S1661:S1672))-(V1672-C1671))*I1660)+((U1672-C1671)*I1660),U1672*I1660),IF(V1672&gt;(SUM(S1661:S1672)),S1672*I1660,U1672*I1660)),2)))</f>
        <v>0</v>
      </c>
      <c r="J1672" s="64">
        <f>IF(B1672=0,0,IF(AND(H1652="ja",((U1672)&lt;R1677)),ROUND(((R1679*R1676+((R1677/(R1677-R1676))-(R1676/(R1677-R1676))*R1679)*((U1672)-R1676))*(J1660*2))-(((R1677/(R1677-R1676))*((U1672)-R1676))*J1660),2),ROUND(IF(V1671&lt;(SUM(S1661:S1671)),IF((V1672)&gt;(SUM(S1661:S1672)),(((SUM(S1661:S1672))-(V1672-C1671))*J1660)+((U1672-C1671)*J1660),U1672*J1660),IF(V1672&gt;(SUM(S1661:S1672)),S1672*J1660,U1672*J1660)),2)))</f>
        <v>0</v>
      </c>
      <c r="K1672" s="64">
        <f>IF(B1672=0,0,IF(AND(H1652="ja",((U1672)&lt;R1677)),ROUND(((R1679*R1676+((R1677/(R1677-R1676))-(R1676/(R1677-R1676))*R1679)*((U1672)-R1676))*(K1660*2))-(((R1677/(R1677-R1676))*((U1672)-R1676))*K1660),2),ROUND(IF(V1671&lt;(SUM(R1661:R1671)),IF((V1672)&gt;(SUM(R1661:R1672)),(((SUM(R1661:R1672))-(V1672-C1671))*K1660)+((U1672-C1671)*K1660),U1672*K1660),IF(V1672&gt;(SUM(R1661:R1672)),R1672*K1660,U1672*K1660)),2)))</f>
        <v>0</v>
      </c>
      <c r="L1672" s="64">
        <f>IF(B1672=0,0,IF(AND(H1652="ja",((U1672-C1672)&lt;R1677)),ROUND(((R1679*R1676+((R1677/(R1677-R1676))-(R1676/(R1677-R1676))*R1679)*((U1672-C1672)-R1676))*(L1660)),2),ROUND(IF(SUM(B1661:F1671)&lt;(SUM(S1661:S1671)),IF((SUM(B1661:F1672))&gt;(SUM(S1661:S1672)),(((SUM(S1661:S1672))-(SUM(B1661:F1672)-C1672))*L1660)+((SUM(B1672:F1672)-C1672)*L1660),(SUM(B1672:F1672)-C1672)*L1660),IF(SUM(B1661:F1672)&gt;(SUM(S1661:S1672)),S1672*L1660,SUM(B1672:F1672)*L1660)),2)))</f>
        <v>0</v>
      </c>
      <c r="M1672" s="64">
        <f>IF(B1672=0,0,IF(AND(H1652="ja",((U1672-C1672)&lt;R1677)),ROUND(((R1679*R1676+((R1677/(R1677-R1676))-(R1676/(R1677-R1676))*R1679)*((U1672-C1672)-R1676))*(M1660)),2),ROUND(IF(SUM(B1661:F1671)&lt;(SUM(S1661:S1671)),IF((SUM(B1661:F1672))&gt;(SUM(S1661:S1672)),(((SUM(S1661:S1672))-(SUM(B1661:F1672)-C1672))*M1660)+((SUM(B1672:F1672)-C1672)*M1660),(SUM(B1672:F1672)-C1672)*M1660),IF(SUM(B1661:F1672)&gt;(SUM(S1661:S1672)),S1672*M1660,SUM(B1672:F1672)*M1660)),2)))</f>
        <v>0</v>
      </c>
      <c r="N1672" s="64">
        <f>IF(B1672=0,0,IF(AND(H1652="ja",((U1672)&lt;R1677)),ROUND(((R1679*R1676+((R1677/(R1677-R1676))-(R1676/(R1677-R1676))*R1679)*((U1672)-R1676))*(N1660)),2),ROUND(IF(SUM(B1661:F1671)&lt;(SUM(S1661:S1671)),IF((SUM(B1661:F1672))&gt;(SUM(S1661:S1672)),(((SUM(S1661:S1672))-(SUM(B1661:F1672)-C1671))*N1660)+((SUM(B1672:F1672)-C1671)*N1660),SUM(B1672:F1672)*N1660),IF(SUM(B1661:F1672)&gt;(SUM(S1661:S1672)),S1672*N1660,SUM(B1672:F1672)*N1660)),2)))</f>
        <v>0</v>
      </c>
      <c r="O1672" s="21">
        <f>ROUND(SUM(B1672+C1672+F1672)*O1660,2)</f>
        <v>0</v>
      </c>
      <c r="P1672" s="25">
        <f t="shared" si="265"/>
        <v>0</v>
      </c>
      <c r="Q1672" s="11"/>
      <c r="R1672" s="140">
        <f>ROUND(IF(M1639="",R1655,R1655/M1639*P1649),2)</f>
        <v>5175</v>
      </c>
      <c r="S1672" s="140">
        <f>ROUND(IF(M1639="",R1656,R1656/M1639*P1649),2)</f>
        <v>7450</v>
      </c>
      <c r="U1672" s="950">
        <f t="shared" si="266"/>
        <v>0</v>
      </c>
      <c r="V1672" s="950">
        <f>SUM(B1661:F1672)</f>
        <v>0</v>
      </c>
    </row>
    <row r="1673" spans="1:24" s="1" customFormat="1" ht="15" customHeight="1" x14ac:dyDescent="0.2">
      <c r="A1673" s="2" t="s">
        <v>1</v>
      </c>
      <c r="B1673" s="25">
        <f>SUM(B1661:B1672)</f>
        <v>0</v>
      </c>
      <c r="C1673" s="25">
        <f t="shared" ref="C1673:G1673" si="267">SUM(C1661:C1672)</f>
        <v>0</v>
      </c>
      <c r="D1673" s="25">
        <f t="shared" si="267"/>
        <v>0</v>
      </c>
      <c r="E1673" s="25">
        <f t="shared" si="267"/>
        <v>0</v>
      </c>
      <c r="F1673" s="25">
        <f t="shared" si="267"/>
        <v>0</v>
      </c>
      <c r="G1673" s="25">
        <f t="shared" si="267"/>
        <v>0</v>
      </c>
      <c r="H1673" s="1309">
        <f>SUM(H1661:N1672)</f>
        <v>0</v>
      </c>
      <c r="I1673" s="1310"/>
      <c r="J1673" s="1310"/>
      <c r="K1673" s="1310"/>
      <c r="L1673" s="1310"/>
      <c r="M1673" s="1310"/>
      <c r="N1673" s="1311"/>
      <c r="O1673" s="25">
        <f>SUM(O1661:O1672)</f>
        <v>0</v>
      </c>
      <c r="P1673" s="25">
        <f>SUM(P1661:P1672)</f>
        <v>0</v>
      </c>
    </row>
    <row r="1674" spans="1:24" s="1" customFormat="1" ht="12" customHeight="1" x14ac:dyDescent="0.2"/>
    <row r="1675" spans="1:24" s="1" customFormat="1" ht="14.25" customHeight="1" x14ac:dyDescent="0.2">
      <c r="B1675" s="906"/>
      <c r="H1675" s="905"/>
      <c r="I1675" s="62"/>
      <c r="J1675" s="914" t="s">
        <v>123</v>
      </c>
      <c r="L1675" s="900" t="s">
        <v>124</v>
      </c>
      <c r="M1675" s="974" t="str">
        <f>IF(IF(G1673=0,"",'päd.Personal - Leitung'!$M$43)=0,"",IF(G1673=0,"",'päd.Personal - Leitung'!$M$43))</f>
        <v/>
      </c>
      <c r="N1675" s="902" t="s">
        <v>125</v>
      </c>
      <c r="O1675" s="963" t="str">
        <f>IF(IF(G1673=0,"",'päd.Personal - Leitung'!$O$43)=0,"",IF(G1673=0,"",'päd.Personal - Leitung'!$O$43))</f>
        <v/>
      </c>
      <c r="P1675" s="25">
        <f>ROUND(IF(M1675="",0,G1673*M1675*O1675/1000),2)</f>
        <v>0</v>
      </c>
      <c r="Q1675" s="937"/>
      <c r="R1675" s="938">
        <v>2025</v>
      </c>
      <c r="S1675" s="939"/>
    </row>
    <row r="1676" spans="1:24" s="1" customFormat="1" ht="14.25" customHeight="1" x14ac:dyDescent="0.2">
      <c r="H1676" s="907"/>
      <c r="I1676" s="42"/>
      <c r="M1676" s="915" t="s">
        <v>129</v>
      </c>
      <c r="N1676" s="80" t="s">
        <v>125</v>
      </c>
      <c r="O1676" s="75" t="str">
        <f>IF(IF(G1673=0,"",'päd.Personal - Leitung'!$O$44)=0,"",IF(G1673=0,"",'päd.Personal - Leitung'!$O$44))</f>
        <v/>
      </c>
      <c r="P1676" s="25">
        <f>ROUND(IF(O1676="",0,G1673*O1676/1000),2)</f>
        <v>0</v>
      </c>
      <c r="Q1676" s="942" t="s">
        <v>737</v>
      </c>
      <c r="R1676" s="141">
        <f>'päd.Personal - Leitung'!$R$44</f>
        <v>556</v>
      </c>
      <c r="S1676" s="955">
        <f>'päd.Personal - Leitung'!$S$44</f>
        <v>12.82</v>
      </c>
    </row>
    <row r="1677" spans="1:24" s="1" customFormat="1" ht="14.25" customHeight="1" x14ac:dyDescent="0.2">
      <c r="H1677" s="912" t="s">
        <v>126</v>
      </c>
      <c r="I1677" s="960" t="s">
        <v>127</v>
      </c>
      <c r="J1677" s="975" t="str">
        <f>IF(IF(G1673=0,"",'päd.Personal - Leitung'!$J$45)=0,"",IF(G1673=0,"",'päd.Personal - Leitung'!$J$45))</f>
        <v/>
      </c>
      <c r="K1677" s="902" t="s">
        <v>128</v>
      </c>
      <c r="L1677" s="964" t="str">
        <f>IF(IF(G1673=0,"",'päd.Personal - Leitung'!$L$45)=0,"",IF(G1673=0,"",'päd.Personal - Leitung'!$L$45))</f>
        <v/>
      </c>
      <c r="M1677" s="16"/>
      <c r="N1677" s="900" t="s">
        <v>132</v>
      </c>
      <c r="O1677" s="965" t="str">
        <f>IF(IF(G1673=0,"",'päd.Personal - Leitung'!$O$45)=0,"",IF(G1673=0,"",'päd.Personal - Leitung'!$O$45))</f>
        <v/>
      </c>
      <c r="P1677" s="25">
        <f>ROUND(IF(J1677="",0,(J1677*L1677/O1677)/M1641*M1642),2)</f>
        <v>0</v>
      </c>
      <c r="Q1677" s="942" t="s">
        <v>738</v>
      </c>
      <c r="R1677" s="140">
        <f>'päd.Personal - Leitung'!$R$45</f>
        <v>2000</v>
      </c>
      <c r="S1677" s="939"/>
    </row>
    <row r="1678" spans="1:24" s="1" customFormat="1" ht="14.25" customHeight="1" x14ac:dyDescent="0.2">
      <c r="D1678" s="16"/>
      <c r="I1678" s="16"/>
      <c r="J1678" s="16"/>
      <c r="K1678" s="63"/>
      <c r="L1678" s="67"/>
      <c r="M1678" s="915" t="s">
        <v>130</v>
      </c>
      <c r="N1678" s="80" t="s">
        <v>131</v>
      </c>
      <c r="O1678" s="904">
        <f>IF(IF(G1673="",0,'päd.Personal - Leitung'!$O$94)=0,0,IF(G1673="",0,'päd.Personal - Leitung'!$O$94))</f>
        <v>0</v>
      </c>
      <c r="P1678" s="21">
        <f>ROUND(IF(G1673=0,0,O1678/M1639*M1640),2)</f>
        <v>0</v>
      </c>
      <c r="Q1678" s="942" t="s">
        <v>740</v>
      </c>
      <c r="R1678" s="956">
        <f>'päd.Personal - Leitung'!$R$46</f>
        <v>0.40900000000000003</v>
      </c>
    </row>
    <row r="1679" spans="1:24" s="1" customFormat="1" ht="14.25" customHeight="1" x14ac:dyDescent="0.2">
      <c r="A1679" s="16"/>
      <c r="B1679" s="16"/>
      <c r="I1679" s="905"/>
      <c r="J1679" s="961" t="s">
        <v>176</v>
      </c>
      <c r="K1679" s="1312" t="str">
        <f>IF($K$47="","",$K$47)</f>
        <v/>
      </c>
      <c r="L1679" s="1312"/>
      <c r="M1679" s="1312"/>
      <c r="N1679" s="80" t="s">
        <v>131</v>
      </c>
      <c r="O1679" s="904">
        <f>IF(IF(G1673="",0,'päd.Personal - Leitung'!$O$95)=0,0,IF(G1673="",0,'päd.Personal - Leitung'!$O$95))</f>
        <v>0</v>
      </c>
      <c r="P1679" s="21">
        <f>ROUND(IF(G1673=0,0,O1679/M1639*M1640),2)</f>
        <v>0</v>
      </c>
      <c r="Q1679" s="942" t="s">
        <v>739</v>
      </c>
      <c r="R1679" s="940">
        <f>'päd.Personal - Leitung'!$R$47</f>
        <v>0.68459999999999999</v>
      </c>
      <c r="S1679" s="957">
        <f>'päd.Personal - Leitung'!$S$47</f>
        <v>0.28000000000000003</v>
      </c>
    </row>
    <row r="1680" spans="1:24" s="1" customFormat="1" ht="14.25" customHeight="1" x14ac:dyDescent="0.2">
      <c r="A1680" s="908"/>
      <c r="B1680" s="908"/>
      <c r="C1680" s="960"/>
      <c r="D1680" s="960"/>
      <c r="I1680" s="913"/>
      <c r="J1680" s="913"/>
      <c r="K1680" s="916"/>
      <c r="L1680" s="27"/>
      <c r="M1680" s="27"/>
      <c r="N1680" s="27"/>
      <c r="O1680" s="26" t="s">
        <v>0</v>
      </c>
      <c r="P1680" s="25">
        <f>P1673+SUM(P1675:P1679)</f>
        <v>0</v>
      </c>
    </row>
  </sheetData>
  <sheetProtection algorithmName="SHA-512" hashValue="z7itoxEAHAXeLMa6Do/c3SY1oaP2Cf0i0r9h5JnhMNK63JS+HvFmGN3wPyR/Ha+IcnRr3jmq+99gS6ShaJgrlw==" saltValue="nMH8tulygguVARJ9Cy6mTg==" spinCount="100000" sheet="1" objects="1" scenarios="1"/>
  <mergeCells count="2100">
    <mergeCell ref="K1103:M1103"/>
    <mergeCell ref="U1035:U1036"/>
    <mergeCell ref="V1035:V1036"/>
    <mergeCell ref="H1049:N1049"/>
    <mergeCell ref="K1055:M1055"/>
    <mergeCell ref="K1062:L1062"/>
    <mergeCell ref="K1063:L1063"/>
    <mergeCell ref="K1064:L1064"/>
    <mergeCell ref="K1065:L1065"/>
    <mergeCell ref="K1066:L1066"/>
    <mergeCell ref="K1067:L1067"/>
    <mergeCell ref="B1076:C1076"/>
    <mergeCell ref="I1076:K1076"/>
    <mergeCell ref="B1077:C1077"/>
    <mergeCell ref="I1077:K1077"/>
    <mergeCell ref="A1066:C1066"/>
    <mergeCell ref="D1066:I1066"/>
    <mergeCell ref="D1067:E1067"/>
    <mergeCell ref="F1067:G1067"/>
    <mergeCell ref="H1067:I1067"/>
    <mergeCell ref="B1069:C1069"/>
    <mergeCell ref="A1080:A1084"/>
    <mergeCell ref="B1080:G1080"/>
    <mergeCell ref="H1080:N1080"/>
    <mergeCell ref="P1080:P1084"/>
    <mergeCell ref="B1081:B1084"/>
    <mergeCell ref="C1081:C1084"/>
    <mergeCell ref="D1081:D1083"/>
    <mergeCell ref="E1081:E1083"/>
    <mergeCell ref="G1081:G1084"/>
    <mergeCell ref="H1081:H1082"/>
    <mergeCell ref="I1081:I1082"/>
    <mergeCell ref="U1083:U1084"/>
    <mergeCell ref="V1083:V1084"/>
    <mergeCell ref="H1097:N1097"/>
    <mergeCell ref="P1032:P1036"/>
    <mergeCell ref="B1033:B1036"/>
    <mergeCell ref="C1033:C1036"/>
    <mergeCell ref="D1033:D1035"/>
    <mergeCell ref="E1033:E1035"/>
    <mergeCell ref="G1033:G1036"/>
    <mergeCell ref="H1033:H1034"/>
    <mergeCell ref="I1033:I1034"/>
    <mergeCell ref="J1033:J1034"/>
    <mergeCell ref="K1033:K1034"/>
    <mergeCell ref="L1033:L1034"/>
    <mergeCell ref="M1033:M1034"/>
    <mergeCell ref="N1033:N1034"/>
    <mergeCell ref="O1033:O1035"/>
    <mergeCell ref="F1034:F1036"/>
    <mergeCell ref="A1057:C1057"/>
    <mergeCell ref="D1057:N1057"/>
    <mergeCell ref="J1081:J1082"/>
    <mergeCell ref="K1081:K1082"/>
    <mergeCell ref="L1081:L1082"/>
    <mergeCell ref="M1081:M1082"/>
    <mergeCell ref="N1081:N1082"/>
    <mergeCell ref="O1081:O1083"/>
    <mergeCell ref="F1082:F1084"/>
    <mergeCell ref="A1061:J1061"/>
    <mergeCell ref="A1063:C1063"/>
    <mergeCell ref="D1063:I1063"/>
    <mergeCell ref="D1060:J1060"/>
    <mergeCell ref="H1001:N1001"/>
    <mergeCell ref="K1007:M1007"/>
    <mergeCell ref="K1014:L1014"/>
    <mergeCell ref="K1015:L1015"/>
    <mergeCell ref="K1016:L1016"/>
    <mergeCell ref="P984:P988"/>
    <mergeCell ref="A1013:J1013"/>
    <mergeCell ref="A1015:C1015"/>
    <mergeCell ref="D1015:I1015"/>
    <mergeCell ref="A1016:C1016"/>
    <mergeCell ref="D1016:I1016"/>
    <mergeCell ref="D971:E971"/>
    <mergeCell ref="F971:G971"/>
    <mergeCell ref="H971:I971"/>
    <mergeCell ref="B973:C973"/>
    <mergeCell ref="B974:C974"/>
    <mergeCell ref="B975:C975"/>
    <mergeCell ref="B976:C976"/>
    <mergeCell ref="B977:C977"/>
    <mergeCell ref="B980:C980"/>
    <mergeCell ref="B985:B988"/>
    <mergeCell ref="C985:C988"/>
    <mergeCell ref="D985:D987"/>
    <mergeCell ref="E985:E987"/>
    <mergeCell ref="G985:G988"/>
    <mergeCell ref="H985:H986"/>
    <mergeCell ref="O985:O987"/>
    <mergeCell ref="F986:F988"/>
    <mergeCell ref="A963:C963"/>
    <mergeCell ref="A964:C964"/>
    <mergeCell ref="D968:I968"/>
    <mergeCell ref="A969:C969"/>
    <mergeCell ref="D969:I969"/>
    <mergeCell ref="D970:I970"/>
    <mergeCell ref="M985:M986"/>
    <mergeCell ref="N985:N986"/>
    <mergeCell ref="V939:V940"/>
    <mergeCell ref="H953:N953"/>
    <mergeCell ref="K959:M959"/>
    <mergeCell ref="K966:L966"/>
    <mergeCell ref="K967:L967"/>
    <mergeCell ref="K968:L968"/>
    <mergeCell ref="K969:L969"/>
    <mergeCell ref="K970:L970"/>
    <mergeCell ref="K971:L971"/>
    <mergeCell ref="A961:C961"/>
    <mergeCell ref="D961:N961"/>
    <mergeCell ref="A962:C962"/>
    <mergeCell ref="D962:N962"/>
    <mergeCell ref="A970:C970"/>
    <mergeCell ref="U987:U988"/>
    <mergeCell ref="V987:V988"/>
    <mergeCell ref="A965:J965"/>
    <mergeCell ref="I980:K980"/>
    <mergeCell ref="K1017:L1017"/>
    <mergeCell ref="K1018:L1018"/>
    <mergeCell ref="K1019:L1019"/>
    <mergeCell ref="U939:U940"/>
    <mergeCell ref="V843:V844"/>
    <mergeCell ref="P888:P892"/>
    <mergeCell ref="P840:P844"/>
    <mergeCell ref="G841:G844"/>
    <mergeCell ref="K874:L874"/>
    <mergeCell ref="K875:L875"/>
    <mergeCell ref="R842:S842"/>
    <mergeCell ref="R843:S843"/>
    <mergeCell ref="D1017:I1017"/>
    <mergeCell ref="D1018:I1018"/>
    <mergeCell ref="D1019:E1019"/>
    <mergeCell ref="F1019:G1019"/>
    <mergeCell ref="H1019:I1019"/>
    <mergeCell ref="D963:J963"/>
    <mergeCell ref="K963:M963"/>
    <mergeCell ref="D964:J964"/>
    <mergeCell ref="P936:P940"/>
    <mergeCell ref="D937:D939"/>
    <mergeCell ref="E937:E939"/>
    <mergeCell ref="G937:G940"/>
    <mergeCell ref="H937:H938"/>
    <mergeCell ref="I937:I938"/>
    <mergeCell ref="J937:J938"/>
    <mergeCell ref="K937:K938"/>
    <mergeCell ref="L937:L938"/>
    <mergeCell ref="M937:M938"/>
    <mergeCell ref="N937:N938"/>
    <mergeCell ref="O889:O891"/>
    <mergeCell ref="F890:F892"/>
    <mergeCell ref="U891:U892"/>
    <mergeCell ref="V891:V892"/>
    <mergeCell ref="R890:S890"/>
    <mergeCell ref="R891:S891"/>
    <mergeCell ref="I841:I842"/>
    <mergeCell ref="J841:J842"/>
    <mergeCell ref="K841:K842"/>
    <mergeCell ref="L841:L842"/>
    <mergeCell ref="M841:M842"/>
    <mergeCell ref="N841:N842"/>
    <mergeCell ref="O841:O843"/>
    <mergeCell ref="F842:F844"/>
    <mergeCell ref="U843:U844"/>
    <mergeCell ref="R938:S938"/>
    <mergeCell ref="D919:I919"/>
    <mergeCell ref="O937:O939"/>
    <mergeCell ref="F938:F940"/>
    <mergeCell ref="B888:G888"/>
    <mergeCell ref="H888:N888"/>
    <mergeCell ref="H905:N905"/>
    <mergeCell ref="K911:M911"/>
    <mergeCell ref="H936:N936"/>
    <mergeCell ref="B889:B892"/>
    <mergeCell ref="C889:C892"/>
    <mergeCell ref="D889:D891"/>
    <mergeCell ref="E889:E891"/>
    <mergeCell ref="G889:G892"/>
    <mergeCell ref="C841:C844"/>
    <mergeCell ref="D841:D843"/>
    <mergeCell ref="E841:E843"/>
    <mergeCell ref="H841:H842"/>
    <mergeCell ref="U795:U796"/>
    <mergeCell ref="V795:V796"/>
    <mergeCell ref="H809:N809"/>
    <mergeCell ref="K815:M815"/>
    <mergeCell ref="K822:L822"/>
    <mergeCell ref="K823:L823"/>
    <mergeCell ref="K824:L824"/>
    <mergeCell ref="K825:L825"/>
    <mergeCell ref="K826:L826"/>
    <mergeCell ref="K827:L827"/>
    <mergeCell ref="B836:C836"/>
    <mergeCell ref="I836:K836"/>
    <mergeCell ref="B837:C837"/>
    <mergeCell ref="I837:K837"/>
    <mergeCell ref="A824:C824"/>
    <mergeCell ref="D824:I824"/>
    <mergeCell ref="A819:C819"/>
    <mergeCell ref="D819:J819"/>
    <mergeCell ref="D823:I823"/>
    <mergeCell ref="A826:C826"/>
    <mergeCell ref="D826:I826"/>
    <mergeCell ref="D827:E827"/>
    <mergeCell ref="F827:G827"/>
    <mergeCell ref="H827:I827"/>
    <mergeCell ref="A817:C817"/>
    <mergeCell ref="D817:N817"/>
    <mergeCell ref="A818:C818"/>
    <mergeCell ref="A823:C823"/>
    <mergeCell ref="U747:U748"/>
    <mergeCell ref="V747:V748"/>
    <mergeCell ref="H761:N761"/>
    <mergeCell ref="K767:M767"/>
    <mergeCell ref="K774:L774"/>
    <mergeCell ref="K775:L775"/>
    <mergeCell ref="K776:L776"/>
    <mergeCell ref="K777:L777"/>
    <mergeCell ref="K778:L778"/>
    <mergeCell ref="K779:L779"/>
    <mergeCell ref="B788:C788"/>
    <mergeCell ref="I788:K788"/>
    <mergeCell ref="B789:C789"/>
    <mergeCell ref="I789:K789"/>
    <mergeCell ref="A792:A796"/>
    <mergeCell ref="B792:G792"/>
    <mergeCell ref="H792:N792"/>
    <mergeCell ref="P792:P796"/>
    <mergeCell ref="B793:B796"/>
    <mergeCell ref="C793:C796"/>
    <mergeCell ref="D793:D795"/>
    <mergeCell ref="E793:E795"/>
    <mergeCell ref="G793:G796"/>
    <mergeCell ref="H793:H794"/>
    <mergeCell ref="I793:I794"/>
    <mergeCell ref="J793:J794"/>
    <mergeCell ref="K793:K794"/>
    <mergeCell ref="L793:L794"/>
    <mergeCell ref="M793:M794"/>
    <mergeCell ref="N793:N794"/>
    <mergeCell ref="O793:O795"/>
    <mergeCell ref="R794:S794"/>
    <mergeCell ref="U699:U700"/>
    <mergeCell ref="V699:V700"/>
    <mergeCell ref="H713:N713"/>
    <mergeCell ref="K719:M719"/>
    <mergeCell ref="K726:L726"/>
    <mergeCell ref="K727:L727"/>
    <mergeCell ref="K728:L728"/>
    <mergeCell ref="K729:L729"/>
    <mergeCell ref="K730:L730"/>
    <mergeCell ref="K731:L731"/>
    <mergeCell ref="B740:C740"/>
    <mergeCell ref="I740:K740"/>
    <mergeCell ref="B741:C741"/>
    <mergeCell ref="I741:K741"/>
    <mergeCell ref="A744:A748"/>
    <mergeCell ref="B744:G744"/>
    <mergeCell ref="H744:N744"/>
    <mergeCell ref="P744:P748"/>
    <mergeCell ref="B745:B748"/>
    <mergeCell ref="C745:C748"/>
    <mergeCell ref="D745:D747"/>
    <mergeCell ref="E745:E747"/>
    <mergeCell ref="G745:G748"/>
    <mergeCell ref="H745:H746"/>
    <mergeCell ref="I745:I746"/>
    <mergeCell ref="J745:J746"/>
    <mergeCell ref="K745:K746"/>
    <mergeCell ref="L745:L746"/>
    <mergeCell ref="M745:M746"/>
    <mergeCell ref="N745:N746"/>
    <mergeCell ref="O745:O747"/>
    <mergeCell ref="F746:F748"/>
    <mergeCell ref="U651:U652"/>
    <mergeCell ref="V651:V652"/>
    <mergeCell ref="H665:N665"/>
    <mergeCell ref="K671:M671"/>
    <mergeCell ref="K678:L678"/>
    <mergeCell ref="K679:L679"/>
    <mergeCell ref="K680:L680"/>
    <mergeCell ref="K681:L681"/>
    <mergeCell ref="K682:L682"/>
    <mergeCell ref="K683:L683"/>
    <mergeCell ref="B692:C692"/>
    <mergeCell ref="I692:K692"/>
    <mergeCell ref="B693:C693"/>
    <mergeCell ref="I693:K693"/>
    <mergeCell ref="A696:A700"/>
    <mergeCell ref="B696:G696"/>
    <mergeCell ref="H696:N696"/>
    <mergeCell ref="P696:P700"/>
    <mergeCell ref="B697:B700"/>
    <mergeCell ref="C697:C700"/>
    <mergeCell ref="D697:D699"/>
    <mergeCell ref="E697:E699"/>
    <mergeCell ref="G697:G700"/>
    <mergeCell ref="H697:H698"/>
    <mergeCell ref="I697:I698"/>
    <mergeCell ref="J697:J698"/>
    <mergeCell ref="K697:K698"/>
    <mergeCell ref="L697:L698"/>
    <mergeCell ref="M697:M698"/>
    <mergeCell ref="N697:N698"/>
    <mergeCell ref="O697:O699"/>
    <mergeCell ref="F698:F700"/>
    <mergeCell ref="U603:U604"/>
    <mergeCell ref="V603:V604"/>
    <mergeCell ref="H617:N617"/>
    <mergeCell ref="K623:M623"/>
    <mergeCell ref="K630:L630"/>
    <mergeCell ref="K631:L631"/>
    <mergeCell ref="K632:L632"/>
    <mergeCell ref="K633:L633"/>
    <mergeCell ref="K634:L634"/>
    <mergeCell ref="K635:L635"/>
    <mergeCell ref="B644:C644"/>
    <mergeCell ref="I644:K644"/>
    <mergeCell ref="B645:C645"/>
    <mergeCell ref="I645:K645"/>
    <mergeCell ref="A648:A652"/>
    <mergeCell ref="B648:G648"/>
    <mergeCell ref="H648:N648"/>
    <mergeCell ref="P648:P652"/>
    <mergeCell ref="B649:B652"/>
    <mergeCell ref="C649:C652"/>
    <mergeCell ref="D649:D651"/>
    <mergeCell ref="E649:E651"/>
    <mergeCell ref="G649:G652"/>
    <mergeCell ref="H649:H650"/>
    <mergeCell ref="I649:I650"/>
    <mergeCell ref="J649:J650"/>
    <mergeCell ref="K649:K650"/>
    <mergeCell ref="L649:L650"/>
    <mergeCell ref="M649:M650"/>
    <mergeCell ref="N649:N650"/>
    <mergeCell ref="O649:O651"/>
    <mergeCell ref="F650:F652"/>
    <mergeCell ref="U555:U556"/>
    <mergeCell ref="V555:V556"/>
    <mergeCell ref="H569:N569"/>
    <mergeCell ref="K575:M575"/>
    <mergeCell ref="K582:L582"/>
    <mergeCell ref="K583:L583"/>
    <mergeCell ref="K584:L584"/>
    <mergeCell ref="K585:L585"/>
    <mergeCell ref="K586:L586"/>
    <mergeCell ref="K587:L587"/>
    <mergeCell ref="B596:C596"/>
    <mergeCell ref="I596:K596"/>
    <mergeCell ref="B597:C597"/>
    <mergeCell ref="I597:K597"/>
    <mergeCell ref="A600:A604"/>
    <mergeCell ref="B600:G600"/>
    <mergeCell ref="H600:N600"/>
    <mergeCell ref="P600:P604"/>
    <mergeCell ref="B601:B604"/>
    <mergeCell ref="C601:C604"/>
    <mergeCell ref="D601:D603"/>
    <mergeCell ref="E601:E603"/>
    <mergeCell ref="G601:G604"/>
    <mergeCell ref="H601:H602"/>
    <mergeCell ref="I601:I602"/>
    <mergeCell ref="J601:J602"/>
    <mergeCell ref="K601:K602"/>
    <mergeCell ref="L601:L602"/>
    <mergeCell ref="M601:M602"/>
    <mergeCell ref="N601:N602"/>
    <mergeCell ref="O601:O603"/>
    <mergeCell ref="F602:F604"/>
    <mergeCell ref="U507:U508"/>
    <mergeCell ref="V507:V508"/>
    <mergeCell ref="H521:N521"/>
    <mergeCell ref="K527:M527"/>
    <mergeCell ref="K534:L534"/>
    <mergeCell ref="K535:L535"/>
    <mergeCell ref="K536:L536"/>
    <mergeCell ref="K537:L537"/>
    <mergeCell ref="K538:L538"/>
    <mergeCell ref="K539:L539"/>
    <mergeCell ref="B548:C548"/>
    <mergeCell ref="I548:K548"/>
    <mergeCell ref="B549:C549"/>
    <mergeCell ref="I549:K549"/>
    <mergeCell ref="A552:A556"/>
    <mergeCell ref="B552:G552"/>
    <mergeCell ref="H552:N552"/>
    <mergeCell ref="P552:P556"/>
    <mergeCell ref="B553:B556"/>
    <mergeCell ref="C553:C556"/>
    <mergeCell ref="D553:D555"/>
    <mergeCell ref="E553:E555"/>
    <mergeCell ref="G553:G556"/>
    <mergeCell ref="H553:H554"/>
    <mergeCell ref="I553:I554"/>
    <mergeCell ref="J553:J554"/>
    <mergeCell ref="K553:K554"/>
    <mergeCell ref="L553:L554"/>
    <mergeCell ref="M553:M554"/>
    <mergeCell ref="N553:N554"/>
    <mergeCell ref="O553:O555"/>
    <mergeCell ref="F554:F556"/>
    <mergeCell ref="U459:U460"/>
    <mergeCell ref="V459:V460"/>
    <mergeCell ref="H473:N473"/>
    <mergeCell ref="K479:M479"/>
    <mergeCell ref="K486:L486"/>
    <mergeCell ref="K487:L487"/>
    <mergeCell ref="K488:L488"/>
    <mergeCell ref="K489:L489"/>
    <mergeCell ref="K490:L490"/>
    <mergeCell ref="K491:L491"/>
    <mergeCell ref="B500:C500"/>
    <mergeCell ref="I500:K500"/>
    <mergeCell ref="B501:C501"/>
    <mergeCell ref="I501:K501"/>
    <mergeCell ref="A504:A508"/>
    <mergeCell ref="B504:G504"/>
    <mergeCell ref="H504:N504"/>
    <mergeCell ref="P504:P508"/>
    <mergeCell ref="B505:B508"/>
    <mergeCell ref="C505:C508"/>
    <mergeCell ref="D505:D507"/>
    <mergeCell ref="E505:E507"/>
    <mergeCell ref="G505:G508"/>
    <mergeCell ref="H505:H506"/>
    <mergeCell ref="I505:I506"/>
    <mergeCell ref="J505:J506"/>
    <mergeCell ref="K505:K506"/>
    <mergeCell ref="L505:L506"/>
    <mergeCell ref="M505:M506"/>
    <mergeCell ref="N505:N506"/>
    <mergeCell ref="O505:O507"/>
    <mergeCell ref="F506:F508"/>
    <mergeCell ref="U411:U412"/>
    <mergeCell ref="V411:V412"/>
    <mergeCell ref="H425:N425"/>
    <mergeCell ref="K431:M431"/>
    <mergeCell ref="K438:L438"/>
    <mergeCell ref="K439:L439"/>
    <mergeCell ref="K440:L440"/>
    <mergeCell ref="K441:L441"/>
    <mergeCell ref="K442:L442"/>
    <mergeCell ref="K443:L443"/>
    <mergeCell ref="B452:C452"/>
    <mergeCell ref="I452:K452"/>
    <mergeCell ref="B453:C453"/>
    <mergeCell ref="I453:K453"/>
    <mergeCell ref="A456:A460"/>
    <mergeCell ref="B456:G456"/>
    <mergeCell ref="H456:N456"/>
    <mergeCell ref="P456:P460"/>
    <mergeCell ref="B457:B460"/>
    <mergeCell ref="C457:C460"/>
    <mergeCell ref="D457:D459"/>
    <mergeCell ref="E457:E459"/>
    <mergeCell ref="G457:G460"/>
    <mergeCell ref="H457:H458"/>
    <mergeCell ref="I457:I458"/>
    <mergeCell ref="J457:J458"/>
    <mergeCell ref="K457:K458"/>
    <mergeCell ref="L457:L458"/>
    <mergeCell ref="M457:M458"/>
    <mergeCell ref="N457:N458"/>
    <mergeCell ref="O457:O459"/>
    <mergeCell ref="F458:F460"/>
    <mergeCell ref="U363:U364"/>
    <mergeCell ref="V363:V364"/>
    <mergeCell ref="H377:N377"/>
    <mergeCell ref="K383:M383"/>
    <mergeCell ref="K390:L390"/>
    <mergeCell ref="K391:L391"/>
    <mergeCell ref="K392:L392"/>
    <mergeCell ref="K393:L393"/>
    <mergeCell ref="K394:L394"/>
    <mergeCell ref="K395:L395"/>
    <mergeCell ref="B404:C404"/>
    <mergeCell ref="I404:K404"/>
    <mergeCell ref="B405:C405"/>
    <mergeCell ref="I405:K405"/>
    <mergeCell ref="A408:A412"/>
    <mergeCell ref="B408:G408"/>
    <mergeCell ref="H408:N408"/>
    <mergeCell ref="P408:P412"/>
    <mergeCell ref="B409:B412"/>
    <mergeCell ref="C409:C412"/>
    <mergeCell ref="D409:D411"/>
    <mergeCell ref="E409:E411"/>
    <mergeCell ref="G409:G412"/>
    <mergeCell ref="H409:H410"/>
    <mergeCell ref="I409:I410"/>
    <mergeCell ref="J409:J410"/>
    <mergeCell ref="K409:K410"/>
    <mergeCell ref="L409:L410"/>
    <mergeCell ref="M409:M410"/>
    <mergeCell ref="N409:N410"/>
    <mergeCell ref="O409:O411"/>
    <mergeCell ref="F410:F412"/>
    <mergeCell ref="U315:U316"/>
    <mergeCell ref="V315:V316"/>
    <mergeCell ref="H329:N329"/>
    <mergeCell ref="K335:M335"/>
    <mergeCell ref="K342:L342"/>
    <mergeCell ref="K343:L343"/>
    <mergeCell ref="K344:L344"/>
    <mergeCell ref="K345:L345"/>
    <mergeCell ref="K346:L346"/>
    <mergeCell ref="K347:L347"/>
    <mergeCell ref="B356:C356"/>
    <mergeCell ref="I356:K356"/>
    <mergeCell ref="B357:C357"/>
    <mergeCell ref="I357:K357"/>
    <mergeCell ref="A360:A364"/>
    <mergeCell ref="B360:G360"/>
    <mergeCell ref="H360:N360"/>
    <mergeCell ref="P360:P364"/>
    <mergeCell ref="B361:B364"/>
    <mergeCell ref="C361:C364"/>
    <mergeCell ref="D361:D363"/>
    <mergeCell ref="E361:E363"/>
    <mergeCell ref="G361:G364"/>
    <mergeCell ref="H361:H362"/>
    <mergeCell ref="I361:I362"/>
    <mergeCell ref="J361:J362"/>
    <mergeCell ref="K361:K362"/>
    <mergeCell ref="L361:L362"/>
    <mergeCell ref="M361:M362"/>
    <mergeCell ref="N361:N362"/>
    <mergeCell ref="O361:O363"/>
    <mergeCell ref="F362:F364"/>
    <mergeCell ref="U267:U268"/>
    <mergeCell ref="V267:V268"/>
    <mergeCell ref="H281:N281"/>
    <mergeCell ref="K287:M287"/>
    <mergeCell ref="K294:L294"/>
    <mergeCell ref="K295:L295"/>
    <mergeCell ref="K296:L296"/>
    <mergeCell ref="K297:L297"/>
    <mergeCell ref="K298:L298"/>
    <mergeCell ref="K299:L299"/>
    <mergeCell ref="B308:C308"/>
    <mergeCell ref="I308:K308"/>
    <mergeCell ref="B309:C309"/>
    <mergeCell ref="I309:K309"/>
    <mergeCell ref="A312:A316"/>
    <mergeCell ref="B312:G312"/>
    <mergeCell ref="H312:N312"/>
    <mergeCell ref="P312:P316"/>
    <mergeCell ref="B313:B316"/>
    <mergeCell ref="C313:C316"/>
    <mergeCell ref="D313:D315"/>
    <mergeCell ref="E313:E315"/>
    <mergeCell ref="G313:G316"/>
    <mergeCell ref="H313:H314"/>
    <mergeCell ref="I313:I314"/>
    <mergeCell ref="J313:J314"/>
    <mergeCell ref="K313:K314"/>
    <mergeCell ref="L313:L314"/>
    <mergeCell ref="M313:M314"/>
    <mergeCell ref="N313:N314"/>
    <mergeCell ref="O313:O315"/>
    <mergeCell ref="F314:F316"/>
    <mergeCell ref="U219:U220"/>
    <mergeCell ref="V219:V220"/>
    <mergeCell ref="H233:N233"/>
    <mergeCell ref="K239:M239"/>
    <mergeCell ref="K246:L246"/>
    <mergeCell ref="K247:L247"/>
    <mergeCell ref="K248:L248"/>
    <mergeCell ref="K249:L249"/>
    <mergeCell ref="K250:L250"/>
    <mergeCell ref="K251:L251"/>
    <mergeCell ref="B260:C260"/>
    <mergeCell ref="I260:K260"/>
    <mergeCell ref="B261:C261"/>
    <mergeCell ref="I261:K261"/>
    <mergeCell ref="A264:A268"/>
    <mergeCell ref="B264:G264"/>
    <mergeCell ref="H264:N264"/>
    <mergeCell ref="P264:P268"/>
    <mergeCell ref="B265:B268"/>
    <mergeCell ref="C265:C268"/>
    <mergeCell ref="D265:D267"/>
    <mergeCell ref="E265:E267"/>
    <mergeCell ref="G265:G268"/>
    <mergeCell ref="H265:H266"/>
    <mergeCell ref="I265:I266"/>
    <mergeCell ref="J265:J266"/>
    <mergeCell ref="K265:K266"/>
    <mergeCell ref="L265:L266"/>
    <mergeCell ref="M265:M266"/>
    <mergeCell ref="N265:N266"/>
    <mergeCell ref="O265:O267"/>
    <mergeCell ref="F266:F268"/>
    <mergeCell ref="U171:U172"/>
    <mergeCell ref="V171:V172"/>
    <mergeCell ref="H185:N185"/>
    <mergeCell ref="K191:M191"/>
    <mergeCell ref="K198:L198"/>
    <mergeCell ref="K199:L199"/>
    <mergeCell ref="K200:L200"/>
    <mergeCell ref="K201:L201"/>
    <mergeCell ref="K202:L202"/>
    <mergeCell ref="K203:L203"/>
    <mergeCell ref="B212:C212"/>
    <mergeCell ref="I212:K212"/>
    <mergeCell ref="B213:C213"/>
    <mergeCell ref="I213:K213"/>
    <mergeCell ref="A199:C199"/>
    <mergeCell ref="D199:I199"/>
    <mergeCell ref="A200:C200"/>
    <mergeCell ref="D200:I200"/>
    <mergeCell ref="A201:C201"/>
    <mergeCell ref="D201:I201"/>
    <mergeCell ref="A202:C202"/>
    <mergeCell ref="D202:I202"/>
    <mergeCell ref="F203:G203"/>
    <mergeCell ref="H203:I203"/>
    <mergeCell ref="B205:C205"/>
    <mergeCell ref="B206:C206"/>
    <mergeCell ref="A193:C193"/>
    <mergeCell ref="D193:N193"/>
    <mergeCell ref="A195:C195"/>
    <mergeCell ref="D195:J195"/>
    <mergeCell ref="A196:C196"/>
    <mergeCell ref="O169:O171"/>
    <mergeCell ref="U123:U124"/>
    <mergeCell ref="V123:V124"/>
    <mergeCell ref="H137:N137"/>
    <mergeCell ref="K143:M143"/>
    <mergeCell ref="K150:L150"/>
    <mergeCell ref="K151:L151"/>
    <mergeCell ref="K152:L152"/>
    <mergeCell ref="K153:L153"/>
    <mergeCell ref="K154:L154"/>
    <mergeCell ref="K155:L155"/>
    <mergeCell ref="B164:C164"/>
    <mergeCell ref="I164:K164"/>
    <mergeCell ref="B165:C165"/>
    <mergeCell ref="I165:K165"/>
    <mergeCell ref="H155:I155"/>
    <mergeCell ref="B157:C157"/>
    <mergeCell ref="B158:C158"/>
    <mergeCell ref="B159:C159"/>
    <mergeCell ref="B160:C160"/>
    <mergeCell ref="B161:C161"/>
    <mergeCell ref="F122:F124"/>
    <mergeCell ref="R122:S122"/>
    <mergeCell ref="R123:S123"/>
    <mergeCell ref="U75:U76"/>
    <mergeCell ref="V75:V76"/>
    <mergeCell ref="H89:N89"/>
    <mergeCell ref="K95:M95"/>
    <mergeCell ref="A97:C97"/>
    <mergeCell ref="D97:N97"/>
    <mergeCell ref="K102:L102"/>
    <mergeCell ref="K103:L103"/>
    <mergeCell ref="K104:L104"/>
    <mergeCell ref="K105:L105"/>
    <mergeCell ref="K106:L106"/>
    <mergeCell ref="K107:L107"/>
    <mergeCell ref="B116:C116"/>
    <mergeCell ref="I116:K116"/>
    <mergeCell ref="B117:C117"/>
    <mergeCell ref="I117:K117"/>
    <mergeCell ref="A120:A124"/>
    <mergeCell ref="B120:G120"/>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B63:C63"/>
    <mergeCell ref="B64:C64"/>
    <mergeCell ref="B65:C65"/>
    <mergeCell ref="B68:C68"/>
    <mergeCell ref="I68:K68"/>
    <mergeCell ref="B69:C69"/>
    <mergeCell ref="I69:K69"/>
    <mergeCell ref="A72:A76"/>
    <mergeCell ref="B72:G72"/>
    <mergeCell ref="H72:N72"/>
    <mergeCell ref="B73:B76"/>
    <mergeCell ref="C73:C76"/>
    <mergeCell ref="D73:D75"/>
    <mergeCell ref="E73:E75"/>
    <mergeCell ref="G73:G76"/>
    <mergeCell ref="H73:H74"/>
    <mergeCell ref="I73:I74"/>
    <mergeCell ref="J73:J74"/>
    <mergeCell ref="K73:K74"/>
    <mergeCell ref="L73:L74"/>
    <mergeCell ref="M73:M74"/>
    <mergeCell ref="N73:N74"/>
    <mergeCell ref="F74:F76"/>
    <mergeCell ref="C25:C28"/>
    <mergeCell ref="D25:D27"/>
    <mergeCell ref="E25:E27"/>
    <mergeCell ref="G25:G28"/>
    <mergeCell ref="H25:H26"/>
    <mergeCell ref="I25:I26"/>
    <mergeCell ref="J25:J26"/>
    <mergeCell ref="K25:K26"/>
    <mergeCell ref="L25:L26"/>
    <mergeCell ref="F26:F28"/>
    <mergeCell ref="R26:S26"/>
    <mergeCell ref="R27:S27"/>
    <mergeCell ref="A57:C57"/>
    <mergeCell ref="D57:I57"/>
    <mergeCell ref="A58:C58"/>
    <mergeCell ref="D58:I58"/>
    <mergeCell ref="D59:E59"/>
    <mergeCell ref="F59:G59"/>
    <mergeCell ref="H59:I59"/>
    <mergeCell ref="I217:I218"/>
    <mergeCell ref="J217:J218"/>
    <mergeCell ref="K217:K218"/>
    <mergeCell ref="L217:L218"/>
    <mergeCell ref="M217:M218"/>
    <mergeCell ref="N217:N218"/>
    <mergeCell ref="O217:O219"/>
    <mergeCell ref="F218:F220"/>
    <mergeCell ref="E217:E219"/>
    <mergeCell ref="F107:G107"/>
    <mergeCell ref="H107:I107"/>
    <mergeCell ref="D217:D219"/>
    <mergeCell ref="U27:U28"/>
    <mergeCell ref="V27:V28"/>
    <mergeCell ref="H41:N41"/>
    <mergeCell ref="A49:C49"/>
    <mergeCell ref="D49:N49"/>
    <mergeCell ref="A50:C50"/>
    <mergeCell ref="D50:N50"/>
    <mergeCell ref="D51:J51"/>
    <mergeCell ref="K51:M51"/>
    <mergeCell ref="D52:J52"/>
    <mergeCell ref="A53:J53"/>
    <mergeCell ref="K54:L54"/>
    <mergeCell ref="A55:C55"/>
    <mergeCell ref="D55:I55"/>
    <mergeCell ref="K55:L55"/>
    <mergeCell ref="A56:C56"/>
    <mergeCell ref="D56:I56"/>
    <mergeCell ref="K56:L56"/>
    <mergeCell ref="P24:P28"/>
    <mergeCell ref="B25:B28"/>
    <mergeCell ref="R411:S411"/>
    <mergeCell ref="R458:S458"/>
    <mergeCell ref="R507:S507"/>
    <mergeCell ref="R554:S554"/>
    <mergeCell ref="R555:S555"/>
    <mergeCell ref="R602:S602"/>
    <mergeCell ref="R459:S459"/>
    <mergeCell ref="R506:S506"/>
    <mergeCell ref="R603:S603"/>
    <mergeCell ref="R650:S650"/>
    <mergeCell ref="R651:S651"/>
    <mergeCell ref="R698:S698"/>
    <mergeCell ref="R699:S699"/>
    <mergeCell ref="R746:S746"/>
    <mergeCell ref="M25:M26"/>
    <mergeCell ref="N25:N26"/>
    <mergeCell ref="O25:O27"/>
    <mergeCell ref="P72:P76"/>
    <mergeCell ref="O73:O75"/>
    <mergeCell ref="R74:S74"/>
    <mergeCell ref="R75:S75"/>
    <mergeCell ref="O121:O123"/>
    <mergeCell ref="D578:N578"/>
    <mergeCell ref="D439:I439"/>
    <mergeCell ref="K291:M291"/>
    <mergeCell ref="F170:F172"/>
    <mergeCell ref="R170:S170"/>
    <mergeCell ref="R171:S171"/>
    <mergeCell ref="G217:G220"/>
    <mergeCell ref="H217:H218"/>
    <mergeCell ref="D105:I105"/>
    <mergeCell ref="K195:M195"/>
    <mergeCell ref="B1453:C1453"/>
    <mergeCell ref="B1454:C1454"/>
    <mergeCell ref="B1455:C1455"/>
    <mergeCell ref="B1456:C1456"/>
    <mergeCell ref="B1457:C1457"/>
    <mergeCell ref="R218:S218"/>
    <mergeCell ref="R219:S219"/>
    <mergeCell ref="R266:S266"/>
    <mergeCell ref="R267:S267"/>
    <mergeCell ref="R314:S314"/>
    <mergeCell ref="R315:S315"/>
    <mergeCell ref="R362:S362"/>
    <mergeCell ref="R363:S363"/>
    <mergeCell ref="A1444:C1444"/>
    <mergeCell ref="D1444:J1444"/>
    <mergeCell ref="A1445:J1445"/>
    <mergeCell ref="A1447:C1447"/>
    <mergeCell ref="D1447:I1447"/>
    <mergeCell ref="A1448:C1448"/>
    <mergeCell ref="D1448:I1448"/>
    <mergeCell ref="A1449:C1449"/>
    <mergeCell ref="D1449:I1449"/>
    <mergeCell ref="R747:S747"/>
    <mergeCell ref="R795:S795"/>
    <mergeCell ref="R939:S939"/>
    <mergeCell ref="R986:S986"/>
    <mergeCell ref="R987:S987"/>
    <mergeCell ref="R1034:S1034"/>
    <mergeCell ref="R1035:S1035"/>
    <mergeCell ref="R1082:S1082"/>
    <mergeCell ref="R1083:S1083"/>
    <mergeCell ref="R410:S410"/>
    <mergeCell ref="K1395:M1395"/>
    <mergeCell ref="A1396:C1396"/>
    <mergeCell ref="D1396:J1396"/>
    <mergeCell ref="A1397:J1397"/>
    <mergeCell ref="A1399:C1399"/>
    <mergeCell ref="D1399:I1399"/>
    <mergeCell ref="O1417:O1419"/>
    <mergeCell ref="A1450:C1450"/>
    <mergeCell ref="D1450:I1450"/>
    <mergeCell ref="D1451:E1451"/>
    <mergeCell ref="F1451:G1451"/>
    <mergeCell ref="H1451:I1451"/>
    <mergeCell ref="A1441:C1441"/>
    <mergeCell ref="D1441:N1441"/>
    <mergeCell ref="A1442:C1442"/>
    <mergeCell ref="D1442:N1442"/>
    <mergeCell ref="A1443:C1443"/>
    <mergeCell ref="D1443:J1443"/>
    <mergeCell ref="K1443:M1443"/>
    <mergeCell ref="F1418:F1420"/>
    <mergeCell ref="O1321:O1323"/>
    <mergeCell ref="A1345:C1345"/>
    <mergeCell ref="D1345:N1345"/>
    <mergeCell ref="A1346:C1346"/>
    <mergeCell ref="D1346:N1346"/>
    <mergeCell ref="A1347:C1347"/>
    <mergeCell ref="D1347:J1347"/>
    <mergeCell ref="K1347:M1347"/>
    <mergeCell ref="A1348:C1348"/>
    <mergeCell ref="D1348:J1348"/>
    <mergeCell ref="A1349:J1349"/>
    <mergeCell ref="A1351:C1351"/>
    <mergeCell ref="D1351:I1351"/>
    <mergeCell ref="A1352:C1352"/>
    <mergeCell ref="D1352:I1352"/>
    <mergeCell ref="A1353:C1353"/>
    <mergeCell ref="D1353:I1353"/>
    <mergeCell ref="O1273:O1275"/>
    <mergeCell ref="A1297:C1297"/>
    <mergeCell ref="D1297:N1297"/>
    <mergeCell ref="A1298:C1298"/>
    <mergeCell ref="D1298:N1298"/>
    <mergeCell ref="A1299:C1299"/>
    <mergeCell ref="D1299:J1299"/>
    <mergeCell ref="K1299:M1299"/>
    <mergeCell ref="A1300:C1300"/>
    <mergeCell ref="D1300:J1300"/>
    <mergeCell ref="A1301:J1301"/>
    <mergeCell ref="A1303:C1303"/>
    <mergeCell ref="D1303:I1303"/>
    <mergeCell ref="A1304:C1304"/>
    <mergeCell ref="D1304:I1304"/>
    <mergeCell ref="A1305:C1305"/>
    <mergeCell ref="D1305:I1305"/>
    <mergeCell ref="B1216:C1216"/>
    <mergeCell ref="B1217:C1217"/>
    <mergeCell ref="A1249:C1249"/>
    <mergeCell ref="D1249:N1249"/>
    <mergeCell ref="A1250:C1250"/>
    <mergeCell ref="D1250:N1250"/>
    <mergeCell ref="A1251:C1251"/>
    <mergeCell ref="D1251:J1251"/>
    <mergeCell ref="K1251:M1251"/>
    <mergeCell ref="A1252:C1252"/>
    <mergeCell ref="D1252:J1252"/>
    <mergeCell ref="A1253:J1253"/>
    <mergeCell ref="D1255:I1255"/>
    <mergeCell ref="A1256:C1256"/>
    <mergeCell ref="D1256:I1256"/>
    <mergeCell ref="A1257:C1257"/>
    <mergeCell ref="D1257:I1257"/>
    <mergeCell ref="A1255:C1255"/>
    <mergeCell ref="F1226:F1228"/>
    <mergeCell ref="A1204:C1204"/>
    <mergeCell ref="D1204:J1204"/>
    <mergeCell ref="A1205:J1205"/>
    <mergeCell ref="A1207:C1207"/>
    <mergeCell ref="D1207:I1207"/>
    <mergeCell ref="A1208:C1208"/>
    <mergeCell ref="D1208:I1208"/>
    <mergeCell ref="A1209:C1209"/>
    <mergeCell ref="D1209:I1209"/>
    <mergeCell ref="A1210:C1210"/>
    <mergeCell ref="D1210:I1210"/>
    <mergeCell ref="D1211:E1211"/>
    <mergeCell ref="F1211:G1211"/>
    <mergeCell ref="H1211:I1211"/>
    <mergeCell ref="B1213:C1213"/>
    <mergeCell ref="B1214:C1214"/>
    <mergeCell ref="B1215:C1215"/>
    <mergeCell ref="A1108:C1108"/>
    <mergeCell ref="D1108:J1108"/>
    <mergeCell ref="A1109:J1109"/>
    <mergeCell ref="A1112:C1112"/>
    <mergeCell ref="D1112:I1112"/>
    <mergeCell ref="A1113:C1113"/>
    <mergeCell ref="D1113:I1113"/>
    <mergeCell ref="B1120:C1120"/>
    <mergeCell ref="B1121:C1121"/>
    <mergeCell ref="B1168:C1168"/>
    <mergeCell ref="B1169:C1169"/>
    <mergeCell ref="A1201:C1201"/>
    <mergeCell ref="D1201:N1201"/>
    <mergeCell ref="A1202:C1202"/>
    <mergeCell ref="D1202:N1202"/>
    <mergeCell ref="A1203:C1203"/>
    <mergeCell ref="D1203:J1203"/>
    <mergeCell ref="K1203:M1203"/>
    <mergeCell ref="K1110:L1110"/>
    <mergeCell ref="K1111:L1111"/>
    <mergeCell ref="K1112:L1112"/>
    <mergeCell ref="K1113:L1113"/>
    <mergeCell ref="K1114:L1114"/>
    <mergeCell ref="K1115:L1115"/>
    <mergeCell ref="B1124:C1124"/>
    <mergeCell ref="I1124:K1124"/>
    <mergeCell ref="B1125:C1125"/>
    <mergeCell ref="I1125:K1125"/>
    <mergeCell ref="A1128:A1132"/>
    <mergeCell ref="B1128:G1128"/>
    <mergeCell ref="H1128:N1128"/>
    <mergeCell ref="B1028:C1028"/>
    <mergeCell ref="I1028:K1028"/>
    <mergeCell ref="B1029:C1029"/>
    <mergeCell ref="I1029:K1029"/>
    <mergeCell ref="A1032:A1036"/>
    <mergeCell ref="B1032:G1032"/>
    <mergeCell ref="H1032:N1032"/>
    <mergeCell ref="A1009:C1009"/>
    <mergeCell ref="D1009:N1009"/>
    <mergeCell ref="A1010:C1010"/>
    <mergeCell ref="D1010:N1010"/>
    <mergeCell ref="D1011:J1011"/>
    <mergeCell ref="K1011:M1011"/>
    <mergeCell ref="D1012:J1012"/>
    <mergeCell ref="A1011:C1011"/>
    <mergeCell ref="A1012:C1012"/>
    <mergeCell ref="B981:C981"/>
    <mergeCell ref="I981:K981"/>
    <mergeCell ref="A984:A988"/>
    <mergeCell ref="B984:G984"/>
    <mergeCell ref="H984:N984"/>
    <mergeCell ref="B1022:C1022"/>
    <mergeCell ref="B1023:C1023"/>
    <mergeCell ref="B1024:C1024"/>
    <mergeCell ref="B1025:C1025"/>
    <mergeCell ref="B1021:C1021"/>
    <mergeCell ref="A1017:C1017"/>
    <mergeCell ref="A1018:C1018"/>
    <mergeCell ref="I985:I986"/>
    <mergeCell ref="J985:J986"/>
    <mergeCell ref="K985:K986"/>
    <mergeCell ref="L985:L986"/>
    <mergeCell ref="B927:C927"/>
    <mergeCell ref="B928:C928"/>
    <mergeCell ref="B929:C929"/>
    <mergeCell ref="A913:C913"/>
    <mergeCell ref="D913:N913"/>
    <mergeCell ref="A914:C914"/>
    <mergeCell ref="D914:N914"/>
    <mergeCell ref="A967:C967"/>
    <mergeCell ref="D967:I967"/>
    <mergeCell ref="A968:C968"/>
    <mergeCell ref="B925:C925"/>
    <mergeCell ref="B926:C926"/>
    <mergeCell ref="K920:L920"/>
    <mergeCell ref="K921:L921"/>
    <mergeCell ref="K922:L922"/>
    <mergeCell ref="K923:L923"/>
    <mergeCell ref="B937:B940"/>
    <mergeCell ref="C937:C940"/>
    <mergeCell ref="D915:J915"/>
    <mergeCell ref="K915:M915"/>
    <mergeCell ref="A916:C916"/>
    <mergeCell ref="D916:J916"/>
    <mergeCell ref="A917:J917"/>
    <mergeCell ref="A919:C919"/>
    <mergeCell ref="K918:L918"/>
    <mergeCell ref="K919:L919"/>
    <mergeCell ref="B932:C932"/>
    <mergeCell ref="I932:K932"/>
    <mergeCell ref="B933:C933"/>
    <mergeCell ref="I933:K933"/>
    <mergeCell ref="A936:A940"/>
    <mergeCell ref="B936:G936"/>
    <mergeCell ref="H889:H890"/>
    <mergeCell ref="I889:I890"/>
    <mergeCell ref="J889:J890"/>
    <mergeCell ref="K889:K890"/>
    <mergeCell ref="L889:L890"/>
    <mergeCell ref="M889:M890"/>
    <mergeCell ref="N889:N890"/>
    <mergeCell ref="B832:C832"/>
    <mergeCell ref="B833:C833"/>
    <mergeCell ref="A866:C866"/>
    <mergeCell ref="A840:A844"/>
    <mergeCell ref="B841:B844"/>
    <mergeCell ref="D923:E923"/>
    <mergeCell ref="F923:G923"/>
    <mergeCell ref="H923:I923"/>
    <mergeCell ref="A825:C825"/>
    <mergeCell ref="B884:C884"/>
    <mergeCell ref="I884:K884"/>
    <mergeCell ref="B885:C885"/>
    <mergeCell ref="I885:K885"/>
    <mergeCell ref="A888:A892"/>
    <mergeCell ref="B840:G840"/>
    <mergeCell ref="H840:N840"/>
    <mergeCell ref="H857:N857"/>
    <mergeCell ref="K863:M863"/>
    <mergeCell ref="K870:L870"/>
    <mergeCell ref="K871:L871"/>
    <mergeCell ref="K872:L872"/>
    <mergeCell ref="A874:C874"/>
    <mergeCell ref="D874:I874"/>
    <mergeCell ref="D875:E875"/>
    <mergeCell ref="F875:G875"/>
    <mergeCell ref="H875:I875"/>
    <mergeCell ref="B877:C877"/>
    <mergeCell ref="B878:C878"/>
    <mergeCell ref="B879:C879"/>
    <mergeCell ref="B880:C880"/>
    <mergeCell ref="B881:C881"/>
    <mergeCell ref="A915:C915"/>
    <mergeCell ref="K873:L873"/>
    <mergeCell ref="A922:C922"/>
    <mergeCell ref="D922:I922"/>
    <mergeCell ref="D775:I775"/>
    <mergeCell ref="D776:I776"/>
    <mergeCell ref="D777:I777"/>
    <mergeCell ref="D778:I778"/>
    <mergeCell ref="F794:F796"/>
    <mergeCell ref="A873:C873"/>
    <mergeCell ref="D873:I873"/>
    <mergeCell ref="A865:C865"/>
    <mergeCell ref="D866:N866"/>
    <mergeCell ref="A867:C867"/>
    <mergeCell ref="D867:J867"/>
    <mergeCell ref="K867:M867"/>
    <mergeCell ref="A868:C868"/>
    <mergeCell ref="D868:J868"/>
    <mergeCell ref="A869:J869"/>
    <mergeCell ref="A871:C871"/>
    <mergeCell ref="D825:I825"/>
    <mergeCell ref="A777:C777"/>
    <mergeCell ref="H779:I779"/>
    <mergeCell ref="B781:C781"/>
    <mergeCell ref="D818:N818"/>
    <mergeCell ref="K819:M819"/>
    <mergeCell ref="D871:I871"/>
    <mergeCell ref="D865:N865"/>
    <mergeCell ref="A872:C872"/>
    <mergeCell ref="D872:I872"/>
    <mergeCell ref="B829:C829"/>
    <mergeCell ref="B830:C830"/>
    <mergeCell ref="B831:C831"/>
    <mergeCell ref="A730:C730"/>
    <mergeCell ref="D728:I728"/>
    <mergeCell ref="D729:I729"/>
    <mergeCell ref="D730:I730"/>
    <mergeCell ref="A820:C820"/>
    <mergeCell ref="D820:J820"/>
    <mergeCell ref="A821:J821"/>
    <mergeCell ref="A772:C772"/>
    <mergeCell ref="D772:J772"/>
    <mergeCell ref="A773:J773"/>
    <mergeCell ref="A769:C769"/>
    <mergeCell ref="A770:C770"/>
    <mergeCell ref="A771:C771"/>
    <mergeCell ref="B784:C784"/>
    <mergeCell ref="B785:C785"/>
    <mergeCell ref="A775:C775"/>
    <mergeCell ref="A776:C776"/>
    <mergeCell ref="D769:N769"/>
    <mergeCell ref="D770:N770"/>
    <mergeCell ref="D771:J771"/>
    <mergeCell ref="K771:M771"/>
    <mergeCell ref="B782:C782"/>
    <mergeCell ref="B783:C783"/>
    <mergeCell ref="D779:E779"/>
    <mergeCell ref="F779:G779"/>
    <mergeCell ref="A778:C778"/>
    <mergeCell ref="B736:C736"/>
    <mergeCell ref="B737:C737"/>
    <mergeCell ref="A721:C721"/>
    <mergeCell ref="D721:N721"/>
    <mergeCell ref="A722:C722"/>
    <mergeCell ref="D722:N722"/>
    <mergeCell ref="A723:C723"/>
    <mergeCell ref="D723:J723"/>
    <mergeCell ref="K723:M723"/>
    <mergeCell ref="A724:C724"/>
    <mergeCell ref="D724:J724"/>
    <mergeCell ref="A725:J725"/>
    <mergeCell ref="A727:C727"/>
    <mergeCell ref="D727:I727"/>
    <mergeCell ref="B689:C689"/>
    <mergeCell ref="A680:C680"/>
    <mergeCell ref="D680:I680"/>
    <mergeCell ref="A681:C681"/>
    <mergeCell ref="D681:I681"/>
    <mergeCell ref="D731:E731"/>
    <mergeCell ref="F731:G731"/>
    <mergeCell ref="H731:I731"/>
    <mergeCell ref="B733:C733"/>
    <mergeCell ref="B734:C734"/>
    <mergeCell ref="B735:C735"/>
    <mergeCell ref="B687:C687"/>
    <mergeCell ref="F683:G683"/>
    <mergeCell ref="H683:I683"/>
    <mergeCell ref="B685:C685"/>
    <mergeCell ref="B686:C686"/>
    <mergeCell ref="A728:C728"/>
    <mergeCell ref="A729:C729"/>
    <mergeCell ref="D634:I634"/>
    <mergeCell ref="D635:E635"/>
    <mergeCell ref="A682:C682"/>
    <mergeCell ref="D682:I682"/>
    <mergeCell ref="D683:E683"/>
    <mergeCell ref="B637:C637"/>
    <mergeCell ref="B640:C640"/>
    <mergeCell ref="D196:J196"/>
    <mergeCell ref="A197:J197"/>
    <mergeCell ref="A168:A172"/>
    <mergeCell ref="B168:G168"/>
    <mergeCell ref="H168:N168"/>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A216:A220"/>
    <mergeCell ref="B216:G216"/>
    <mergeCell ref="H216:N216"/>
    <mergeCell ref="P216:P220"/>
    <mergeCell ref="B217:B220"/>
    <mergeCell ref="C217:C220"/>
    <mergeCell ref="A579:C579"/>
    <mergeCell ref="B207:C207"/>
    <mergeCell ref="B208:C208"/>
    <mergeCell ref="D579:J579"/>
    <mergeCell ref="K579:M579"/>
    <mergeCell ref="D580:J580"/>
    <mergeCell ref="B589:C589"/>
    <mergeCell ref="A625:C625"/>
    <mergeCell ref="D625:N625"/>
    <mergeCell ref="A626:C626"/>
    <mergeCell ref="D626:N626"/>
    <mergeCell ref="A627:C627"/>
    <mergeCell ref="D627:J627"/>
    <mergeCell ref="K627:M627"/>
    <mergeCell ref="B688:C688"/>
    <mergeCell ref="A632:C632"/>
    <mergeCell ref="D632:I632"/>
    <mergeCell ref="A673:C673"/>
    <mergeCell ref="D673:N673"/>
    <mergeCell ref="A674:C674"/>
    <mergeCell ref="D674:N674"/>
    <mergeCell ref="A675:C675"/>
    <mergeCell ref="D675:J675"/>
    <mergeCell ref="K675:M675"/>
    <mergeCell ref="A676:C676"/>
    <mergeCell ref="D676:J676"/>
    <mergeCell ref="A677:J677"/>
    <mergeCell ref="A679:C679"/>
    <mergeCell ref="D679:I679"/>
    <mergeCell ref="B641:C641"/>
    <mergeCell ref="A633:C633"/>
    <mergeCell ref="D633:I633"/>
    <mergeCell ref="A634:C634"/>
    <mergeCell ref="F635:G635"/>
    <mergeCell ref="H635:I635"/>
    <mergeCell ref="A388:C388"/>
    <mergeCell ref="D388:J388"/>
    <mergeCell ref="A389:J389"/>
    <mergeCell ref="A391:C391"/>
    <mergeCell ref="D391:I391"/>
    <mergeCell ref="B446:C446"/>
    <mergeCell ref="A487:C487"/>
    <mergeCell ref="A488:C488"/>
    <mergeCell ref="A392:C392"/>
    <mergeCell ref="D392:I392"/>
    <mergeCell ref="A393:C393"/>
    <mergeCell ref="D393:I393"/>
    <mergeCell ref="A394:C394"/>
    <mergeCell ref="D394:I394"/>
    <mergeCell ref="D395:E395"/>
    <mergeCell ref="F395:G395"/>
    <mergeCell ref="H395:I395"/>
    <mergeCell ref="B401:C401"/>
    <mergeCell ref="A433:C433"/>
    <mergeCell ref="D433:N433"/>
    <mergeCell ref="A434:C434"/>
    <mergeCell ref="D434:N434"/>
    <mergeCell ref="A435:C435"/>
    <mergeCell ref="D435:J435"/>
    <mergeCell ref="K435:M435"/>
    <mergeCell ref="A436:C436"/>
    <mergeCell ref="D436:J436"/>
    <mergeCell ref="A437:J437"/>
    <mergeCell ref="A439:C439"/>
    <mergeCell ref="A440:C440"/>
    <mergeCell ref="D440:I440"/>
    <mergeCell ref="B349:C349"/>
    <mergeCell ref="B350:C350"/>
    <mergeCell ref="D339:J339"/>
    <mergeCell ref="K339:M339"/>
    <mergeCell ref="D340:J340"/>
    <mergeCell ref="A341:J341"/>
    <mergeCell ref="A343:C343"/>
    <mergeCell ref="D343:I343"/>
    <mergeCell ref="A344:C344"/>
    <mergeCell ref="D344:I344"/>
    <mergeCell ref="A345:C345"/>
    <mergeCell ref="D345:I345"/>
    <mergeCell ref="A346:C346"/>
    <mergeCell ref="D346:I346"/>
    <mergeCell ref="B351:C351"/>
    <mergeCell ref="B352:C352"/>
    <mergeCell ref="B353:C353"/>
    <mergeCell ref="B109:C109"/>
    <mergeCell ref="A298:C298"/>
    <mergeCell ref="D298:I298"/>
    <mergeCell ref="D292:J292"/>
    <mergeCell ref="A293:J293"/>
    <mergeCell ref="A295:C295"/>
    <mergeCell ref="D295:I295"/>
    <mergeCell ref="A296:C296"/>
    <mergeCell ref="D296:I296"/>
    <mergeCell ref="D203:E203"/>
    <mergeCell ref="A145:C145"/>
    <mergeCell ref="D145:N145"/>
    <mergeCell ref="A146:C146"/>
    <mergeCell ref="D146:N146"/>
    <mergeCell ref="A147:C147"/>
    <mergeCell ref="D147:J147"/>
    <mergeCell ref="K147:M147"/>
    <mergeCell ref="A148:C148"/>
    <mergeCell ref="A292:C292"/>
    <mergeCell ref="A297:C297"/>
    <mergeCell ref="D297:I297"/>
    <mergeCell ref="D155:E155"/>
    <mergeCell ref="F155:G155"/>
    <mergeCell ref="B112:C112"/>
    <mergeCell ref="B113:C113"/>
    <mergeCell ref="D289:N289"/>
    <mergeCell ref="A290:C290"/>
    <mergeCell ref="A194:C194"/>
    <mergeCell ref="D194:N194"/>
    <mergeCell ref="B209:C209"/>
    <mergeCell ref="B255:C255"/>
    <mergeCell ref="B256:C256"/>
    <mergeCell ref="A1:C1"/>
    <mergeCell ref="A2:C2"/>
    <mergeCell ref="A3:C3"/>
    <mergeCell ref="D1:N1"/>
    <mergeCell ref="D2:N2"/>
    <mergeCell ref="D8:I8"/>
    <mergeCell ref="A8:C8"/>
    <mergeCell ref="A4:C4"/>
    <mergeCell ref="D4:J4"/>
    <mergeCell ref="A7:C7"/>
    <mergeCell ref="D7:I7"/>
    <mergeCell ref="A10:C10"/>
    <mergeCell ref="D3:J3"/>
    <mergeCell ref="A5:J5"/>
    <mergeCell ref="K6:L6"/>
    <mergeCell ref="K7:L7"/>
    <mergeCell ref="K9:L9"/>
    <mergeCell ref="H11:I11"/>
    <mergeCell ref="B16:C16"/>
    <mergeCell ref="B17:C17"/>
    <mergeCell ref="B110:C110"/>
    <mergeCell ref="B111:C111"/>
    <mergeCell ref="A250:C250"/>
    <mergeCell ref="K3:M3"/>
    <mergeCell ref="D9:I9"/>
    <mergeCell ref="A9:C9"/>
    <mergeCell ref="K47:M47"/>
    <mergeCell ref="D10:I10"/>
    <mergeCell ref="A52:C52"/>
    <mergeCell ref="A98:C98"/>
    <mergeCell ref="A104:C104"/>
    <mergeCell ref="D244:J244"/>
    <mergeCell ref="A245:J245"/>
    <mergeCell ref="A247:C247"/>
    <mergeCell ref="D247:I247"/>
    <mergeCell ref="A244:C244"/>
    <mergeCell ref="D148:J148"/>
    <mergeCell ref="A149:J149"/>
    <mergeCell ref="A151:C151"/>
    <mergeCell ref="D151:I151"/>
    <mergeCell ref="A152:C152"/>
    <mergeCell ref="D152:I152"/>
    <mergeCell ref="A153:C153"/>
    <mergeCell ref="D153:I153"/>
    <mergeCell ref="A154:C154"/>
    <mergeCell ref="D154:I154"/>
    <mergeCell ref="A106:C106"/>
    <mergeCell ref="D106:I106"/>
    <mergeCell ref="D107:E107"/>
    <mergeCell ref="O1225:O1227"/>
    <mergeCell ref="A1114:C1114"/>
    <mergeCell ref="D1114:I1114"/>
    <mergeCell ref="D1115:E1115"/>
    <mergeCell ref="F1115:G1115"/>
    <mergeCell ref="H1115:I1115"/>
    <mergeCell ref="B1117:C1117"/>
    <mergeCell ref="B1118:C1118"/>
    <mergeCell ref="B1119:C1119"/>
    <mergeCell ref="D1154:N1154"/>
    <mergeCell ref="A1155:C1155"/>
    <mergeCell ref="D1155:J1155"/>
    <mergeCell ref="K1155:M1155"/>
    <mergeCell ref="D1163:E1163"/>
    <mergeCell ref="F1163:G1163"/>
    <mergeCell ref="A920:C920"/>
    <mergeCell ref="D920:I920"/>
    <mergeCell ref="A921:C921"/>
    <mergeCell ref="D921:I921"/>
    <mergeCell ref="B1070:C1070"/>
    <mergeCell ref="B1071:C1071"/>
    <mergeCell ref="B1072:C1072"/>
    <mergeCell ref="A1107:C1107"/>
    <mergeCell ref="D1105:N1105"/>
    <mergeCell ref="D1106:N1106"/>
    <mergeCell ref="B1073:C1073"/>
    <mergeCell ref="A1105:C1105"/>
    <mergeCell ref="A1106:C1106"/>
    <mergeCell ref="D1107:J1107"/>
    <mergeCell ref="K1107:M1107"/>
    <mergeCell ref="A1111:C1111"/>
    <mergeCell ref="D1111:I1111"/>
    <mergeCell ref="B257:C257"/>
    <mergeCell ref="A289:C289"/>
    <mergeCell ref="D1162:I1162"/>
    <mergeCell ref="A1153:C1153"/>
    <mergeCell ref="D1153:N1153"/>
    <mergeCell ref="H1163:I1163"/>
    <mergeCell ref="B1165:C1165"/>
    <mergeCell ref="B1166:C1166"/>
    <mergeCell ref="B1167:C1167"/>
    <mergeCell ref="A1156:C1156"/>
    <mergeCell ref="D1156:J1156"/>
    <mergeCell ref="A1157:J1157"/>
    <mergeCell ref="A1159:C1159"/>
    <mergeCell ref="D1159:I1159"/>
    <mergeCell ref="A1160:C1160"/>
    <mergeCell ref="D1160:I1160"/>
    <mergeCell ref="A1161:C1161"/>
    <mergeCell ref="D1161:I1161"/>
    <mergeCell ref="A1154:C1154"/>
    <mergeCell ref="A1162:C1162"/>
    <mergeCell ref="A1064:C1064"/>
    <mergeCell ref="D1064:I1064"/>
    <mergeCell ref="A1065:C1065"/>
    <mergeCell ref="D1065:I1065"/>
    <mergeCell ref="A1059:C1059"/>
    <mergeCell ref="A1060:C1060"/>
    <mergeCell ref="A1058:C1058"/>
    <mergeCell ref="D1058:N1058"/>
    <mergeCell ref="D1059:J1059"/>
    <mergeCell ref="K1059:M1059"/>
    <mergeCell ref="D290:N290"/>
    <mergeCell ref="D291:J291"/>
    <mergeCell ref="A241:C241"/>
    <mergeCell ref="D241:N241"/>
    <mergeCell ref="A242:C242"/>
    <mergeCell ref="D242:N242"/>
    <mergeCell ref="A243:C243"/>
    <mergeCell ref="D243:J243"/>
    <mergeCell ref="K243:M243"/>
    <mergeCell ref="A248:C248"/>
    <mergeCell ref="D248:I248"/>
    <mergeCell ref="A249:C249"/>
    <mergeCell ref="D249:I249"/>
    <mergeCell ref="D250:I250"/>
    <mergeCell ref="D251:E251"/>
    <mergeCell ref="F251:G251"/>
    <mergeCell ref="H251:I251"/>
    <mergeCell ref="B253:C253"/>
    <mergeCell ref="B254:C254"/>
    <mergeCell ref="A105:C105"/>
    <mergeCell ref="A99:C99"/>
    <mergeCell ref="B61:C61"/>
    <mergeCell ref="K8:L8"/>
    <mergeCell ref="B13:C13"/>
    <mergeCell ref="B14:C14"/>
    <mergeCell ref="B15:C15"/>
    <mergeCell ref="K10:L10"/>
    <mergeCell ref="B20:C20"/>
    <mergeCell ref="I20:K20"/>
    <mergeCell ref="B21:C21"/>
    <mergeCell ref="I21:K21"/>
    <mergeCell ref="A24:A28"/>
    <mergeCell ref="B24:G24"/>
    <mergeCell ref="H24:N24"/>
    <mergeCell ref="K57:L57"/>
    <mergeCell ref="K58:L58"/>
    <mergeCell ref="K59:L59"/>
    <mergeCell ref="A51:C51"/>
    <mergeCell ref="B62:C62"/>
    <mergeCell ref="D98:N98"/>
    <mergeCell ref="D99:J99"/>
    <mergeCell ref="K99:M99"/>
    <mergeCell ref="A100:C100"/>
    <mergeCell ref="D100:J100"/>
    <mergeCell ref="A101:J101"/>
    <mergeCell ref="A103:C103"/>
    <mergeCell ref="D103:I103"/>
    <mergeCell ref="D104:I104"/>
    <mergeCell ref="K11:L11"/>
    <mergeCell ref="D11:E11"/>
    <mergeCell ref="F11:G11"/>
    <mergeCell ref="A291:C291"/>
    <mergeCell ref="D337:N337"/>
    <mergeCell ref="D338:N338"/>
    <mergeCell ref="A337:C337"/>
    <mergeCell ref="A385:C385"/>
    <mergeCell ref="D385:N385"/>
    <mergeCell ref="A386:C386"/>
    <mergeCell ref="D386:N386"/>
    <mergeCell ref="A387:C387"/>
    <mergeCell ref="D387:J387"/>
    <mergeCell ref="K387:M387"/>
    <mergeCell ref="B398:C398"/>
    <mergeCell ref="B399:C399"/>
    <mergeCell ref="B400:C400"/>
    <mergeCell ref="D299:E299"/>
    <mergeCell ref="F299:G299"/>
    <mergeCell ref="H299:I299"/>
    <mergeCell ref="A340:C340"/>
    <mergeCell ref="A338:C338"/>
    <mergeCell ref="A339:C339"/>
    <mergeCell ref="B301:C301"/>
    <mergeCell ref="B302:C302"/>
    <mergeCell ref="B303:C303"/>
    <mergeCell ref="B304:C304"/>
    <mergeCell ref="B305:C305"/>
    <mergeCell ref="B397:C397"/>
    <mergeCell ref="D347:E347"/>
    <mergeCell ref="F347:G347"/>
    <mergeCell ref="H347:I347"/>
    <mergeCell ref="A441:C441"/>
    <mergeCell ref="D441:I441"/>
    <mergeCell ref="A442:C442"/>
    <mergeCell ref="D442:I442"/>
    <mergeCell ref="D443:E443"/>
    <mergeCell ref="F443:G443"/>
    <mergeCell ref="H443:I443"/>
    <mergeCell ref="B445:C445"/>
    <mergeCell ref="B447:C447"/>
    <mergeCell ref="B448:C448"/>
    <mergeCell ref="B449:C449"/>
    <mergeCell ref="A481:C481"/>
    <mergeCell ref="D481:N481"/>
    <mergeCell ref="A482:C482"/>
    <mergeCell ref="D482:N482"/>
    <mergeCell ref="A483:C483"/>
    <mergeCell ref="D483:J483"/>
    <mergeCell ref="K483:M483"/>
    <mergeCell ref="A484:C484"/>
    <mergeCell ref="D484:J484"/>
    <mergeCell ref="A485:J485"/>
    <mergeCell ref="D487:I487"/>
    <mergeCell ref="D488:I488"/>
    <mergeCell ref="A489:C489"/>
    <mergeCell ref="D489:I489"/>
    <mergeCell ref="A490:C490"/>
    <mergeCell ref="D490:I490"/>
    <mergeCell ref="H491:I491"/>
    <mergeCell ref="B493:C493"/>
    <mergeCell ref="D491:E491"/>
    <mergeCell ref="A533:J533"/>
    <mergeCell ref="B497:C497"/>
    <mergeCell ref="D535:I535"/>
    <mergeCell ref="D536:I536"/>
    <mergeCell ref="A537:C537"/>
    <mergeCell ref="D537:I537"/>
    <mergeCell ref="D532:J532"/>
    <mergeCell ref="A538:C538"/>
    <mergeCell ref="D538:I538"/>
    <mergeCell ref="F491:G491"/>
    <mergeCell ref="B494:C494"/>
    <mergeCell ref="B495:C495"/>
    <mergeCell ref="B496:C496"/>
    <mergeCell ref="A529:C529"/>
    <mergeCell ref="A536:C536"/>
    <mergeCell ref="A535:C535"/>
    <mergeCell ref="D529:N529"/>
    <mergeCell ref="A530:C530"/>
    <mergeCell ref="D530:N530"/>
    <mergeCell ref="A531:C531"/>
    <mergeCell ref="D531:J531"/>
    <mergeCell ref="K531:M531"/>
    <mergeCell ref="A532:C532"/>
    <mergeCell ref="D539:E539"/>
    <mergeCell ref="F539:G539"/>
    <mergeCell ref="H539:I539"/>
    <mergeCell ref="B541:C541"/>
    <mergeCell ref="B542:C542"/>
    <mergeCell ref="B543:C543"/>
    <mergeCell ref="B544:C544"/>
    <mergeCell ref="B545:C545"/>
    <mergeCell ref="A581:J581"/>
    <mergeCell ref="A584:C584"/>
    <mergeCell ref="D584:I584"/>
    <mergeCell ref="A585:C585"/>
    <mergeCell ref="D585:I585"/>
    <mergeCell ref="A586:C586"/>
    <mergeCell ref="D586:I586"/>
    <mergeCell ref="D587:E587"/>
    <mergeCell ref="F587:G587"/>
    <mergeCell ref="H587:I587"/>
    <mergeCell ref="B638:C638"/>
    <mergeCell ref="B639:C639"/>
    <mergeCell ref="B591:C591"/>
    <mergeCell ref="B592:C592"/>
    <mergeCell ref="B593:C593"/>
    <mergeCell ref="A628:C628"/>
    <mergeCell ref="D628:J628"/>
    <mergeCell ref="A629:J629"/>
    <mergeCell ref="A631:C631"/>
    <mergeCell ref="D631:I631"/>
    <mergeCell ref="A577:C577"/>
    <mergeCell ref="A580:C580"/>
    <mergeCell ref="A583:C583"/>
    <mergeCell ref="D583:I583"/>
    <mergeCell ref="B590:C590"/>
    <mergeCell ref="D577:N577"/>
    <mergeCell ref="A578:C578"/>
    <mergeCell ref="A1258:C1258"/>
    <mergeCell ref="D1258:I1258"/>
    <mergeCell ref="D1259:E1259"/>
    <mergeCell ref="F1259:G1259"/>
    <mergeCell ref="H1259:I1259"/>
    <mergeCell ref="B1261:C1261"/>
    <mergeCell ref="B1262:C1262"/>
    <mergeCell ref="B1263:C1263"/>
    <mergeCell ref="B1264:C1264"/>
    <mergeCell ref="B1265:C1265"/>
    <mergeCell ref="A1306:C1306"/>
    <mergeCell ref="D1306:I1306"/>
    <mergeCell ref="D1307:E1307"/>
    <mergeCell ref="F1307:G1307"/>
    <mergeCell ref="H1307:I1307"/>
    <mergeCell ref="B1309:C1309"/>
    <mergeCell ref="B1310:C1310"/>
    <mergeCell ref="F1274:F1276"/>
    <mergeCell ref="B1311:C1311"/>
    <mergeCell ref="B1312:C1312"/>
    <mergeCell ref="B1313:C1313"/>
    <mergeCell ref="A1354:C1354"/>
    <mergeCell ref="D1354:I1354"/>
    <mergeCell ref="D1355:E1355"/>
    <mergeCell ref="F1355:G1355"/>
    <mergeCell ref="H1355:I1355"/>
    <mergeCell ref="B1357:C1357"/>
    <mergeCell ref="B1358:C1358"/>
    <mergeCell ref="B1359:C1359"/>
    <mergeCell ref="B1360:C1360"/>
    <mergeCell ref="B1361:C1361"/>
    <mergeCell ref="A1395:C1395"/>
    <mergeCell ref="A1537:C1537"/>
    <mergeCell ref="D1537:N1537"/>
    <mergeCell ref="A1538:C1538"/>
    <mergeCell ref="D1538:N1538"/>
    <mergeCell ref="B1504:C1504"/>
    <mergeCell ref="B1505:C1505"/>
    <mergeCell ref="A1512:A1516"/>
    <mergeCell ref="B1512:G1512"/>
    <mergeCell ref="H1512:N1512"/>
    <mergeCell ref="H1529:N1529"/>
    <mergeCell ref="K1535:M1535"/>
    <mergeCell ref="I1461:K1461"/>
    <mergeCell ref="D1492:J1492"/>
    <mergeCell ref="A1493:J1493"/>
    <mergeCell ref="A1495:C1495"/>
    <mergeCell ref="D1495:I1495"/>
    <mergeCell ref="F1322:F1324"/>
    <mergeCell ref="D1395:J1395"/>
    <mergeCell ref="A1539:C1539"/>
    <mergeCell ref="D1539:J1539"/>
    <mergeCell ref="K1539:M1539"/>
    <mergeCell ref="A1540:C1540"/>
    <mergeCell ref="D1540:J1540"/>
    <mergeCell ref="A1541:J1541"/>
    <mergeCell ref="A1543:C1543"/>
    <mergeCell ref="D1543:I1543"/>
    <mergeCell ref="A1544:C1544"/>
    <mergeCell ref="D1544:I1544"/>
    <mergeCell ref="A1545:C1545"/>
    <mergeCell ref="D1545:I1545"/>
    <mergeCell ref="A1546:C1546"/>
    <mergeCell ref="D1546:I1546"/>
    <mergeCell ref="K1543:L1543"/>
    <mergeCell ref="K1544:L1544"/>
    <mergeCell ref="K1545:L1545"/>
    <mergeCell ref="K1546:L1546"/>
    <mergeCell ref="K1542:L1542"/>
    <mergeCell ref="D1547:E1547"/>
    <mergeCell ref="F1547:G1547"/>
    <mergeCell ref="H1547:I1547"/>
    <mergeCell ref="B1549:C1549"/>
    <mergeCell ref="B1550:C1550"/>
    <mergeCell ref="B1551:C1551"/>
    <mergeCell ref="B1552:C1552"/>
    <mergeCell ref="B1553:C1553"/>
    <mergeCell ref="K1547:L1547"/>
    <mergeCell ref="B1556:C1556"/>
    <mergeCell ref="I1556:K1556"/>
    <mergeCell ref="K1561:K1562"/>
    <mergeCell ref="L1561:L1562"/>
    <mergeCell ref="M1561:M1562"/>
    <mergeCell ref="N1561:N1562"/>
    <mergeCell ref="O1561:O1563"/>
    <mergeCell ref="F1562:F1564"/>
    <mergeCell ref="I1605:K1605"/>
    <mergeCell ref="B1601:C1601"/>
    <mergeCell ref="N1609:N1610"/>
    <mergeCell ref="B1557:C1557"/>
    <mergeCell ref="I1557:K1557"/>
    <mergeCell ref="A1560:A1564"/>
    <mergeCell ref="B1560:G1560"/>
    <mergeCell ref="H1560:N1560"/>
    <mergeCell ref="P1560:P1564"/>
    <mergeCell ref="B1561:B1564"/>
    <mergeCell ref="C1561:C1564"/>
    <mergeCell ref="D1561:D1563"/>
    <mergeCell ref="E1561:E1563"/>
    <mergeCell ref="G1561:G1564"/>
    <mergeCell ref="H1561:H1562"/>
    <mergeCell ref="I1561:I1562"/>
    <mergeCell ref="J1561:J1562"/>
    <mergeCell ref="A1589:J1589"/>
    <mergeCell ref="A1591:C1591"/>
    <mergeCell ref="D1591:I1591"/>
    <mergeCell ref="A1592:C1592"/>
    <mergeCell ref="D1592:I1592"/>
    <mergeCell ref="A1593:C1593"/>
    <mergeCell ref="D1593:I1593"/>
    <mergeCell ref="A1594:C1594"/>
    <mergeCell ref="D1594:I1594"/>
    <mergeCell ref="D1595:E1595"/>
    <mergeCell ref="F1595:G1595"/>
    <mergeCell ref="H1595:I1595"/>
    <mergeCell ref="D1586:N1586"/>
    <mergeCell ref="A1587:C1587"/>
    <mergeCell ref="D1587:J1587"/>
    <mergeCell ref="K1587:M1587"/>
    <mergeCell ref="O1177:O1179"/>
    <mergeCell ref="F1178:F1180"/>
    <mergeCell ref="D1643:E1643"/>
    <mergeCell ref="F1643:G1643"/>
    <mergeCell ref="H1643:I1643"/>
    <mergeCell ref="B1645:C1645"/>
    <mergeCell ref="B1646:C1646"/>
    <mergeCell ref="B1647:C1647"/>
    <mergeCell ref="B1648:C1648"/>
    <mergeCell ref="B1649:C1649"/>
    <mergeCell ref="A1635:C1635"/>
    <mergeCell ref="D1635:J1635"/>
    <mergeCell ref="K1635:M1635"/>
    <mergeCell ref="A1636:C1636"/>
    <mergeCell ref="D1636:J1636"/>
    <mergeCell ref="A1637:J1637"/>
    <mergeCell ref="A1639:C1639"/>
    <mergeCell ref="D1639:I1639"/>
    <mergeCell ref="A1640:C1640"/>
    <mergeCell ref="D1640:I1640"/>
    <mergeCell ref="A1641:C1641"/>
    <mergeCell ref="D1641:I1641"/>
    <mergeCell ref="A1642:C1642"/>
    <mergeCell ref="D1642:I1642"/>
    <mergeCell ref="A1633:C1633"/>
    <mergeCell ref="B1604:C1604"/>
    <mergeCell ref="I1604:K1604"/>
    <mergeCell ref="B1605:C1605"/>
    <mergeCell ref="B1597:C1597"/>
    <mergeCell ref="B1598:C1598"/>
    <mergeCell ref="B1599:C1599"/>
    <mergeCell ref="B1600:C1600"/>
    <mergeCell ref="P1128:P1132"/>
    <mergeCell ref="B1129:B1132"/>
    <mergeCell ref="C1129:C1132"/>
    <mergeCell ref="D1129:D1131"/>
    <mergeCell ref="E1129:E1131"/>
    <mergeCell ref="G1129:G1132"/>
    <mergeCell ref="H1129:H1130"/>
    <mergeCell ref="I1129:I1130"/>
    <mergeCell ref="J1129:J1130"/>
    <mergeCell ref="K1129:K1130"/>
    <mergeCell ref="L1129:L1130"/>
    <mergeCell ref="M1129:M1130"/>
    <mergeCell ref="N1129:N1130"/>
    <mergeCell ref="O1129:O1131"/>
    <mergeCell ref="F1130:F1132"/>
    <mergeCell ref="C1465:C1468"/>
    <mergeCell ref="D1465:D1467"/>
    <mergeCell ref="E1465:E1467"/>
    <mergeCell ref="G1465:G1468"/>
    <mergeCell ref="H1465:H1466"/>
    <mergeCell ref="I1465:I1466"/>
    <mergeCell ref="J1465:J1466"/>
    <mergeCell ref="K1465:K1466"/>
    <mergeCell ref="L1465:L1466"/>
    <mergeCell ref="M1465:M1466"/>
    <mergeCell ref="A1585:C1585"/>
    <mergeCell ref="D1585:N1585"/>
    <mergeCell ref="A1586:C1586"/>
    <mergeCell ref="B1460:C1460"/>
    <mergeCell ref="I1460:K1460"/>
    <mergeCell ref="B1461:C1461"/>
    <mergeCell ref="R1130:S1130"/>
    <mergeCell ref="R1131:S1131"/>
    <mergeCell ref="U1131:U1132"/>
    <mergeCell ref="V1131:V1132"/>
    <mergeCell ref="H1145:N1145"/>
    <mergeCell ref="K1151:M1151"/>
    <mergeCell ref="K1158:L1158"/>
    <mergeCell ref="K1159:L1159"/>
    <mergeCell ref="K1160:L1160"/>
    <mergeCell ref="K1161:L1161"/>
    <mergeCell ref="K1162:L1162"/>
    <mergeCell ref="K1163:L1163"/>
    <mergeCell ref="B1172:C1172"/>
    <mergeCell ref="I1172:K1172"/>
    <mergeCell ref="B1173:C1173"/>
    <mergeCell ref="I1173:K1173"/>
    <mergeCell ref="A1176:A1180"/>
    <mergeCell ref="B1176:G1176"/>
    <mergeCell ref="H1176:N1176"/>
    <mergeCell ref="P1176:P1180"/>
    <mergeCell ref="B1177:B1180"/>
    <mergeCell ref="C1177:C1180"/>
    <mergeCell ref="D1177:D1179"/>
    <mergeCell ref="E1177:E1179"/>
    <mergeCell ref="G1177:G1180"/>
    <mergeCell ref="H1177:H1178"/>
    <mergeCell ref="I1177:I1178"/>
    <mergeCell ref="J1177:J1178"/>
    <mergeCell ref="K1177:K1178"/>
    <mergeCell ref="L1177:L1178"/>
    <mergeCell ref="M1177:M1178"/>
    <mergeCell ref="N1177:N1178"/>
    <mergeCell ref="R1178:S1178"/>
    <mergeCell ref="R1179:S1179"/>
    <mergeCell ref="U1179:U1180"/>
    <mergeCell ref="V1179:V1180"/>
    <mergeCell ref="H1193:N1193"/>
    <mergeCell ref="K1199:M1199"/>
    <mergeCell ref="K1206:L1206"/>
    <mergeCell ref="K1207:L1207"/>
    <mergeCell ref="K1208:L1208"/>
    <mergeCell ref="K1209:L1209"/>
    <mergeCell ref="K1210:L1210"/>
    <mergeCell ref="K1211:L1211"/>
    <mergeCell ref="B1220:C1220"/>
    <mergeCell ref="I1220:K1220"/>
    <mergeCell ref="B1221:C1221"/>
    <mergeCell ref="I1221:K1221"/>
    <mergeCell ref="A1224:A1228"/>
    <mergeCell ref="B1224:G1224"/>
    <mergeCell ref="H1224:N1224"/>
    <mergeCell ref="P1224:P1228"/>
    <mergeCell ref="B1225:B1228"/>
    <mergeCell ref="C1225:C1228"/>
    <mergeCell ref="D1225:D1227"/>
    <mergeCell ref="E1225:E1227"/>
    <mergeCell ref="G1225:G1228"/>
    <mergeCell ref="H1225:H1226"/>
    <mergeCell ref="I1225:I1226"/>
    <mergeCell ref="J1225:J1226"/>
    <mergeCell ref="K1225:K1226"/>
    <mergeCell ref="L1225:L1226"/>
    <mergeCell ref="M1225:M1226"/>
    <mergeCell ref="N1225:N1226"/>
    <mergeCell ref="R1226:S1226"/>
    <mergeCell ref="R1227:S1227"/>
    <mergeCell ref="U1227:U1228"/>
    <mergeCell ref="V1227:V1228"/>
    <mergeCell ref="H1241:N1241"/>
    <mergeCell ref="K1247:M1247"/>
    <mergeCell ref="K1254:L1254"/>
    <mergeCell ref="K1255:L1255"/>
    <mergeCell ref="K1256:L1256"/>
    <mergeCell ref="K1257:L1257"/>
    <mergeCell ref="K1258:L1258"/>
    <mergeCell ref="K1259:L1259"/>
    <mergeCell ref="B1268:C1268"/>
    <mergeCell ref="I1268:K1268"/>
    <mergeCell ref="B1269:C1269"/>
    <mergeCell ref="I1269:K1269"/>
    <mergeCell ref="A1272:A1276"/>
    <mergeCell ref="B1272:G1272"/>
    <mergeCell ref="H1272:N1272"/>
    <mergeCell ref="P1272:P1276"/>
    <mergeCell ref="B1273:B1276"/>
    <mergeCell ref="C1273:C1276"/>
    <mergeCell ref="D1273:D1275"/>
    <mergeCell ref="E1273:E1275"/>
    <mergeCell ref="G1273:G1276"/>
    <mergeCell ref="H1273:H1274"/>
    <mergeCell ref="I1273:I1274"/>
    <mergeCell ref="J1273:J1274"/>
    <mergeCell ref="K1273:K1274"/>
    <mergeCell ref="L1273:L1274"/>
    <mergeCell ref="M1273:M1274"/>
    <mergeCell ref="N1273:N1274"/>
    <mergeCell ref="R1274:S1274"/>
    <mergeCell ref="R1275:S1275"/>
    <mergeCell ref="U1275:U1276"/>
    <mergeCell ref="V1275:V1276"/>
    <mergeCell ref="H1289:N1289"/>
    <mergeCell ref="K1295:M1295"/>
    <mergeCell ref="K1302:L1302"/>
    <mergeCell ref="K1303:L1303"/>
    <mergeCell ref="K1304:L1304"/>
    <mergeCell ref="K1305:L1305"/>
    <mergeCell ref="K1306:L1306"/>
    <mergeCell ref="K1307:L1307"/>
    <mergeCell ref="B1316:C1316"/>
    <mergeCell ref="I1316:K1316"/>
    <mergeCell ref="B1317:C1317"/>
    <mergeCell ref="I1317:K1317"/>
    <mergeCell ref="A1320:A1324"/>
    <mergeCell ref="B1320:G1320"/>
    <mergeCell ref="H1320:N1320"/>
    <mergeCell ref="P1320:P1324"/>
    <mergeCell ref="B1321:B1324"/>
    <mergeCell ref="C1321:C1324"/>
    <mergeCell ref="D1321:D1323"/>
    <mergeCell ref="E1321:E1323"/>
    <mergeCell ref="G1321:G1324"/>
    <mergeCell ref="H1321:H1322"/>
    <mergeCell ref="I1321:I1322"/>
    <mergeCell ref="J1321:J1322"/>
    <mergeCell ref="K1321:K1322"/>
    <mergeCell ref="L1321:L1322"/>
    <mergeCell ref="M1321:M1322"/>
    <mergeCell ref="N1321:N1322"/>
    <mergeCell ref="R1322:S1322"/>
    <mergeCell ref="R1323:S1323"/>
    <mergeCell ref="U1323:U1324"/>
    <mergeCell ref="V1323:V1324"/>
    <mergeCell ref="H1337:N1337"/>
    <mergeCell ref="K1343:M1343"/>
    <mergeCell ref="K1350:L1350"/>
    <mergeCell ref="K1351:L1351"/>
    <mergeCell ref="K1352:L1352"/>
    <mergeCell ref="K1353:L1353"/>
    <mergeCell ref="K1354:L1354"/>
    <mergeCell ref="K1355:L1355"/>
    <mergeCell ref="B1364:C1364"/>
    <mergeCell ref="I1364:K1364"/>
    <mergeCell ref="B1365:C1365"/>
    <mergeCell ref="I1365:K1365"/>
    <mergeCell ref="A1368:A1372"/>
    <mergeCell ref="B1368:G1368"/>
    <mergeCell ref="H1368:N1368"/>
    <mergeCell ref="P1368:P1372"/>
    <mergeCell ref="B1369:B1372"/>
    <mergeCell ref="C1369:C1372"/>
    <mergeCell ref="D1369:D1371"/>
    <mergeCell ref="E1369:E1371"/>
    <mergeCell ref="G1369:G1372"/>
    <mergeCell ref="H1369:H1370"/>
    <mergeCell ref="I1369:I1370"/>
    <mergeCell ref="J1369:J1370"/>
    <mergeCell ref="K1369:K1370"/>
    <mergeCell ref="L1369:L1370"/>
    <mergeCell ref="M1369:M1370"/>
    <mergeCell ref="N1369:N1370"/>
    <mergeCell ref="U1419:U1420"/>
    <mergeCell ref="V1419:V1420"/>
    <mergeCell ref="H1433:N1433"/>
    <mergeCell ref="K1439:M1439"/>
    <mergeCell ref="K1446:L1446"/>
    <mergeCell ref="K1447:L1447"/>
    <mergeCell ref="K1448:L1448"/>
    <mergeCell ref="K1449:L1449"/>
    <mergeCell ref="K1450:L1450"/>
    <mergeCell ref="K1451:L1451"/>
    <mergeCell ref="R1370:S1370"/>
    <mergeCell ref="R1371:S1371"/>
    <mergeCell ref="A1416:A1420"/>
    <mergeCell ref="B1416:G1416"/>
    <mergeCell ref="H1416:N1416"/>
    <mergeCell ref="P1416:P1420"/>
    <mergeCell ref="B1417:B1420"/>
    <mergeCell ref="C1417:C1420"/>
    <mergeCell ref="D1417:D1419"/>
    <mergeCell ref="E1417:E1419"/>
    <mergeCell ref="G1417:G1420"/>
    <mergeCell ref="H1417:H1418"/>
    <mergeCell ref="I1417:I1418"/>
    <mergeCell ref="J1417:J1418"/>
    <mergeCell ref="K1417:K1418"/>
    <mergeCell ref="L1417:L1418"/>
    <mergeCell ref="M1417:M1418"/>
    <mergeCell ref="N1417:N1418"/>
    <mergeCell ref="R1418:S1418"/>
    <mergeCell ref="R1419:S1419"/>
    <mergeCell ref="A1400:C1400"/>
    <mergeCell ref="D1400:I1400"/>
    <mergeCell ref="U1371:U1372"/>
    <mergeCell ref="V1371:V1372"/>
    <mergeCell ref="H1385:N1385"/>
    <mergeCell ref="K1391:M1391"/>
    <mergeCell ref="K1398:L1398"/>
    <mergeCell ref="K1399:L1399"/>
    <mergeCell ref="K1400:L1400"/>
    <mergeCell ref="K1401:L1401"/>
    <mergeCell ref="K1402:L1402"/>
    <mergeCell ref="K1403:L1403"/>
    <mergeCell ref="B1412:C1412"/>
    <mergeCell ref="I1412:K1412"/>
    <mergeCell ref="B1413:C1413"/>
    <mergeCell ref="I1413:K1413"/>
    <mergeCell ref="O1369:O1371"/>
    <mergeCell ref="A1393:C1393"/>
    <mergeCell ref="D1393:N1393"/>
    <mergeCell ref="A1394:C1394"/>
    <mergeCell ref="D1394:N1394"/>
    <mergeCell ref="A1401:C1401"/>
    <mergeCell ref="D1401:I1401"/>
    <mergeCell ref="A1402:C1402"/>
    <mergeCell ref="D1402:I1402"/>
    <mergeCell ref="D1403:E1403"/>
    <mergeCell ref="F1403:G1403"/>
    <mergeCell ref="H1403:I1403"/>
    <mergeCell ref="B1405:C1405"/>
    <mergeCell ref="B1406:C1406"/>
    <mergeCell ref="B1407:C1407"/>
    <mergeCell ref="B1408:C1408"/>
    <mergeCell ref="B1409:C1409"/>
    <mergeCell ref="F1370:F1372"/>
    <mergeCell ref="P1512:P1516"/>
    <mergeCell ref="B1513:B1516"/>
    <mergeCell ref="C1513:C1516"/>
    <mergeCell ref="D1513:D1515"/>
    <mergeCell ref="E1513:E1515"/>
    <mergeCell ref="A1496:C1496"/>
    <mergeCell ref="D1496:I1496"/>
    <mergeCell ref="A1497:C1497"/>
    <mergeCell ref="D1497:I1497"/>
    <mergeCell ref="A1498:C1498"/>
    <mergeCell ref="D1498:I1498"/>
    <mergeCell ref="D1499:E1499"/>
    <mergeCell ref="F1499:G1499"/>
    <mergeCell ref="H1499:I1499"/>
    <mergeCell ref="B1501:C1501"/>
    <mergeCell ref="A1464:A1468"/>
    <mergeCell ref="B1464:G1464"/>
    <mergeCell ref="H1464:N1464"/>
    <mergeCell ref="N1465:N1466"/>
    <mergeCell ref="O1465:O1467"/>
    <mergeCell ref="F1466:F1468"/>
    <mergeCell ref="B1502:C1502"/>
    <mergeCell ref="B1503:C1503"/>
    <mergeCell ref="A1489:C1489"/>
    <mergeCell ref="D1489:N1489"/>
    <mergeCell ref="A1490:C1490"/>
    <mergeCell ref="D1490:N1490"/>
    <mergeCell ref="A1491:C1491"/>
    <mergeCell ref="D1491:J1491"/>
    <mergeCell ref="K1491:M1491"/>
    <mergeCell ref="A1492:C1492"/>
    <mergeCell ref="R1466:S1466"/>
    <mergeCell ref="R1467:S1467"/>
    <mergeCell ref="U1467:U1468"/>
    <mergeCell ref="V1467:V1468"/>
    <mergeCell ref="H1481:N1481"/>
    <mergeCell ref="K1487:M1487"/>
    <mergeCell ref="K1494:L1494"/>
    <mergeCell ref="K1495:L1495"/>
    <mergeCell ref="K1496:L1496"/>
    <mergeCell ref="K1497:L1497"/>
    <mergeCell ref="K1498:L1498"/>
    <mergeCell ref="K1499:L1499"/>
    <mergeCell ref="B1508:C1508"/>
    <mergeCell ref="I1508:K1508"/>
    <mergeCell ref="B1509:C1509"/>
    <mergeCell ref="I1509:K1509"/>
    <mergeCell ref="G1513:G1516"/>
    <mergeCell ref="H1513:H1514"/>
    <mergeCell ref="I1513:I1514"/>
    <mergeCell ref="J1513:J1514"/>
    <mergeCell ref="K1513:K1514"/>
    <mergeCell ref="L1513:L1514"/>
    <mergeCell ref="M1513:M1514"/>
    <mergeCell ref="N1513:N1514"/>
    <mergeCell ref="O1513:O1515"/>
    <mergeCell ref="F1514:F1516"/>
    <mergeCell ref="R1514:S1514"/>
    <mergeCell ref="R1515:S1515"/>
    <mergeCell ref="U1515:U1516"/>
    <mergeCell ref="V1515:V1516"/>
    <mergeCell ref="P1464:P1468"/>
    <mergeCell ref="B1465:B1468"/>
    <mergeCell ref="R1562:S1562"/>
    <mergeCell ref="R1563:S1563"/>
    <mergeCell ref="U1563:U1564"/>
    <mergeCell ref="V1563:V1564"/>
    <mergeCell ref="H1577:N1577"/>
    <mergeCell ref="K1583:M1583"/>
    <mergeCell ref="K1590:L1590"/>
    <mergeCell ref="K1591:L1591"/>
    <mergeCell ref="K1592:L1592"/>
    <mergeCell ref="K1593:L1593"/>
    <mergeCell ref="K1594:L1594"/>
    <mergeCell ref="K1595:L1595"/>
    <mergeCell ref="A1656:A1660"/>
    <mergeCell ref="B1656:G1656"/>
    <mergeCell ref="H1656:N1656"/>
    <mergeCell ref="P1656:P1660"/>
    <mergeCell ref="B1657:B1660"/>
    <mergeCell ref="C1657:C1660"/>
    <mergeCell ref="D1657:D1659"/>
    <mergeCell ref="E1657:E1659"/>
    <mergeCell ref="G1657:G1660"/>
    <mergeCell ref="H1657:H1658"/>
    <mergeCell ref="I1657:I1658"/>
    <mergeCell ref="J1657:J1658"/>
    <mergeCell ref="K1657:K1658"/>
    <mergeCell ref="L1657:L1658"/>
    <mergeCell ref="M1657:M1658"/>
    <mergeCell ref="N1657:N1658"/>
    <mergeCell ref="A1608:A1612"/>
    <mergeCell ref="B1608:G1608"/>
    <mergeCell ref="A1588:C1588"/>
    <mergeCell ref="D1588:J1588"/>
    <mergeCell ref="R1658:S1658"/>
    <mergeCell ref="R1659:S1659"/>
    <mergeCell ref="U1659:U1660"/>
    <mergeCell ref="V1659:V1660"/>
    <mergeCell ref="H1673:N1673"/>
    <mergeCell ref="K1679:M1679"/>
    <mergeCell ref="U1611:U1612"/>
    <mergeCell ref="V1611:V1612"/>
    <mergeCell ref="H1625:N1625"/>
    <mergeCell ref="K1631:M1631"/>
    <mergeCell ref="K1638:L1638"/>
    <mergeCell ref="K1639:L1639"/>
    <mergeCell ref="K1640:L1640"/>
    <mergeCell ref="K1641:L1641"/>
    <mergeCell ref="K1642:L1642"/>
    <mergeCell ref="K1643:L1643"/>
    <mergeCell ref="O1609:O1611"/>
    <mergeCell ref="R1610:S1610"/>
    <mergeCell ref="R1611:S1611"/>
    <mergeCell ref="D1633:N1633"/>
    <mergeCell ref="D1634:N1634"/>
    <mergeCell ref="B1652:C1652"/>
    <mergeCell ref="I1652:K1652"/>
    <mergeCell ref="B1653:C1653"/>
    <mergeCell ref="I1653:K1653"/>
    <mergeCell ref="P1608:P1612"/>
    <mergeCell ref="B1609:B1612"/>
    <mergeCell ref="C1609:C1612"/>
    <mergeCell ref="D1609:D1611"/>
    <mergeCell ref="E1609:E1611"/>
    <mergeCell ref="G1609:G1612"/>
    <mergeCell ref="H1609:H1610"/>
    <mergeCell ref="I1609:I1610"/>
    <mergeCell ref="J1609:J1610"/>
    <mergeCell ref="K1609:K1610"/>
    <mergeCell ref="L1609:L1610"/>
    <mergeCell ref="M1609:M1610"/>
    <mergeCell ref="O1657:O1659"/>
    <mergeCell ref="F1658:F1660"/>
    <mergeCell ref="F1610:F1612"/>
    <mergeCell ref="H1608:N1608"/>
    <mergeCell ref="A1634:C1634"/>
  </mergeCells>
  <dataValidations count="1">
    <dataValidation type="list" allowBlank="1" showInputMessage="1" showErrorMessage="1" sqref="A116:A117 A63:A65 A68:A69 A111:A113 A159:A161 A164:A165 A207:A209 A212:A213 A255:A257 A260:A261 A303:A305 A308:A309 A351:A353 A356:A357 A399:A401 A404:A405 A447:A449 A452:A453 A495:A497 A500:A501 A543:A545 A548:A549 A591:A593 A596:A597 A639:A641 A644:A645 A687:A689 A692:A693 A735:A737 A740:A741 A783:A785 A788:A789 A831:A833 A836:A837 A879:A881 A884:A885 A927:A929 A932:A933 A975:A977 A980:A981 A1023:A1025 A1028:A1029 A1071:A1073 A1076:A1077 A1119:A1121 A1124:A1125 A1167:A1169 A1172:A1173 A1215:A1217 A1220:A1221 A1263:A1265 A1268:A1269 A1311:A1313 A1316:A1317 A1359:A1361 A1364:A1365 A1407:A1409 A1412:A1413 A1455:A1457 A1460:A1461 A1503:A1505 A1508:A1509 A1551:A1553 A1556:A1557 A1599:A1601 A1604:A1605 A1647:A1649 A1652:A1653">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-&amp;K01+000 &amp;KFF0000Erziehertätigkeiten&amp;R&amp;G</oddHeader>
    <oddFooter>&amp;L&amp;"Arial,Standard"&amp;7SV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Grundlagen!$P$8:$P$9</xm:f>
          </x14:formula1>
          <xm:sqref>H20 H68 H116 H164 H212 H260 H308 H356 H404 H452 H500 H548 H596 H644 H692 H740 H788 H836 H884 H932 H980 H1028 H1076 H1124 H1172 H1220 H1268 H1316 H1364 H1412 H1460 H1508 H1556 H1604 H1652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3" tint="0.39997558519241921"/>
  </sheetPr>
  <dimension ref="A1:X384"/>
  <sheetViews>
    <sheetView showGridLines="0" view="pageLayout" zoomScaleNormal="100" workbookViewId="0">
      <selection activeCell="D7" sqref="D7:I7"/>
    </sheetView>
  </sheetViews>
  <sheetFormatPr baseColWidth="10" defaultRowHeight="14.25" x14ac:dyDescent="0.2"/>
  <cols>
    <col min="1" max="1" width="9.42578125" style="14" customWidth="1"/>
    <col min="2" max="2" width="12.7109375" style="14" customWidth="1"/>
    <col min="3" max="3" width="11.42578125" style="14"/>
    <col min="4" max="4" width="10.5703125" style="14" customWidth="1"/>
    <col min="5" max="5" width="11.140625" style="14" customWidth="1"/>
    <col min="6" max="6" width="11.42578125" style="14" customWidth="1"/>
    <col min="7" max="7" width="10.140625" style="14" customWidth="1"/>
    <col min="8" max="8" width="11.5703125" style="14" customWidth="1"/>
    <col min="9" max="12" width="11.42578125" style="14"/>
    <col min="13" max="13" width="10.28515625" style="14" customWidth="1"/>
    <col min="14" max="14" width="11.140625" style="14" customWidth="1"/>
    <col min="15" max="15" width="11.5703125" style="14" customWidth="1"/>
    <col min="16" max="16" width="10.85546875" style="14" customWidth="1"/>
    <col min="17" max="17" width="17.140625" style="1" hidden="1" customWidth="1"/>
    <col min="18" max="19" width="11.42578125" style="1" hidden="1" customWidth="1"/>
    <col min="20" max="24" width="0" style="1" hidden="1" customWidth="1"/>
    <col min="25" max="16384" width="11.42578125" style="1"/>
  </cols>
  <sheetData>
    <row r="1" spans="1:19" s="10" customFormat="1" ht="13.5" customHeight="1" x14ac:dyDescent="0.2">
      <c r="A1" s="1321" t="s">
        <v>17</v>
      </c>
      <c r="B1" s="1321"/>
      <c r="C1" s="1321"/>
      <c r="D1" s="1320" t="str">
        <f>IF('päd.Personal - Leitung'!$D$1="","",'päd.Personal - Leitung'!$D$1)</f>
        <v/>
      </c>
      <c r="E1" s="1320"/>
      <c r="F1" s="1320"/>
      <c r="G1" s="1320"/>
      <c r="H1" s="1320"/>
      <c r="I1" s="1320"/>
      <c r="J1" s="1320"/>
      <c r="K1" s="1320"/>
      <c r="L1" s="1320"/>
      <c r="M1" s="1320"/>
      <c r="N1" s="1320"/>
    </row>
    <row r="2" spans="1:19" s="10" customFormat="1" ht="15" customHeight="1" x14ac:dyDescent="0.2">
      <c r="A2" s="1321" t="s">
        <v>16</v>
      </c>
      <c r="B2" s="1321"/>
      <c r="C2" s="1321" t="s">
        <v>14</v>
      </c>
      <c r="D2" s="1320" t="str">
        <f>IF('päd.Personal - Leitung'!$D$2="","",'päd.Personal - Leitung'!$D$2)</f>
        <v/>
      </c>
      <c r="E2" s="1320"/>
      <c r="F2" s="1320"/>
      <c r="G2" s="1320"/>
      <c r="H2" s="1320"/>
      <c r="I2" s="1320"/>
      <c r="J2" s="1320"/>
      <c r="K2" s="1320"/>
      <c r="L2" s="1320"/>
      <c r="M2" s="1320"/>
      <c r="N2" s="1320"/>
    </row>
    <row r="3" spans="1:19" s="10" customFormat="1" ht="15" customHeight="1" x14ac:dyDescent="0.2">
      <c r="A3" s="1321" t="s">
        <v>15</v>
      </c>
      <c r="B3" s="1321"/>
      <c r="C3" s="1321" t="s">
        <v>14</v>
      </c>
      <c r="D3" s="1320" t="str">
        <f>IF('päd.Personal - Leitung'!$D$3="","",'päd.Personal - Leitung'!$D$3)</f>
        <v/>
      </c>
      <c r="E3" s="1320"/>
      <c r="F3" s="1320"/>
      <c r="G3" s="1320"/>
      <c r="H3" s="1320"/>
      <c r="I3" s="1320"/>
      <c r="J3" s="1320"/>
      <c r="K3" s="1321" t="s">
        <v>100</v>
      </c>
      <c r="L3" s="1321"/>
      <c r="M3" s="1321"/>
      <c r="N3" s="38" t="str">
        <f>IF('päd.Personal - Leitung'!$N$3="","",'päd.Personal - Leitung'!$N$3)</f>
        <v/>
      </c>
    </row>
    <row r="4" spans="1:19" s="923" customFormat="1" ht="7.5" customHeight="1" x14ac:dyDescent="0.15">
      <c r="A4" s="1353"/>
      <c r="B4" s="1353"/>
      <c r="C4" s="1353"/>
      <c r="D4" s="1354"/>
      <c r="E4" s="1354"/>
      <c r="F4" s="1354"/>
      <c r="G4" s="1354"/>
      <c r="H4" s="1354"/>
      <c r="I4" s="1354"/>
      <c r="J4" s="1354"/>
      <c r="K4" s="922"/>
      <c r="L4" s="922"/>
      <c r="M4" s="922"/>
      <c r="N4" s="922"/>
      <c r="O4" s="922"/>
      <c r="P4" s="922"/>
    </row>
    <row r="5" spans="1:19" s="13" customFormat="1" ht="13.5" customHeight="1" x14ac:dyDescent="0.2">
      <c r="A5" s="1355" t="s">
        <v>750</v>
      </c>
      <c r="B5" s="1355"/>
      <c r="C5" s="1355"/>
      <c r="D5" s="1355"/>
      <c r="E5" s="1355"/>
      <c r="F5" s="1355"/>
      <c r="G5" s="1355"/>
      <c r="H5" s="1355"/>
      <c r="I5" s="1355"/>
      <c r="J5" s="1355"/>
      <c r="K5" s="7"/>
      <c r="L5" s="7"/>
      <c r="M5" s="7"/>
      <c r="N5" s="52"/>
      <c r="O5" s="138">
        <f>'päd.Personal - Leitung'!$O$5</f>
        <v>2025</v>
      </c>
      <c r="P5" s="52" t="s">
        <v>140</v>
      </c>
    </row>
    <row r="6" spans="1:19" s="8" customFormat="1" ht="13.5" customHeight="1" x14ac:dyDescent="0.25">
      <c r="B6" s="29"/>
      <c r="C6" s="29"/>
      <c r="D6" s="3" t="s">
        <v>21</v>
      </c>
      <c r="E6" s="28"/>
      <c r="F6" s="28"/>
      <c r="G6" s="28"/>
      <c r="H6" s="28"/>
      <c r="I6" s="24"/>
      <c r="K6" s="1327" t="s">
        <v>13</v>
      </c>
      <c r="L6" s="1327"/>
      <c r="M6" s="131"/>
      <c r="O6" s="928" t="str">
        <f>A29</f>
        <v>Jan 2025</v>
      </c>
      <c r="P6" s="1402">
        <f>IF(M8="","",M8)</f>
        <v>0</v>
      </c>
    </row>
    <row r="7" spans="1:19" s="5" customFormat="1" ht="13.5" customHeight="1" x14ac:dyDescent="0.25">
      <c r="A7" s="1328" t="s">
        <v>754</v>
      </c>
      <c r="B7" s="1328"/>
      <c r="C7" s="1328"/>
      <c r="D7" s="1345"/>
      <c r="E7" s="1345"/>
      <c r="F7" s="1345"/>
      <c r="G7" s="1345"/>
      <c r="H7" s="1345"/>
      <c r="I7" s="1345"/>
      <c r="K7" s="1327" t="s">
        <v>101</v>
      </c>
      <c r="L7" s="1327"/>
      <c r="M7" s="101"/>
      <c r="O7" s="928" t="str">
        <f t="shared" ref="O7:O17" si="0">A30</f>
        <v>Feb 2025</v>
      </c>
      <c r="P7" s="1403">
        <f t="shared" ref="P7:P17" si="1">IF(P6="","",P6)</f>
        <v>0</v>
      </c>
    </row>
    <row r="8" spans="1:19" ht="13.5" customHeight="1" x14ac:dyDescent="0.2">
      <c r="A8" s="1328" t="s">
        <v>12</v>
      </c>
      <c r="B8" s="1328"/>
      <c r="C8" s="1328"/>
      <c r="D8" s="1345"/>
      <c r="E8" s="1345"/>
      <c r="F8" s="1345"/>
      <c r="G8" s="1345"/>
      <c r="H8" s="1345"/>
      <c r="I8" s="1345"/>
      <c r="J8" s="1"/>
      <c r="K8" s="1327" t="s">
        <v>149</v>
      </c>
      <c r="L8" s="1327"/>
      <c r="M8" s="101">
        <f>IF((M9+M10)&gt;M7,0,M7-M9-M10)</f>
        <v>0</v>
      </c>
      <c r="N8" s="1"/>
      <c r="O8" s="928" t="str">
        <f t="shared" si="0"/>
        <v>Mrz 2025</v>
      </c>
      <c r="P8" s="1403">
        <f t="shared" si="1"/>
        <v>0</v>
      </c>
    </row>
    <row r="9" spans="1:19" ht="13.5" customHeight="1" x14ac:dyDescent="0.2">
      <c r="A9" s="1328" t="s">
        <v>11</v>
      </c>
      <c r="B9" s="1328"/>
      <c r="C9" s="1328"/>
      <c r="D9" s="1345"/>
      <c r="E9" s="1345"/>
      <c r="F9" s="1345"/>
      <c r="G9" s="1345"/>
      <c r="H9" s="1345"/>
      <c r="I9" s="1345"/>
      <c r="J9" s="1"/>
      <c r="K9" s="1327" t="s">
        <v>150</v>
      </c>
      <c r="L9" s="1327"/>
      <c r="M9" s="101"/>
      <c r="N9" s="1"/>
      <c r="O9" s="928" t="str">
        <f t="shared" si="0"/>
        <v>Apr 2025</v>
      </c>
      <c r="P9" s="1403">
        <f t="shared" si="1"/>
        <v>0</v>
      </c>
    </row>
    <row r="10" spans="1:19" ht="13.5" customHeight="1" x14ac:dyDescent="0.2">
      <c r="A10" s="1328" t="s">
        <v>18</v>
      </c>
      <c r="B10" s="1328"/>
      <c r="C10" s="1328"/>
      <c r="D10" s="1345"/>
      <c r="E10" s="1345"/>
      <c r="F10" s="1345"/>
      <c r="G10" s="1345"/>
      <c r="H10" s="1345"/>
      <c r="I10" s="1345"/>
      <c r="J10" s="1"/>
      <c r="K10" s="1327" t="s">
        <v>222</v>
      </c>
      <c r="L10" s="1327"/>
      <c r="M10" s="101"/>
      <c r="N10" s="1"/>
      <c r="O10" s="928" t="str">
        <f t="shared" si="0"/>
        <v>Mai 2025</v>
      </c>
      <c r="P10" s="1403">
        <f t="shared" si="1"/>
        <v>0</v>
      </c>
    </row>
    <row r="11" spans="1:19" ht="13.5" customHeight="1" x14ac:dyDescent="0.2">
      <c r="A11" s="1"/>
      <c r="B11" s="6"/>
      <c r="C11" s="959" t="s">
        <v>147</v>
      </c>
      <c r="D11" s="1324"/>
      <c r="E11" s="1324"/>
      <c r="F11" s="1359" t="s">
        <v>103</v>
      </c>
      <c r="G11" s="1359"/>
      <c r="H11" s="1361"/>
      <c r="I11" s="1361"/>
      <c r="J11" s="1"/>
      <c r="K11" s="1327" t="s">
        <v>94</v>
      </c>
      <c r="L11" s="1327"/>
      <c r="M11" s="15" t="str">
        <f>IF(IF((COUNTIF(B29:B40,"&gt;0"))=0,0,(COUNTIF(B29:B40,"&gt;0")))&gt;Grundlagen!$C$26,Grundlagen!$C$26,IF((COUNTIF(B29:B40,"&gt;0"))=0,"",(COUNTIF(B29:B40,"&gt;0"))))</f>
        <v/>
      </c>
      <c r="N11" s="1"/>
      <c r="O11" s="928" t="str">
        <f t="shared" si="0"/>
        <v>Jun 2025</v>
      </c>
      <c r="P11" s="1403">
        <f t="shared" si="1"/>
        <v>0</v>
      </c>
    </row>
    <row r="12" spans="1:19" ht="13.5" customHeight="1" x14ac:dyDescent="0.2">
      <c r="A12" s="1"/>
      <c r="B12" s="1"/>
      <c r="C12" s="1"/>
      <c r="D12" s="1"/>
      <c r="E12" s="1"/>
      <c r="F12" s="1"/>
      <c r="G12" s="1"/>
      <c r="H12" s="1"/>
      <c r="I12" s="4"/>
      <c r="J12" s="1"/>
      <c r="K12" s="1"/>
      <c r="L12" s="1"/>
      <c r="M12" s="102" t="str">
        <f>IF((SUM(F14:F17))=0,"",IF(P18&gt;M8,M8,IF(M8="","",IF(M11="","",P18))))</f>
        <v/>
      </c>
      <c r="N12" s="1"/>
      <c r="O12" s="928" t="str">
        <f t="shared" si="0"/>
        <v>Jul 2025</v>
      </c>
      <c r="P12" s="1403">
        <f t="shared" si="1"/>
        <v>0</v>
      </c>
    </row>
    <row r="13" spans="1:19" s="46" customFormat="1" ht="13.5" customHeight="1" x14ac:dyDescent="0.2">
      <c r="A13" s="54" t="s">
        <v>134</v>
      </c>
      <c r="B13" s="1356" t="s">
        <v>135</v>
      </c>
      <c r="C13" s="1356"/>
      <c r="D13" s="55" t="s">
        <v>136</v>
      </c>
      <c r="E13" s="56" t="s">
        <v>137</v>
      </c>
      <c r="F13" s="57" t="str">
        <f>CONCATENATE("Entg. ",N3," h/Wo")</f>
        <v>Entg.  h/Wo</v>
      </c>
      <c r="G13" s="58" t="s">
        <v>138</v>
      </c>
      <c r="I13" s="58" t="s">
        <v>139</v>
      </c>
      <c r="K13" s="970"/>
      <c r="L13" s="970"/>
      <c r="M13" s="59"/>
      <c r="N13" s="968"/>
      <c r="O13" s="928" t="str">
        <f t="shared" si="0"/>
        <v>Aug 2025</v>
      </c>
      <c r="P13" s="1403">
        <f t="shared" si="1"/>
        <v>0</v>
      </c>
      <c r="Q13" s="85"/>
      <c r="R13" s="85"/>
      <c r="S13" s="85"/>
    </row>
    <row r="14" spans="1:19" s="46" customFormat="1" ht="13.5" customHeight="1" x14ac:dyDescent="0.25">
      <c r="A14" s="48" t="str">
        <f>'päd.Personal - Leitung'!$A$14</f>
        <v>Jan 2025</v>
      </c>
      <c r="B14" s="1357" t="str">
        <f>IF($D$3="","",$D$3)</f>
        <v/>
      </c>
      <c r="C14" s="1358"/>
      <c r="D14" s="132"/>
      <c r="E14" s="132"/>
      <c r="F14" s="71"/>
      <c r="G14" s="50">
        <f>IF(N3="",0,F14/N3/4.348)</f>
        <v>0</v>
      </c>
      <c r="I14" s="125">
        <f>SUM(J14:M14)</f>
        <v>0</v>
      </c>
      <c r="J14" s="124"/>
      <c r="K14" s="124"/>
      <c r="L14" s="124"/>
      <c r="M14" s="124"/>
      <c r="N14" s="969"/>
      <c r="O14" s="928" t="str">
        <f t="shared" si="0"/>
        <v>Sep 2025</v>
      </c>
      <c r="P14" s="1403">
        <f t="shared" si="1"/>
        <v>0</v>
      </c>
      <c r="Q14" s="85"/>
      <c r="R14" s="85"/>
      <c r="S14" s="85"/>
    </row>
    <row r="15" spans="1:19" s="46" customFormat="1" ht="13.5" customHeight="1" x14ac:dyDescent="0.25">
      <c r="A15" s="49"/>
      <c r="B15" s="1322" t="str">
        <f>IF(A15="","",B14)</f>
        <v/>
      </c>
      <c r="C15" s="1323"/>
      <c r="D15" s="132"/>
      <c r="E15" s="132"/>
      <c r="F15" s="71"/>
      <c r="G15" s="50">
        <f>IF(N3="",0,F15/N3/4.348)</f>
        <v>0</v>
      </c>
      <c r="I15" s="125">
        <f t="shared" ref="I15:I17" si="2">SUM(J15:M15)</f>
        <v>0</v>
      </c>
      <c r="J15" s="124"/>
      <c r="K15" s="124"/>
      <c r="L15" s="124"/>
      <c r="M15" s="124"/>
      <c r="N15" s="969"/>
      <c r="O15" s="928" t="str">
        <f t="shared" si="0"/>
        <v>Okt 2025</v>
      </c>
      <c r="P15" s="1403">
        <f t="shared" si="1"/>
        <v>0</v>
      </c>
      <c r="Q15" s="85"/>
      <c r="R15" s="85"/>
      <c r="S15" s="85"/>
    </row>
    <row r="16" spans="1:19" s="46" customFormat="1" ht="13.5" customHeight="1" x14ac:dyDescent="0.25">
      <c r="A16" s="49"/>
      <c r="B16" s="1322" t="str">
        <f>IF(A16="","",B15)</f>
        <v/>
      </c>
      <c r="C16" s="1323"/>
      <c r="D16" s="132"/>
      <c r="E16" s="132"/>
      <c r="F16" s="71"/>
      <c r="G16" s="50">
        <f>IF(N3="",0,F16/N3/4.348)</f>
        <v>0</v>
      </c>
      <c r="I16" s="125">
        <f t="shared" si="2"/>
        <v>0</v>
      </c>
      <c r="J16" s="124"/>
      <c r="K16" s="124"/>
      <c r="L16" s="124"/>
      <c r="M16" s="124"/>
      <c r="N16" s="969"/>
      <c r="O16" s="928" t="str">
        <f t="shared" si="0"/>
        <v>Nov 2025</v>
      </c>
      <c r="P16" s="1403">
        <f t="shared" si="1"/>
        <v>0</v>
      </c>
      <c r="Q16" s="85"/>
      <c r="R16" s="85"/>
      <c r="S16" s="85"/>
    </row>
    <row r="17" spans="1:22" s="46" customFormat="1" ht="13.5" customHeight="1" x14ac:dyDescent="0.25">
      <c r="A17" s="49"/>
      <c r="B17" s="1322" t="str">
        <f>IF(A17="","",B16)</f>
        <v/>
      </c>
      <c r="C17" s="1323"/>
      <c r="D17" s="132"/>
      <c r="E17" s="132"/>
      <c r="F17" s="71"/>
      <c r="G17" s="50">
        <f>IF(N3="",0,F17/N3/4.348)</f>
        <v>0</v>
      </c>
      <c r="I17" s="125">
        <f t="shared" si="2"/>
        <v>0</v>
      </c>
      <c r="J17" s="124"/>
      <c r="K17" s="124"/>
      <c r="L17" s="124"/>
      <c r="M17" s="124"/>
      <c r="N17" s="969"/>
      <c r="O17" s="928" t="str">
        <f t="shared" si="0"/>
        <v>Dez 2025</v>
      </c>
      <c r="P17" s="1403">
        <f t="shared" si="1"/>
        <v>0</v>
      </c>
      <c r="Q17" s="85"/>
      <c r="R17" s="85"/>
      <c r="S17" s="85"/>
    </row>
    <row r="18" spans="1:22" s="46" customFormat="1" ht="13.5" customHeight="1" x14ac:dyDescent="0.25">
      <c r="B18" s="972"/>
      <c r="C18" s="972"/>
      <c r="E18" s="972"/>
      <c r="F18" s="972"/>
      <c r="I18" s="930" t="s">
        <v>730</v>
      </c>
      <c r="J18" s="1052"/>
      <c r="K18" s="1052"/>
      <c r="L18" s="1052"/>
      <c r="M18" s="1052"/>
      <c r="N18" s="971"/>
      <c r="O18" s="126" t="s">
        <v>221</v>
      </c>
      <c r="P18" s="127">
        <f>IF(M11="",0,((IF(SUMIF(B29,"&gt;0"),P6,0))+(IF(SUMIF(B30,"&gt;0"),P7,0))+(IF(SUMIF(B31,"&gt;0"),P8,0))+(IF(SUMIF(B32,"&gt;0"),P9,0))+(IF(SUMIF(B33,"&gt;0"),P10,0))+(IF(SUMIF(B34,"&gt;0"),P11,0))+(IF(SUMIF(B35,"&gt;0"),P12,0))+(IF(SUMIF(B36,"&gt;0"),P13,0))+(IF(SUMIF(B37,"&gt;0"),P14,0))+(IF(SUMIF(B38,"&gt;0"),P15,0))+(IF(SUMIF(B39,"&gt;0"),P16,0))+(IF(SUMIF(B40,"&gt;0"),P17,0)))/Grundlagen!$C$26)</f>
        <v>0</v>
      </c>
      <c r="Q18" s="958" t="str">
        <f>CONCATENATE("BBG"," anteilig ",O20)</f>
        <v>BBG anteilig 2025</v>
      </c>
      <c r="R18" s="931" t="s">
        <v>659</v>
      </c>
      <c r="S18" s="931" t="s">
        <v>398</v>
      </c>
      <c r="T18" s="107"/>
    </row>
    <row r="19" spans="1:22" s="46" customFormat="1" ht="13.5" customHeight="1" x14ac:dyDescent="0.2">
      <c r="A19" s="924" t="s">
        <v>732</v>
      </c>
      <c r="D19" s="55" t="s">
        <v>369</v>
      </c>
      <c r="E19" s="56" t="s">
        <v>368</v>
      </c>
      <c r="F19" s="58"/>
      <c r="J19" s="61"/>
      <c r="Q19" s="932" t="s">
        <v>144</v>
      </c>
      <c r="R19" s="140">
        <f>IF(M8=0,R23,IF(M7="",R23,(SUM(R29:R40)/M11)))</f>
        <v>5175</v>
      </c>
      <c r="S19" s="933">
        <f>IF(M8=0,S23,IF(M7="",S23,SUM(R29:R40)))</f>
        <v>0</v>
      </c>
      <c r="T19" s="107"/>
    </row>
    <row r="20" spans="1:22" s="46" customFormat="1" ht="13.5" customHeight="1" x14ac:dyDescent="0.25">
      <c r="A20" s="60"/>
      <c r="B20" s="1314" t="str">
        <f>IF('päd.Personal - Leitung'!$B$20="","",'päd.Personal - Leitung'!$B$20)</f>
        <v>Jahressonderzahlung (JSZ)</v>
      </c>
      <c r="C20" s="1315"/>
      <c r="D20" s="926"/>
      <c r="E20" s="929" t="str">
        <f>IF(A20="","",ROUND((((SUM(B35:B37)+SUM(F35:F37))/3)*D20)/Grundlagen!$C$26*M11,2))</f>
        <v/>
      </c>
      <c r="G20" s="941" t="s">
        <v>733</v>
      </c>
      <c r="H20" s="943" t="s">
        <v>735</v>
      </c>
      <c r="I20" s="1316" t="str">
        <f>CONCATENATE(R43,":"," Übergangsbereich von ",R44+0.01," €"," bis ",R45," €")</f>
        <v>2025: Übergangsbereich von 556,01 € bis 2000 €</v>
      </c>
      <c r="J20" s="1317"/>
      <c r="K20" s="1317"/>
      <c r="L20" s="1067"/>
      <c r="M20" s="1067"/>
      <c r="N20" s="1068" t="s">
        <v>736</v>
      </c>
      <c r="O20" s="1069">
        <f>P20+1</f>
        <v>2025</v>
      </c>
      <c r="P20" s="1069" t="s">
        <v>721</v>
      </c>
      <c r="Q20" s="932" t="s">
        <v>145</v>
      </c>
      <c r="R20" s="140">
        <f>IF(M8=0,R24,IF(M7="",R24,(SUM(S29:S40)/M11)))</f>
        <v>7450</v>
      </c>
      <c r="S20" s="933">
        <f>IF(M8=0,S24,IF(M7="",S24,SUM(S29:S40)))</f>
        <v>0</v>
      </c>
      <c r="T20" s="109"/>
    </row>
    <row r="21" spans="1:22" ht="14.25" customHeight="1" x14ac:dyDescent="0.2">
      <c r="A21" s="60"/>
      <c r="B21" s="1314" t="str">
        <f>IF('päd.Personal - Leitung'!$B$21="","",'päd.Personal - Leitung'!$B$21)</f>
        <v>Leistungsentgelt (LOB)</v>
      </c>
      <c r="C21" s="1315"/>
      <c r="D21" s="926"/>
      <c r="E21" s="929" t="str">
        <f>IF(A21="","",ROUND(((B41+F41)*D21)/Grundlagen!$C$26*M11,2))</f>
        <v/>
      </c>
      <c r="F21" s="1"/>
      <c r="G21" s="941" t="str">
        <f>IF(OR(H20="",H20="nein")=TRUE,"","Faktor (F):")</f>
        <v/>
      </c>
      <c r="H21" s="949" t="str">
        <f>IF(OR(H20="",H20="nein")=TRUE,"",IF(H20="","",R47))</f>
        <v/>
      </c>
      <c r="I21" s="1318" t="str">
        <f>IF(OR(H20="",H20="nein")=TRUE,"",IF(H21="","",CONCATENATE(S47*100,"%"," / ","(",R46*100,"%"," Gesamt-SV-Beitragssatz 2024)")))</f>
        <v/>
      </c>
      <c r="J21" s="1319"/>
      <c r="K21" s="1319"/>
      <c r="L21" s="1070"/>
      <c r="M21" s="1070"/>
      <c r="N21" s="1071" t="s">
        <v>144</v>
      </c>
      <c r="O21" s="1072">
        <f>'päd.Personal - Leitung'!$O$21</f>
        <v>5175</v>
      </c>
      <c r="P21" s="1072">
        <f>'päd.Personal - Leitung'!$P$21</f>
        <v>5175</v>
      </c>
      <c r="Q21" s="11"/>
      <c r="R21" s="11"/>
      <c r="S21" s="11"/>
      <c r="T21" s="109"/>
    </row>
    <row r="22" spans="1:22" ht="14.25" customHeight="1" x14ac:dyDescent="0.2">
      <c r="A22" s="1"/>
      <c r="B22" s="1"/>
      <c r="C22" s="925" t="s">
        <v>731</v>
      </c>
      <c r="D22" s="1"/>
      <c r="E22" s="1"/>
      <c r="F22" s="1"/>
      <c r="G22" s="1"/>
      <c r="H22" s="1"/>
      <c r="I22" s="1"/>
      <c r="J22" s="1"/>
      <c r="K22" s="1"/>
      <c r="L22" s="1070"/>
      <c r="M22" s="1070"/>
      <c r="N22" s="1071" t="s">
        <v>145</v>
      </c>
      <c r="O22" s="1073">
        <f>'päd.Personal - Leitung'!$O$22</f>
        <v>7450</v>
      </c>
      <c r="P22" s="1073">
        <f>'päd.Personal - Leitung'!$P$22</f>
        <v>7450</v>
      </c>
      <c r="Q22" s="958" t="str">
        <f>CONCATENATE("BBG"," ",O20)</f>
        <v>BBG 2025</v>
      </c>
      <c r="R22" s="11"/>
      <c r="S22" s="11"/>
      <c r="T22" s="109"/>
    </row>
    <row r="23" spans="1:22" ht="14.25" customHeight="1" x14ac:dyDescent="0.2">
      <c r="A23" s="53" t="s">
        <v>141</v>
      </c>
      <c r="B23" s="46"/>
      <c r="C23" s="46"/>
      <c r="D23" s="46"/>
      <c r="E23" s="46"/>
      <c r="F23" s="46"/>
      <c r="G23" s="46"/>
      <c r="H23" s="46"/>
      <c r="I23" s="46"/>
      <c r="J23" s="46"/>
      <c r="K23" s="46"/>
      <c r="L23" s="46"/>
      <c r="M23" s="46"/>
      <c r="N23" s="46"/>
      <c r="O23" s="46"/>
      <c r="P23" s="46"/>
      <c r="Q23" s="932" t="s">
        <v>144</v>
      </c>
      <c r="R23" s="141">
        <f>IF($O$21="",0,$O$21)</f>
        <v>5175</v>
      </c>
      <c r="S23" s="933">
        <f>R23*IF(M11="",0,M11)</f>
        <v>0</v>
      </c>
      <c r="T23" s="295"/>
    </row>
    <row r="24" spans="1:22" x14ac:dyDescent="0.2">
      <c r="A24" s="1346"/>
      <c r="B24" s="1348" t="s">
        <v>8</v>
      </c>
      <c r="C24" s="1349"/>
      <c r="D24" s="1349"/>
      <c r="E24" s="1349"/>
      <c r="F24" s="1349"/>
      <c r="G24" s="1350"/>
      <c r="H24" s="1351" t="s">
        <v>113</v>
      </c>
      <c r="I24" s="1352"/>
      <c r="J24" s="1352"/>
      <c r="K24" s="1352"/>
      <c r="L24" s="1352"/>
      <c r="M24" s="1352"/>
      <c r="N24" s="1352"/>
      <c r="O24" s="30"/>
      <c r="P24" s="1330" t="s">
        <v>0</v>
      </c>
      <c r="Q24" s="932" t="s">
        <v>145</v>
      </c>
      <c r="R24" s="141">
        <f>IF($O$22="",0,$O$22)</f>
        <v>7450</v>
      </c>
      <c r="S24" s="933">
        <f>R24*IF(M11="",0,M11)</f>
        <v>0</v>
      </c>
      <c r="T24" s="830"/>
    </row>
    <row r="25" spans="1:22" ht="14.25" customHeight="1" x14ac:dyDescent="0.2">
      <c r="A25" s="1347"/>
      <c r="B25" s="1333" t="s">
        <v>111</v>
      </c>
      <c r="C25" s="1335" t="s">
        <v>743</v>
      </c>
      <c r="D25" s="1337" t="s">
        <v>226</v>
      </c>
      <c r="E25" s="1339" t="s">
        <v>133</v>
      </c>
      <c r="F25" s="962" t="s">
        <v>6</v>
      </c>
      <c r="G25" s="1340" t="s">
        <v>5</v>
      </c>
      <c r="H25" s="1339" t="s">
        <v>119</v>
      </c>
      <c r="I25" s="1339" t="s">
        <v>4</v>
      </c>
      <c r="J25" s="1339" t="s">
        <v>3</v>
      </c>
      <c r="K25" s="1339" t="s">
        <v>2</v>
      </c>
      <c r="L25" s="1339" t="s">
        <v>114</v>
      </c>
      <c r="M25" s="1339" t="s">
        <v>115</v>
      </c>
      <c r="N25" s="1339" t="s">
        <v>116</v>
      </c>
      <c r="O25" s="1338" t="s">
        <v>109</v>
      </c>
      <c r="P25" s="1331"/>
      <c r="Q25" s="456"/>
      <c r="R25" s="11"/>
      <c r="S25" s="11"/>
      <c r="T25" s="621"/>
    </row>
    <row r="26" spans="1:22" x14ac:dyDescent="0.2">
      <c r="A26" s="1347"/>
      <c r="B26" s="1333"/>
      <c r="C26" s="1335"/>
      <c r="D26" s="1338"/>
      <c r="E26" s="1339"/>
      <c r="F26" s="1343" t="str">
        <f>I18</f>
        <v>Zuschläge / Zulagen / o.ä.:</v>
      </c>
      <c r="G26" s="1340"/>
      <c r="H26" s="1342" t="s">
        <v>117</v>
      </c>
      <c r="I26" s="1342"/>
      <c r="J26" s="1342"/>
      <c r="K26" s="1342"/>
      <c r="L26" s="1342"/>
      <c r="M26" s="1342"/>
      <c r="N26" s="1342"/>
      <c r="O26" s="1338"/>
      <c r="P26" s="1331"/>
      <c r="Q26" s="456"/>
      <c r="R26" s="1306" t="str">
        <f>Q18</f>
        <v>BBG anteilig 2025</v>
      </c>
      <c r="S26" s="1306"/>
      <c r="T26" s="829"/>
    </row>
    <row r="27" spans="1:22" ht="14.25" customHeight="1" x14ac:dyDescent="0.2">
      <c r="A27" s="1347"/>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c r="Q27" s="456"/>
      <c r="R27" s="1307" t="s">
        <v>659</v>
      </c>
      <c r="S27" s="1307"/>
      <c r="T27" s="829"/>
      <c r="U27" s="1308" t="s">
        <v>1</v>
      </c>
      <c r="V27" s="1308" t="s">
        <v>741</v>
      </c>
    </row>
    <row r="28" spans="1:22" x14ac:dyDescent="0.2">
      <c r="A28" s="1347"/>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c r="Q28" s="456"/>
      <c r="R28" s="935" t="s">
        <v>144</v>
      </c>
      <c r="S28" s="935" t="s">
        <v>145</v>
      </c>
      <c r="T28" s="829"/>
      <c r="U28" s="1308"/>
      <c r="V28" s="1308"/>
    </row>
    <row r="29" spans="1:22"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56"/>
      <c r="R29" s="140">
        <f>ROUND(IF(M7="",R23,R23/M7*P6),2)</f>
        <v>5175</v>
      </c>
      <c r="S29" s="140">
        <f>ROUND(IF(M7="",R24,R24/M7*P6),2)</f>
        <v>7450</v>
      </c>
      <c r="U29" s="950">
        <f>SUM(B29:F29)</f>
        <v>0</v>
      </c>
      <c r="V29" s="950">
        <f>SUM(B29:F29)</f>
        <v>0</v>
      </c>
    </row>
    <row r="30" spans="1:22"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4">SUM(G30:O30)</f>
        <v>0</v>
      </c>
      <c r="Q30" s="456"/>
      <c r="R30" s="140">
        <f>ROUND(IF(M7="",R23,R23/M7*P7),2)</f>
        <v>5175</v>
      </c>
      <c r="S30" s="140">
        <f>ROUND(IF(M7="",R24,R24/M7*P7),2)</f>
        <v>7450</v>
      </c>
      <c r="U30" s="950">
        <f t="shared" ref="U30:U40" si="5">SUM(B30:F30)</f>
        <v>0</v>
      </c>
      <c r="V30" s="950">
        <f>SUM(B29:F30)</f>
        <v>0</v>
      </c>
    </row>
    <row r="31" spans="1:22"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56"/>
      <c r="R31" s="140">
        <f>ROUND(IF(M7="",R23,R23/M7*P8),2)</f>
        <v>5175</v>
      </c>
      <c r="S31" s="140">
        <f>ROUND(IF(M7="",R24,R24/M7*P8),2)</f>
        <v>7450</v>
      </c>
      <c r="U31" s="950">
        <f t="shared" si="5"/>
        <v>0</v>
      </c>
      <c r="V31" s="950">
        <f>SUM(B29:F31)</f>
        <v>0</v>
      </c>
    </row>
    <row r="32" spans="1:22"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56"/>
      <c r="R32" s="140">
        <f>ROUND(IF(M7="",R23,R23/M7*P9),2)</f>
        <v>5175</v>
      </c>
      <c r="S32" s="140">
        <f>ROUND(IF(M7="",R24,R24/M7*P9),2)</f>
        <v>7450</v>
      </c>
      <c r="U32" s="950">
        <f t="shared" si="5"/>
        <v>0</v>
      </c>
      <c r="V32" s="950">
        <f>SUM(B29:F32)</f>
        <v>0</v>
      </c>
    </row>
    <row r="33" spans="1:24"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56"/>
      <c r="R33" s="140">
        <f>ROUND(IF(M7="",R23,R23/M7*P10),2)</f>
        <v>5175</v>
      </c>
      <c r="S33" s="140">
        <f>ROUND(IF(M7="",R24,R24/M7*P10),2)</f>
        <v>7450</v>
      </c>
      <c r="U33" s="950">
        <f t="shared" si="5"/>
        <v>0</v>
      </c>
      <c r="V33" s="950">
        <f>SUM(B29:F33)</f>
        <v>0</v>
      </c>
    </row>
    <row r="34" spans="1:24"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56"/>
      <c r="R34" s="140">
        <f>ROUND(IF(M7="",R23,R23/M7*P11),2)</f>
        <v>5175</v>
      </c>
      <c r="S34" s="140">
        <f>ROUND(IF(M7="",R24,R24/M7*P11),2)</f>
        <v>7450</v>
      </c>
      <c r="U34" s="950">
        <f t="shared" si="5"/>
        <v>0</v>
      </c>
      <c r="V34" s="950">
        <f>SUM(B29:F34)</f>
        <v>0</v>
      </c>
    </row>
    <row r="35" spans="1:24"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56"/>
      <c r="R35" s="140">
        <f>ROUND(IF(M7="",R23,R23/M7*P12),2)</f>
        <v>5175</v>
      </c>
      <c r="S35" s="140">
        <f>ROUND(IF(M7="",R24,R24/M7*P12),2)</f>
        <v>7450</v>
      </c>
      <c r="U35" s="950">
        <f t="shared" si="5"/>
        <v>0</v>
      </c>
      <c r="V35" s="950">
        <f>SUM(B29:F35)</f>
        <v>0</v>
      </c>
    </row>
    <row r="36" spans="1:24"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56"/>
      <c r="R36" s="140">
        <f>ROUND(IF(M7="",R23,R23/M7*P13),2)</f>
        <v>5175</v>
      </c>
      <c r="S36" s="140">
        <f>ROUND(IF(M7="",R24,R24/M7*P13),2)</f>
        <v>7450</v>
      </c>
      <c r="U36" s="950">
        <f t="shared" si="5"/>
        <v>0</v>
      </c>
      <c r="V36" s="950">
        <f>SUM(B29:F36)</f>
        <v>0</v>
      </c>
    </row>
    <row r="37" spans="1:24"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56"/>
      <c r="R37" s="140">
        <f>ROUND(IF(M7="",R23,R23/M7*P14),2)</f>
        <v>5175</v>
      </c>
      <c r="S37" s="140">
        <f>ROUND(IF(M7="",R24,R24/M7*P14),2)</f>
        <v>7450</v>
      </c>
      <c r="U37" s="950">
        <f t="shared" si="5"/>
        <v>0</v>
      </c>
      <c r="V37" s="950">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936"/>
      <c r="R38" s="140">
        <f>ROUND(IF(M7="",R23,R23/M7*P15),2)</f>
        <v>5175</v>
      </c>
      <c r="S38" s="140">
        <f>ROUND(IF(M7="",R24,R24/M7*P15),2)</f>
        <v>7450</v>
      </c>
      <c r="U38" s="950">
        <f t="shared" si="5"/>
        <v>0</v>
      </c>
      <c r="V38" s="950">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40">
        <f>ROUND(IF(M7="",R23,R23/M7*P16),2)</f>
        <v>5175</v>
      </c>
      <c r="S39" s="140">
        <f>ROUND(IF(M7="",R24,R24/M7*P16),2)</f>
        <v>7450</v>
      </c>
      <c r="U39" s="950">
        <f t="shared" si="5"/>
        <v>0</v>
      </c>
      <c r="V39" s="950">
        <f>SUM(B29:F39)</f>
        <v>0</v>
      </c>
      <c r="X39" s="1"/>
    </row>
    <row r="40" spans="1:24"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40">
        <f>ROUND(IF(M7="",R23,R23/M7*P17),2)</f>
        <v>5175</v>
      </c>
      <c r="S40" s="140">
        <f>ROUND(IF(M7="",R24,R24/M7*P17),2)</f>
        <v>7450</v>
      </c>
      <c r="U40" s="950">
        <f t="shared" si="5"/>
        <v>0</v>
      </c>
      <c r="V40" s="950">
        <f>SUM(B29:F40)</f>
        <v>0</v>
      </c>
    </row>
    <row r="41" spans="1:24" ht="15" customHeight="1" x14ac:dyDescent="0.2">
      <c r="A41" s="2" t="s">
        <v>1</v>
      </c>
      <c r="B41" s="25">
        <f>SUM(B29:B40)</f>
        <v>0</v>
      </c>
      <c r="C41" s="25">
        <f t="shared" ref="C41:G41" si="6">SUM(C29:C40)</f>
        <v>0</v>
      </c>
      <c r="D41" s="25">
        <f t="shared" si="6"/>
        <v>0</v>
      </c>
      <c r="E41" s="25">
        <f t="shared" si="6"/>
        <v>0</v>
      </c>
      <c r="F41" s="25">
        <f t="shared" si="6"/>
        <v>0</v>
      </c>
      <c r="G41" s="25">
        <f t="shared" si="6"/>
        <v>0</v>
      </c>
      <c r="H41" s="1309">
        <f>SUM(H29:N40)</f>
        <v>0</v>
      </c>
      <c r="I41" s="1310"/>
      <c r="J41" s="1310"/>
      <c r="K41" s="1310"/>
      <c r="L41" s="1310"/>
      <c r="M41" s="1310"/>
      <c r="N41" s="1311"/>
      <c r="O41" s="25">
        <f>SUM(O29:O40)</f>
        <v>0</v>
      </c>
      <c r="P41" s="25">
        <f>SUM(P29:P40)</f>
        <v>0</v>
      </c>
    </row>
    <row r="42" spans="1:24" ht="12" customHeight="1" x14ac:dyDescent="0.2">
      <c r="A42" s="1"/>
      <c r="B42" s="1"/>
      <c r="C42" s="1"/>
      <c r="D42" s="1"/>
      <c r="E42" s="1"/>
      <c r="F42" s="1"/>
      <c r="G42" s="1"/>
      <c r="H42" s="1"/>
      <c r="I42" s="1"/>
      <c r="J42" s="1"/>
      <c r="K42" s="1"/>
      <c r="L42" s="1"/>
      <c r="M42" s="1"/>
      <c r="N42" s="1"/>
      <c r="O42" s="1"/>
      <c r="P42" s="1"/>
    </row>
    <row r="43" spans="1:24" ht="14.25" customHeight="1" x14ac:dyDescent="0.2">
      <c r="A43" s="1"/>
      <c r="B43" s="906"/>
      <c r="C43" s="1"/>
      <c r="D43" s="1"/>
      <c r="E43" s="1"/>
      <c r="F43" s="1"/>
      <c r="G43" s="1"/>
      <c r="H43" s="905"/>
      <c r="I43" s="62"/>
      <c r="J43" s="914" t="s">
        <v>123</v>
      </c>
      <c r="K43" s="1"/>
      <c r="L43" s="900" t="s">
        <v>124</v>
      </c>
      <c r="M43" s="974" t="str">
        <f>IF(IF(G41=0,"",'päd.Personal - Leitung'!$M$43)=0,"",IF(G41=0,"",'päd.Personal - Leitung'!$M$43))</f>
        <v/>
      </c>
      <c r="N43" s="902" t="s">
        <v>125</v>
      </c>
      <c r="O43" s="963" t="str">
        <f>IF(IF(G41=0,"",'päd.Personal - Leitung'!$O$43)=0,"",IF(G41=0,"",'päd.Personal - Leitung'!$O$43))</f>
        <v/>
      </c>
      <c r="P43" s="25">
        <f>ROUND(IF(M43="",0,G41*M43*O43/1000),2)</f>
        <v>0</v>
      </c>
      <c r="Q43" s="937"/>
      <c r="R43" s="938">
        <v>2025</v>
      </c>
      <c r="S43" s="939"/>
    </row>
    <row r="44" spans="1:24" ht="14.25" customHeight="1" x14ac:dyDescent="0.2">
      <c r="A44" s="1"/>
      <c r="B44" s="1"/>
      <c r="C44" s="1"/>
      <c r="D44" s="1"/>
      <c r="E44" s="1"/>
      <c r="F44" s="1"/>
      <c r="G44" s="1"/>
      <c r="H44" s="907"/>
      <c r="I44" s="42"/>
      <c r="J44" s="1"/>
      <c r="K44" s="1"/>
      <c r="L44" s="1"/>
      <c r="M44" s="915" t="s">
        <v>129</v>
      </c>
      <c r="N44" s="80" t="s">
        <v>125</v>
      </c>
      <c r="O44" s="75" t="str">
        <f>IF(IF(G41=0,"",'päd.Personal - Leitung'!$O$44)=0,"",IF(G41=0,"",'päd.Personal - Leitung'!$O$44))</f>
        <v/>
      </c>
      <c r="P44" s="25">
        <f>ROUND(IF(O44="",0,G41*O44/1000),2)</f>
        <v>0</v>
      </c>
      <c r="Q44" s="942" t="s">
        <v>737</v>
      </c>
      <c r="R44" s="141">
        <f>'päd.Personal - Leitung'!$R$44</f>
        <v>556</v>
      </c>
      <c r="S44" s="955">
        <f>'päd.Personal - Leitung'!$S$44</f>
        <v>12.82</v>
      </c>
    </row>
    <row r="45" spans="1:24" ht="14.25" customHeight="1" x14ac:dyDescent="0.2">
      <c r="A45" s="1"/>
      <c r="B45" s="1"/>
      <c r="C45" s="1"/>
      <c r="D45" s="1"/>
      <c r="E45" s="1"/>
      <c r="F45" s="1"/>
      <c r="G45" s="1"/>
      <c r="H45" s="912" t="s">
        <v>126</v>
      </c>
      <c r="I45" s="960" t="s">
        <v>127</v>
      </c>
      <c r="J45" s="975" t="str">
        <f>IF(IF(G41=0,"",'päd.Personal - Leitung'!$J$45)=0,"",IF(G41=0,"",'päd.Personal - Leitung'!$J$45))</f>
        <v/>
      </c>
      <c r="K45" s="902" t="s">
        <v>128</v>
      </c>
      <c r="L45" s="964" t="str">
        <f>IF(IF(G41=0,"",'päd.Personal - Leitung'!$L$45)=0,"",IF(G41=0,"",'päd.Personal - Leitung'!$L$45))</f>
        <v/>
      </c>
      <c r="M45" s="16"/>
      <c r="N45" s="900" t="s">
        <v>132</v>
      </c>
      <c r="O45" s="965" t="str">
        <f>IF(IF(G41=0,"",'päd.Personal - Leitung'!$O$45)=0,"",IF(G41=0,"",'päd.Personal - Leitung'!$O$45))</f>
        <v/>
      </c>
      <c r="P45" s="25">
        <f>ROUND(IF(J45="",0,(J45*L45/O45)/M9*M10),2)</f>
        <v>0</v>
      </c>
      <c r="Q45" s="942" t="s">
        <v>738</v>
      </c>
      <c r="R45" s="140">
        <f>'päd.Personal - Leitung'!$R$45</f>
        <v>2000</v>
      </c>
      <c r="S45" s="939"/>
    </row>
    <row r="46" spans="1:24" ht="14.25" customHeight="1" x14ac:dyDescent="0.2">
      <c r="A46" s="1"/>
      <c r="B46" s="1"/>
      <c r="C46" s="1"/>
      <c r="D46" s="16"/>
      <c r="E46" s="1"/>
      <c r="F46" s="1"/>
      <c r="G46" s="1"/>
      <c r="H46" s="1"/>
      <c r="I46" s="16"/>
      <c r="J46" s="16"/>
      <c r="K46" s="63"/>
      <c r="L46" s="67"/>
      <c r="M46" s="915" t="s">
        <v>130</v>
      </c>
      <c r="N46" s="80" t="s">
        <v>131</v>
      </c>
      <c r="O46" s="904"/>
      <c r="P46" s="21">
        <f>ROUND(IF(G41=0,0,O46/M7*M8),2)</f>
        <v>0</v>
      </c>
      <c r="Q46" s="942" t="s">
        <v>740</v>
      </c>
      <c r="R46" s="956">
        <f>'päd.Personal - Leitung'!$R$46</f>
        <v>0.40900000000000003</v>
      </c>
    </row>
    <row r="47" spans="1:24" ht="14.25" customHeight="1" x14ac:dyDescent="0.2">
      <c r="A47" s="16"/>
      <c r="B47" s="16"/>
      <c r="C47" s="1"/>
      <c r="D47" s="1"/>
      <c r="E47" s="1"/>
      <c r="F47" s="1"/>
      <c r="G47" s="1"/>
      <c r="H47" s="1"/>
      <c r="I47" s="905"/>
      <c r="J47" s="961" t="s">
        <v>176</v>
      </c>
      <c r="K47" s="1312"/>
      <c r="L47" s="1312"/>
      <c r="M47" s="1312"/>
      <c r="N47" s="80" t="s">
        <v>131</v>
      </c>
      <c r="O47" s="904"/>
      <c r="P47" s="21">
        <f>ROUND(IF(G41=0,0,O47/M7*M8),2)</f>
        <v>0</v>
      </c>
      <c r="Q47" s="942" t="s">
        <v>739</v>
      </c>
      <c r="R47" s="940">
        <f>'päd.Personal - Leitung'!$R$47</f>
        <v>0.68459999999999999</v>
      </c>
      <c r="S47" s="957">
        <f>'päd.Personal - Leitung'!$S$47</f>
        <v>0.28000000000000003</v>
      </c>
    </row>
    <row r="48" spans="1:24" ht="14.25" customHeight="1" x14ac:dyDescent="0.2">
      <c r="A48" s="908"/>
      <c r="B48" s="908"/>
      <c r="C48" s="960"/>
      <c r="D48" s="960"/>
      <c r="E48" s="1"/>
      <c r="F48" s="1"/>
      <c r="G48" s="1"/>
      <c r="H48" s="1"/>
      <c r="I48" s="913"/>
      <c r="J48" s="913"/>
      <c r="K48" s="916"/>
      <c r="L48" s="27"/>
      <c r="M48" s="27"/>
      <c r="N48" s="27"/>
      <c r="O48" s="26" t="s">
        <v>0</v>
      </c>
      <c r="P48" s="25">
        <f>P41+SUM(P43:P47)</f>
        <v>0</v>
      </c>
    </row>
    <row r="49" spans="1:19" s="10" customFormat="1" ht="13.5" customHeight="1" x14ac:dyDescent="0.2">
      <c r="A49" s="1321" t="s">
        <v>17</v>
      </c>
      <c r="B49" s="1321"/>
      <c r="C49" s="1321"/>
      <c r="D49" s="1320" t="str">
        <f>IF('päd.Personal - Leitung'!$D$1="","",'päd.Personal - Leitung'!$D$1)</f>
        <v/>
      </c>
      <c r="E49" s="1320"/>
      <c r="F49" s="1320"/>
      <c r="G49" s="1320"/>
      <c r="H49" s="1320"/>
      <c r="I49" s="1320"/>
      <c r="J49" s="1320"/>
      <c r="K49" s="1320"/>
      <c r="L49" s="1320"/>
      <c r="M49" s="1320"/>
      <c r="N49" s="1320"/>
    </row>
    <row r="50" spans="1:19" s="10" customFormat="1" ht="15" customHeight="1" x14ac:dyDescent="0.2">
      <c r="A50" s="1321" t="s">
        <v>16</v>
      </c>
      <c r="B50" s="1321"/>
      <c r="C50" s="1321" t="s">
        <v>14</v>
      </c>
      <c r="D50" s="1320" t="str">
        <f>IF('päd.Personal - Leitung'!$D$2="","",'päd.Personal - Leitung'!$D$2)</f>
        <v/>
      </c>
      <c r="E50" s="1320"/>
      <c r="F50" s="1320"/>
      <c r="G50" s="1320"/>
      <c r="H50" s="1320"/>
      <c r="I50" s="1320"/>
      <c r="J50" s="1320"/>
      <c r="K50" s="1320"/>
      <c r="L50" s="1320"/>
      <c r="M50" s="1320"/>
      <c r="N50" s="1320"/>
    </row>
    <row r="51" spans="1:19" s="10" customFormat="1" ht="15" customHeight="1" x14ac:dyDescent="0.2">
      <c r="A51" s="1321" t="s">
        <v>15</v>
      </c>
      <c r="B51" s="1321"/>
      <c r="C51" s="1321" t="s">
        <v>14</v>
      </c>
      <c r="D51" s="1320" t="str">
        <f>IF('päd.Personal - Leitung'!$D$3="","",'päd.Personal - Leitung'!$D$3)</f>
        <v/>
      </c>
      <c r="E51" s="1320"/>
      <c r="F51" s="1320"/>
      <c r="G51" s="1320"/>
      <c r="H51" s="1320"/>
      <c r="I51" s="1320"/>
      <c r="J51" s="1320"/>
      <c r="K51" s="1321" t="s">
        <v>100</v>
      </c>
      <c r="L51" s="1321"/>
      <c r="M51" s="1321"/>
      <c r="N51" s="38" t="str">
        <f>IF('päd.Personal - Leitung'!$N$3="","",'päd.Personal - Leitung'!$N$3)</f>
        <v/>
      </c>
    </row>
    <row r="52" spans="1:19" s="923" customFormat="1" ht="7.5" customHeight="1" x14ac:dyDescent="0.15">
      <c r="A52" s="1353"/>
      <c r="B52" s="1353"/>
      <c r="C52" s="1353"/>
      <c r="D52" s="1354"/>
      <c r="E52" s="1354"/>
      <c r="F52" s="1354"/>
      <c r="G52" s="1354"/>
      <c r="H52" s="1354"/>
      <c r="I52" s="1354"/>
      <c r="J52" s="1354"/>
      <c r="K52" s="922"/>
      <c r="L52" s="922"/>
      <c r="M52" s="922"/>
      <c r="N52" s="922"/>
      <c r="O52" s="922"/>
      <c r="P52" s="922"/>
    </row>
    <row r="53" spans="1:19" s="13" customFormat="1" ht="13.5" customHeight="1" x14ac:dyDescent="0.2">
      <c r="A53" s="1355" t="s">
        <v>750</v>
      </c>
      <c r="B53" s="1355"/>
      <c r="C53" s="1355"/>
      <c r="D53" s="1355"/>
      <c r="E53" s="1355"/>
      <c r="F53" s="1355"/>
      <c r="G53" s="1355"/>
      <c r="H53" s="1355"/>
      <c r="I53" s="1355"/>
      <c r="J53" s="1355"/>
      <c r="K53" s="7"/>
      <c r="L53" s="7"/>
      <c r="M53" s="7"/>
      <c r="N53" s="52"/>
      <c r="O53" s="138">
        <f>'päd.Personal - Leitung'!$O$5</f>
        <v>2025</v>
      </c>
      <c r="P53" s="52" t="s">
        <v>140</v>
      </c>
    </row>
    <row r="54" spans="1:19" s="8" customFormat="1" ht="13.5" customHeight="1" x14ac:dyDescent="0.25">
      <c r="B54" s="29"/>
      <c r="C54" s="29"/>
      <c r="D54" s="3" t="s">
        <v>22</v>
      </c>
      <c r="E54" s="28"/>
      <c r="F54" s="28"/>
      <c r="G54" s="28"/>
      <c r="H54" s="28"/>
      <c r="I54" s="24"/>
      <c r="K54" s="1327" t="s">
        <v>13</v>
      </c>
      <c r="L54" s="1327"/>
      <c r="M54" s="131"/>
      <c r="O54" s="928" t="str">
        <f>A77</f>
        <v>Jan 2025</v>
      </c>
      <c r="P54" s="1402">
        <f>IF(M56="","",M56)</f>
        <v>0</v>
      </c>
    </row>
    <row r="55" spans="1:19" s="5" customFormat="1" ht="13.5" customHeight="1" x14ac:dyDescent="0.25">
      <c r="A55" s="1328" t="s">
        <v>754</v>
      </c>
      <c r="B55" s="1328"/>
      <c r="C55" s="1328"/>
      <c r="D55" s="1345"/>
      <c r="E55" s="1345"/>
      <c r="F55" s="1345"/>
      <c r="G55" s="1345"/>
      <c r="H55" s="1345"/>
      <c r="I55" s="1345"/>
      <c r="K55" s="1327" t="s">
        <v>101</v>
      </c>
      <c r="L55" s="1327"/>
      <c r="M55" s="101"/>
      <c r="O55" s="928" t="str">
        <f t="shared" ref="O55:O65" si="7">A78</f>
        <v>Feb 2025</v>
      </c>
      <c r="P55" s="1403">
        <f t="shared" ref="P55:P65" si="8">IF(P54="","",P54)</f>
        <v>0</v>
      </c>
    </row>
    <row r="56" spans="1:19" ht="13.5" customHeight="1" x14ac:dyDescent="0.2">
      <c r="A56" s="1328" t="s">
        <v>12</v>
      </c>
      <c r="B56" s="1328"/>
      <c r="C56" s="1328"/>
      <c r="D56" s="1345"/>
      <c r="E56" s="1345"/>
      <c r="F56" s="1345"/>
      <c r="G56" s="1345"/>
      <c r="H56" s="1345"/>
      <c r="I56" s="1345"/>
      <c r="J56" s="1"/>
      <c r="K56" s="1327" t="s">
        <v>149</v>
      </c>
      <c r="L56" s="1327"/>
      <c r="M56" s="101">
        <f>IF((M57+M58)&gt;M55,0,M55-M57-M58)</f>
        <v>0</v>
      </c>
      <c r="N56" s="1"/>
      <c r="O56" s="928" t="str">
        <f t="shared" si="7"/>
        <v>Mrz 2025</v>
      </c>
      <c r="P56" s="1403">
        <f t="shared" si="8"/>
        <v>0</v>
      </c>
    </row>
    <row r="57" spans="1:19" ht="13.5" customHeight="1" x14ac:dyDescent="0.2">
      <c r="A57" s="1328" t="s">
        <v>11</v>
      </c>
      <c r="B57" s="1328"/>
      <c r="C57" s="1328"/>
      <c r="D57" s="1345"/>
      <c r="E57" s="1345"/>
      <c r="F57" s="1345"/>
      <c r="G57" s="1345"/>
      <c r="H57" s="1345"/>
      <c r="I57" s="1345"/>
      <c r="J57" s="1"/>
      <c r="K57" s="1327" t="s">
        <v>150</v>
      </c>
      <c r="L57" s="1327"/>
      <c r="M57" s="101"/>
      <c r="N57" s="1"/>
      <c r="O57" s="928" t="str">
        <f t="shared" si="7"/>
        <v>Apr 2025</v>
      </c>
      <c r="P57" s="1403">
        <f t="shared" si="8"/>
        <v>0</v>
      </c>
    </row>
    <row r="58" spans="1:19" ht="13.5" customHeight="1" x14ac:dyDescent="0.2">
      <c r="A58" s="1328" t="s">
        <v>18</v>
      </c>
      <c r="B58" s="1328"/>
      <c r="C58" s="1328"/>
      <c r="D58" s="1345"/>
      <c r="E58" s="1345"/>
      <c r="F58" s="1345"/>
      <c r="G58" s="1345"/>
      <c r="H58" s="1345"/>
      <c r="I58" s="1345"/>
      <c r="J58" s="1"/>
      <c r="K58" s="1327" t="s">
        <v>222</v>
      </c>
      <c r="L58" s="1327"/>
      <c r="M58" s="101"/>
      <c r="N58" s="1"/>
      <c r="O58" s="928" t="str">
        <f t="shared" si="7"/>
        <v>Mai 2025</v>
      </c>
      <c r="P58" s="1403">
        <f t="shared" si="8"/>
        <v>0</v>
      </c>
    </row>
    <row r="59" spans="1:19" ht="13.5" customHeight="1" x14ac:dyDescent="0.2">
      <c r="A59" s="1"/>
      <c r="B59" s="6"/>
      <c r="C59" s="1029" t="s">
        <v>147</v>
      </c>
      <c r="D59" s="1324"/>
      <c r="E59" s="1324"/>
      <c r="F59" s="1359" t="s">
        <v>103</v>
      </c>
      <c r="G59" s="1359"/>
      <c r="H59" s="1361"/>
      <c r="I59" s="1361"/>
      <c r="J59" s="1"/>
      <c r="K59" s="1327" t="s">
        <v>94</v>
      </c>
      <c r="L59" s="1327"/>
      <c r="M59" s="15" t="str">
        <f>IF(IF((COUNTIF(B77:B88,"&gt;0"))=0,0,(COUNTIF(B77:B88,"&gt;0")))&gt;Grundlagen!$C$26,Grundlagen!$C$26,IF((COUNTIF(B77:B88,"&gt;0"))=0,"",(COUNTIF(B77:B88,"&gt;0"))))</f>
        <v/>
      </c>
      <c r="N59" s="1"/>
      <c r="O59" s="928" t="str">
        <f t="shared" si="7"/>
        <v>Jun 2025</v>
      </c>
      <c r="P59" s="1403">
        <f t="shared" si="8"/>
        <v>0</v>
      </c>
    </row>
    <row r="60" spans="1:19" ht="13.5" customHeight="1" x14ac:dyDescent="0.2">
      <c r="A60" s="1"/>
      <c r="B60" s="1"/>
      <c r="C60" s="1"/>
      <c r="D60" s="1"/>
      <c r="E60" s="1"/>
      <c r="F60" s="1"/>
      <c r="G60" s="1"/>
      <c r="H60" s="1"/>
      <c r="I60" s="4"/>
      <c r="J60" s="1"/>
      <c r="K60" s="1"/>
      <c r="L60" s="1"/>
      <c r="M60" s="102" t="str">
        <f>IF((SUM(F62:F65))=0,"",IF(P66&gt;M56,M56,IF(M56="","",IF(M59="","",P66))))</f>
        <v/>
      </c>
      <c r="N60" s="1"/>
      <c r="O60" s="928" t="str">
        <f t="shared" si="7"/>
        <v>Jul 2025</v>
      </c>
      <c r="P60" s="1403">
        <f t="shared" si="8"/>
        <v>0</v>
      </c>
    </row>
    <row r="61" spans="1:19" s="46" customFormat="1" ht="13.5" customHeight="1" x14ac:dyDescent="0.2">
      <c r="A61" s="54" t="s">
        <v>134</v>
      </c>
      <c r="B61" s="1356" t="s">
        <v>135</v>
      </c>
      <c r="C61" s="1356"/>
      <c r="D61" s="55" t="s">
        <v>136</v>
      </c>
      <c r="E61" s="56" t="s">
        <v>137</v>
      </c>
      <c r="F61" s="57" t="str">
        <f>CONCATENATE("Entg. ",N51," h/Wo")</f>
        <v>Entg.  h/Wo</v>
      </c>
      <c r="G61" s="58" t="s">
        <v>138</v>
      </c>
      <c r="I61" s="58" t="s">
        <v>139</v>
      </c>
      <c r="K61" s="970"/>
      <c r="L61" s="970"/>
      <c r="M61" s="59"/>
      <c r="N61" s="968"/>
      <c r="O61" s="928" t="str">
        <f t="shared" si="7"/>
        <v>Aug 2025</v>
      </c>
      <c r="P61" s="1403">
        <f t="shared" si="8"/>
        <v>0</v>
      </c>
      <c r="Q61" s="85"/>
      <c r="R61" s="85"/>
      <c r="S61" s="85"/>
    </row>
    <row r="62" spans="1:19" s="46" customFormat="1" ht="13.5" customHeight="1" x14ac:dyDescent="0.25">
      <c r="A62" s="48" t="str">
        <f>'päd.Personal - Leitung'!$A$14</f>
        <v>Jan 2025</v>
      </c>
      <c r="B62" s="1357" t="str">
        <f>IF($D$3="","",$D$3)</f>
        <v/>
      </c>
      <c r="C62" s="1358"/>
      <c r="D62" s="132"/>
      <c r="E62" s="132"/>
      <c r="F62" s="71"/>
      <c r="G62" s="50">
        <f>IF(N51="",0,F62/N51/4.348)</f>
        <v>0</v>
      </c>
      <c r="I62" s="125">
        <f>SUM(J62:M62)</f>
        <v>0</v>
      </c>
      <c r="J62" s="124"/>
      <c r="K62" s="124"/>
      <c r="L62" s="124"/>
      <c r="M62" s="124"/>
      <c r="N62" s="969"/>
      <c r="O62" s="928" t="str">
        <f t="shared" si="7"/>
        <v>Sep 2025</v>
      </c>
      <c r="P62" s="1403">
        <f t="shared" si="8"/>
        <v>0</v>
      </c>
      <c r="Q62" s="85"/>
      <c r="R62" s="85"/>
      <c r="S62" s="85"/>
    </row>
    <row r="63" spans="1:19" s="46" customFormat="1" ht="13.5" customHeight="1" x14ac:dyDescent="0.25">
      <c r="A63" s="49"/>
      <c r="B63" s="1322" t="str">
        <f>IF(A63="","",B62)</f>
        <v/>
      </c>
      <c r="C63" s="1323"/>
      <c r="D63" s="132"/>
      <c r="E63" s="132"/>
      <c r="F63" s="71"/>
      <c r="G63" s="50">
        <f>IF(N51="",0,F63/N51/4.348)</f>
        <v>0</v>
      </c>
      <c r="I63" s="125">
        <f t="shared" ref="I63:I65" si="9">SUM(J63:M63)</f>
        <v>0</v>
      </c>
      <c r="J63" s="124"/>
      <c r="K63" s="124"/>
      <c r="L63" s="124"/>
      <c r="M63" s="124"/>
      <c r="N63" s="969"/>
      <c r="O63" s="928" t="str">
        <f t="shared" si="7"/>
        <v>Okt 2025</v>
      </c>
      <c r="P63" s="1403">
        <f t="shared" si="8"/>
        <v>0</v>
      </c>
      <c r="Q63" s="85"/>
      <c r="R63" s="85"/>
      <c r="S63" s="85"/>
    </row>
    <row r="64" spans="1:19" s="46" customFormat="1" ht="13.5" customHeight="1" x14ac:dyDescent="0.25">
      <c r="A64" s="49"/>
      <c r="B64" s="1322" t="str">
        <f>IF(A64="","",B63)</f>
        <v/>
      </c>
      <c r="C64" s="1323"/>
      <c r="D64" s="132"/>
      <c r="E64" s="132"/>
      <c r="F64" s="71"/>
      <c r="G64" s="50">
        <f>IF(N51="",0,F64/N51/4.348)</f>
        <v>0</v>
      </c>
      <c r="I64" s="125">
        <f t="shared" si="9"/>
        <v>0</v>
      </c>
      <c r="J64" s="124"/>
      <c r="K64" s="124"/>
      <c r="L64" s="124"/>
      <c r="M64" s="124"/>
      <c r="N64" s="969"/>
      <c r="O64" s="928" t="str">
        <f t="shared" si="7"/>
        <v>Nov 2025</v>
      </c>
      <c r="P64" s="1403">
        <f t="shared" si="8"/>
        <v>0</v>
      </c>
      <c r="Q64" s="85"/>
      <c r="R64" s="85"/>
      <c r="S64" s="85"/>
    </row>
    <row r="65" spans="1:22" s="46" customFormat="1" ht="13.5" customHeight="1" x14ac:dyDescent="0.25">
      <c r="A65" s="49"/>
      <c r="B65" s="1322" t="str">
        <f>IF(A65="","",B64)</f>
        <v/>
      </c>
      <c r="C65" s="1323"/>
      <c r="D65" s="132"/>
      <c r="E65" s="132"/>
      <c r="F65" s="71"/>
      <c r="G65" s="50">
        <f>IF(N51="",0,F65/N51/4.348)</f>
        <v>0</v>
      </c>
      <c r="I65" s="125">
        <f t="shared" si="9"/>
        <v>0</v>
      </c>
      <c r="J65" s="124"/>
      <c r="K65" s="124"/>
      <c r="L65" s="124"/>
      <c r="M65" s="124"/>
      <c r="N65" s="969"/>
      <c r="O65" s="928" t="str">
        <f t="shared" si="7"/>
        <v>Dez 2025</v>
      </c>
      <c r="P65" s="1403">
        <f t="shared" si="8"/>
        <v>0</v>
      </c>
      <c r="Q65" s="85"/>
      <c r="R65" s="85"/>
      <c r="S65" s="85"/>
    </row>
    <row r="66" spans="1:22" s="46" customFormat="1" ht="13.5" customHeight="1" x14ac:dyDescent="0.25">
      <c r="B66" s="972"/>
      <c r="C66" s="972"/>
      <c r="E66" s="972"/>
      <c r="F66" s="972"/>
      <c r="I66" s="930" t="s">
        <v>730</v>
      </c>
      <c r="J66" s="1052"/>
      <c r="K66" s="1052"/>
      <c r="L66" s="1052"/>
      <c r="M66" s="1052"/>
      <c r="N66" s="971"/>
      <c r="O66" s="126" t="s">
        <v>221</v>
      </c>
      <c r="P66" s="127">
        <f>IF(M59="",0,((IF(SUMIF(B77,"&gt;0"),P54,0))+(IF(SUMIF(B78,"&gt;0"),P55,0))+(IF(SUMIF(B79,"&gt;0"),P56,0))+(IF(SUMIF(B80,"&gt;0"),P57,0))+(IF(SUMIF(B81,"&gt;0"),P58,0))+(IF(SUMIF(B82,"&gt;0"),P59,0))+(IF(SUMIF(B83,"&gt;0"),P60,0))+(IF(SUMIF(B84,"&gt;0"),P61,0))+(IF(SUMIF(B85,"&gt;0"),P62,0))+(IF(SUMIF(B86,"&gt;0"),P63,0))+(IF(SUMIF(B87,"&gt;0"),P64,0))+(IF(SUMIF(B88,"&gt;0"),P65,0)))/Grundlagen!$C$26)</f>
        <v>0</v>
      </c>
      <c r="Q66" s="958" t="str">
        <f>CONCATENATE("BBG"," anteilig ",O68)</f>
        <v>BBG anteilig 2025</v>
      </c>
      <c r="R66" s="931" t="s">
        <v>659</v>
      </c>
      <c r="S66" s="931" t="s">
        <v>398</v>
      </c>
      <c r="T66" s="107"/>
    </row>
    <row r="67" spans="1:22" s="46" customFormat="1" ht="13.5" customHeight="1" x14ac:dyDescent="0.2">
      <c r="A67" s="924" t="s">
        <v>732</v>
      </c>
      <c r="D67" s="55" t="s">
        <v>369</v>
      </c>
      <c r="E67" s="56" t="s">
        <v>368</v>
      </c>
      <c r="F67" s="58"/>
      <c r="J67" s="61"/>
      <c r="Q67" s="932" t="s">
        <v>144</v>
      </c>
      <c r="R67" s="140">
        <f>IF(M56=0,R71,IF(M55="",R71,(SUM(R77:R88)/M59)))</f>
        <v>5175</v>
      </c>
      <c r="S67" s="933">
        <f>IF(M56=0,S71,IF(M55="",S71,SUM(R77:R88)))</f>
        <v>0</v>
      </c>
      <c r="T67" s="107"/>
    </row>
    <row r="68" spans="1:22" s="46" customFormat="1" ht="13.5" customHeight="1" x14ac:dyDescent="0.25">
      <c r="A68" s="60"/>
      <c r="B68" s="1314" t="str">
        <f>IF($B$20="","",$B$20)</f>
        <v>Jahressonderzahlung (JSZ)</v>
      </c>
      <c r="C68" s="1315"/>
      <c r="D68" s="926"/>
      <c r="E68" s="929" t="str">
        <f>IF(A68="","",ROUND((((SUM(B83:B85)+SUM(F83:F85))/3)*D68)/Grundlagen!$C$26*M59,2))</f>
        <v/>
      </c>
      <c r="G68" s="941" t="s">
        <v>733</v>
      </c>
      <c r="H68" s="943"/>
      <c r="I68" s="1316" t="str">
        <f>CONCATENATE(R91,":"," Übergangsbereich von ",R92+0.01," €"," bis ",R93," €")</f>
        <v>2025: Übergangsbereich von 556,01 € bis 2000 €</v>
      </c>
      <c r="J68" s="1317"/>
      <c r="K68" s="1317"/>
      <c r="L68" s="1067"/>
      <c r="M68" s="1067"/>
      <c r="N68" s="1068" t="s">
        <v>736</v>
      </c>
      <c r="O68" s="1069">
        <f>P68+1</f>
        <v>2025</v>
      </c>
      <c r="P68" s="1069" t="s">
        <v>721</v>
      </c>
      <c r="Q68" s="932" t="s">
        <v>145</v>
      </c>
      <c r="R68" s="140">
        <f>IF(M56=0,R72,IF(M55="",R72,(SUM(S77:S88)/M59)))</f>
        <v>7450</v>
      </c>
      <c r="S68" s="933">
        <f>IF(M56=0,S72,IF(M55="",S72,SUM(S77:S88)))</f>
        <v>0</v>
      </c>
      <c r="T68" s="109"/>
    </row>
    <row r="69" spans="1:22" ht="14.25" customHeight="1" x14ac:dyDescent="0.2">
      <c r="A69" s="60"/>
      <c r="B69" s="1314" t="str">
        <f>IF($B$21="","",$B$21)</f>
        <v>Leistungsentgelt (LOB)</v>
      </c>
      <c r="C69" s="1315"/>
      <c r="D69" s="926"/>
      <c r="E69" s="929" t="str">
        <f>IF(A69="","",ROUND(((B89+F89)*D69)/Grundlagen!$C$26*M59,2))</f>
        <v/>
      </c>
      <c r="F69" s="1"/>
      <c r="G69" s="941" t="str">
        <f>IF(OR(H68="",H68="nein")=TRUE,"","Faktor (F):")</f>
        <v/>
      </c>
      <c r="H69" s="949" t="str">
        <f>IF(OR(H68="",H68="nein")=TRUE,"",IF(H68="","",R95))</f>
        <v/>
      </c>
      <c r="I69" s="1318" t="str">
        <f>IF(OR(H68="",H68="nein")=TRUE,"",IF(H69="","",CONCATENATE(S95*100,"%"," / ","(",R94*100,"%"," Gesamt-SV-Beitragssatz 2024)")))</f>
        <v/>
      </c>
      <c r="J69" s="1319"/>
      <c r="K69" s="1319"/>
      <c r="L69" s="1070"/>
      <c r="M69" s="1070"/>
      <c r="N69" s="1071" t="s">
        <v>144</v>
      </c>
      <c r="O69" s="1072">
        <f>'päd.Personal - Leitung'!$O$21</f>
        <v>5175</v>
      </c>
      <c r="P69" s="1072">
        <f>'päd.Personal - Leitung'!$P$21</f>
        <v>5175</v>
      </c>
      <c r="Q69" s="11"/>
      <c r="R69" s="11"/>
      <c r="S69" s="11"/>
      <c r="T69" s="109"/>
    </row>
    <row r="70" spans="1:22" ht="14.25" customHeight="1" x14ac:dyDescent="0.2">
      <c r="A70" s="1"/>
      <c r="B70" s="1"/>
      <c r="C70" s="925" t="s">
        <v>731</v>
      </c>
      <c r="D70" s="1"/>
      <c r="E70" s="1"/>
      <c r="F70" s="1"/>
      <c r="G70" s="1"/>
      <c r="H70" s="1"/>
      <c r="I70" s="1"/>
      <c r="J70" s="1"/>
      <c r="K70" s="1"/>
      <c r="L70" s="1070"/>
      <c r="M70" s="1070"/>
      <c r="N70" s="1071" t="s">
        <v>145</v>
      </c>
      <c r="O70" s="1073">
        <f>'päd.Personal - Leitung'!$O$22</f>
        <v>7450</v>
      </c>
      <c r="P70" s="1073">
        <f>'päd.Personal - Leitung'!$P$22</f>
        <v>7450</v>
      </c>
      <c r="Q70" s="958" t="str">
        <f>CONCATENATE("BBG"," ",O68)</f>
        <v>BBG 2025</v>
      </c>
      <c r="R70" s="11"/>
      <c r="S70" s="11"/>
      <c r="T70" s="109"/>
    </row>
    <row r="71" spans="1:22" ht="14.25" customHeight="1" x14ac:dyDescent="0.2">
      <c r="A71" s="53" t="s">
        <v>141</v>
      </c>
      <c r="B71" s="46"/>
      <c r="C71" s="46"/>
      <c r="D71" s="46"/>
      <c r="E71" s="46"/>
      <c r="F71" s="46"/>
      <c r="G71" s="46"/>
      <c r="H71" s="46"/>
      <c r="I71" s="46"/>
      <c r="J71" s="46"/>
      <c r="K71" s="46"/>
      <c r="L71" s="46"/>
      <c r="M71" s="46"/>
      <c r="N71" s="46"/>
      <c r="O71" s="46"/>
      <c r="P71" s="46"/>
      <c r="Q71" s="932" t="s">
        <v>144</v>
      </c>
      <c r="R71" s="141">
        <f>IF($O$21="",0,$O$21)</f>
        <v>5175</v>
      </c>
      <c r="S71" s="933">
        <f>R71*IF(M59="",0,M59)</f>
        <v>0</v>
      </c>
      <c r="T71" s="295"/>
    </row>
    <row r="72" spans="1:22" ht="14.25" customHeight="1" x14ac:dyDescent="0.2">
      <c r="A72" s="1346"/>
      <c r="B72" s="1348" t="s">
        <v>8</v>
      </c>
      <c r="C72" s="1349"/>
      <c r="D72" s="1349"/>
      <c r="E72" s="1349"/>
      <c r="F72" s="1349"/>
      <c r="G72" s="1350"/>
      <c r="H72" s="1351" t="s">
        <v>113</v>
      </c>
      <c r="I72" s="1352"/>
      <c r="J72" s="1352"/>
      <c r="K72" s="1352"/>
      <c r="L72" s="1352"/>
      <c r="M72" s="1352"/>
      <c r="N72" s="1352"/>
      <c r="O72" s="30"/>
      <c r="P72" s="1330" t="s">
        <v>0</v>
      </c>
      <c r="Q72" s="932" t="s">
        <v>145</v>
      </c>
      <c r="R72" s="141">
        <f>IF($O$22="",0,$O$22)</f>
        <v>7450</v>
      </c>
      <c r="S72" s="933">
        <f>R72*IF(M59="",0,M59)</f>
        <v>0</v>
      </c>
      <c r="T72" s="830"/>
    </row>
    <row r="73" spans="1:22" ht="14.25" customHeight="1" x14ac:dyDescent="0.2">
      <c r="A73" s="1347"/>
      <c r="B73" s="1333" t="s">
        <v>111</v>
      </c>
      <c r="C73" s="1335" t="s">
        <v>743</v>
      </c>
      <c r="D73" s="1337" t="s">
        <v>226</v>
      </c>
      <c r="E73" s="1339" t="s">
        <v>133</v>
      </c>
      <c r="F73" s="1030" t="s">
        <v>6</v>
      </c>
      <c r="G73" s="1340" t="s">
        <v>5</v>
      </c>
      <c r="H73" s="1339" t="s">
        <v>119</v>
      </c>
      <c r="I73" s="1339" t="s">
        <v>4</v>
      </c>
      <c r="J73" s="1339" t="s">
        <v>3</v>
      </c>
      <c r="K73" s="1339" t="s">
        <v>2</v>
      </c>
      <c r="L73" s="1339" t="s">
        <v>114</v>
      </c>
      <c r="M73" s="1339" t="s">
        <v>115</v>
      </c>
      <c r="N73" s="1339" t="s">
        <v>116</v>
      </c>
      <c r="O73" s="1338" t="s">
        <v>109</v>
      </c>
      <c r="P73" s="1331"/>
      <c r="Q73" s="456"/>
      <c r="R73" s="11"/>
      <c r="S73" s="11"/>
      <c r="T73" s="621"/>
    </row>
    <row r="74" spans="1:22" ht="14.25" customHeight="1" x14ac:dyDescent="0.2">
      <c r="A74" s="1347"/>
      <c r="B74" s="1333"/>
      <c r="C74" s="1335"/>
      <c r="D74" s="1338"/>
      <c r="E74" s="1339"/>
      <c r="F74" s="1343" t="str">
        <f>I66</f>
        <v>Zuschläge / Zulagen / o.ä.:</v>
      </c>
      <c r="G74" s="1340"/>
      <c r="H74" s="1342" t="s">
        <v>117</v>
      </c>
      <c r="I74" s="1342"/>
      <c r="J74" s="1342"/>
      <c r="K74" s="1342"/>
      <c r="L74" s="1342"/>
      <c r="M74" s="1342"/>
      <c r="N74" s="1342"/>
      <c r="O74" s="1338"/>
      <c r="P74" s="1331"/>
      <c r="Q74" s="456"/>
      <c r="R74" s="1306" t="str">
        <f>Q66</f>
        <v>BBG anteilig 2025</v>
      </c>
      <c r="S74" s="1306"/>
      <c r="T74" s="829"/>
    </row>
    <row r="75" spans="1:22" ht="14.25" customHeight="1" x14ac:dyDescent="0.2">
      <c r="A75" s="1347"/>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c r="Q75" s="456"/>
      <c r="R75" s="1307" t="s">
        <v>659</v>
      </c>
      <c r="S75" s="1307"/>
      <c r="T75" s="829"/>
      <c r="U75" s="1308" t="s">
        <v>1</v>
      </c>
      <c r="V75" s="1308" t="s">
        <v>741</v>
      </c>
    </row>
    <row r="76" spans="1:22" x14ac:dyDescent="0.2">
      <c r="A76" s="1347"/>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c r="Q76" s="456"/>
      <c r="R76" s="935" t="s">
        <v>144</v>
      </c>
      <c r="S76" s="935" t="s">
        <v>145</v>
      </c>
      <c r="T76" s="829"/>
      <c r="U76" s="1308"/>
      <c r="V76" s="1308"/>
    </row>
    <row r="77" spans="1:22"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56"/>
      <c r="R77" s="140">
        <f>ROUND(IF(M55="",R71,R71/M55*P54),2)</f>
        <v>5175</v>
      </c>
      <c r="S77" s="140">
        <f>ROUND(IF(M55="",R72,R72/M55*P54),2)</f>
        <v>7450</v>
      </c>
      <c r="U77" s="950">
        <f>SUM(B77:F77)</f>
        <v>0</v>
      </c>
      <c r="V77" s="950">
        <f>SUM(B77:F77)</f>
        <v>0</v>
      </c>
    </row>
    <row r="78" spans="1:22"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1">SUM(G78:O78)</f>
        <v>0</v>
      </c>
      <c r="Q78" s="456"/>
      <c r="R78" s="140">
        <f>ROUND(IF(M55="",R71,R71/M55*P55),2)</f>
        <v>5175</v>
      </c>
      <c r="S78" s="140">
        <f>ROUND(IF(M55="",R72,R72/M55*P55),2)</f>
        <v>7450</v>
      </c>
      <c r="U78" s="950">
        <f t="shared" ref="U78:U88" si="12">SUM(B78:F78)</f>
        <v>0</v>
      </c>
      <c r="V78" s="950">
        <f>SUM(B77:F78)</f>
        <v>0</v>
      </c>
    </row>
    <row r="79" spans="1:22"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56"/>
      <c r="R79" s="140">
        <f>ROUND(IF(M55="",R71,R71/M55*P56),2)</f>
        <v>5175</v>
      </c>
      <c r="S79" s="140">
        <f>ROUND(IF(M55="",R72,R72/M55*P56),2)</f>
        <v>7450</v>
      </c>
      <c r="U79" s="950">
        <f t="shared" si="12"/>
        <v>0</v>
      </c>
      <c r="V79" s="950">
        <f>SUM(B77:F79)</f>
        <v>0</v>
      </c>
    </row>
    <row r="80" spans="1:22"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56"/>
      <c r="R80" s="140">
        <f>ROUND(IF(M55="",R71,R71/M55*P57),2)</f>
        <v>5175</v>
      </c>
      <c r="S80" s="140">
        <f>ROUND(IF(M55="",R72,R72/M55*P57),2)</f>
        <v>7450</v>
      </c>
      <c r="U80" s="950">
        <f t="shared" si="12"/>
        <v>0</v>
      </c>
      <c r="V80" s="950">
        <f>SUM(B77:F80)</f>
        <v>0</v>
      </c>
    </row>
    <row r="81" spans="1:24"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56"/>
      <c r="R81" s="140">
        <f>ROUND(IF(M55="",R71,R71/M55*P58),2)</f>
        <v>5175</v>
      </c>
      <c r="S81" s="140">
        <f>ROUND(IF(M55="",R72,R72/M55*P58),2)</f>
        <v>7450</v>
      </c>
      <c r="U81" s="950">
        <f t="shared" si="12"/>
        <v>0</v>
      </c>
      <c r="V81" s="950">
        <f>SUM(B77:F81)</f>
        <v>0</v>
      </c>
    </row>
    <row r="82" spans="1:24"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56"/>
      <c r="R82" s="140">
        <f>ROUND(IF(M55="",R71,R71/M55*P59),2)</f>
        <v>5175</v>
      </c>
      <c r="S82" s="140">
        <f>ROUND(IF(M55="",R72,R72/M55*P59),2)</f>
        <v>7450</v>
      </c>
      <c r="U82" s="950">
        <f t="shared" si="12"/>
        <v>0</v>
      </c>
      <c r="V82" s="950">
        <f>SUM(B77:F82)</f>
        <v>0</v>
      </c>
    </row>
    <row r="83" spans="1:24"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56"/>
      <c r="R83" s="140">
        <f>ROUND(IF(M55="",R71,R71/M55*P60),2)</f>
        <v>5175</v>
      </c>
      <c r="S83" s="140">
        <f>ROUND(IF(M55="",R72,R72/M55*P60),2)</f>
        <v>7450</v>
      </c>
      <c r="U83" s="950">
        <f t="shared" si="12"/>
        <v>0</v>
      </c>
      <c r="V83" s="950">
        <f>SUM(B77:F83)</f>
        <v>0</v>
      </c>
    </row>
    <row r="84" spans="1:24"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56"/>
      <c r="R84" s="140">
        <f>ROUND(IF(M55="",R71,R71/M55*P61),2)</f>
        <v>5175</v>
      </c>
      <c r="S84" s="140">
        <f>ROUND(IF(M55="",R72,R72/M55*P61),2)</f>
        <v>7450</v>
      </c>
      <c r="U84" s="950">
        <f t="shared" si="12"/>
        <v>0</v>
      </c>
      <c r="V84" s="950">
        <f>SUM(B77:F84)</f>
        <v>0</v>
      </c>
    </row>
    <row r="85" spans="1:24"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56"/>
      <c r="R85" s="140">
        <f>ROUND(IF(M55="",R71,R71/M55*P62),2)</f>
        <v>5175</v>
      </c>
      <c r="S85" s="140">
        <f>ROUND(IF(M55="",R72,R72/M55*P62),2)</f>
        <v>7450</v>
      </c>
      <c r="U85" s="950">
        <f t="shared" si="12"/>
        <v>0</v>
      </c>
      <c r="V85" s="950">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936"/>
      <c r="R86" s="140">
        <f>ROUND(IF(M55="",R71,R71/M55*P63),2)</f>
        <v>5175</v>
      </c>
      <c r="S86" s="140">
        <f>ROUND(IF(M55="",R72,R72/M55*P63),2)</f>
        <v>7450</v>
      </c>
      <c r="U86" s="950">
        <f t="shared" si="12"/>
        <v>0</v>
      </c>
      <c r="V86" s="950">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40">
        <f>ROUND(IF(M55="",R71,R71/M55*P64),2)</f>
        <v>5175</v>
      </c>
      <c r="S87" s="140">
        <f>ROUND(IF(M55="",R72,R72/M55*P64),2)</f>
        <v>7450</v>
      </c>
      <c r="U87" s="950">
        <f t="shared" si="12"/>
        <v>0</v>
      </c>
      <c r="V87" s="950">
        <f>SUM(B77:F87)</f>
        <v>0</v>
      </c>
      <c r="X87" s="1"/>
    </row>
    <row r="88" spans="1:24"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40">
        <f>ROUND(IF(M55="",R71,R71/M55*P65),2)</f>
        <v>5175</v>
      </c>
      <c r="S88" s="140">
        <f>ROUND(IF(M55="",R72,R72/M55*P65),2)</f>
        <v>7450</v>
      </c>
      <c r="U88" s="950">
        <f t="shared" si="12"/>
        <v>0</v>
      </c>
      <c r="V88" s="950">
        <f>SUM(B77:F88)</f>
        <v>0</v>
      </c>
    </row>
    <row r="89" spans="1:24" ht="15" customHeight="1" x14ac:dyDescent="0.2">
      <c r="A89" s="2" t="s">
        <v>1</v>
      </c>
      <c r="B89" s="25">
        <f t="shared" ref="B89:G89" si="13">SUM(B77:B88)</f>
        <v>0</v>
      </c>
      <c r="C89" s="25">
        <f t="shared" si="13"/>
        <v>0</v>
      </c>
      <c r="D89" s="25">
        <f t="shared" si="13"/>
        <v>0</v>
      </c>
      <c r="E89" s="25">
        <f t="shared" si="13"/>
        <v>0</v>
      </c>
      <c r="F89" s="25">
        <f t="shared" si="13"/>
        <v>0</v>
      </c>
      <c r="G89" s="25">
        <f t="shared" si="13"/>
        <v>0</v>
      </c>
      <c r="H89" s="1309">
        <f>SUM(H77:N88)</f>
        <v>0</v>
      </c>
      <c r="I89" s="1310"/>
      <c r="J89" s="1310"/>
      <c r="K89" s="1310"/>
      <c r="L89" s="1310"/>
      <c r="M89" s="1310"/>
      <c r="N89" s="1311"/>
      <c r="O89" s="25">
        <f>SUM(O77:O88)</f>
        <v>0</v>
      </c>
      <c r="P89" s="25">
        <f>SUM(P77:P88)</f>
        <v>0</v>
      </c>
    </row>
    <row r="90" spans="1:24" ht="12" customHeight="1" x14ac:dyDescent="0.2">
      <c r="A90" s="1"/>
      <c r="B90" s="1"/>
      <c r="C90" s="1"/>
      <c r="D90" s="1"/>
      <c r="E90" s="1"/>
      <c r="F90" s="1"/>
      <c r="G90" s="1"/>
      <c r="H90" s="1"/>
      <c r="I90" s="1"/>
      <c r="J90" s="1"/>
      <c r="K90" s="1"/>
      <c r="L90" s="1"/>
      <c r="M90" s="1"/>
      <c r="N90" s="1"/>
      <c r="O90" s="1"/>
      <c r="P90" s="1"/>
    </row>
    <row r="91" spans="1:24" ht="14.25" customHeight="1" x14ac:dyDescent="0.2">
      <c r="A91" s="1"/>
      <c r="B91" s="906"/>
      <c r="C91" s="1"/>
      <c r="D91" s="1"/>
      <c r="E91" s="1"/>
      <c r="F91" s="1"/>
      <c r="G91" s="1"/>
      <c r="H91" s="905"/>
      <c r="I91" s="62"/>
      <c r="J91" s="914" t="s">
        <v>123</v>
      </c>
      <c r="K91" s="1"/>
      <c r="L91" s="900" t="s">
        <v>124</v>
      </c>
      <c r="M91" s="974" t="str">
        <f>IF(IF(G89=0,"",'päd.Personal - Leitung'!$M$43)=0,"",IF(G89=0,"",'päd.Personal - Leitung'!$M$43))</f>
        <v/>
      </c>
      <c r="N91" s="902" t="s">
        <v>125</v>
      </c>
      <c r="O91" s="963" t="str">
        <f>IF(IF(G89=0,"",'päd.Personal - Leitung'!$O$43)=0,"",IF(G89=0,"",'päd.Personal - Leitung'!$O$43))</f>
        <v/>
      </c>
      <c r="P91" s="25">
        <f>ROUND(IF(M91="",0,G89*M91*O91/1000),2)</f>
        <v>0</v>
      </c>
      <c r="Q91" s="937"/>
      <c r="R91" s="938">
        <v>2025</v>
      </c>
      <c r="S91" s="939"/>
    </row>
    <row r="92" spans="1:24" ht="14.25" customHeight="1" x14ac:dyDescent="0.2">
      <c r="A92" s="1"/>
      <c r="B92" s="1"/>
      <c r="C92" s="1"/>
      <c r="D92" s="1"/>
      <c r="E92" s="1"/>
      <c r="F92" s="1"/>
      <c r="G92" s="1"/>
      <c r="H92" s="907"/>
      <c r="I92" s="42"/>
      <c r="J92" s="1"/>
      <c r="K92" s="1"/>
      <c r="L92" s="1"/>
      <c r="M92" s="915" t="s">
        <v>129</v>
      </c>
      <c r="N92" s="80" t="s">
        <v>125</v>
      </c>
      <c r="O92" s="75" t="str">
        <f>IF(IF(G89=0,"",'päd.Personal - Leitung'!$O$44)=0,"",IF(G89=0,"",'päd.Personal - Leitung'!$O$44))</f>
        <v/>
      </c>
      <c r="P92" s="25">
        <f>ROUND(IF(O92="",0,G89*O92/1000),2)</f>
        <v>0</v>
      </c>
      <c r="Q92" s="942" t="s">
        <v>737</v>
      </c>
      <c r="R92" s="141">
        <f>'päd.Personal - Leitung'!$R$44</f>
        <v>556</v>
      </c>
      <c r="S92" s="955">
        <f>'päd.Personal - Leitung'!$S$44</f>
        <v>12.82</v>
      </c>
    </row>
    <row r="93" spans="1:24" ht="14.25" customHeight="1" x14ac:dyDescent="0.2">
      <c r="A93" s="1"/>
      <c r="B93" s="1"/>
      <c r="C93" s="1"/>
      <c r="D93" s="1"/>
      <c r="E93" s="1"/>
      <c r="F93" s="1"/>
      <c r="G93" s="1"/>
      <c r="H93" s="912" t="s">
        <v>126</v>
      </c>
      <c r="I93" s="1013" t="s">
        <v>127</v>
      </c>
      <c r="J93" s="975" t="str">
        <f>IF(IF(G89=0,"",'päd.Personal - Leitung'!$J$45)=0,"",IF(G89=0,"",'päd.Personal - Leitung'!$J$45))</f>
        <v/>
      </c>
      <c r="K93" s="902" t="s">
        <v>128</v>
      </c>
      <c r="L93" s="964" t="str">
        <f>IF(IF(G89=0,"",'päd.Personal - Leitung'!$L$45)=0,"",IF(G89=0,"",'päd.Personal - Leitung'!$L$45))</f>
        <v/>
      </c>
      <c r="M93" s="16"/>
      <c r="N93" s="900" t="s">
        <v>132</v>
      </c>
      <c r="O93" s="965" t="str">
        <f>IF(IF(G89=0,"",'päd.Personal - Leitung'!$O$45)=0,"",IF(G89=0,"",'päd.Personal - Leitung'!$O$45))</f>
        <v/>
      </c>
      <c r="P93" s="25">
        <f>ROUND(IF(J93="",0,(J93*L93/O93)/M57*M58),2)</f>
        <v>0</v>
      </c>
      <c r="Q93" s="942" t="s">
        <v>738</v>
      </c>
      <c r="R93" s="140">
        <f>'päd.Personal - Leitung'!$R$45</f>
        <v>2000</v>
      </c>
      <c r="S93" s="939"/>
    </row>
    <row r="94" spans="1:24" ht="14.25" customHeight="1" x14ac:dyDescent="0.2">
      <c r="A94" s="1"/>
      <c r="B94" s="1"/>
      <c r="C94" s="1"/>
      <c r="D94" s="16"/>
      <c r="E94" s="1"/>
      <c r="F94" s="1"/>
      <c r="G94" s="1"/>
      <c r="H94" s="1"/>
      <c r="I94" s="16"/>
      <c r="J94" s="16"/>
      <c r="K94" s="63"/>
      <c r="L94" s="67"/>
      <c r="M94" s="915" t="s">
        <v>130</v>
      </c>
      <c r="N94" s="80" t="s">
        <v>131</v>
      </c>
      <c r="O94" s="904">
        <f>IF(IF(M60="",0,$O$46)=0,0,IF(M60="",0,$O$46))</f>
        <v>0</v>
      </c>
      <c r="P94" s="21">
        <f>ROUND(IF(G89=0,0,O94/M55*M56),2)</f>
        <v>0</v>
      </c>
      <c r="Q94" s="942" t="s">
        <v>740</v>
      </c>
      <c r="R94" s="956">
        <f>'päd.Personal - Leitung'!$R$46</f>
        <v>0.40900000000000003</v>
      </c>
    </row>
    <row r="95" spans="1:24" ht="14.25" customHeight="1" x14ac:dyDescent="0.2">
      <c r="A95" s="16"/>
      <c r="B95" s="16"/>
      <c r="C95" s="1"/>
      <c r="D95" s="1"/>
      <c r="E95" s="1"/>
      <c r="F95" s="1"/>
      <c r="G95" s="1"/>
      <c r="H95" s="1"/>
      <c r="I95" s="905"/>
      <c r="J95" s="961" t="s">
        <v>176</v>
      </c>
      <c r="K95" s="1312" t="str">
        <f>IF($K$47="","",$K$47)</f>
        <v/>
      </c>
      <c r="L95" s="1312"/>
      <c r="M95" s="1312"/>
      <c r="N95" s="80" t="s">
        <v>131</v>
      </c>
      <c r="O95" s="904">
        <f>IF(IF(M60="",0,$O$47)=0,0,IF(M60="",0,$O$47))</f>
        <v>0</v>
      </c>
      <c r="P95" s="21">
        <f>ROUND(IF(G89=0,0,O95/M55*M56),2)</f>
        <v>0</v>
      </c>
      <c r="Q95" s="942" t="s">
        <v>739</v>
      </c>
      <c r="R95" s="940">
        <f>'päd.Personal - Leitung'!$R$47</f>
        <v>0.68459999999999999</v>
      </c>
      <c r="S95" s="957">
        <f>'päd.Personal - Leitung'!$S$47</f>
        <v>0.28000000000000003</v>
      </c>
    </row>
    <row r="96" spans="1:24" ht="14.25" customHeight="1" x14ac:dyDescent="0.2">
      <c r="A96" s="908"/>
      <c r="B96" s="908"/>
      <c r="C96" s="1013"/>
      <c r="D96" s="1013"/>
      <c r="E96" s="1"/>
      <c r="F96" s="1"/>
      <c r="G96" s="1"/>
      <c r="H96" s="1"/>
      <c r="I96" s="913"/>
      <c r="J96" s="913"/>
      <c r="K96" s="916"/>
      <c r="L96" s="27"/>
      <c r="M96" s="27"/>
      <c r="N96" s="27"/>
      <c r="O96" s="26" t="s">
        <v>0</v>
      </c>
      <c r="P96" s="25">
        <f>P89+SUM(P91:P95)</f>
        <v>0</v>
      </c>
    </row>
    <row r="97" spans="1:19" s="10" customFormat="1" ht="13.5" customHeight="1" x14ac:dyDescent="0.2">
      <c r="A97" s="1321" t="s">
        <v>17</v>
      </c>
      <c r="B97" s="1321"/>
      <c r="C97" s="1321"/>
      <c r="D97" s="1320" t="str">
        <f>IF('päd.Personal - Leitung'!$D$1="","",'päd.Personal - Leitung'!$D$1)</f>
        <v/>
      </c>
      <c r="E97" s="1320"/>
      <c r="F97" s="1320"/>
      <c r="G97" s="1320"/>
      <c r="H97" s="1320"/>
      <c r="I97" s="1320"/>
      <c r="J97" s="1320"/>
      <c r="K97" s="1320"/>
      <c r="L97" s="1320"/>
      <c r="M97" s="1320"/>
      <c r="N97" s="1320"/>
    </row>
    <row r="98" spans="1:19" s="10" customFormat="1" ht="15" customHeight="1" x14ac:dyDescent="0.2">
      <c r="A98" s="1321" t="s">
        <v>16</v>
      </c>
      <c r="B98" s="1321"/>
      <c r="C98" s="1321" t="s">
        <v>14</v>
      </c>
      <c r="D98" s="1320" t="str">
        <f>IF('päd.Personal - Leitung'!$D$2="","",'päd.Personal - Leitung'!$D$2)</f>
        <v/>
      </c>
      <c r="E98" s="1320"/>
      <c r="F98" s="1320"/>
      <c r="G98" s="1320"/>
      <c r="H98" s="1320"/>
      <c r="I98" s="1320"/>
      <c r="J98" s="1320"/>
      <c r="K98" s="1320"/>
      <c r="L98" s="1320"/>
      <c r="M98" s="1320"/>
      <c r="N98" s="1320"/>
    </row>
    <row r="99" spans="1:19" s="10" customFormat="1" ht="15" customHeight="1" x14ac:dyDescent="0.2">
      <c r="A99" s="1321" t="s">
        <v>15</v>
      </c>
      <c r="B99" s="1321"/>
      <c r="C99" s="1321" t="s">
        <v>14</v>
      </c>
      <c r="D99" s="1320" t="str">
        <f>IF('päd.Personal - Leitung'!$D$3="","",'päd.Personal - Leitung'!$D$3)</f>
        <v/>
      </c>
      <c r="E99" s="1320"/>
      <c r="F99" s="1320"/>
      <c r="G99" s="1320"/>
      <c r="H99" s="1320"/>
      <c r="I99" s="1320"/>
      <c r="J99" s="1320"/>
      <c r="K99" s="1321" t="s">
        <v>100</v>
      </c>
      <c r="L99" s="1321"/>
      <c r="M99" s="1321"/>
      <c r="N99" s="38" t="str">
        <f>IF('päd.Personal - Leitung'!$N$3="","",'päd.Personal - Leitung'!$N$3)</f>
        <v/>
      </c>
    </row>
    <row r="100" spans="1:19" s="923" customFormat="1" ht="7.5" customHeight="1" x14ac:dyDescent="0.15">
      <c r="A100" s="1353"/>
      <c r="B100" s="1353"/>
      <c r="C100" s="1353"/>
      <c r="D100" s="1354"/>
      <c r="E100" s="1354"/>
      <c r="F100" s="1354"/>
      <c r="G100" s="1354"/>
      <c r="H100" s="1354"/>
      <c r="I100" s="1354"/>
      <c r="J100" s="1354"/>
      <c r="K100" s="922"/>
      <c r="L100" s="922"/>
      <c r="M100" s="922"/>
      <c r="N100" s="922"/>
      <c r="O100" s="922"/>
      <c r="P100" s="922"/>
    </row>
    <row r="101" spans="1:19" s="13" customFormat="1" ht="13.5" customHeight="1" x14ac:dyDescent="0.2">
      <c r="A101" s="1355" t="s">
        <v>750</v>
      </c>
      <c r="B101" s="1355"/>
      <c r="C101" s="1355"/>
      <c r="D101" s="1355"/>
      <c r="E101" s="1355"/>
      <c r="F101" s="1355"/>
      <c r="G101" s="1355"/>
      <c r="H101" s="1355"/>
      <c r="I101" s="1355"/>
      <c r="J101" s="1355"/>
      <c r="K101" s="7"/>
      <c r="L101" s="7"/>
      <c r="M101" s="7"/>
      <c r="N101" s="52"/>
      <c r="O101" s="138">
        <f>'päd.Personal - Leitung'!$O$5</f>
        <v>2025</v>
      </c>
      <c r="P101" s="52" t="s">
        <v>140</v>
      </c>
    </row>
    <row r="102" spans="1:19" s="8" customFormat="1" ht="13.5" customHeight="1" x14ac:dyDescent="0.25">
      <c r="B102" s="29"/>
      <c r="C102" s="29"/>
      <c r="D102" s="3" t="s">
        <v>157</v>
      </c>
      <c r="E102" s="28"/>
      <c r="F102" s="28"/>
      <c r="G102" s="28"/>
      <c r="H102" s="28"/>
      <c r="I102" s="24"/>
      <c r="K102" s="1327" t="s">
        <v>13</v>
      </c>
      <c r="L102" s="1327"/>
      <c r="M102" s="131"/>
      <c r="O102" s="928" t="str">
        <f>A125</f>
        <v>Jan 2025</v>
      </c>
      <c r="P102" s="1402">
        <f>IF(M104="","",M104)</f>
        <v>0</v>
      </c>
    </row>
    <row r="103" spans="1:19" s="5" customFormat="1" ht="13.5" customHeight="1" x14ac:dyDescent="0.25">
      <c r="A103" s="1328" t="s">
        <v>754</v>
      </c>
      <c r="B103" s="1328"/>
      <c r="C103" s="1328"/>
      <c r="D103" s="1345"/>
      <c r="E103" s="1345"/>
      <c r="F103" s="1345"/>
      <c r="G103" s="1345"/>
      <c r="H103" s="1345"/>
      <c r="I103" s="1345"/>
      <c r="K103" s="1327" t="s">
        <v>101</v>
      </c>
      <c r="L103" s="1327"/>
      <c r="M103" s="101"/>
      <c r="O103" s="928" t="str">
        <f t="shared" ref="O103:O113" si="14">A126</f>
        <v>Feb 2025</v>
      </c>
      <c r="P103" s="1403">
        <f t="shared" ref="P103:P113" si="15">IF(P102="","",P102)</f>
        <v>0</v>
      </c>
    </row>
    <row r="104" spans="1:19" ht="13.5" customHeight="1" x14ac:dyDescent="0.2">
      <c r="A104" s="1328" t="s">
        <v>12</v>
      </c>
      <c r="B104" s="1328"/>
      <c r="C104" s="1328"/>
      <c r="D104" s="1345"/>
      <c r="E104" s="1345"/>
      <c r="F104" s="1345"/>
      <c r="G104" s="1345"/>
      <c r="H104" s="1345"/>
      <c r="I104" s="1345"/>
      <c r="J104" s="1"/>
      <c r="K104" s="1327" t="s">
        <v>149</v>
      </c>
      <c r="L104" s="1327"/>
      <c r="M104" s="101">
        <f>IF((M105+M106)&gt;M103,0,M103-M105-M106)</f>
        <v>0</v>
      </c>
      <c r="N104" s="1"/>
      <c r="O104" s="928" t="str">
        <f t="shared" si="14"/>
        <v>Mrz 2025</v>
      </c>
      <c r="P104" s="1403">
        <f t="shared" si="15"/>
        <v>0</v>
      </c>
    </row>
    <row r="105" spans="1:19" ht="13.5" customHeight="1" x14ac:dyDescent="0.2">
      <c r="A105" s="1328" t="s">
        <v>11</v>
      </c>
      <c r="B105" s="1328"/>
      <c r="C105" s="1328"/>
      <c r="D105" s="1345"/>
      <c r="E105" s="1345"/>
      <c r="F105" s="1345"/>
      <c r="G105" s="1345"/>
      <c r="H105" s="1345"/>
      <c r="I105" s="1345"/>
      <c r="J105" s="1"/>
      <c r="K105" s="1327" t="s">
        <v>150</v>
      </c>
      <c r="L105" s="1327"/>
      <c r="M105" s="101"/>
      <c r="N105" s="1"/>
      <c r="O105" s="928" t="str">
        <f t="shared" si="14"/>
        <v>Apr 2025</v>
      </c>
      <c r="P105" s="1403">
        <f t="shared" si="15"/>
        <v>0</v>
      </c>
    </row>
    <row r="106" spans="1:19" ht="13.5" customHeight="1" x14ac:dyDescent="0.2">
      <c r="A106" s="1328" t="s">
        <v>18</v>
      </c>
      <c r="B106" s="1328"/>
      <c r="C106" s="1328"/>
      <c r="D106" s="1345"/>
      <c r="E106" s="1345"/>
      <c r="F106" s="1345"/>
      <c r="G106" s="1345"/>
      <c r="H106" s="1345"/>
      <c r="I106" s="1345"/>
      <c r="J106" s="1"/>
      <c r="K106" s="1327" t="s">
        <v>222</v>
      </c>
      <c r="L106" s="1327"/>
      <c r="M106" s="101"/>
      <c r="N106" s="1"/>
      <c r="O106" s="928" t="str">
        <f t="shared" si="14"/>
        <v>Mai 2025</v>
      </c>
      <c r="P106" s="1403">
        <f t="shared" si="15"/>
        <v>0</v>
      </c>
    </row>
    <row r="107" spans="1:19" ht="13.5" customHeight="1" x14ac:dyDescent="0.2">
      <c r="A107" s="1"/>
      <c r="B107" s="6"/>
      <c r="C107" s="1029" t="s">
        <v>147</v>
      </c>
      <c r="D107" s="1324"/>
      <c r="E107" s="1324"/>
      <c r="F107" s="1359" t="s">
        <v>103</v>
      </c>
      <c r="G107" s="1359"/>
      <c r="H107" s="1361"/>
      <c r="I107" s="1361"/>
      <c r="J107" s="1"/>
      <c r="K107" s="1327" t="s">
        <v>94</v>
      </c>
      <c r="L107" s="1327"/>
      <c r="M107" s="15" t="str">
        <f>IF(IF((COUNTIF(B125:B136,"&gt;0"))=0,0,(COUNTIF(B125:B136,"&gt;0")))&gt;Grundlagen!$C$26,Grundlagen!$C$26,IF((COUNTIF(B125:B136,"&gt;0"))=0,"",(COUNTIF(B125:B136,"&gt;0"))))</f>
        <v/>
      </c>
      <c r="N107" s="1"/>
      <c r="O107" s="928" t="str">
        <f t="shared" si="14"/>
        <v>Jun 2025</v>
      </c>
      <c r="P107" s="1403">
        <f t="shared" si="15"/>
        <v>0</v>
      </c>
    </row>
    <row r="108" spans="1:19" ht="13.5" customHeight="1" x14ac:dyDescent="0.2">
      <c r="A108" s="1"/>
      <c r="B108" s="1"/>
      <c r="C108" s="1"/>
      <c r="D108" s="1"/>
      <c r="E108" s="1"/>
      <c r="F108" s="1"/>
      <c r="G108" s="1"/>
      <c r="H108" s="1"/>
      <c r="I108" s="4"/>
      <c r="J108" s="1"/>
      <c r="K108" s="1"/>
      <c r="L108" s="1"/>
      <c r="M108" s="102" t="str">
        <f>IF((SUM(F110:F113))=0,"",IF(P114&gt;M104,M104,IF(M104="","",IF(M107="","",P114))))</f>
        <v/>
      </c>
      <c r="N108" s="1"/>
      <c r="O108" s="928" t="str">
        <f t="shared" si="14"/>
        <v>Jul 2025</v>
      </c>
      <c r="P108" s="1403">
        <f t="shared" si="15"/>
        <v>0</v>
      </c>
    </row>
    <row r="109" spans="1:19" s="46" customFormat="1" ht="13.5" customHeight="1" x14ac:dyDescent="0.2">
      <c r="A109" s="54" t="s">
        <v>134</v>
      </c>
      <c r="B109" s="1356" t="s">
        <v>135</v>
      </c>
      <c r="C109" s="1356"/>
      <c r="D109" s="55" t="s">
        <v>136</v>
      </c>
      <c r="E109" s="56" t="s">
        <v>137</v>
      </c>
      <c r="F109" s="57" t="str">
        <f>CONCATENATE("Entg. ",N99," h/Wo")</f>
        <v>Entg.  h/Wo</v>
      </c>
      <c r="G109" s="58" t="s">
        <v>138</v>
      </c>
      <c r="I109" s="58" t="s">
        <v>139</v>
      </c>
      <c r="K109" s="970"/>
      <c r="L109" s="970"/>
      <c r="M109" s="59"/>
      <c r="N109" s="968"/>
      <c r="O109" s="928" t="str">
        <f t="shared" si="14"/>
        <v>Aug 2025</v>
      </c>
      <c r="P109" s="1403">
        <f t="shared" si="15"/>
        <v>0</v>
      </c>
      <c r="Q109" s="85"/>
      <c r="R109" s="85"/>
      <c r="S109" s="85"/>
    </row>
    <row r="110" spans="1:19" s="46" customFormat="1" ht="13.5" customHeight="1" x14ac:dyDescent="0.25">
      <c r="A110" s="48" t="str">
        <f>'päd.Personal - Leitung'!$A$14</f>
        <v>Jan 2025</v>
      </c>
      <c r="B110" s="1357" t="str">
        <f>IF($D$3="","",$D$3)</f>
        <v/>
      </c>
      <c r="C110" s="1358"/>
      <c r="D110" s="132"/>
      <c r="E110" s="132"/>
      <c r="F110" s="71"/>
      <c r="G110" s="50">
        <f>IF(N99="",0,F110/N99/4.348)</f>
        <v>0</v>
      </c>
      <c r="I110" s="125">
        <f>SUM(J110:M110)</f>
        <v>0</v>
      </c>
      <c r="J110" s="124"/>
      <c r="K110" s="124"/>
      <c r="L110" s="124"/>
      <c r="M110" s="124"/>
      <c r="N110" s="969"/>
      <c r="O110" s="928" t="str">
        <f t="shared" si="14"/>
        <v>Sep 2025</v>
      </c>
      <c r="P110" s="1403">
        <f t="shared" si="15"/>
        <v>0</v>
      </c>
      <c r="Q110" s="85"/>
      <c r="R110" s="85"/>
      <c r="S110" s="85"/>
    </row>
    <row r="111" spans="1:19" s="46" customFormat="1" ht="13.5" customHeight="1" x14ac:dyDescent="0.25">
      <c r="A111" s="49"/>
      <c r="B111" s="1322" t="str">
        <f>IF(A111="","",B110)</f>
        <v/>
      </c>
      <c r="C111" s="1323"/>
      <c r="D111" s="132"/>
      <c r="E111" s="132"/>
      <c r="F111" s="71"/>
      <c r="G111" s="50">
        <f>IF(N99="",0,F111/N99/4.348)</f>
        <v>0</v>
      </c>
      <c r="I111" s="125">
        <f t="shared" ref="I111:I113" si="16">SUM(J111:M111)</f>
        <v>0</v>
      </c>
      <c r="J111" s="124"/>
      <c r="K111" s="124"/>
      <c r="L111" s="124"/>
      <c r="M111" s="124"/>
      <c r="N111" s="969"/>
      <c r="O111" s="928" t="str">
        <f t="shared" si="14"/>
        <v>Okt 2025</v>
      </c>
      <c r="P111" s="1403">
        <f t="shared" si="15"/>
        <v>0</v>
      </c>
      <c r="Q111" s="85"/>
      <c r="R111" s="85"/>
      <c r="S111" s="85"/>
    </row>
    <row r="112" spans="1:19" s="46" customFormat="1" ht="13.5" customHeight="1" x14ac:dyDescent="0.25">
      <c r="A112" s="49"/>
      <c r="B112" s="1322" t="str">
        <f>IF(A112="","",B111)</f>
        <v/>
      </c>
      <c r="C112" s="1323"/>
      <c r="D112" s="132"/>
      <c r="E112" s="132"/>
      <c r="F112" s="71"/>
      <c r="G112" s="50">
        <f>IF(N99="",0,F112/N99/4.348)</f>
        <v>0</v>
      </c>
      <c r="I112" s="125">
        <f t="shared" si="16"/>
        <v>0</v>
      </c>
      <c r="J112" s="124"/>
      <c r="K112" s="124"/>
      <c r="L112" s="124"/>
      <c r="M112" s="124"/>
      <c r="N112" s="969"/>
      <c r="O112" s="928" t="str">
        <f t="shared" si="14"/>
        <v>Nov 2025</v>
      </c>
      <c r="P112" s="1403">
        <f t="shared" si="15"/>
        <v>0</v>
      </c>
      <c r="Q112" s="85"/>
      <c r="R112" s="85"/>
      <c r="S112" s="85"/>
    </row>
    <row r="113" spans="1:22" s="46" customFormat="1" ht="13.5" customHeight="1" x14ac:dyDescent="0.25">
      <c r="A113" s="49"/>
      <c r="B113" s="1322" t="str">
        <f>IF(A113="","",B112)</f>
        <v/>
      </c>
      <c r="C113" s="1323"/>
      <c r="D113" s="132"/>
      <c r="E113" s="132"/>
      <c r="F113" s="71"/>
      <c r="G113" s="50">
        <f>IF(N99="",0,F113/N99/4.348)</f>
        <v>0</v>
      </c>
      <c r="I113" s="125">
        <f t="shared" si="16"/>
        <v>0</v>
      </c>
      <c r="J113" s="124"/>
      <c r="K113" s="124"/>
      <c r="L113" s="124"/>
      <c r="M113" s="124"/>
      <c r="N113" s="969"/>
      <c r="O113" s="928" t="str">
        <f t="shared" si="14"/>
        <v>Dez 2025</v>
      </c>
      <c r="P113" s="1403">
        <f t="shared" si="15"/>
        <v>0</v>
      </c>
      <c r="Q113" s="85"/>
      <c r="R113" s="85"/>
      <c r="S113" s="85"/>
    </row>
    <row r="114" spans="1:22" s="46" customFormat="1" ht="13.5" customHeight="1" x14ac:dyDescent="0.25">
      <c r="B114" s="972"/>
      <c r="C114" s="972"/>
      <c r="E114" s="972"/>
      <c r="F114" s="972"/>
      <c r="I114" s="930" t="s">
        <v>730</v>
      </c>
      <c r="J114" s="1052"/>
      <c r="K114" s="1052"/>
      <c r="L114" s="1052"/>
      <c r="M114" s="1052"/>
      <c r="N114" s="971"/>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c r="Q114" s="958" t="str">
        <f>CONCATENATE("BBG"," anteilig ",O116)</f>
        <v>BBG anteilig 2025</v>
      </c>
      <c r="R114" s="931" t="s">
        <v>659</v>
      </c>
      <c r="S114" s="931" t="s">
        <v>398</v>
      </c>
      <c r="T114" s="107"/>
    </row>
    <row r="115" spans="1:22" s="46" customFormat="1" ht="13.5" customHeight="1" x14ac:dyDescent="0.2">
      <c r="A115" s="924" t="s">
        <v>732</v>
      </c>
      <c r="D115" s="55" t="s">
        <v>369</v>
      </c>
      <c r="E115" s="56" t="s">
        <v>368</v>
      </c>
      <c r="F115" s="58"/>
      <c r="J115" s="61"/>
      <c r="Q115" s="932" t="s">
        <v>144</v>
      </c>
      <c r="R115" s="140">
        <f>IF(M104=0,R119,IF(M103="",R119,(SUM(R125:R136)/M107)))</f>
        <v>5175</v>
      </c>
      <c r="S115" s="933">
        <f>IF(M104=0,S119,IF(M103="",S119,SUM(R125:R136)))</f>
        <v>0</v>
      </c>
      <c r="T115" s="107"/>
    </row>
    <row r="116" spans="1:22" s="46" customFormat="1" ht="13.5" customHeight="1" x14ac:dyDescent="0.25">
      <c r="A116" s="60"/>
      <c r="B116" s="1314" t="str">
        <f>IF($B$20="","",$B$20)</f>
        <v>Jahressonderzahlung (JSZ)</v>
      </c>
      <c r="C116" s="1315"/>
      <c r="D116" s="926"/>
      <c r="E116" s="929" t="str">
        <f>IF(A116="","",ROUND((((SUM(B131:B133)+SUM(F131:F133))/3)*D116)/Grundlagen!$C$26*M107,2))</f>
        <v/>
      </c>
      <c r="G116" s="941" t="s">
        <v>733</v>
      </c>
      <c r="H116" s="943"/>
      <c r="I116" s="1316" t="str">
        <f>CONCATENATE(R139,":"," Übergangsbereich von ",R140+0.01," €"," bis ",R141," €")</f>
        <v>2025: Übergangsbereich von 556,01 € bis 2000 €</v>
      </c>
      <c r="J116" s="1317"/>
      <c r="K116" s="1317"/>
      <c r="L116" s="1067"/>
      <c r="M116" s="1067"/>
      <c r="N116" s="1068" t="s">
        <v>736</v>
      </c>
      <c r="O116" s="1069">
        <f>P116+1</f>
        <v>2025</v>
      </c>
      <c r="P116" s="1069" t="s">
        <v>721</v>
      </c>
      <c r="Q116" s="932" t="s">
        <v>145</v>
      </c>
      <c r="R116" s="140">
        <f>IF(M104=0,R120,IF(M103="",R120,(SUM(S125:S136)/M107)))</f>
        <v>7450</v>
      </c>
      <c r="S116" s="933">
        <f>IF(M104=0,S120,IF(M103="",S120,SUM(S125:S136)))</f>
        <v>0</v>
      </c>
      <c r="T116" s="109"/>
    </row>
    <row r="117" spans="1:22" ht="14.25" customHeight="1" x14ac:dyDescent="0.2">
      <c r="A117" s="60"/>
      <c r="B117" s="1314" t="str">
        <f>IF($B$21="","",$B$21)</f>
        <v>Leistungsentgelt (LOB)</v>
      </c>
      <c r="C117" s="1315"/>
      <c r="D117" s="926"/>
      <c r="E117" s="929" t="str">
        <f>IF(A117="","",ROUND(((B137+F137)*D117)/Grundlagen!$C$26*M107,2))</f>
        <v/>
      </c>
      <c r="F117" s="1"/>
      <c r="G117" s="941" t="str">
        <f>IF(OR(H116="",H116="nein")=TRUE,"","Faktor (F):")</f>
        <v/>
      </c>
      <c r="H117" s="949" t="str">
        <f>IF(OR(H116="",H116="nein")=TRUE,"",IF(H116="","",R143))</f>
        <v/>
      </c>
      <c r="I117" s="1318" t="str">
        <f>IF(OR(H116="",H116="nein")=TRUE,"",IF(H117="","",CONCATENATE(S143*100,"%"," / ","(",R142*100,"%"," Gesamt-SV-Beitragssatz 2024)")))</f>
        <v/>
      </c>
      <c r="J117" s="1319"/>
      <c r="K117" s="1319"/>
      <c r="L117" s="1070"/>
      <c r="M117" s="1070"/>
      <c r="N117" s="1071" t="s">
        <v>144</v>
      </c>
      <c r="O117" s="1072">
        <f>'päd.Personal - Leitung'!$O$21</f>
        <v>5175</v>
      </c>
      <c r="P117" s="1072">
        <f>'päd.Personal - Leitung'!$P$21</f>
        <v>5175</v>
      </c>
      <c r="Q117" s="11"/>
      <c r="R117" s="11"/>
      <c r="S117" s="11"/>
      <c r="T117" s="109"/>
    </row>
    <row r="118" spans="1:22" ht="14.25" customHeight="1" x14ac:dyDescent="0.2">
      <c r="A118" s="1"/>
      <c r="B118" s="1"/>
      <c r="C118" s="925" t="s">
        <v>731</v>
      </c>
      <c r="D118" s="1"/>
      <c r="E118" s="1"/>
      <c r="F118" s="1"/>
      <c r="G118" s="1"/>
      <c r="H118" s="1"/>
      <c r="I118" s="1"/>
      <c r="J118" s="1"/>
      <c r="K118" s="1"/>
      <c r="L118" s="1070"/>
      <c r="M118" s="1070"/>
      <c r="N118" s="1071" t="s">
        <v>145</v>
      </c>
      <c r="O118" s="1073">
        <f>'päd.Personal - Leitung'!$O$22</f>
        <v>7450</v>
      </c>
      <c r="P118" s="1073">
        <f>'päd.Personal - Leitung'!$P$22</f>
        <v>7450</v>
      </c>
      <c r="Q118" s="958" t="str">
        <f>CONCATENATE("BBG"," ",O116)</f>
        <v>BBG 2025</v>
      </c>
      <c r="R118" s="11"/>
      <c r="S118" s="11"/>
      <c r="T118" s="109"/>
    </row>
    <row r="119" spans="1:22" ht="14.25" customHeight="1" x14ac:dyDescent="0.2">
      <c r="A119" s="53" t="s">
        <v>141</v>
      </c>
      <c r="B119" s="46"/>
      <c r="C119" s="46"/>
      <c r="D119" s="46"/>
      <c r="E119" s="46"/>
      <c r="F119" s="46"/>
      <c r="G119" s="46"/>
      <c r="H119" s="46"/>
      <c r="I119" s="46"/>
      <c r="J119" s="46"/>
      <c r="K119" s="46"/>
      <c r="L119" s="46"/>
      <c r="M119" s="46"/>
      <c r="N119" s="46"/>
      <c r="O119" s="46"/>
      <c r="P119" s="46"/>
      <c r="Q119" s="932" t="s">
        <v>144</v>
      </c>
      <c r="R119" s="141">
        <f>IF($O$21="",0,$O$21)</f>
        <v>5175</v>
      </c>
      <c r="S119" s="933">
        <f>R119*IF(M107="",0,M107)</f>
        <v>0</v>
      </c>
      <c r="T119" s="295"/>
    </row>
    <row r="120" spans="1:22" ht="14.25" customHeight="1" x14ac:dyDescent="0.2">
      <c r="A120" s="1346"/>
      <c r="B120" s="1348" t="s">
        <v>8</v>
      </c>
      <c r="C120" s="1349"/>
      <c r="D120" s="1349"/>
      <c r="E120" s="1349"/>
      <c r="F120" s="1349"/>
      <c r="G120" s="1350"/>
      <c r="H120" s="1351" t="s">
        <v>113</v>
      </c>
      <c r="I120" s="1352"/>
      <c r="J120" s="1352"/>
      <c r="K120" s="1352"/>
      <c r="L120" s="1352"/>
      <c r="M120" s="1352"/>
      <c r="N120" s="1352"/>
      <c r="O120" s="30"/>
      <c r="P120" s="1330" t="s">
        <v>0</v>
      </c>
      <c r="Q120" s="932" t="s">
        <v>145</v>
      </c>
      <c r="R120" s="141">
        <f>IF($O$22="",0,$O$22)</f>
        <v>7450</v>
      </c>
      <c r="S120" s="933">
        <f>R120*IF(M107="",0,M107)</f>
        <v>0</v>
      </c>
      <c r="T120" s="830"/>
    </row>
    <row r="121" spans="1:22" ht="14.25" customHeight="1" x14ac:dyDescent="0.2">
      <c r="A121" s="1347"/>
      <c r="B121" s="1333" t="s">
        <v>111</v>
      </c>
      <c r="C121" s="1335" t="s">
        <v>743</v>
      </c>
      <c r="D121" s="1337" t="s">
        <v>226</v>
      </c>
      <c r="E121" s="1339" t="s">
        <v>133</v>
      </c>
      <c r="F121" s="1030" t="s">
        <v>6</v>
      </c>
      <c r="G121" s="1340" t="s">
        <v>5</v>
      </c>
      <c r="H121" s="1339" t="s">
        <v>119</v>
      </c>
      <c r="I121" s="1339" t="s">
        <v>4</v>
      </c>
      <c r="J121" s="1339" t="s">
        <v>3</v>
      </c>
      <c r="K121" s="1339" t="s">
        <v>2</v>
      </c>
      <c r="L121" s="1339" t="s">
        <v>114</v>
      </c>
      <c r="M121" s="1339" t="s">
        <v>115</v>
      </c>
      <c r="N121" s="1339" t="s">
        <v>116</v>
      </c>
      <c r="O121" s="1338" t="s">
        <v>109</v>
      </c>
      <c r="P121" s="1331"/>
      <c r="Q121" s="456"/>
      <c r="R121" s="11"/>
      <c r="S121" s="11"/>
      <c r="T121" s="621"/>
    </row>
    <row r="122" spans="1:22" ht="14.25" customHeight="1" x14ac:dyDescent="0.2">
      <c r="A122" s="1347"/>
      <c r="B122" s="1333"/>
      <c r="C122" s="1335"/>
      <c r="D122" s="1338"/>
      <c r="E122" s="1339"/>
      <c r="F122" s="1343" t="str">
        <f>I114</f>
        <v>Zuschläge / Zulagen / o.ä.:</v>
      </c>
      <c r="G122" s="1340"/>
      <c r="H122" s="1342" t="s">
        <v>117</v>
      </c>
      <c r="I122" s="1342"/>
      <c r="J122" s="1342"/>
      <c r="K122" s="1342"/>
      <c r="L122" s="1342"/>
      <c r="M122" s="1342"/>
      <c r="N122" s="1342"/>
      <c r="O122" s="1338"/>
      <c r="P122" s="1331"/>
      <c r="Q122" s="456"/>
      <c r="R122" s="1306" t="str">
        <f>Q114</f>
        <v>BBG anteilig 2025</v>
      </c>
      <c r="S122" s="1306"/>
      <c r="T122" s="829"/>
    </row>
    <row r="123" spans="1:22" ht="14.25" customHeight="1" x14ac:dyDescent="0.2">
      <c r="A123" s="1347"/>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c r="Q123" s="456"/>
      <c r="R123" s="1307" t="s">
        <v>659</v>
      </c>
      <c r="S123" s="1307"/>
      <c r="T123" s="829"/>
      <c r="U123" s="1308" t="s">
        <v>1</v>
      </c>
      <c r="V123" s="1308" t="s">
        <v>741</v>
      </c>
    </row>
    <row r="124" spans="1:22" x14ac:dyDescent="0.2">
      <c r="A124" s="1347"/>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c r="Q124" s="456"/>
      <c r="R124" s="935" t="s">
        <v>144</v>
      </c>
      <c r="S124" s="935" t="s">
        <v>145</v>
      </c>
      <c r="T124" s="829"/>
      <c r="U124" s="1308"/>
      <c r="V124" s="1308"/>
    </row>
    <row r="125" spans="1:22"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17">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56"/>
      <c r="R125" s="140">
        <f>ROUND(IF(M103="",R119,R119/M103*P102),2)</f>
        <v>5175</v>
      </c>
      <c r="S125" s="140">
        <f>ROUND(IF(M103="",R120,R120/M103*P102),2)</f>
        <v>7450</v>
      </c>
      <c r="U125" s="950">
        <f>SUM(B125:F125)</f>
        <v>0</v>
      </c>
      <c r="V125" s="950">
        <f>SUM(B125:F125)</f>
        <v>0</v>
      </c>
    </row>
    <row r="126" spans="1:22"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17"/>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18">SUM(G126:O126)</f>
        <v>0</v>
      </c>
      <c r="Q126" s="456"/>
      <c r="R126" s="140">
        <f>ROUND(IF(M103="",R119,R119/M103*P103),2)</f>
        <v>5175</v>
      </c>
      <c r="S126" s="140">
        <f>ROUND(IF(M103="",R120,R120/M103*P103),2)</f>
        <v>7450</v>
      </c>
      <c r="U126" s="950">
        <f t="shared" ref="U126:U136" si="19">SUM(B126:F126)</f>
        <v>0</v>
      </c>
      <c r="V126" s="950">
        <f>SUM(B125:F126)</f>
        <v>0</v>
      </c>
    </row>
    <row r="127" spans="1:22"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17"/>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18"/>
        <v>0</v>
      </c>
      <c r="Q127" s="456"/>
      <c r="R127" s="140">
        <f>ROUND(IF(M103="",R119,R119/M103*P104),2)</f>
        <v>5175</v>
      </c>
      <c r="S127" s="140">
        <f>ROUND(IF(M103="",R120,R120/M103*P104),2)</f>
        <v>7450</v>
      </c>
      <c r="U127" s="950">
        <f t="shared" si="19"/>
        <v>0</v>
      </c>
      <c r="V127" s="950">
        <f>SUM(B125:F127)</f>
        <v>0</v>
      </c>
    </row>
    <row r="128" spans="1:22"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17"/>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18"/>
        <v>0</v>
      </c>
      <c r="Q128" s="456"/>
      <c r="R128" s="140">
        <f>ROUND(IF(M103="",R119,R119/M103*P105),2)</f>
        <v>5175</v>
      </c>
      <c r="S128" s="140">
        <f>ROUND(IF(M103="",R120,R120/M103*P105),2)</f>
        <v>7450</v>
      </c>
      <c r="U128" s="950">
        <f t="shared" si="19"/>
        <v>0</v>
      </c>
      <c r="V128" s="950">
        <f>SUM(B125:F128)</f>
        <v>0</v>
      </c>
    </row>
    <row r="129" spans="1:24"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17"/>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18"/>
        <v>0</v>
      </c>
      <c r="Q129" s="456"/>
      <c r="R129" s="140">
        <f>ROUND(IF(M103="",R119,R119/M103*P106),2)</f>
        <v>5175</v>
      </c>
      <c r="S129" s="140">
        <f>ROUND(IF(M103="",R120,R120/M103*P106),2)</f>
        <v>7450</v>
      </c>
      <c r="U129" s="950">
        <f t="shared" si="19"/>
        <v>0</v>
      </c>
      <c r="V129" s="950">
        <f>SUM(B125:F129)</f>
        <v>0</v>
      </c>
    </row>
    <row r="130" spans="1:24"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17"/>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18"/>
        <v>0</v>
      </c>
      <c r="Q130" s="456"/>
      <c r="R130" s="140">
        <f>ROUND(IF(M103="",R119,R119/M103*P107),2)</f>
        <v>5175</v>
      </c>
      <c r="S130" s="140">
        <f>ROUND(IF(M103="",R120,R120/M103*P107),2)</f>
        <v>7450</v>
      </c>
      <c r="U130" s="950">
        <f t="shared" si="19"/>
        <v>0</v>
      </c>
      <c r="V130" s="950">
        <f>SUM(B125:F130)</f>
        <v>0</v>
      </c>
    </row>
    <row r="131" spans="1:24"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17"/>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18"/>
        <v>0</v>
      </c>
      <c r="Q131" s="456"/>
      <c r="R131" s="140">
        <f>ROUND(IF(M103="",R119,R119/M103*P108),2)</f>
        <v>5175</v>
      </c>
      <c r="S131" s="140">
        <f>ROUND(IF(M103="",R120,R120/M103*P108),2)</f>
        <v>7450</v>
      </c>
      <c r="U131" s="950">
        <f t="shared" si="19"/>
        <v>0</v>
      </c>
      <c r="V131" s="950">
        <f>SUM(B125:F131)</f>
        <v>0</v>
      </c>
    </row>
    <row r="132" spans="1:24"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17"/>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18"/>
        <v>0</v>
      </c>
      <c r="Q132" s="456"/>
      <c r="R132" s="140">
        <f>ROUND(IF(M103="",R119,R119/M103*P109),2)</f>
        <v>5175</v>
      </c>
      <c r="S132" s="140">
        <f>ROUND(IF(M103="",R120,R120/M103*P109),2)</f>
        <v>7450</v>
      </c>
      <c r="U132" s="950">
        <f t="shared" si="19"/>
        <v>0</v>
      </c>
      <c r="V132" s="950">
        <f>SUM(B125:F132)</f>
        <v>0</v>
      </c>
    </row>
    <row r="133" spans="1:24"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17"/>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18"/>
        <v>0</v>
      </c>
      <c r="Q133" s="456"/>
      <c r="R133" s="140">
        <f>ROUND(IF(M103="",R119,R119/M103*P110),2)</f>
        <v>5175</v>
      </c>
      <c r="S133" s="140">
        <f>ROUND(IF(M103="",R120,R120/M103*P110),2)</f>
        <v>7450</v>
      </c>
      <c r="U133" s="950">
        <f t="shared" si="19"/>
        <v>0</v>
      </c>
      <c r="V133" s="950">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17"/>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18"/>
        <v>0</v>
      </c>
      <c r="Q134" s="936"/>
      <c r="R134" s="140">
        <f>ROUND(IF(M103="",R119,R119/M103*P111),2)</f>
        <v>5175</v>
      </c>
      <c r="S134" s="140">
        <f>ROUND(IF(M103="",R120,R120/M103*P111),2)</f>
        <v>7450</v>
      </c>
      <c r="U134" s="950">
        <f t="shared" si="19"/>
        <v>0</v>
      </c>
      <c r="V134" s="950">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17"/>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18"/>
        <v>0</v>
      </c>
      <c r="R135" s="140">
        <f>ROUND(IF(M103="",R119,R119/M103*P112),2)</f>
        <v>5175</v>
      </c>
      <c r="S135" s="140">
        <f>ROUND(IF(M103="",R120,R120/M103*P112),2)</f>
        <v>7450</v>
      </c>
      <c r="U135" s="950">
        <f t="shared" si="19"/>
        <v>0</v>
      </c>
      <c r="V135" s="950">
        <f>SUM(B125:F135)</f>
        <v>0</v>
      </c>
      <c r="X135" s="1"/>
    </row>
    <row r="136" spans="1:24"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17"/>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18"/>
        <v>0</v>
      </c>
      <c r="Q136" s="11"/>
      <c r="R136" s="140">
        <f>ROUND(IF(M103="",R119,R119/M103*P113),2)</f>
        <v>5175</v>
      </c>
      <c r="S136" s="140">
        <f>ROUND(IF(M103="",R120,R120/M103*P113),2)</f>
        <v>7450</v>
      </c>
      <c r="U136" s="950">
        <f t="shared" si="19"/>
        <v>0</v>
      </c>
      <c r="V136" s="950">
        <f>SUM(B125:F136)</f>
        <v>0</v>
      </c>
    </row>
    <row r="137" spans="1:24" ht="15" customHeight="1" x14ac:dyDescent="0.2">
      <c r="A137" s="2" t="s">
        <v>1</v>
      </c>
      <c r="B137" s="25">
        <f t="shared" ref="B137:G137" si="20">SUM(B125:B136)</f>
        <v>0</v>
      </c>
      <c r="C137" s="25">
        <f t="shared" si="20"/>
        <v>0</v>
      </c>
      <c r="D137" s="25">
        <f t="shared" si="20"/>
        <v>0</v>
      </c>
      <c r="E137" s="25">
        <f t="shared" si="20"/>
        <v>0</v>
      </c>
      <c r="F137" s="25">
        <f t="shared" si="20"/>
        <v>0</v>
      </c>
      <c r="G137" s="25">
        <f t="shared" si="20"/>
        <v>0</v>
      </c>
      <c r="H137" s="1309">
        <f>SUM(H125:N136)</f>
        <v>0</v>
      </c>
      <c r="I137" s="1310"/>
      <c r="J137" s="1310"/>
      <c r="K137" s="1310"/>
      <c r="L137" s="1310"/>
      <c r="M137" s="1310"/>
      <c r="N137" s="1311"/>
      <c r="O137" s="25">
        <f>SUM(O125:O136)</f>
        <v>0</v>
      </c>
      <c r="P137" s="25">
        <f>SUM(P125:P136)</f>
        <v>0</v>
      </c>
    </row>
    <row r="138" spans="1:24" ht="12" customHeight="1" x14ac:dyDescent="0.2">
      <c r="A138" s="1"/>
      <c r="B138" s="1"/>
      <c r="C138" s="1"/>
      <c r="D138" s="1"/>
      <c r="E138" s="1"/>
      <c r="F138" s="1"/>
      <c r="G138" s="1"/>
      <c r="H138" s="1"/>
      <c r="I138" s="1"/>
      <c r="J138" s="1"/>
      <c r="K138" s="1"/>
      <c r="L138" s="1"/>
      <c r="M138" s="1"/>
      <c r="N138" s="1"/>
      <c r="O138" s="1"/>
      <c r="P138" s="1"/>
    </row>
    <row r="139" spans="1:24" ht="14.25" customHeight="1" x14ac:dyDescent="0.2">
      <c r="A139" s="1"/>
      <c r="B139" s="906"/>
      <c r="C139" s="1"/>
      <c r="D139" s="1"/>
      <c r="E139" s="1"/>
      <c r="F139" s="1"/>
      <c r="G139" s="1"/>
      <c r="H139" s="905"/>
      <c r="I139" s="62"/>
      <c r="J139" s="914" t="s">
        <v>123</v>
      </c>
      <c r="K139" s="1"/>
      <c r="L139" s="900" t="s">
        <v>124</v>
      </c>
      <c r="M139" s="974" t="str">
        <f>IF(IF(G137=0,"",'päd.Personal - Leitung'!$M$43)=0,"",IF(G137=0,"",'päd.Personal - Leitung'!$M$43))</f>
        <v/>
      </c>
      <c r="N139" s="902" t="s">
        <v>125</v>
      </c>
      <c r="O139" s="963" t="str">
        <f>IF(IF(G137=0,"",'päd.Personal - Leitung'!$O$43)=0,"",IF(G137=0,"",'päd.Personal - Leitung'!$O$43))</f>
        <v/>
      </c>
      <c r="P139" s="25">
        <f>ROUND(IF(M139="",0,G137*M139*O139/1000),2)</f>
        <v>0</v>
      </c>
      <c r="Q139" s="937"/>
      <c r="R139" s="938">
        <v>2025</v>
      </c>
      <c r="S139" s="939"/>
    </row>
    <row r="140" spans="1:24" ht="14.25" customHeight="1" x14ac:dyDescent="0.2">
      <c r="A140" s="1"/>
      <c r="B140" s="1"/>
      <c r="C140" s="1"/>
      <c r="D140" s="1"/>
      <c r="E140" s="1"/>
      <c r="F140" s="1"/>
      <c r="G140" s="1"/>
      <c r="H140" s="907"/>
      <c r="I140" s="42"/>
      <c r="J140" s="1"/>
      <c r="K140" s="1"/>
      <c r="L140" s="1"/>
      <c r="M140" s="915" t="s">
        <v>129</v>
      </c>
      <c r="N140" s="80" t="s">
        <v>125</v>
      </c>
      <c r="O140" s="75" t="str">
        <f>IF(IF(G137=0,"",'päd.Personal - Leitung'!$O$44)=0,"",IF(G137=0,"",'päd.Personal - Leitung'!$O$44))</f>
        <v/>
      </c>
      <c r="P140" s="25">
        <f>ROUND(IF(O140="",0,G137*O140/1000),2)</f>
        <v>0</v>
      </c>
      <c r="Q140" s="942" t="s">
        <v>737</v>
      </c>
      <c r="R140" s="141">
        <f>'päd.Personal - Leitung'!$R$44</f>
        <v>556</v>
      </c>
      <c r="S140" s="955">
        <f>'päd.Personal - Leitung'!$S$44</f>
        <v>12.82</v>
      </c>
    </row>
    <row r="141" spans="1:24" ht="14.25" customHeight="1" x14ac:dyDescent="0.2">
      <c r="A141" s="1"/>
      <c r="B141" s="1"/>
      <c r="C141" s="1"/>
      <c r="D141" s="1"/>
      <c r="E141" s="1"/>
      <c r="F141" s="1"/>
      <c r="G141" s="1"/>
      <c r="H141" s="912" t="s">
        <v>126</v>
      </c>
      <c r="I141" s="1013" t="s">
        <v>127</v>
      </c>
      <c r="J141" s="975" t="str">
        <f>IF(IF(G137=0,"",'päd.Personal - Leitung'!$J$45)=0,"",IF(G137=0,"",'päd.Personal - Leitung'!$J$45))</f>
        <v/>
      </c>
      <c r="K141" s="902" t="s">
        <v>128</v>
      </c>
      <c r="L141" s="964" t="str">
        <f>IF(IF(G137=0,"",'päd.Personal - Leitung'!$L$45)=0,"",IF(G137=0,"",'päd.Personal - Leitung'!$L$45))</f>
        <v/>
      </c>
      <c r="M141" s="16"/>
      <c r="N141" s="900" t="s">
        <v>132</v>
      </c>
      <c r="O141" s="965" t="str">
        <f>IF(IF(G137=0,"",'päd.Personal - Leitung'!$O$45)=0,"",IF(G137=0,"",'päd.Personal - Leitung'!$O$45))</f>
        <v/>
      </c>
      <c r="P141" s="25">
        <f>ROUND(IF(J141="",0,(J141*L141/O141)/M105*M106),2)</f>
        <v>0</v>
      </c>
      <c r="Q141" s="942" t="s">
        <v>738</v>
      </c>
      <c r="R141" s="140">
        <f>'päd.Personal - Leitung'!$R$45</f>
        <v>2000</v>
      </c>
      <c r="S141" s="939"/>
    </row>
    <row r="142" spans="1:24" ht="14.25" customHeight="1" x14ac:dyDescent="0.2">
      <c r="A142" s="1"/>
      <c r="B142" s="1"/>
      <c r="C142" s="1"/>
      <c r="D142" s="16"/>
      <c r="E142" s="1"/>
      <c r="F142" s="1"/>
      <c r="G142" s="1"/>
      <c r="H142" s="1"/>
      <c r="I142" s="16"/>
      <c r="J142" s="16"/>
      <c r="K142" s="63"/>
      <c r="L142" s="67"/>
      <c r="M142" s="915" t="s">
        <v>130</v>
      </c>
      <c r="N142" s="80" t="s">
        <v>131</v>
      </c>
      <c r="O142" s="904">
        <f>IF(IF(M108="",0,$O$46)=0,0,IF(M108="",0,$O$46))</f>
        <v>0</v>
      </c>
      <c r="P142" s="21">
        <f>ROUND(IF(G137=0,0,O142/M103*M104),2)</f>
        <v>0</v>
      </c>
      <c r="Q142" s="942" t="s">
        <v>740</v>
      </c>
      <c r="R142" s="956">
        <f>'päd.Personal - Leitung'!$R$46</f>
        <v>0.40900000000000003</v>
      </c>
    </row>
    <row r="143" spans="1:24" ht="14.25" customHeight="1" x14ac:dyDescent="0.2">
      <c r="A143" s="16"/>
      <c r="B143" s="16"/>
      <c r="C143" s="1"/>
      <c r="D143" s="1"/>
      <c r="E143" s="1"/>
      <c r="F143" s="1"/>
      <c r="G143" s="1"/>
      <c r="H143" s="1"/>
      <c r="I143" s="905"/>
      <c r="J143" s="961" t="s">
        <v>176</v>
      </c>
      <c r="K143" s="1312" t="str">
        <f>IF($K$47="","",$K$47)</f>
        <v/>
      </c>
      <c r="L143" s="1312"/>
      <c r="M143" s="1312"/>
      <c r="N143" s="80" t="s">
        <v>131</v>
      </c>
      <c r="O143" s="904">
        <f>IF(IF(M108="",0,$O$47)=0,0,IF(M108="",0,$O$47))</f>
        <v>0</v>
      </c>
      <c r="P143" s="21">
        <f>ROUND(IF(G137=0,0,O143/M103*M104),2)</f>
        <v>0</v>
      </c>
      <c r="Q143" s="942" t="s">
        <v>739</v>
      </c>
      <c r="R143" s="940">
        <f>'päd.Personal - Leitung'!$R$47</f>
        <v>0.68459999999999999</v>
      </c>
      <c r="S143" s="957">
        <f>'päd.Personal - Leitung'!$S$47</f>
        <v>0.28000000000000003</v>
      </c>
    </row>
    <row r="144" spans="1:24" ht="14.25" customHeight="1" x14ac:dyDescent="0.2">
      <c r="A144" s="908"/>
      <c r="B144" s="908"/>
      <c r="C144" s="1013"/>
      <c r="D144" s="1013"/>
      <c r="E144" s="1"/>
      <c r="F144" s="1"/>
      <c r="G144" s="1"/>
      <c r="H144" s="1"/>
      <c r="I144" s="913"/>
      <c r="J144" s="913"/>
      <c r="K144" s="916"/>
      <c r="L144" s="27"/>
      <c r="M144" s="27"/>
      <c r="N144" s="27"/>
      <c r="O144" s="26" t="s">
        <v>0</v>
      </c>
      <c r="P144" s="25">
        <f>P137+SUM(P139:P143)</f>
        <v>0</v>
      </c>
    </row>
    <row r="145" spans="1:19" s="10" customFormat="1" ht="13.5" customHeight="1" x14ac:dyDescent="0.2">
      <c r="A145" s="1321" t="s">
        <v>17</v>
      </c>
      <c r="B145" s="1321"/>
      <c r="C145" s="1321"/>
      <c r="D145" s="1320" t="str">
        <f>IF('päd.Personal - Leitung'!$D$1="","",'päd.Personal - Leitung'!$D$1)</f>
        <v/>
      </c>
      <c r="E145" s="1320"/>
      <c r="F145" s="1320"/>
      <c r="G145" s="1320"/>
      <c r="H145" s="1320"/>
      <c r="I145" s="1320"/>
      <c r="J145" s="1320"/>
      <c r="K145" s="1320"/>
      <c r="L145" s="1320"/>
      <c r="M145" s="1320"/>
      <c r="N145" s="1320"/>
    </row>
    <row r="146" spans="1:19" s="10" customFormat="1" ht="15" customHeight="1" x14ac:dyDescent="0.2">
      <c r="A146" s="1321" t="s">
        <v>16</v>
      </c>
      <c r="B146" s="1321"/>
      <c r="C146" s="1321" t="s">
        <v>14</v>
      </c>
      <c r="D146" s="1320" t="str">
        <f>IF('päd.Personal - Leitung'!$D$2="","",'päd.Personal - Leitung'!$D$2)</f>
        <v/>
      </c>
      <c r="E146" s="1320"/>
      <c r="F146" s="1320"/>
      <c r="G146" s="1320"/>
      <c r="H146" s="1320"/>
      <c r="I146" s="1320"/>
      <c r="J146" s="1320"/>
      <c r="K146" s="1320"/>
      <c r="L146" s="1320"/>
      <c r="M146" s="1320"/>
      <c r="N146" s="1320"/>
    </row>
    <row r="147" spans="1:19" s="10" customFormat="1" ht="15" customHeight="1" x14ac:dyDescent="0.2">
      <c r="A147" s="1321" t="s">
        <v>15</v>
      </c>
      <c r="B147" s="1321"/>
      <c r="C147" s="1321" t="s">
        <v>14</v>
      </c>
      <c r="D147" s="1320" t="str">
        <f>IF('päd.Personal - Leitung'!$D$3="","",'päd.Personal - Leitung'!$D$3)</f>
        <v/>
      </c>
      <c r="E147" s="1320"/>
      <c r="F147" s="1320"/>
      <c r="G147" s="1320"/>
      <c r="H147" s="1320"/>
      <c r="I147" s="1320"/>
      <c r="J147" s="1320"/>
      <c r="K147" s="1321" t="s">
        <v>100</v>
      </c>
      <c r="L147" s="1321"/>
      <c r="M147" s="1321"/>
      <c r="N147" s="38" t="str">
        <f>IF('päd.Personal - Leitung'!$N$3="","",'päd.Personal - Leitung'!$N$3)</f>
        <v/>
      </c>
    </row>
    <row r="148" spans="1:19" s="923" customFormat="1" ht="7.5" customHeight="1" x14ac:dyDescent="0.15">
      <c r="A148" s="1353"/>
      <c r="B148" s="1353"/>
      <c r="C148" s="1353"/>
      <c r="D148" s="1354"/>
      <c r="E148" s="1354"/>
      <c r="F148" s="1354"/>
      <c r="G148" s="1354"/>
      <c r="H148" s="1354"/>
      <c r="I148" s="1354"/>
      <c r="J148" s="1354"/>
      <c r="K148" s="922"/>
      <c r="L148" s="922"/>
      <c r="M148" s="922"/>
      <c r="N148" s="922"/>
      <c r="O148" s="922"/>
      <c r="P148" s="922"/>
    </row>
    <row r="149" spans="1:19" s="13" customFormat="1" ht="13.5" customHeight="1" x14ac:dyDescent="0.2">
      <c r="A149" s="1355" t="s">
        <v>750</v>
      </c>
      <c r="B149" s="1355"/>
      <c r="C149" s="1355"/>
      <c r="D149" s="1355"/>
      <c r="E149" s="1355"/>
      <c r="F149" s="1355"/>
      <c r="G149" s="1355"/>
      <c r="H149" s="1355"/>
      <c r="I149" s="1355"/>
      <c r="J149" s="1355"/>
      <c r="K149" s="7"/>
      <c r="L149" s="7"/>
      <c r="M149" s="7"/>
      <c r="N149" s="52"/>
      <c r="O149" s="138">
        <f>'päd.Personal - Leitung'!$O$5</f>
        <v>2025</v>
      </c>
      <c r="P149" s="52" t="s">
        <v>140</v>
      </c>
    </row>
    <row r="150" spans="1:19" s="8" customFormat="1" ht="13.5" customHeight="1" x14ac:dyDescent="0.25">
      <c r="B150" s="29"/>
      <c r="C150" s="29"/>
      <c r="D150" s="3" t="s">
        <v>23</v>
      </c>
      <c r="E150" s="28"/>
      <c r="F150" s="28"/>
      <c r="G150" s="28"/>
      <c r="H150" s="28"/>
      <c r="I150" s="24"/>
      <c r="K150" s="1327" t="s">
        <v>13</v>
      </c>
      <c r="L150" s="1327"/>
      <c r="M150" s="131"/>
      <c r="O150" s="928" t="str">
        <f>A173</f>
        <v>Jan 2025</v>
      </c>
      <c r="P150" s="1402">
        <f>IF(M152="","",M152)</f>
        <v>0</v>
      </c>
    </row>
    <row r="151" spans="1:19" s="5" customFormat="1" ht="13.5" customHeight="1" x14ac:dyDescent="0.25">
      <c r="A151" s="1328" t="s">
        <v>754</v>
      </c>
      <c r="B151" s="1328"/>
      <c r="C151" s="1328"/>
      <c r="D151" s="1345"/>
      <c r="E151" s="1345"/>
      <c r="F151" s="1345"/>
      <c r="G151" s="1345"/>
      <c r="H151" s="1345"/>
      <c r="I151" s="1345"/>
      <c r="K151" s="1327" t="s">
        <v>101</v>
      </c>
      <c r="L151" s="1327"/>
      <c r="M151" s="101"/>
      <c r="O151" s="928" t="str">
        <f t="shared" ref="O151:O161" si="21">A174</f>
        <v>Feb 2025</v>
      </c>
      <c r="P151" s="1403">
        <f t="shared" ref="P151:P161" si="22">IF(P150="","",P150)</f>
        <v>0</v>
      </c>
    </row>
    <row r="152" spans="1:19" ht="13.5" customHeight="1" x14ac:dyDescent="0.2">
      <c r="A152" s="1328" t="s">
        <v>12</v>
      </c>
      <c r="B152" s="1328"/>
      <c r="C152" s="1328"/>
      <c r="D152" s="1345"/>
      <c r="E152" s="1345"/>
      <c r="F152" s="1345"/>
      <c r="G152" s="1345"/>
      <c r="H152" s="1345"/>
      <c r="I152" s="1345"/>
      <c r="J152" s="1"/>
      <c r="K152" s="1327" t="s">
        <v>149</v>
      </c>
      <c r="L152" s="1327"/>
      <c r="M152" s="101">
        <f>IF((M153+M154)&gt;M151,0,M151-M153-M154)</f>
        <v>0</v>
      </c>
      <c r="N152" s="1"/>
      <c r="O152" s="928" t="str">
        <f t="shared" si="21"/>
        <v>Mrz 2025</v>
      </c>
      <c r="P152" s="1403">
        <f t="shared" si="22"/>
        <v>0</v>
      </c>
    </row>
    <row r="153" spans="1:19" ht="13.5" customHeight="1" x14ac:dyDescent="0.2">
      <c r="A153" s="1328" t="s">
        <v>11</v>
      </c>
      <c r="B153" s="1328"/>
      <c r="C153" s="1328"/>
      <c r="D153" s="1345"/>
      <c r="E153" s="1345"/>
      <c r="F153" s="1345"/>
      <c r="G153" s="1345"/>
      <c r="H153" s="1345"/>
      <c r="I153" s="1345"/>
      <c r="J153" s="1"/>
      <c r="K153" s="1327" t="s">
        <v>150</v>
      </c>
      <c r="L153" s="1327"/>
      <c r="M153" s="101"/>
      <c r="N153" s="1"/>
      <c r="O153" s="928" t="str">
        <f t="shared" si="21"/>
        <v>Apr 2025</v>
      </c>
      <c r="P153" s="1403">
        <f t="shared" si="22"/>
        <v>0</v>
      </c>
    </row>
    <row r="154" spans="1:19" ht="13.5" customHeight="1" x14ac:dyDescent="0.2">
      <c r="A154" s="1328" t="s">
        <v>18</v>
      </c>
      <c r="B154" s="1328"/>
      <c r="C154" s="1328"/>
      <c r="D154" s="1345"/>
      <c r="E154" s="1345"/>
      <c r="F154" s="1345"/>
      <c r="G154" s="1345"/>
      <c r="H154" s="1345"/>
      <c r="I154" s="1345"/>
      <c r="J154" s="1"/>
      <c r="K154" s="1327" t="s">
        <v>222</v>
      </c>
      <c r="L154" s="1327"/>
      <c r="M154" s="101"/>
      <c r="N154" s="1"/>
      <c r="O154" s="928" t="str">
        <f t="shared" si="21"/>
        <v>Mai 2025</v>
      </c>
      <c r="P154" s="1403">
        <f t="shared" si="22"/>
        <v>0</v>
      </c>
    </row>
    <row r="155" spans="1:19" ht="13.5" customHeight="1" x14ac:dyDescent="0.2">
      <c r="A155" s="1"/>
      <c r="B155" s="6"/>
      <c r="C155" s="1029" t="s">
        <v>147</v>
      </c>
      <c r="D155" s="1324"/>
      <c r="E155" s="1324"/>
      <c r="F155" s="1359" t="s">
        <v>103</v>
      </c>
      <c r="G155" s="1359"/>
      <c r="H155" s="1361"/>
      <c r="I155" s="1361"/>
      <c r="J155" s="1"/>
      <c r="K155" s="1327" t="s">
        <v>94</v>
      </c>
      <c r="L155" s="1327"/>
      <c r="M155" s="15" t="str">
        <f>IF(IF((COUNTIF(B173:B184,"&gt;0"))=0,0,(COUNTIF(B173:B184,"&gt;0")))&gt;Grundlagen!$C$26,Grundlagen!$C$26,IF((COUNTIF(B173:B184,"&gt;0"))=0,"",(COUNTIF(B173:B184,"&gt;0"))))</f>
        <v/>
      </c>
      <c r="N155" s="1"/>
      <c r="O155" s="928" t="str">
        <f t="shared" si="21"/>
        <v>Jun 2025</v>
      </c>
      <c r="P155" s="1403">
        <f t="shared" si="22"/>
        <v>0</v>
      </c>
    </row>
    <row r="156" spans="1:19" ht="13.5" customHeight="1" x14ac:dyDescent="0.2">
      <c r="A156" s="1"/>
      <c r="B156" s="1"/>
      <c r="C156" s="1"/>
      <c r="D156" s="1"/>
      <c r="E156" s="1"/>
      <c r="F156" s="1"/>
      <c r="G156" s="1"/>
      <c r="H156" s="1"/>
      <c r="I156" s="4"/>
      <c r="J156" s="1"/>
      <c r="K156" s="1"/>
      <c r="L156" s="1"/>
      <c r="M156" s="102" t="str">
        <f>IF((SUM(F158:F161))=0,"",IF(P162&gt;M152,M152,IF(M152="","",IF(M155="","",P162))))</f>
        <v/>
      </c>
      <c r="N156" s="1"/>
      <c r="O156" s="928" t="str">
        <f t="shared" si="21"/>
        <v>Jul 2025</v>
      </c>
      <c r="P156" s="1403">
        <f t="shared" si="22"/>
        <v>0</v>
      </c>
    </row>
    <row r="157" spans="1:19" s="46" customFormat="1" ht="13.5" customHeight="1" x14ac:dyDescent="0.2">
      <c r="A157" s="54" t="s">
        <v>134</v>
      </c>
      <c r="B157" s="1356" t="s">
        <v>135</v>
      </c>
      <c r="C157" s="1356"/>
      <c r="D157" s="55" t="s">
        <v>136</v>
      </c>
      <c r="E157" s="56" t="s">
        <v>137</v>
      </c>
      <c r="F157" s="57" t="str">
        <f>CONCATENATE("Entg. ",N147," h/Wo")</f>
        <v>Entg.  h/Wo</v>
      </c>
      <c r="G157" s="58" t="s">
        <v>138</v>
      </c>
      <c r="I157" s="58" t="s">
        <v>139</v>
      </c>
      <c r="K157" s="970"/>
      <c r="L157" s="970"/>
      <c r="M157" s="59"/>
      <c r="N157" s="968"/>
      <c r="O157" s="928" t="str">
        <f t="shared" si="21"/>
        <v>Aug 2025</v>
      </c>
      <c r="P157" s="1403">
        <f t="shared" si="22"/>
        <v>0</v>
      </c>
      <c r="Q157" s="85"/>
      <c r="R157" s="85"/>
      <c r="S157" s="85"/>
    </row>
    <row r="158" spans="1:19" s="46" customFormat="1" ht="13.5" customHeight="1" x14ac:dyDescent="0.25">
      <c r="A158" s="48" t="str">
        <f>'päd.Personal - Leitung'!$A$14</f>
        <v>Jan 2025</v>
      </c>
      <c r="B158" s="1357" t="str">
        <f>IF($D$3="","",$D$3)</f>
        <v/>
      </c>
      <c r="C158" s="1358"/>
      <c r="D158" s="132"/>
      <c r="E158" s="132"/>
      <c r="F158" s="71"/>
      <c r="G158" s="50">
        <f>IF(N147="",0,F158/N147/4.348)</f>
        <v>0</v>
      </c>
      <c r="I158" s="125">
        <f>SUM(J158:M158)</f>
        <v>0</v>
      </c>
      <c r="J158" s="124"/>
      <c r="K158" s="124"/>
      <c r="L158" s="124"/>
      <c r="M158" s="124"/>
      <c r="N158" s="969"/>
      <c r="O158" s="928" t="str">
        <f t="shared" si="21"/>
        <v>Sep 2025</v>
      </c>
      <c r="P158" s="1403">
        <f t="shared" si="22"/>
        <v>0</v>
      </c>
      <c r="Q158" s="85"/>
      <c r="R158" s="85"/>
      <c r="S158" s="85"/>
    </row>
    <row r="159" spans="1:19" s="46" customFormat="1" ht="13.5" customHeight="1" x14ac:dyDescent="0.25">
      <c r="A159" s="49"/>
      <c r="B159" s="1322" t="str">
        <f>IF(A159="","",B158)</f>
        <v/>
      </c>
      <c r="C159" s="1323"/>
      <c r="D159" s="132"/>
      <c r="E159" s="132"/>
      <c r="F159" s="71"/>
      <c r="G159" s="50">
        <f>IF(N147="",0,F159/N147/4.348)</f>
        <v>0</v>
      </c>
      <c r="I159" s="125">
        <f t="shared" ref="I159:I161" si="23">SUM(J159:M159)</f>
        <v>0</v>
      </c>
      <c r="J159" s="124"/>
      <c r="K159" s="124"/>
      <c r="L159" s="124"/>
      <c r="M159" s="124"/>
      <c r="N159" s="969"/>
      <c r="O159" s="928" t="str">
        <f t="shared" si="21"/>
        <v>Okt 2025</v>
      </c>
      <c r="P159" s="1403">
        <f t="shared" si="22"/>
        <v>0</v>
      </c>
      <c r="Q159" s="85"/>
      <c r="R159" s="85"/>
      <c r="S159" s="85"/>
    </row>
    <row r="160" spans="1:19" s="46" customFormat="1" ht="13.5" customHeight="1" x14ac:dyDescent="0.25">
      <c r="A160" s="49"/>
      <c r="B160" s="1322" t="str">
        <f>IF(A160="","",B159)</f>
        <v/>
      </c>
      <c r="C160" s="1323"/>
      <c r="D160" s="132"/>
      <c r="E160" s="132"/>
      <c r="F160" s="71"/>
      <c r="G160" s="50">
        <f>IF(N147="",0,F160/N147/4.348)</f>
        <v>0</v>
      </c>
      <c r="I160" s="125">
        <f t="shared" si="23"/>
        <v>0</v>
      </c>
      <c r="J160" s="124"/>
      <c r="K160" s="124"/>
      <c r="L160" s="124"/>
      <c r="M160" s="124"/>
      <c r="N160" s="969"/>
      <c r="O160" s="928" t="str">
        <f t="shared" si="21"/>
        <v>Nov 2025</v>
      </c>
      <c r="P160" s="1403">
        <f t="shared" si="22"/>
        <v>0</v>
      </c>
      <c r="Q160" s="85"/>
      <c r="R160" s="85"/>
      <c r="S160" s="85"/>
    </row>
    <row r="161" spans="1:22" s="46" customFormat="1" ht="13.5" customHeight="1" x14ac:dyDescent="0.25">
      <c r="A161" s="49"/>
      <c r="B161" s="1322" t="str">
        <f>IF(A161="","",B160)</f>
        <v/>
      </c>
      <c r="C161" s="1323"/>
      <c r="D161" s="132"/>
      <c r="E161" s="132"/>
      <c r="F161" s="71"/>
      <c r="G161" s="50">
        <f>IF(N147="",0,F161/N147/4.348)</f>
        <v>0</v>
      </c>
      <c r="I161" s="125">
        <f t="shared" si="23"/>
        <v>0</v>
      </c>
      <c r="J161" s="124"/>
      <c r="K161" s="124"/>
      <c r="L161" s="124"/>
      <c r="M161" s="124"/>
      <c r="N161" s="969"/>
      <c r="O161" s="928" t="str">
        <f t="shared" si="21"/>
        <v>Dez 2025</v>
      </c>
      <c r="P161" s="1403">
        <f t="shared" si="22"/>
        <v>0</v>
      </c>
      <c r="Q161" s="85"/>
      <c r="R161" s="85"/>
      <c r="S161" s="85"/>
    </row>
    <row r="162" spans="1:22" s="46" customFormat="1" ht="13.5" customHeight="1" x14ac:dyDescent="0.25">
      <c r="B162" s="972"/>
      <c r="C162" s="972"/>
      <c r="E162" s="972"/>
      <c r="F162" s="972"/>
      <c r="I162" s="930" t="s">
        <v>730</v>
      </c>
      <c r="J162" s="1052"/>
      <c r="K162" s="1052"/>
      <c r="L162" s="1052"/>
      <c r="M162" s="1052"/>
      <c r="N162" s="971"/>
      <c r="O162" s="126" t="s">
        <v>221</v>
      </c>
      <c r="P162" s="127">
        <f>IF(M155="",0,((IF(SUMIF(B173,"&gt;0"),P150,0))+(IF(SUMIF(B174,"&gt;0"),P151,0))+(IF(SUMIF(B175,"&gt;0"),P152,0))+(IF(SUMIF(B176,"&gt;0"),P153,0))+(IF(SUMIF(B177,"&gt;0"),P154,0))+(IF(SUMIF(B178,"&gt;0"),P155,0))+(IF(SUMIF(B179,"&gt;0"),P156,0))+(IF(SUMIF(B180,"&gt;0"),P157,0))+(IF(SUMIF(B181,"&gt;0"),P158,0))+(IF(SUMIF(B182,"&gt;0"),P159,0))+(IF(SUMIF(B183,"&gt;0"),P160,0))+(IF(SUMIF(B184,"&gt;0"),P161,0)))/Grundlagen!$C$26)</f>
        <v>0</v>
      </c>
      <c r="Q162" s="958" t="str">
        <f>CONCATENATE("BBG"," anteilig ",O164)</f>
        <v>BBG anteilig 2025</v>
      </c>
      <c r="R162" s="931" t="s">
        <v>659</v>
      </c>
      <c r="S162" s="931" t="s">
        <v>398</v>
      </c>
      <c r="T162" s="107"/>
    </row>
    <row r="163" spans="1:22" s="46" customFormat="1" ht="13.5" customHeight="1" x14ac:dyDescent="0.2">
      <c r="A163" s="924" t="s">
        <v>732</v>
      </c>
      <c r="D163" s="55" t="s">
        <v>369</v>
      </c>
      <c r="E163" s="56" t="s">
        <v>368</v>
      </c>
      <c r="F163" s="58"/>
      <c r="J163" s="61"/>
      <c r="Q163" s="932" t="s">
        <v>144</v>
      </c>
      <c r="R163" s="140">
        <f>IF(M152=0,R167,IF(M151="",R167,(SUM(R173:R184)/M155)))</f>
        <v>5175</v>
      </c>
      <c r="S163" s="933">
        <f>IF(M152=0,S167,IF(M151="",S167,SUM(R173:R184)))</f>
        <v>0</v>
      </c>
      <c r="T163" s="107"/>
    </row>
    <row r="164" spans="1:22" s="46" customFormat="1" ht="13.5" customHeight="1" x14ac:dyDescent="0.25">
      <c r="A164" s="60"/>
      <c r="B164" s="1314" t="str">
        <f>IF($B$20="","",$B$20)</f>
        <v>Jahressonderzahlung (JSZ)</v>
      </c>
      <c r="C164" s="1315"/>
      <c r="D164" s="926"/>
      <c r="E164" s="929" t="str">
        <f>IF(A164="","",ROUND((((SUM(B179:B181)+SUM(F179:F181))/3)*D164)/Grundlagen!$C$26*M155,2))</f>
        <v/>
      </c>
      <c r="G164" s="941" t="s">
        <v>733</v>
      </c>
      <c r="H164" s="943"/>
      <c r="I164" s="1316" t="str">
        <f>CONCATENATE(R187,":"," Übergangsbereich von ",R188+0.01," €"," bis ",R189," €")</f>
        <v>2025: Übergangsbereich von 556,01 € bis 2000 €</v>
      </c>
      <c r="J164" s="1317"/>
      <c r="K164" s="1317"/>
      <c r="L164" s="1067"/>
      <c r="M164" s="1067"/>
      <c r="N164" s="1068" t="s">
        <v>736</v>
      </c>
      <c r="O164" s="1069">
        <f>P164+1</f>
        <v>2025</v>
      </c>
      <c r="P164" s="1069" t="s">
        <v>721</v>
      </c>
      <c r="Q164" s="932" t="s">
        <v>145</v>
      </c>
      <c r="R164" s="140">
        <f>IF(M152=0,R168,IF(M151="",R168,(SUM(S173:S184)/M155)))</f>
        <v>7450</v>
      </c>
      <c r="S164" s="933">
        <f>IF(M152=0,S168,IF(M151="",S168,SUM(S173:S184)))</f>
        <v>0</v>
      </c>
      <c r="T164" s="109"/>
    </row>
    <row r="165" spans="1:22" ht="14.25" customHeight="1" x14ac:dyDescent="0.2">
      <c r="A165" s="60"/>
      <c r="B165" s="1314" t="str">
        <f>IF($B$21="","",$B$21)</f>
        <v>Leistungsentgelt (LOB)</v>
      </c>
      <c r="C165" s="1315"/>
      <c r="D165" s="926"/>
      <c r="E165" s="929" t="str">
        <f>IF(A165="","",ROUND(((B185+F185)*D165)/Grundlagen!$C$26*M155,2))</f>
        <v/>
      </c>
      <c r="F165" s="1"/>
      <c r="G165" s="941" t="str">
        <f>IF(OR(H164="",H164="nein")=TRUE,"","Faktor (F):")</f>
        <v/>
      </c>
      <c r="H165" s="949" t="str">
        <f>IF(OR(H164="",H164="nein")=TRUE,"",IF(H164="","",R191))</f>
        <v/>
      </c>
      <c r="I165" s="1318" t="str">
        <f>IF(OR(H164="",H164="nein")=TRUE,"",IF(H165="","",CONCATENATE(S191*100,"%"," / ","(",R190*100,"%"," Gesamt-SV-Beitragssatz 2024)")))</f>
        <v/>
      </c>
      <c r="J165" s="1319"/>
      <c r="K165" s="1319"/>
      <c r="L165" s="1070"/>
      <c r="M165" s="1070"/>
      <c r="N165" s="1071" t="s">
        <v>144</v>
      </c>
      <c r="O165" s="1072">
        <f>'päd.Personal - Leitung'!$O$21</f>
        <v>5175</v>
      </c>
      <c r="P165" s="1072">
        <f>'päd.Personal - Leitung'!$P$21</f>
        <v>5175</v>
      </c>
      <c r="Q165" s="11"/>
      <c r="R165" s="11"/>
      <c r="S165" s="11"/>
      <c r="T165" s="109"/>
    </row>
    <row r="166" spans="1:22" ht="14.25" customHeight="1" x14ac:dyDescent="0.2">
      <c r="A166" s="1"/>
      <c r="B166" s="1"/>
      <c r="C166" s="925" t="s">
        <v>731</v>
      </c>
      <c r="D166" s="1"/>
      <c r="E166" s="1"/>
      <c r="F166" s="1"/>
      <c r="G166" s="1"/>
      <c r="H166" s="1"/>
      <c r="I166" s="1"/>
      <c r="J166" s="1"/>
      <c r="K166" s="1"/>
      <c r="L166" s="1070"/>
      <c r="M166" s="1070"/>
      <c r="N166" s="1071" t="s">
        <v>145</v>
      </c>
      <c r="O166" s="1073">
        <f>'päd.Personal - Leitung'!$O$22</f>
        <v>7450</v>
      </c>
      <c r="P166" s="1073">
        <f>'päd.Personal - Leitung'!$P$22</f>
        <v>7450</v>
      </c>
      <c r="Q166" s="958" t="str">
        <f>CONCATENATE("BBG"," ",O164)</f>
        <v>BBG 2025</v>
      </c>
      <c r="R166" s="11"/>
      <c r="S166" s="11"/>
      <c r="T166" s="109"/>
    </row>
    <row r="167" spans="1:22" ht="14.25" customHeight="1" x14ac:dyDescent="0.2">
      <c r="A167" s="53" t="s">
        <v>141</v>
      </c>
      <c r="B167" s="46"/>
      <c r="C167" s="46"/>
      <c r="D167" s="46"/>
      <c r="E167" s="46"/>
      <c r="F167" s="46"/>
      <c r="G167" s="46"/>
      <c r="H167" s="46"/>
      <c r="I167" s="46"/>
      <c r="J167" s="46"/>
      <c r="K167" s="46"/>
      <c r="L167" s="46"/>
      <c r="M167" s="46"/>
      <c r="N167" s="46"/>
      <c r="O167" s="46"/>
      <c r="P167" s="46"/>
      <c r="Q167" s="932" t="s">
        <v>144</v>
      </c>
      <c r="R167" s="141">
        <f>IF($O$21="",0,$O$21)</f>
        <v>5175</v>
      </c>
      <c r="S167" s="933">
        <f>R167*IF(M155="",0,M155)</f>
        <v>0</v>
      </c>
      <c r="T167" s="295"/>
    </row>
    <row r="168" spans="1:22" ht="14.25" customHeight="1" x14ac:dyDescent="0.2">
      <c r="A168" s="1346"/>
      <c r="B168" s="1348" t="s">
        <v>8</v>
      </c>
      <c r="C168" s="1349"/>
      <c r="D168" s="1349"/>
      <c r="E168" s="1349"/>
      <c r="F168" s="1349"/>
      <c r="G168" s="1350"/>
      <c r="H168" s="1351" t="s">
        <v>113</v>
      </c>
      <c r="I168" s="1352"/>
      <c r="J168" s="1352"/>
      <c r="K168" s="1352"/>
      <c r="L168" s="1352"/>
      <c r="M168" s="1352"/>
      <c r="N168" s="1352"/>
      <c r="O168" s="30"/>
      <c r="P168" s="1330" t="s">
        <v>0</v>
      </c>
      <c r="Q168" s="932" t="s">
        <v>145</v>
      </c>
      <c r="R168" s="141">
        <f>IF($O$22="",0,$O$22)</f>
        <v>7450</v>
      </c>
      <c r="S168" s="933">
        <f>R168*IF(M155="",0,M155)</f>
        <v>0</v>
      </c>
      <c r="T168" s="830"/>
    </row>
    <row r="169" spans="1:22" ht="14.25" customHeight="1" x14ac:dyDescent="0.2">
      <c r="A169" s="1347"/>
      <c r="B169" s="1333" t="s">
        <v>111</v>
      </c>
      <c r="C169" s="1335" t="s">
        <v>743</v>
      </c>
      <c r="D169" s="1337" t="s">
        <v>226</v>
      </c>
      <c r="E169" s="1339" t="s">
        <v>133</v>
      </c>
      <c r="F169" s="1030" t="s">
        <v>6</v>
      </c>
      <c r="G169" s="1340" t="s">
        <v>5</v>
      </c>
      <c r="H169" s="1339" t="s">
        <v>119</v>
      </c>
      <c r="I169" s="1339" t="s">
        <v>4</v>
      </c>
      <c r="J169" s="1339" t="s">
        <v>3</v>
      </c>
      <c r="K169" s="1339" t="s">
        <v>2</v>
      </c>
      <c r="L169" s="1339" t="s">
        <v>114</v>
      </c>
      <c r="M169" s="1339" t="s">
        <v>115</v>
      </c>
      <c r="N169" s="1339" t="s">
        <v>116</v>
      </c>
      <c r="O169" s="1338" t="s">
        <v>109</v>
      </c>
      <c r="P169" s="1331"/>
      <c r="Q169" s="456"/>
      <c r="R169" s="11"/>
      <c r="S169" s="11"/>
      <c r="T169" s="621"/>
    </row>
    <row r="170" spans="1:22" ht="14.25" customHeight="1" x14ac:dyDescent="0.2">
      <c r="A170" s="1347"/>
      <c r="B170" s="1333"/>
      <c r="C170" s="1335"/>
      <c r="D170" s="1338"/>
      <c r="E170" s="1339"/>
      <c r="F170" s="1343" t="str">
        <f>I162</f>
        <v>Zuschläge / Zulagen / o.ä.:</v>
      </c>
      <c r="G170" s="1340"/>
      <c r="H170" s="1342" t="s">
        <v>117</v>
      </c>
      <c r="I170" s="1342"/>
      <c r="J170" s="1342"/>
      <c r="K170" s="1342"/>
      <c r="L170" s="1342"/>
      <c r="M170" s="1342"/>
      <c r="N170" s="1342"/>
      <c r="O170" s="1338"/>
      <c r="P170" s="1331"/>
      <c r="Q170" s="456"/>
      <c r="R170" s="1306" t="str">
        <f>Q162</f>
        <v>BBG anteilig 2025</v>
      </c>
      <c r="S170" s="1306"/>
      <c r="T170" s="829"/>
    </row>
    <row r="171" spans="1:22" ht="14.25" customHeight="1" x14ac:dyDescent="0.2">
      <c r="A171" s="1347"/>
      <c r="B171" s="1333"/>
      <c r="C171" s="1335"/>
      <c r="D171" s="1338"/>
      <c r="E171" s="1339"/>
      <c r="F171" s="1343"/>
      <c r="G171" s="1340"/>
      <c r="H171" s="39" t="str">
        <f>'päd.Personal - Leitung'!$H$27</f>
        <v>(7,30% + Zusatz)</v>
      </c>
      <c r="I171" s="39" t="str">
        <f>'päd.Personal - Leitung'!$I$27</f>
        <v xml:space="preserve"> (2024: 9,30%)</v>
      </c>
      <c r="J171" s="39" t="str">
        <f>'päd.Personal - Leitung'!$J$27</f>
        <v>(2024: 1,30%)</v>
      </c>
      <c r="K171" s="39" t="str">
        <f>'päd.Personal - Leitung'!$K$27</f>
        <v>(2024: 1,700%)</v>
      </c>
      <c r="L171" s="39"/>
      <c r="M171" s="39"/>
      <c r="N171" s="39" t="str">
        <f>'päd.Personal - Leitung'!$N$27</f>
        <v>(2024: 0,06%)</v>
      </c>
      <c r="O171" s="1338"/>
      <c r="P171" s="1331"/>
      <c r="Q171" s="456"/>
      <c r="R171" s="1307" t="s">
        <v>659</v>
      </c>
      <c r="S171" s="1307"/>
      <c r="T171" s="829"/>
      <c r="U171" s="1308" t="s">
        <v>1</v>
      </c>
      <c r="V171" s="1308" t="s">
        <v>741</v>
      </c>
    </row>
    <row r="172" spans="1:22" x14ac:dyDescent="0.2">
      <c r="A172" s="1347"/>
      <c r="B172" s="1334"/>
      <c r="C172" s="1336"/>
      <c r="D172" s="45"/>
      <c r="E172" s="45"/>
      <c r="F172" s="1344"/>
      <c r="G172" s="1341"/>
      <c r="H172" s="74"/>
      <c r="I172" s="99">
        <f>'päd.Personal - Leitung'!$I$28</f>
        <v>0</v>
      </c>
      <c r="J172" s="99">
        <f>'päd.Personal - Leitung'!$J$28</f>
        <v>0</v>
      </c>
      <c r="K172" s="40">
        <f>'päd.Personal - Leitung'!$K$28</f>
        <v>0</v>
      </c>
      <c r="L172" s="19"/>
      <c r="M172" s="19"/>
      <c r="N172" s="99">
        <f>'päd.Personal - Leitung'!$N$28</f>
        <v>0</v>
      </c>
      <c r="O172" s="23"/>
      <c r="P172" s="1332"/>
      <c r="Q172" s="456"/>
      <c r="R172" s="935" t="s">
        <v>144</v>
      </c>
      <c r="S172" s="935" t="s">
        <v>145</v>
      </c>
      <c r="T172" s="829"/>
      <c r="U172" s="1308"/>
      <c r="V172" s="1308"/>
    </row>
    <row r="173" spans="1:22" x14ac:dyDescent="0.2">
      <c r="A173" s="76" t="str">
        <f>CONCATENATE("Jan ",O149)</f>
        <v>Jan 2025</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4">SUM(B173+C173+E173+F173)</f>
        <v>0</v>
      </c>
      <c r="H173" s="64">
        <f>IF(B173=0,0,IF(AND(H164="ja",((U173)&lt;R189)),ROUND(((R191*R188+((R189/(R189-R188))-(R188/(R189-R188))*R191)*((U173)-R188))*(H172*2))-(((R189/(R189-R188))*((U173)-R188))*H172),2),ROUND(IF((U173)&gt;R173,R173*H172,U173*H172),2)))</f>
        <v>0</v>
      </c>
      <c r="I173" s="64">
        <f>IF(B173=0,0,IF(AND(H164="ja",((U173)&lt;R189)),ROUND(((R191*R188+((R189/(R189-R188))-(R188/(R189-R188))*R191)*((U173)-R188))*(I172*2))-(((R189/(R189-R188))*((U173)-R188))*I172),2),ROUND(IF((U173)&gt;S173,S173*I172,U173*I172),2)))</f>
        <v>0</v>
      </c>
      <c r="J173" s="64">
        <f>IF(B173=0,0,IF(AND(H164="ja",((U173)&lt;R189)),ROUND(((R191*R188+((R189/(R189-R188))-(R188/(R189-R188))*R191)*((U173)-R188))*(J172*2))-(((R189/(R189-R188))*((U173)-R188))*J172),2),ROUND(IF((U173)&gt;S173,S173*J172,U173*J172),2)))</f>
        <v>0</v>
      </c>
      <c r="K173" s="64">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64">
        <f>IF(B173=0,0,IF(AND(H164="ja",((U173)&lt;R189)),ROUND(((R191*R188+((R189/(R189-R188))-(R188/(R189-R188))*R191)*((U173)-R188))*(N172)),2),ROUND(IF((SUM(B173:F173))&gt;S173,S173*N172,SUM(B173:F173)*N172),2)))</f>
        <v>0</v>
      </c>
      <c r="O173" s="21">
        <f>ROUND(SUM(B173+C173+F173)*O172,2)</f>
        <v>0</v>
      </c>
      <c r="P173" s="25">
        <f>SUM(G173:O173)</f>
        <v>0</v>
      </c>
      <c r="Q173" s="456"/>
      <c r="R173" s="140">
        <f>ROUND(IF(M151="",R167,R167/M151*P150),2)</f>
        <v>5175</v>
      </c>
      <c r="S173" s="140">
        <f>ROUND(IF(M151="",R168,R168/M151*P150),2)</f>
        <v>7450</v>
      </c>
      <c r="U173" s="950">
        <f>SUM(B173:F173)</f>
        <v>0</v>
      </c>
      <c r="V173" s="950">
        <f>SUM(B173:F173)</f>
        <v>0</v>
      </c>
    </row>
    <row r="174" spans="1:22" x14ac:dyDescent="0.2">
      <c r="A174" s="76" t="str">
        <f>CONCATENATE("Feb ",O149)</f>
        <v>Feb 2025</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4"/>
        <v>0</v>
      </c>
      <c r="H174" s="64">
        <f>IF(B174=0,0,IF(AND(H164="ja",((U174)&lt;R189)),ROUND(((R191*R188+((R189/(R189-R188))-(R188/(R189-R188))*R191)*((U174)-R188))*(H172*2))-(((R189/(R189-R188))*((U174)-R188))*H172),2),ROUND(IF(U173&lt;(R173),IF((V174)&gt;(SUM(R173:R174)),(((SUM(R173:R174))-(V174-C173))*H172)+((U174-C173)*H172),U174*H172),IF(V174&gt;(SUM(R173:R174)),R174*H172,U174*H172)),2)))</f>
        <v>0</v>
      </c>
      <c r="I174" s="64">
        <f>IF(B174=0,0,IF(AND(H164="ja",((U174)&lt;R189)),ROUND(((R191*R188+((R189/(R189-R188))-(R188/(R189-R188))*R191)*((U174)-R188))*(I172*2))-(((R189/(R189-R188))*((U174)-R188))*I172),2),ROUND(IF(U173&lt;(S173),IF((V174)&gt;(SUM(S173:S174)),(((SUM(S173:S174))-(V174-C173))*I172)+((U174-C173)*I172),U174*I172),IF(V174&gt;(SUM(S173:S174)),S174*I172,U174*I172)),2)))</f>
        <v>0</v>
      </c>
      <c r="J174" s="64">
        <f>IF(B174=0,0,IF(AND(H164="ja",((U174)&lt;R189)),ROUND(((R191*R188+((R189/(R189-R188))-(R188/(R189-R188))*R191)*((U174)-R188))*(J172*2))-(((R189/(R189-R188))*((U174)-R188))*J172),2),ROUND(IF(U173&lt;(S173),IF((V174)&gt;(SUM(S173:S174)),(((SUM(S173:S174))-(V174-C173))*J172)+((U174-C173)*J172),U174*J172),IF(V174&gt;(SUM(S173:S174)),S174*J172,U174*J172)),2)))</f>
        <v>0</v>
      </c>
      <c r="K174" s="64">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64">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5">SUM(G174:O174)</f>
        <v>0</v>
      </c>
      <c r="Q174" s="456"/>
      <c r="R174" s="140">
        <f>ROUND(IF(M151="",R167,R167/M151*P151),2)</f>
        <v>5175</v>
      </c>
      <c r="S174" s="140">
        <f>ROUND(IF(M151="",R168,R168/M151*P151),2)</f>
        <v>7450</v>
      </c>
      <c r="U174" s="950">
        <f t="shared" ref="U174:U184" si="26">SUM(B174:F174)</f>
        <v>0</v>
      </c>
      <c r="V174" s="950">
        <f>SUM(B173:F174)</f>
        <v>0</v>
      </c>
    </row>
    <row r="175" spans="1:22" x14ac:dyDescent="0.2">
      <c r="A175" s="76" t="str">
        <f>CONCATENATE("Mrz ",O149)</f>
        <v>Mrz 2025</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4"/>
        <v>0</v>
      </c>
      <c r="H175" s="64">
        <f>IF(B175=0,0,IF(AND(H164="ja",((U175)&lt;R189)),ROUND(((R191*R188+((R189/(R189-R188))-(R188/(R189-R188))*R191)*((U175)-R188))*(H172*2))-(((R189/(R189-R188))*((U175)-R188))*H172),2),ROUND(IF(V174&lt;(SUM(R173:R174)),IF((V175)&gt;(SUM(R173:R175)),(((SUM(R173:R175))-(V175-C174))*H172)+((U175-C174)*H172),U175*H172),IF(V175&gt;(SUM(R173:R175)),R175*H172,U175*H172)),2)))</f>
        <v>0</v>
      </c>
      <c r="I175" s="64">
        <f>IF(B175=0,0,IF(AND(H164="ja",((U175)&lt;R189)),ROUND(((R191*R188+((R189/(R189-R188))-(R188/(R189-R188))*R191)*((U175)-R188))*(I172*2))-(((R189/(R189-R188))*((U175)-R188))*I172),2),ROUND(IF(V174&lt;(SUM(S173:S174)),IF((V175)&gt;(SUM(S173:S175)),(((SUM(S173:S175))-(V175-C174))*I172)+((U175-C174)*I172),U175*I172),IF(V175&gt;(SUM(S173:S175)),S175*I172,U175*I172)),2)))</f>
        <v>0</v>
      </c>
      <c r="J175" s="64">
        <f>IF(B175=0,0,IF(AND(H164="ja",((U175)&lt;R189)),ROUND(((R191*R188+((R189/(R189-R188))-(R188/(R189-R188))*R191)*((U175)-R188))*(J172*2))-(((R189/(R189-R188))*((U175)-R188))*J172),2),ROUND(IF(V174&lt;(SUM(S173:S174)),IF((V175)&gt;(SUM(S173:S175)),(((SUM(S173:S175))-(V175-C174))*J172)+((U175-C174)*J172),U175*J172),IF(V175&gt;(SUM(S173:S175)),S175*J172,U175*J172)),2)))</f>
        <v>0</v>
      </c>
      <c r="K175" s="64">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64">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5"/>
        <v>0</v>
      </c>
      <c r="Q175" s="456"/>
      <c r="R175" s="140">
        <f>ROUND(IF(M151="",R167,R167/M151*P152),2)</f>
        <v>5175</v>
      </c>
      <c r="S175" s="140">
        <f>ROUND(IF(M151="",R168,R168/M151*P152),2)</f>
        <v>7450</v>
      </c>
      <c r="U175" s="950">
        <f t="shared" si="26"/>
        <v>0</v>
      </c>
      <c r="V175" s="950">
        <f>SUM(B173:F175)</f>
        <v>0</v>
      </c>
    </row>
    <row r="176" spans="1:22" x14ac:dyDescent="0.2">
      <c r="A176" s="76" t="str">
        <f>CONCATENATE("Apr ",O149)</f>
        <v>Apr 2025</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4"/>
        <v>0</v>
      </c>
      <c r="H176" s="64">
        <f>IF(B176=0,0,IF(AND(H164="ja",((U176)&lt;R189)),ROUND(((R191*R188+((R189/(R189-R188))-(R188/(R189-R188))*R191)*((U176)-R188))*(H172*2))-(((R189/(R189-R188))*((U176)-R188))*H172),2),ROUND(IF(V175&lt;(SUM(R173:R175)),IF((V176)&gt;(SUM(R173:R176)),(((SUM(R173:R176))-(V176-C175))*H172)+((U176-C175)*H172),U176*H172),IF(V176&gt;(SUM(R173:R176)),R176*H172,U176*H172)),2)))</f>
        <v>0</v>
      </c>
      <c r="I176" s="64">
        <f>IF(B176=0,0,IF(AND(H164="ja",((U176)&lt;R189)),ROUND(((R191*R188+((R189/(R189-R188))-(R188/(R189-R188))*R191)*((U176)-R188))*(I172*2))-(((R189/(R189-R188))*((U176)-R188))*I172),2),ROUND(IF(V175&lt;(SUM(S173:S175)),IF((V176)&gt;(SUM(S173:S176)),(((SUM(S173:S176))-(V176-C175))*I172)+((U176-C175)*I172),U176*I172),IF(V176&gt;(SUM(S173:S176)),S176*I172,U176*I172)),2)))</f>
        <v>0</v>
      </c>
      <c r="J176" s="64">
        <f>IF(B176=0,0,IF(AND(H164="ja",((U176)&lt;R189)),ROUND(((R191*R188+((R189/(R189-R188))-(R188/(R189-R188))*R191)*((U176)-R188))*(J172*2))-(((R189/(R189-R188))*((U176)-R188))*J172),2),ROUND(IF(U175&lt;(SUM(S173:S175)),IF((V176)&gt;(SUM(S173:S176)),(((SUM(S173:S176))-(V176-C175))*J172)+((U176-C175)*J172),U176*J172),IF(V176&gt;(SUM(S173:S176)),S176*J172,U176*J172)),2)))</f>
        <v>0</v>
      </c>
      <c r="K176" s="64">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64">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5"/>
        <v>0</v>
      </c>
      <c r="Q176" s="456"/>
      <c r="R176" s="140">
        <f>ROUND(IF(M151="",R167,R167/M151*P153),2)</f>
        <v>5175</v>
      </c>
      <c r="S176" s="140">
        <f>ROUND(IF(M151="",R168,R168/M151*P153),2)</f>
        <v>7450</v>
      </c>
      <c r="U176" s="950">
        <f t="shared" si="26"/>
        <v>0</v>
      </c>
      <c r="V176" s="950">
        <f>SUM(B173:F176)</f>
        <v>0</v>
      </c>
    </row>
    <row r="177" spans="1:24" x14ac:dyDescent="0.2">
      <c r="A177" s="76" t="str">
        <f>CONCATENATE("Mai ",O149)</f>
        <v>Mai 2025</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4"/>
        <v>0</v>
      </c>
      <c r="H177" s="64">
        <f>IF(B177=0,0,IF(AND(H164="ja",((U177)&lt;R189)),ROUND(((R191*R188+((R189/(R189-R188))-(R188/(R189-R188))*R191)*((U177)-R188))*(H172*2))-(((R189/(R189-R188))*((U177)-R188))*H172),2),ROUND(IF(V176&lt;(SUM(R173:R176)),IF((V177)&gt;(SUM(R173:R177)),(((SUM(R173:R177))-(V177-C176))*H172)+((U177-C176)*H172),U177*H172),IF(V177&gt;(SUM(R173:R177)),R177*H172,U177*H172)),2)))</f>
        <v>0</v>
      </c>
      <c r="I177" s="64">
        <f>IF(B177=0,0,IF(AND(H164="ja",((U177)&lt;R189)),ROUND(((R191*R188+((R189/(R189-R188))-(R188/(R189-R188))*R191)*((U177)-R188))*(I172*2))-(((R189/(R189-R188))*((U177)-R188))*I172),2),ROUND(IF(V176&lt;(SUM(S173:S176)),IF((V177)&gt;(SUM(S173:S177)),(((SUM(S173:S177))-(V177-C176))*I172)+((U177-C176)*I172),U177*I172),IF(V177&gt;(SUM(S173:S177)),S177*I172,U177*I172)),2)))</f>
        <v>0</v>
      </c>
      <c r="J177" s="64">
        <f>IF(B177=0,0,IF(AND(H164="ja",((U177)&lt;R189)),ROUND(((R191*R188+((R189/(R189-R188))-(R188/(R189-R188))*R191)*((U177)-R188))*(J172*2))-(((R189/(R189-R188))*((U177)-R188))*J172),2),ROUND(IF(V176&lt;(SUM(S173:S176)),IF((V177)&gt;(SUM(S173:S177)),(((SUM(S173:S177))-(V177-C176))*J172)+((U177-C176)*J172),U177*J172),IF(V177&gt;(SUM(S173:S177)),S177*J172,U177*J172)),2)))</f>
        <v>0</v>
      </c>
      <c r="K177" s="64">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64">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5"/>
        <v>0</v>
      </c>
      <c r="Q177" s="456"/>
      <c r="R177" s="140">
        <f>ROUND(IF(M151="",R167,R167/M151*P154),2)</f>
        <v>5175</v>
      </c>
      <c r="S177" s="140">
        <f>ROUND(IF(M151="",R168,R168/M151*P154),2)</f>
        <v>7450</v>
      </c>
      <c r="U177" s="950">
        <f t="shared" si="26"/>
        <v>0</v>
      </c>
      <c r="V177" s="950">
        <f>SUM(B173:F177)</f>
        <v>0</v>
      </c>
    </row>
    <row r="178" spans="1:24" x14ac:dyDescent="0.2">
      <c r="A178" s="76" t="str">
        <f>CONCATENATE("Jun ",O149)</f>
        <v>Jun 2025</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4"/>
        <v>0</v>
      </c>
      <c r="H178" s="64">
        <f>IF(B178=0,0,IF(AND(H164="ja",((U178)&lt;R189)),ROUND(((R191*R188+((R189/(R189-R188))-(R188/(R189-R188))*R191)*((U178)-R188))*(H172*2))-(((R189/(R189-R188))*((U178)-R188))*H172),2),ROUND(IF(V177&lt;(SUM(R173:R177)),IF((V178)&gt;(SUM(R173:R178)),(((SUM(R173:R178))-(V178-C177))*H172)+((U178-C177)*H172),U178*H172),IF(V178&gt;(SUM(R173:R178)),R178*H172,U178*H172)),2)))</f>
        <v>0</v>
      </c>
      <c r="I178" s="64">
        <f>IF(B178=0,0,IF(AND(H164="ja",((U178)&lt;R189)),ROUND(((R191*R188+((R189/(R189-R188))-(R188/(R189-R188))*R191)*((U178)-R188))*(I172*2))-(((R189/(R189-R188))*((U178)-R188))*I172),2),ROUND(IF(V177&lt;(SUM(S173:S177)),IF((V178)&gt;(SUM(S173:S178)),(((SUM(S173:S178))-(V178-C177))*I172)+((U178-C177)*I172),U178*I172),IF(V178&gt;(SUM(S173:S178)),S178*I172,U178*I172)),2)))</f>
        <v>0</v>
      </c>
      <c r="J178" s="64">
        <f>IF(B178=0,0,IF(AND(H164="ja",((U178)&lt;R189)),ROUND(((R191*R188+((R189/(R189-R188))-(R188/(R189-R188))*R191)*((U178)-R188))*(J172*2))-(((R189/(R189-R188))*((U178)-R188))*J172),2),ROUND(IF(V177&lt;(SUM(S173:S177)),IF((V178)&gt;(SUM(S173:S178)),(((SUM(S173:S178))-(V178-C177))*J172)+((U178-C177)*J172),U178*J172),IF(V178&gt;(SUM(S173:S178)),S178*J172,U178*J172)),2)))</f>
        <v>0</v>
      </c>
      <c r="K178" s="64">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64">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5"/>
        <v>0</v>
      </c>
      <c r="Q178" s="456"/>
      <c r="R178" s="140">
        <f>ROUND(IF(M151="",R167,R167/M151*P155),2)</f>
        <v>5175</v>
      </c>
      <c r="S178" s="140">
        <f>ROUND(IF(M151="",R168,R168/M151*P155),2)</f>
        <v>7450</v>
      </c>
      <c r="U178" s="950">
        <f t="shared" si="26"/>
        <v>0</v>
      </c>
      <c r="V178" s="950">
        <f>SUM(B173:F178)</f>
        <v>0</v>
      </c>
    </row>
    <row r="179" spans="1:24" x14ac:dyDescent="0.2">
      <c r="A179" s="76" t="str">
        <f>CONCATENATE("Jul ",O149)</f>
        <v>Jul 2025</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4"/>
        <v>0</v>
      </c>
      <c r="H179" s="64">
        <f>IF(B179=0,0,IF(AND(H164="ja",((U179)&lt;R189)),ROUND(((R191*R188+((R189/(R189-R188))-(R188/(R189-R188))*R191)*((U179)-R188))*(H172*2))-(((R189/(R189-R188))*((U179)-R188))*H172),2),ROUND(IF(V178&lt;(SUM(R173:R178)),IF((V179)&gt;(SUM(R173:R179)),(((SUM(R173:R179))-(V179-C178))*H172)+((U179-C178)*H172),U179*H172),IF(V179&gt;(SUM(R173:R179)),R179*H172,U179*H172)),2)))</f>
        <v>0</v>
      </c>
      <c r="I179" s="64">
        <f>IF(B179=0,0,IF(AND(H164="ja",((U179)&lt;R189)),ROUND(((R191*R188+((R189/(R189-R188))-(R188/(R189-R188))*R191)*((U179)-R188))*(I172*2))-(((R189/(R189-R188))*((U179)-R188))*I172),2),ROUND(IF(V178&lt;(SUM(S173:S178)),IF((V179)&gt;(SUM(S173:S179)),(((SUM(S173:S179))-(V179-C178))*I172)+((U179-C178)*I172),U179*I172),IF(V179&gt;(SUM(S173:S179)),S179*I172,U179*I172)),2)))</f>
        <v>0</v>
      </c>
      <c r="J179" s="64">
        <f>IF(B179=0,0,IF(AND(H164="ja",((U179)&lt;R189)),ROUND(((R191*R188+((R189/(R189-R188))-(R188/(R189-R188))*R191)*((U179)-R188))*(J172*2))-(((R189/(R189-R188))*((U179)-R188))*J172),2),ROUND(IF(V178&lt;(SUM(S173:S178)),IF((V179)&gt;(SUM(S173:S179)),(((SUM(S173:S179))-(V179-C178))*J172)+((U179-C178)*J172),U179*J172),IF(V179&gt;(SUM(S173:S179)),S179*J172,U179*J172)),2)))</f>
        <v>0</v>
      </c>
      <c r="K179" s="64">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64">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5"/>
        <v>0</v>
      </c>
      <c r="Q179" s="456"/>
      <c r="R179" s="140">
        <f>ROUND(IF(M151="",R167,R167/M151*P156),2)</f>
        <v>5175</v>
      </c>
      <c r="S179" s="140">
        <f>ROUND(IF(M151="",R168,R168/M151*P156),2)</f>
        <v>7450</v>
      </c>
      <c r="U179" s="950">
        <f t="shared" si="26"/>
        <v>0</v>
      </c>
      <c r="V179" s="950">
        <f>SUM(B173:F179)</f>
        <v>0</v>
      </c>
    </row>
    <row r="180" spans="1:24" x14ac:dyDescent="0.2">
      <c r="A180" s="76" t="str">
        <f>CONCATENATE("Aug ",O149)</f>
        <v>Aug 2025</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4"/>
        <v>0</v>
      </c>
      <c r="H180" s="64">
        <f>IF(B180=0,0,IF(AND(H164="ja",((U180)&lt;R189)),ROUND(((R191*R188+((R189/(R189-R188))-(R188/(R189-R188))*R191)*((U180)-R188))*(H172*2))-(((R189/(R189-R188))*((U180)-R188))*H172),2),ROUND(IF(V179&lt;(SUM(R173:R179)),IF((V180)&gt;(SUM(R173:R180)),(((SUM(R173:R180))-(V180-C179))*H172)+((U180-C179)*H172),U180*H172),IF(V180&gt;(SUM(R173:R180)),R180*H172,U180*H172)),2)))</f>
        <v>0</v>
      </c>
      <c r="I180" s="64">
        <f>IF(B180=0,0,IF(AND(H164="ja",((U180)&lt;R189)),ROUND(((R191*R188+((R189/(R189-R188))-(R188/(R189-R188))*R191)*((U180)-R188))*(I172*2))-(((R189/(R189-R188))*((U180)-R188))*I172),2),ROUND(IF(V179&lt;(SUM(S173:S179)),IF((V180)&gt;(SUM(S173:S180)),(((SUM(S173:S180))-(V180-C179))*I172)+((U180-C179)*I172),U180*I172),IF(V180&gt;(SUM(S173:S180)),S180*I172,U180*I172)),2)))</f>
        <v>0</v>
      </c>
      <c r="J180" s="64">
        <f>IF(B180=0,0,IF(AND(H164="ja",((U180)&lt;R189)),ROUND(((R191*R188+((R189/(R189-R188))-(R188/(R189-R188))*R191)*((U180)-R188))*(J172*2))-(((R189/(R189-R188))*((U180)-R188))*J172),2),ROUND(IF(V179&lt;(SUM(S173:S179)),IF((V180)&gt;(SUM(S173:S180)),(((SUM(S173:S180))-(V180-C179))*J172)+((U180-C179)*J172),U180*J172),IF(V180&gt;(SUM(S173:S180)),S180*J172,U180*J172)),2)))</f>
        <v>0</v>
      </c>
      <c r="K180" s="64">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64">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5"/>
        <v>0</v>
      </c>
      <c r="Q180" s="456"/>
      <c r="R180" s="140">
        <f>ROUND(IF(M151="",R167,R167/M151*P157),2)</f>
        <v>5175</v>
      </c>
      <c r="S180" s="140">
        <f>ROUND(IF(M151="",R168,R168/M151*P157),2)</f>
        <v>7450</v>
      </c>
      <c r="U180" s="950">
        <f t="shared" si="26"/>
        <v>0</v>
      </c>
      <c r="V180" s="950">
        <f>SUM(B173:F180)</f>
        <v>0</v>
      </c>
    </row>
    <row r="181" spans="1:24" x14ac:dyDescent="0.2">
      <c r="A181" s="76" t="str">
        <f>CONCATENATE("Sep ",O149)</f>
        <v>Sep 2025</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4"/>
        <v>0</v>
      </c>
      <c r="H181" s="64">
        <f>IF(B181=0,0,IF(AND(H164="ja",((U181)&lt;R189)),ROUND(((R191*R188+((R189/(R189-R188))-(R188/(R189-R188))*R191)*((U181)-R188))*(H172*2))-(((R189/(R189-R188))*((U181)-R188))*H172),2),ROUND(IF(V180&lt;(SUM(R173:R180)),IF((V181)&gt;(SUM(R173:R181)),(((SUM(R173:R181))-(V181-C180))*H172)+((U181-C180)*H172),U181*H172),IF(V181&gt;(SUM(R173:R181)),R181*H172,U181*H172)),2)))</f>
        <v>0</v>
      </c>
      <c r="I181" s="64">
        <f>IF(B181=0,0,IF(AND(H164="ja",((U181)&lt;R189)),ROUND(((R191*R188+((R189/(R189-R188))-(R188/(R189-R188))*R191)*((U181)-R188))*(I172*2))-(((R189/(R189-R188))*((U181)-R188))*I172),2),ROUND(IF(V180&lt;(SUM(S173:S180)),IF((V181)&gt;(SUM(S173:S181)),(((SUM(S173:S181))-(V181-C180))*I172)+((U181-C180)*I172),U181*I172),IF(V181&gt;(SUM(S173:S181)),S181*I172,U181*I172)),2)))</f>
        <v>0</v>
      </c>
      <c r="J181" s="64">
        <f>IF(B181=0,0,IF(AND(H164="ja",((U181)&lt;R189)),ROUND(((R191*R188+((R189/(R189-R188))-(R188/(R189-R188))*R191)*((U181)-R188))*(J172*2))-(((R189/(R189-R188))*((U181)-R188))*J172),2),ROUND(IF(V180&lt;(SUM(S173:S180)),IF((V181)&gt;(SUM(S173:S181)),(((SUM(S173:S181))-(V181-C180))*J172)+((U181-C180)*J172),U181*J172),IF(V181&gt;(SUM(S173:S181)),S181*J172,U181*J172)),2)))</f>
        <v>0</v>
      </c>
      <c r="K181" s="64">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64">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5"/>
        <v>0</v>
      </c>
      <c r="Q181" s="456"/>
      <c r="R181" s="140">
        <f>ROUND(IF(M151="",R167,R167/M151*P158),2)</f>
        <v>5175</v>
      </c>
      <c r="S181" s="140">
        <f>ROUND(IF(M151="",R168,R168/M151*P158),2)</f>
        <v>7450</v>
      </c>
      <c r="U181" s="950">
        <f t="shared" si="26"/>
        <v>0</v>
      </c>
      <c r="V181" s="950">
        <f>SUM(B173:F181)</f>
        <v>0</v>
      </c>
    </row>
    <row r="182" spans="1:24" s="12" customFormat="1" ht="15" x14ac:dyDescent="0.25">
      <c r="A182" s="76" t="str">
        <f>CONCATENATE("Okt ",O149)</f>
        <v>Okt 2025</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4"/>
        <v>0</v>
      </c>
      <c r="H182" s="64">
        <f>IF(B182=0,0,IF(AND(H164="ja",((U182)&lt;R189)),ROUND(((R191*R188+((R189/(R189-R188))-(R188/(R189-R188))*R191)*((U182)-R188))*(H172*2))-(((R189/(R189-R188))*((U182)-R188))*H172),2),ROUND(IF(V181&lt;(SUM(R173:R181)),IF((V182)&gt;(SUM(R173:R182)),(((SUM(R173:R182))-(V182-C181))*H172)+((U182-C181)*H172),U182*H172),IF(V182&gt;(SUM(R173:R182)),R182*H172,U182*H172)),2)))</f>
        <v>0</v>
      </c>
      <c r="I182" s="64">
        <f>IF(B182=0,0,IF(AND(H164="ja",((U182)&lt;R189)),ROUND(((R191*R188+((R189/(R189-R188))-(R188/(R189-R188))*R191)*((U182)-R188))*(I172*2))-(((R189/(R189-R188))*((U182)-R188))*I172),2),ROUND(IF(V181&lt;(SUM(S173:S181)),IF((V182)&gt;(SUM(S173:S182)),(((SUM(S173:S182))-(V182-C181))*I172)+((U182-C181)*I172),U182*I172),IF(V182&gt;(SUM(S173:S182)),S182*I172,U182*I172)),2)))</f>
        <v>0</v>
      </c>
      <c r="J182" s="64">
        <f>IF(B182=0,0,IF(AND(H164="ja",((U182)&lt;R189)),ROUND(((R191*R188+((R189/(R189-R188))-(R188/(R189-R188))*R191)*((U182)-R188))*(J172*2))-(((R189/(R189-R188))*((U182)-R188))*J172),2),ROUND(IF(V181&lt;(SUM(S173:S181)),IF((V182)&gt;(SUM(S173:S182)),(((SUM(S173:S182))-(V182-C181))*J172)+((U182-C181)*J172),U182*J172),IF(V182&gt;(SUM(S173:S182)),S182*J172,U182*J172)),2)))</f>
        <v>0</v>
      </c>
      <c r="K182" s="64">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64">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5"/>
        <v>0</v>
      </c>
      <c r="Q182" s="936"/>
      <c r="R182" s="140">
        <f>ROUND(IF(M151="",R167,R167/M151*P159),2)</f>
        <v>5175</v>
      </c>
      <c r="S182" s="140">
        <f>ROUND(IF(M151="",R168,R168/M151*P159),2)</f>
        <v>7450</v>
      </c>
      <c r="U182" s="950">
        <f t="shared" si="26"/>
        <v>0</v>
      </c>
      <c r="V182" s="950">
        <f>SUM(B173:F182)</f>
        <v>0</v>
      </c>
      <c r="X182" s="1"/>
    </row>
    <row r="183" spans="1:24" s="11" customFormat="1" x14ac:dyDescent="0.2">
      <c r="A183" s="76" t="str">
        <f>CONCATENATE("Nov ",O149)</f>
        <v>Nov 2025</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4"/>
        <v>0</v>
      </c>
      <c r="H183" s="64">
        <f>IF(B183=0,0,IF(AND(H164="ja",((U183)&lt;R189)),ROUND(((R191*R188+((R189/(R189-R188))-(R188/(R189-R188))*R191)*((U183)-R188))*(H172*2))-(((R189/(R189-R188))*((U183)-R188))*H172),2),ROUND(IF(V182&lt;(SUM(R173:R182)),IF((V183)&gt;(SUM(R173:R183)),(((SUM(R173:R183))-(V183-C182))*H172)+((U183-C182)*H172),U183*H172),IF(V183&gt;(SUM(R173:R183)),R183*H172,U183*H172)),2)))</f>
        <v>0</v>
      </c>
      <c r="I183" s="64">
        <f>IF(B183=0,0,IF(AND(H164="ja",((U183)&lt;R189)),ROUND(((R191*R188+((R189/(R189-R188))-(R188/(R189-R188))*R191)*((U183)-R188))*(I172*2))-(((R189/(R189-R188))*((U183)-R188))*I172),2),ROUND(IF(V182&lt;(SUM(S173:S182)),IF((V183)&gt;(SUM(S173:S183)),(((SUM(S173:S183))-(V183-C182))*I172)+((U183-C182)*I172),U183*I172),IF(V183&gt;(SUM(S173:S183)),S183*I172,U183*I172)),2)))</f>
        <v>0</v>
      </c>
      <c r="J183" s="64">
        <f>IF(B183=0,0,IF(AND(H164="ja",((U183)&lt;R189)),ROUND(((R191*R188+((R189/(R189-R188))-(R188/(R189-R188))*R191)*((U183)-R188))*(J172*2))-(((R189/(R189-R188))*((U183)-R188))*J172),2),ROUND(IF(V182&lt;(SUM(S173:S182)),IF((V183)&gt;(SUM(S173:S183)),(((SUM(S173:S183))-(V183-C182))*J172)+((U183-C182)*J172),U183*J172),IF(V183&gt;(SUM(S173:S183)),S183*J172,U183*J172)),2)))</f>
        <v>0</v>
      </c>
      <c r="K183" s="64">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64">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5"/>
        <v>0</v>
      </c>
      <c r="R183" s="140">
        <f>ROUND(IF(M151="",R167,R167/M151*P160),2)</f>
        <v>5175</v>
      </c>
      <c r="S183" s="140">
        <f>ROUND(IF(M151="",R168,R168/M151*P160),2)</f>
        <v>7450</v>
      </c>
      <c r="U183" s="950">
        <f t="shared" si="26"/>
        <v>0</v>
      </c>
      <c r="V183" s="950">
        <f>SUM(B173:F183)</f>
        <v>0</v>
      </c>
      <c r="X183" s="1"/>
    </row>
    <row r="184" spans="1:24" ht="14.25" customHeight="1" x14ac:dyDescent="0.2">
      <c r="A184" s="76" t="str">
        <f>CONCATENATE("Dez ",O149)</f>
        <v>Dez 2025</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4"/>
        <v>0</v>
      </c>
      <c r="H184" s="64">
        <f>IF(B184=0,0,IF(AND(H164="ja",((U184)&lt;R189)),ROUND(((R191*R188+((R189/(R189-R188))-(R188/(R189-R188))*R191)*((U184)-R188))*(H172*2))-(((R189/(R189-R188))*((U184)-R188))*H172),2),ROUND(IF(V183&lt;(SUM(R173:R183)),IF((V184)&gt;(SUM(R173:R184)),(((SUM(R173:R184))-(V184-C183))*H172)+((U184-C183)*H172),U184*H172),IF(V184&gt;(SUM(R173:R184)),R184*H172,U184*H172)),2)))</f>
        <v>0</v>
      </c>
      <c r="I184" s="64">
        <f>IF(B184=0,0,IF(AND(H164="ja",((U184)&lt;R189)),ROUND(((R191*R188+((R189/(R189-R188))-(R188/(R189-R188))*R191)*((U184)-R188))*(I172*2))-(((R189/(R189-R188))*((U184)-R188))*I172),2),ROUND(IF(V183&lt;(SUM(S173:S183)),IF((V184)&gt;(SUM(S173:S184)),(((SUM(S173:S184))-(V184-C183))*I172)+((U184-C183)*I172),U184*I172),IF(V184&gt;(SUM(S173:S184)),S184*I172,U184*I172)),2)))</f>
        <v>0</v>
      </c>
      <c r="J184" s="64">
        <f>IF(B184=0,0,IF(AND(H164="ja",((U184)&lt;R189)),ROUND(((R191*R188+((R189/(R189-R188))-(R188/(R189-R188))*R191)*((U184)-R188))*(J172*2))-(((R189/(R189-R188))*((U184)-R188))*J172),2),ROUND(IF(V183&lt;(SUM(S173:S183)),IF((V184)&gt;(SUM(S173:S184)),(((SUM(S173:S184))-(V184-C183))*J172)+((U184-C183)*J172),U184*J172),IF(V184&gt;(SUM(S173:S184)),S184*J172,U184*J172)),2)))</f>
        <v>0</v>
      </c>
      <c r="K184" s="64">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64">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5"/>
        <v>0</v>
      </c>
      <c r="Q184" s="11"/>
      <c r="R184" s="140">
        <f>ROUND(IF(M151="",R167,R167/M151*P161),2)</f>
        <v>5175</v>
      </c>
      <c r="S184" s="140">
        <f>ROUND(IF(M151="",R168,R168/M151*P161),2)</f>
        <v>7450</v>
      </c>
      <c r="U184" s="950">
        <f t="shared" si="26"/>
        <v>0</v>
      </c>
      <c r="V184" s="950">
        <f>SUM(B173:F184)</f>
        <v>0</v>
      </c>
    </row>
    <row r="185" spans="1:24" ht="15" customHeight="1" x14ac:dyDescent="0.2">
      <c r="A185" s="2" t="s">
        <v>1</v>
      </c>
      <c r="B185" s="25">
        <f t="shared" ref="B185:G185" si="27">SUM(B173:B184)</f>
        <v>0</v>
      </c>
      <c r="C185" s="25">
        <f t="shared" si="27"/>
        <v>0</v>
      </c>
      <c r="D185" s="25">
        <f t="shared" si="27"/>
        <v>0</v>
      </c>
      <c r="E185" s="25">
        <f t="shared" si="27"/>
        <v>0</v>
      </c>
      <c r="F185" s="25">
        <f t="shared" si="27"/>
        <v>0</v>
      </c>
      <c r="G185" s="25">
        <f t="shared" si="27"/>
        <v>0</v>
      </c>
      <c r="H185" s="1309">
        <f>SUM(H173:N184)</f>
        <v>0</v>
      </c>
      <c r="I185" s="1310"/>
      <c r="J185" s="1310"/>
      <c r="K185" s="1310"/>
      <c r="L185" s="1310"/>
      <c r="M185" s="1310"/>
      <c r="N185" s="1311"/>
      <c r="O185" s="25">
        <f>SUM(O173:O184)</f>
        <v>0</v>
      </c>
      <c r="P185" s="25">
        <f>SUM(P173:P184)</f>
        <v>0</v>
      </c>
    </row>
    <row r="186" spans="1:24" ht="12" customHeight="1" x14ac:dyDescent="0.2">
      <c r="A186" s="1"/>
      <c r="B186" s="1"/>
      <c r="C186" s="1"/>
      <c r="D186" s="1"/>
      <c r="E186" s="1"/>
      <c r="F186" s="1"/>
      <c r="G186" s="1"/>
      <c r="H186" s="1"/>
      <c r="I186" s="1"/>
      <c r="J186" s="1"/>
      <c r="K186" s="1"/>
      <c r="L186" s="1"/>
      <c r="M186" s="1"/>
      <c r="N186" s="1"/>
      <c r="O186" s="1"/>
      <c r="P186" s="1"/>
    </row>
    <row r="187" spans="1:24" ht="14.25" customHeight="1" x14ac:dyDescent="0.2">
      <c r="A187" s="1"/>
      <c r="B187" s="906"/>
      <c r="C187" s="1"/>
      <c r="D187" s="1"/>
      <c r="E187" s="1"/>
      <c r="F187" s="1"/>
      <c r="G187" s="1"/>
      <c r="H187" s="905"/>
      <c r="I187" s="62"/>
      <c r="J187" s="914" t="s">
        <v>123</v>
      </c>
      <c r="K187" s="1"/>
      <c r="L187" s="900" t="s">
        <v>124</v>
      </c>
      <c r="M187" s="974" t="str">
        <f>IF(IF(G185=0,"",'päd.Personal - Leitung'!$M$43)=0,"",IF(G185=0,"",'päd.Personal - Leitung'!$M$43))</f>
        <v/>
      </c>
      <c r="N187" s="902" t="s">
        <v>125</v>
      </c>
      <c r="O187" s="963" t="str">
        <f>IF(IF(G185=0,"",'päd.Personal - Leitung'!$O$43)=0,"",IF(G185=0,"",'päd.Personal - Leitung'!$O$43))</f>
        <v/>
      </c>
      <c r="P187" s="25">
        <f>ROUND(IF(M187="",0,G185*M187*O187/1000),2)</f>
        <v>0</v>
      </c>
      <c r="Q187" s="937"/>
      <c r="R187" s="938">
        <v>2025</v>
      </c>
      <c r="S187" s="939"/>
    </row>
    <row r="188" spans="1:24" ht="14.25" customHeight="1" x14ac:dyDescent="0.2">
      <c r="A188" s="1"/>
      <c r="B188" s="1"/>
      <c r="C188" s="1"/>
      <c r="D188" s="1"/>
      <c r="E188" s="1"/>
      <c r="F188" s="1"/>
      <c r="G188" s="1"/>
      <c r="H188" s="907"/>
      <c r="I188" s="42"/>
      <c r="J188" s="1"/>
      <c r="K188" s="1"/>
      <c r="L188" s="1"/>
      <c r="M188" s="915" t="s">
        <v>129</v>
      </c>
      <c r="N188" s="80" t="s">
        <v>125</v>
      </c>
      <c r="O188" s="75" t="str">
        <f>IF(IF(G185=0,"",'päd.Personal - Leitung'!$O$44)=0,"",IF(G185=0,"",'päd.Personal - Leitung'!$O$44))</f>
        <v/>
      </c>
      <c r="P188" s="25">
        <f>ROUND(IF(O188="",0,G185*O188/1000),2)</f>
        <v>0</v>
      </c>
      <c r="Q188" s="942" t="s">
        <v>737</v>
      </c>
      <c r="R188" s="141">
        <f>'päd.Personal - Leitung'!$R$44</f>
        <v>556</v>
      </c>
      <c r="S188" s="955">
        <f>'päd.Personal - Leitung'!$S$44</f>
        <v>12.82</v>
      </c>
    </row>
    <row r="189" spans="1:24" ht="14.25" customHeight="1" x14ac:dyDescent="0.2">
      <c r="A189" s="1"/>
      <c r="B189" s="1"/>
      <c r="C189" s="1"/>
      <c r="D189" s="1"/>
      <c r="E189" s="1"/>
      <c r="F189" s="1"/>
      <c r="G189" s="1"/>
      <c r="H189" s="912" t="s">
        <v>126</v>
      </c>
      <c r="I189" s="1013" t="s">
        <v>127</v>
      </c>
      <c r="J189" s="975" t="str">
        <f>IF(IF(G185=0,"",'päd.Personal - Leitung'!$J$45)=0,"",IF(G185=0,"",'päd.Personal - Leitung'!$J$45))</f>
        <v/>
      </c>
      <c r="K189" s="902" t="s">
        <v>128</v>
      </c>
      <c r="L189" s="964" t="str">
        <f>IF(IF(G185=0,"",'päd.Personal - Leitung'!$L$45)=0,"",IF(G185=0,"",'päd.Personal - Leitung'!$L$45))</f>
        <v/>
      </c>
      <c r="M189" s="16"/>
      <c r="N189" s="900" t="s">
        <v>132</v>
      </c>
      <c r="O189" s="965" t="str">
        <f>IF(IF(G185=0,"",'päd.Personal - Leitung'!$O$45)=0,"",IF(G185=0,"",'päd.Personal - Leitung'!$O$45))</f>
        <v/>
      </c>
      <c r="P189" s="25">
        <f>ROUND(IF(J189="",0,(J189*L189/O189)/M153*M154),2)</f>
        <v>0</v>
      </c>
      <c r="Q189" s="942" t="s">
        <v>738</v>
      </c>
      <c r="R189" s="140">
        <f>'päd.Personal - Leitung'!$R$45</f>
        <v>2000</v>
      </c>
      <c r="S189" s="939"/>
    </row>
    <row r="190" spans="1:24" ht="14.25" customHeight="1" x14ac:dyDescent="0.2">
      <c r="A190" s="1"/>
      <c r="B190" s="1"/>
      <c r="C190" s="1"/>
      <c r="D190" s="16"/>
      <c r="E190" s="1"/>
      <c r="F190" s="1"/>
      <c r="G190" s="1"/>
      <c r="H190" s="1"/>
      <c r="I190" s="16"/>
      <c r="J190" s="16"/>
      <c r="K190" s="63"/>
      <c r="L190" s="67"/>
      <c r="M190" s="915" t="s">
        <v>130</v>
      </c>
      <c r="N190" s="80" t="s">
        <v>131</v>
      </c>
      <c r="O190" s="904">
        <f>IF(IF(M156="",0,$O$46)=0,0,IF(M156="",0,$O$46))</f>
        <v>0</v>
      </c>
      <c r="P190" s="21">
        <f>ROUND(IF(G185=0,0,O190/M151*M152),2)</f>
        <v>0</v>
      </c>
      <c r="Q190" s="942" t="s">
        <v>740</v>
      </c>
      <c r="R190" s="956">
        <f>'päd.Personal - Leitung'!$R$46</f>
        <v>0.40900000000000003</v>
      </c>
    </row>
    <row r="191" spans="1:24" ht="14.25" customHeight="1" x14ac:dyDescent="0.2">
      <c r="A191" s="16"/>
      <c r="B191" s="16"/>
      <c r="C191" s="1"/>
      <c r="D191" s="1"/>
      <c r="E191" s="1"/>
      <c r="F191" s="1"/>
      <c r="G191" s="1"/>
      <c r="H191" s="1"/>
      <c r="I191" s="905"/>
      <c r="J191" s="961" t="s">
        <v>176</v>
      </c>
      <c r="K191" s="1312" t="str">
        <f>IF($K$47="","",$K$47)</f>
        <v/>
      </c>
      <c r="L191" s="1312"/>
      <c r="M191" s="1312"/>
      <c r="N191" s="80" t="s">
        <v>131</v>
      </c>
      <c r="O191" s="904">
        <f>IF(IF(M156="",0,$O$47)=0,0,IF(M156="",0,$O$47))</f>
        <v>0</v>
      </c>
      <c r="P191" s="21">
        <f>ROUND(IF(G185=0,0,O191/M151*M152),2)</f>
        <v>0</v>
      </c>
      <c r="Q191" s="942" t="s">
        <v>739</v>
      </c>
      <c r="R191" s="940">
        <f>'päd.Personal - Leitung'!$R$47</f>
        <v>0.68459999999999999</v>
      </c>
      <c r="S191" s="957">
        <f>'päd.Personal - Leitung'!$S$47</f>
        <v>0.28000000000000003</v>
      </c>
    </row>
    <row r="192" spans="1:24" ht="14.25" customHeight="1" x14ac:dyDescent="0.2">
      <c r="A192" s="908"/>
      <c r="B192" s="908"/>
      <c r="C192" s="1013"/>
      <c r="D192" s="1013"/>
      <c r="E192" s="1"/>
      <c r="F192" s="1"/>
      <c r="G192" s="1"/>
      <c r="H192" s="1"/>
      <c r="I192" s="913"/>
      <c r="J192" s="913"/>
      <c r="K192" s="916"/>
      <c r="L192" s="27"/>
      <c r="M192" s="27"/>
      <c r="N192" s="27"/>
      <c r="O192" s="26" t="s">
        <v>0</v>
      </c>
      <c r="P192" s="25">
        <f>P185+SUM(P187:P191)</f>
        <v>0</v>
      </c>
    </row>
    <row r="193" spans="1:19" s="10" customFormat="1" ht="13.5" customHeight="1" x14ac:dyDescent="0.2">
      <c r="A193" s="1321" t="s">
        <v>17</v>
      </c>
      <c r="B193" s="1321"/>
      <c r="C193" s="1321"/>
      <c r="D193" s="1320" t="str">
        <f>IF('päd.Personal - Leitung'!$D$1="","",'päd.Personal - Leitung'!$D$1)</f>
        <v/>
      </c>
      <c r="E193" s="1320"/>
      <c r="F193" s="1320"/>
      <c r="G193" s="1320"/>
      <c r="H193" s="1320"/>
      <c r="I193" s="1320"/>
      <c r="J193" s="1320"/>
      <c r="K193" s="1320"/>
      <c r="L193" s="1320"/>
      <c r="M193" s="1320"/>
      <c r="N193" s="1320"/>
    </row>
    <row r="194" spans="1:19" s="10" customFormat="1" ht="15" customHeight="1" x14ac:dyDescent="0.2">
      <c r="A194" s="1321" t="s">
        <v>16</v>
      </c>
      <c r="B194" s="1321"/>
      <c r="C194" s="1321" t="s">
        <v>14</v>
      </c>
      <c r="D194" s="1320" t="str">
        <f>IF('päd.Personal - Leitung'!$D$2="","",'päd.Personal - Leitung'!$D$2)</f>
        <v/>
      </c>
      <c r="E194" s="1320"/>
      <c r="F194" s="1320"/>
      <c r="G194" s="1320"/>
      <c r="H194" s="1320"/>
      <c r="I194" s="1320"/>
      <c r="J194" s="1320"/>
      <c r="K194" s="1320"/>
      <c r="L194" s="1320"/>
      <c r="M194" s="1320"/>
      <c r="N194" s="1320"/>
    </row>
    <row r="195" spans="1:19" s="10" customFormat="1" ht="15" customHeight="1" x14ac:dyDescent="0.2">
      <c r="A195" s="1321" t="s">
        <v>15</v>
      </c>
      <c r="B195" s="1321"/>
      <c r="C195" s="1321" t="s">
        <v>14</v>
      </c>
      <c r="D195" s="1320" t="str">
        <f>IF('päd.Personal - Leitung'!$D$3="","",'päd.Personal - Leitung'!$D$3)</f>
        <v/>
      </c>
      <c r="E195" s="1320"/>
      <c r="F195" s="1320"/>
      <c r="G195" s="1320"/>
      <c r="H195" s="1320"/>
      <c r="I195" s="1320"/>
      <c r="J195" s="1320"/>
      <c r="K195" s="1321" t="s">
        <v>100</v>
      </c>
      <c r="L195" s="1321"/>
      <c r="M195" s="1321"/>
      <c r="N195" s="38" t="str">
        <f>IF('päd.Personal - Leitung'!$N$3="","",'päd.Personal - Leitung'!$N$3)</f>
        <v/>
      </c>
    </row>
    <row r="196" spans="1:19" s="923" customFormat="1" ht="7.5" customHeight="1" x14ac:dyDescent="0.15">
      <c r="A196" s="1353"/>
      <c r="B196" s="1353"/>
      <c r="C196" s="1353"/>
      <c r="D196" s="1354"/>
      <c r="E196" s="1354"/>
      <c r="F196" s="1354"/>
      <c r="G196" s="1354"/>
      <c r="H196" s="1354"/>
      <c r="I196" s="1354"/>
      <c r="J196" s="1354"/>
      <c r="K196" s="922"/>
      <c r="L196" s="922"/>
      <c r="M196" s="922"/>
      <c r="N196" s="922"/>
      <c r="O196" s="922"/>
      <c r="P196" s="922"/>
    </row>
    <row r="197" spans="1:19" s="13" customFormat="1" ht="13.5" customHeight="1" x14ac:dyDescent="0.2">
      <c r="A197" s="1355" t="s">
        <v>750</v>
      </c>
      <c r="B197" s="1355"/>
      <c r="C197" s="1355"/>
      <c r="D197" s="1355"/>
      <c r="E197" s="1355"/>
      <c r="F197" s="1355"/>
      <c r="G197" s="1355"/>
      <c r="H197" s="1355"/>
      <c r="I197" s="1355"/>
      <c r="J197" s="1355"/>
      <c r="K197" s="7"/>
      <c r="L197" s="7"/>
      <c r="M197" s="7"/>
      <c r="N197" s="52"/>
      <c r="O197" s="138">
        <f>'päd.Personal - Leitung'!$O$5</f>
        <v>2025</v>
      </c>
      <c r="P197" s="52" t="s">
        <v>140</v>
      </c>
    </row>
    <row r="198" spans="1:19" s="8" customFormat="1" ht="13.5" customHeight="1" x14ac:dyDescent="0.25">
      <c r="B198" s="29"/>
      <c r="C198" s="29"/>
      <c r="D198" s="3" t="s">
        <v>24</v>
      </c>
      <c r="E198" s="28"/>
      <c r="F198" s="28"/>
      <c r="G198" s="28"/>
      <c r="H198" s="28"/>
      <c r="I198" s="24"/>
      <c r="K198" s="1327" t="s">
        <v>13</v>
      </c>
      <c r="L198" s="1327"/>
      <c r="M198" s="131"/>
      <c r="O198" s="928" t="str">
        <f>A221</f>
        <v>Jan 2025</v>
      </c>
      <c r="P198" s="1402">
        <f>IF(M200="","",M200)</f>
        <v>0</v>
      </c>
    </row>
    <row r="199" spans="1:19" s="5" customFormat="1" ht="13.5" customHeight="1" x14ac:dyDescent="0.25">
      <c r="A199" s="1328" t="s">
        <v>754</v>
      </c>
      <c r="B199" s="1328"/>
      <c r="C199" s="1328"/>
      <c r="D199" s="1345"/>
      <c r="E199" s="1345"/>
      <c r="F199" s="1345"/>
      <c r="G199" s="1345"/>
      <c r="H199" s="1345"/>
      <c r="I199" s="1345"/>
      <c r="K199" s="1327" t="s">
        <v>101</v>
      </c>
      <c r="L199" s="1327"/>
      <c r="M199" s="101"/>
      <c r="O199" s="928" t="str">
        <f t="shared" ref="O199:O209" si="28">A222</f>
        <v>Feb 2025</v>
      </c>
      <c r="P199" s="1403">
        <f t="shared" ref="P199:P209" si="29">IF(P198="","",P198)</f>
        <v>0</v>
      </c>
    </row>
    <row r="200" spans="1:19" ht="13.5" customHeight="1" x14ac:dyDescent="0.2">
      <c r="A200" s="1328" t="s">
        <v>12</v>
      </c>
      <c r="B200" s="1328"/>
      <c r="C200" s="1328"/>
      <c r="D200" s="1345"/>
      <c r="E200" s="1345"/>
      <c r="F200" s="1345"/>
      <c r="G200" s="1345"/>
      <c r="H200" s="1345"/>
      <c r="I200" s="1345"/>
      <c r="J200" s="1"/>
      <c r="K200" s="1327" t="s">
        <v>149</v>
      </c>
      <c r="L200" s="1327"/>
      <c r="M200" s="101">
        <f>IF((M201+M202)&gt;M199,0,M199-M201-M202)</f>
        <v>0</v>
      </c>
      <c r="N200" s="1"/>
      <c r="O200" s="928" t="str">
        <f t="shared" si="28"/>
        <v>Mrz 2025</v>
      </c>
      <c r="P200" s="1403">
        <f t="shared" si="29"/>
        <v>0</v>
      </c>
    </row>
    <row r="201" spans="1:19" ht="13.5" customHeight="1" x14ac:dyDescent="0.2">
      <c r="A201" s="1328" t="s">
        <v>11</v>
      </c>
      <c r="B201" s="1328"/>
      <c r="C201" s="1328"/>
      <c r="D201" s="1345"/>
      <c r="E201" s="1345"/>
      <c r="F201" s="1345"/>
      <c r="G201" s="1345"/>
      <c r="H201" s="1345"/>
      <c r="I201" s="1345"/>
      <c r="J201" s="1"/>
      <c r="K201" s="1327" t="s">
        <v>150</v>
      </c>
      <c r="L201" s="1327"/>
      <c r="M201" s="101"/>
      <c r="N201" s="1"/>
      <c r="O201" s="928" t="str">
        <f t="shared" si="28"/>
        <v>Apr 2025</v>
      </c>
      <c r="P201" s="1403">
        <f t="shared" si="29"/>
        <v>0</v>
      </c>
    </row>
    <row r="202" spans="1:19" ht="13.5" customHeight="1" x14ac:dyDescent="0.2">
      <c r="A202" s="1328" t="s">
        <v>18</v>
      </c>
      <c r="B202" s="1328"/>
      <c r="C202" s="1328"/>
      <c r="D202" s="1345"/>
      <c r="E202" s="1345"/>
      <c r="F202" s="1345"/>
      <c r="G202" s="1345"/>
      <c r="H202" s="1345"/>
      <c r="I202" s="1345"/>
      <c r="J202" s="1"/>
      <c r="K202" s="1327" t="s">
        <v>222</v>
      </c>
      <c r="L202" s="1327"/>
      <c r="M202" s="101"/>
      <c r="N202" s="1"/>
      <c r="O202" s="928" t="str">
        <f t="shared" si="28"/>
        <v>Mai 2025</v>
      </c>
      <c r="P202" s="1403">
        <f t="shared" si="29"/>
        <v>0</v>
      </c>
    </row>
    <row r="203" spans="1:19" ht="13.5" customHeight="1" x14ac:dyDescent="0.2">
      <c r="A203" s="1"/>
      <c r="B203" s="6"/>
      <c r="C203" s="1029" t="s">
        <v>147</v>
      </c>
      <c r="D203" s="1324"/>
      <c r="E203" s="1324"/>
      <c r="F203" s="1359" t="s">
        <v>103</v>
      </c>
      <c r="G203" s="1359"/>
      <c r="H203" s="1361"/>
      <c r="I203" s="1361"/>
      <c r="J203" s="1"/>
      <c r="K203" s="1327" t="s">
        <v>94</v>
      </c>
      <c r="L203" s="1327"/>
      <c r="M203" s="15" t="str">
        <f>IF(IF((COUNTIF(B221:B232,"&gt;0"))=0,0,(COUNTIF(B221:B232,"&gt;0")))&gt;Grundlagen!$C$26,Grundlagen!$C$26,IF((COUNTIF(B221:B232,"&gt;0"))=0,"",(COUNTIF(B221:B232,"&gt;0"))))</f>
        <v/>
      </c>
      <c r="N203" s="1"/>
      <c r="O203" s="928" t="str">
        <f t="shared" si="28"/>
        <v>Jun 2025</v>
      </c>
      <c r="P203" s="1403">
        <f t="shared" si="29"/>
        <v>0</v>
      </c>
    </row>
    <row r="204" spans="1:19" ht="13.5" customHeight="1" x14ac:dyDescent="0.2">
      <c r="A204" s="1"/>
      <c r="B204" s="1"/>
      <c r="C204" s="1"/>
      <c r="D204" s="1"/>
      <c r="E204" s="1"/>
      <c r="F204" s="1"/>
      <c r="G204" s="1"/>
      <c r="H204" s="1"/>
      <c r="I204" s="4"/>
      <c r="J204" s="1"/>
      <c r="K204" s="1"/>
      <c r="L204" s="1"/>
      <c r="M204" s="102" t="str">
        <f>IF((SUM(F206:F209))=0,"",IF(P210&gt;M200,M200,IF(M200="","",IF(M203="","",P210))))</f>
        <v/>
      </c>
      <c r="N204" s="1"/>
      <c r="O204" s="928" t="str">
        <f t="shared" si="28"/>
        <v>Jul 2025</v>
      </c>
      <c r="P204" s="1403">
        <f t="shared" si="29"/>
        <v>0</v>
      </c>
    </row>
    <row r="205" spans="1:19" s="46" customFormat="1" ht="13.5" customHeight="1" x14ac:dyDescent="0.2">
      <c r="A205" s="54" t="s">
        <v>134</v>
      </c>
      <c r="B205" s="1356" t="s">
        <v>135</v>
      </c>
      <c r="C205" s="1356"/>
      <c r="D205" s="55" t="s">
        <v>136</v>
      </c>
      <c r="E205" s="56" t="s">
        <v>137</v>
      </c>
      <c r="F205" s="57" t="str">
        <f>CONCATENATE("Entg. ",N195," h/Wo")</f>
        <v>Entg.  h/Wo</v>
      </c>
      <c r="G205" s="58" t="s">
        <v>138</v>
      </c>
      <c r="I205" s="58" t="s">
        <v>139</v>
      </c>
      <c r="K205" s="970"/>
      <c r="L205" s="970"/>
      <c r="M205" s="59"/>
      <c r="N205" s="968"/>
      <c r="O205" s="928" t="str">
        <f t="shared" si="28"/>
        <v>Aug 2025</v>
      </c>
      <c r="P205" s="1403">
        <f t="shared" si="29"/>
        <v>0</v>
      </c>
      <c r="Q205" s="85"/>
      <c r="R205" s="85"/>
      <c r="S205" s="85"/>
    </row>
    <row r="206" spans="1:19" s="46" customFormat="1" ht="13.5" customHeight="1" x14ac:dyDescent="0.25">
      <c r="A206" s="48" t="str">
        <f>'päd.Personal - Leitung'!$A$14</f>
        <v>Jan 2025</v>
      </c>
      <c r="B206" s="1357" t="str">
        <f>IF($D$3="","",$D$3)</f>
        <v/>
      </c>
      <c r="C206" s="1358"/>
      <c r="D206" s="132"/>
      <c r="E206" s="132"/>
      <c r="F206" s="71"/>
      <c r="G206" s="50">
        <f>IF(N195="",0,F206/N195/4.348)</f>
        <v>0</v>
      </c>
      <c r="I206" s="125">
        <f>SUM(J206:M206)</f>
        <v>0</v>
      </c>
      <c r="J206" s="124"/>
      <c r="K206" s="124"/>
      <c r="L206" s="124"/>
      <c r="M206" s="124"/>
      <c r="N206" s="969"/>
      <c r="O206" s="928" t="str">
        <f t="shared" si="28"/>
        <v>Sep 2025</v>
      </c>
      <c r="P206" s="1403">
        <f t="shared" si="29"/>
        <v>0</v>
      </c>
      <c r="Q206" s="85"/>
      <c r="R206" s="85"/>
      <c r="S206" s="85"/>
    </row>
    <row r="207" spans="1:19" s="46" customFormat="1" ht="13.5" customHeight="1" x14ac:dyDescent="0.25">
      <c r="A207" s="49"/>
      <c r="B207" s="1322" t="str">
        <f>IF(A207="","",B206)</f>
        <v/>
      </c>
      <c r="C207" s="1323"/>
      <c r="D207" s="132"/>
      <c r="E207" s="132"/>
      <c r="F207" s="71"/>
      <c r="G207" s="50">
        <f>IF(N195="",0,F207/N195/4.348)</f>
        <v>0</v>
      </c>
      <c r="I207" s="125">
        <f t="shared" ref="I207:I209" si="30">SUM(J207:M207)</f>
        <v>0</v>
      </c>
      <c r="J207" s="124"/>
      <c r="K207" s="124"/>
      <c r="L207" s="124"/>
      <c r="M207" s="124"/>
      <c r="N207" s="969"/>
      <c r="O207" s="928" t="str">
        <f t="shared" si="28"/>
        <v>Okt 2025</v>
      </c>
      <c r="P207" s="1403">
        <f t="shared" si="29"/>
        <v>0</v>
      </c>
      <c r="Q207" s="85"/>
      <c r="R207" s="85"/>
      <c r="S207" s="85"/>
    </row>
    <row r="208" spans="1:19" s="46" customFormat="1" ht="13.5" customHeight="1" x14ac:dyDescent="0.25">
      <c r="A208" s="49"/>
      <c r="B208" s="1322" t="str">
        <f>IF(A208="","",B207)</f>
        <v/>
      </c>
      <c r="C208" s="1323"/>
      <c r="D208" s="132"/>
      <c r="E208" s="132"/>
      <c r="F208" s="71"/>
      <c r="G208" s="50">
        <f>IF(N195="",0,F208/N195/4.348)</f>
        <v>0</v>
      </c>
      <c r="I208" s="125">
        <f t="shared" si="30"/>
        <v>0</v>
      </c>
      <c r="J208" s="124"/>
      <c r="K208" s="124"/>
      <c r="L208" s="124"/>
      <c r="M208" s="124"/>
      <c r="N208" s="969"/>
      <c r="O208" s="928" t="str">
        <f t="shared" si="28"/>
        <v>Nov 2025</v>
      </c>
      <c r="P208" s="1403">
        <f t="shared" si="29"/>
        <v>0</v>
      </c>
      <c r="Q208" s="85"/>
      <c r="R208" s="85"/>
      <c r="S208" s="85"/>
    </row>
    <row r="209" spans="1:22" s="46" customFormat="1" ht="13.5" customHeight="1" x14ac:dyDescent="0.25">
      <c r="A209" s="49"/>
      <c r="B209" s="1322" t="str">
        <f>IF(A209="","",B208)</f>
        <v/>
      </c>
      <c r="C209" s="1323"/>
      <c r="D209" s="132"/>
      <c r="E209" s="132"/>
      <c r="F209" s="71"/>
      <c r="G209" s="50">
        <f>IF(N195="",0,F209/N195/4.348)</f>
        <v>0</v>
      </c>
      <c r="I209" s="125">
        <f t="shared" si="30"/>
        <v>0</v>
      </c>
      <c r="J209" s="124"/>
      <c r="K209" s="124"/>
      <c r="L209" s="124"/>
      <c r="M209" s="124"/>
      <c r="N209" s="969"/>
      <c r="O209" s="928" t="str">
        <f t="shared" si="28"/>
        <v>Dez 2025</v>
      </c>
      <c r="P209" s="1403">
        <f t="shared" si="29"/>
        <v>0</v>
      </c>
      <c r="Q209" s="85"/>
      <c r="R209" s="85"/>
      <c r="S209" s="85"/>
    </row>
    <row r="210" spans="1:22" s="46" customFormat="1" ht="13.5" customHeight="1" x14ac:dyDescent="0.25">
      <c r="B210" s="972"/>
      <c r="C210" s="972"/>
      <c r="E210" s="972"/>
      <c r="F210" s="972"/>
      <c r="I210" s="930" t="s">
        <v>730</v>
      </c>
      <c r="J210" s="1052"/>
      <c r="K210" s="1052"/>
      <c r="L210" s="1052"/>
      <c r="M210" s="1052"/>
      <c r="N210" s="971"/>
      <c r="O210" s="126" t="s">
        <v>221</v>
      </c>
      <c r="P210" s="127">
        <f>IF(M203="",0,((IF(SUMIF(B221,"&gt;0"),P198,0))+(IF(SUMIF(B222,"&gt;0"),P199,0))+(IF(SUMIF(B223,"&gt;0"),P200,0))+(IF(SUMIF(B224,"&gt;0"),P201,0))+(IF(SUMIF(B225,"&gt;0"),P202,0))+(IF(SUMIF(B226,"&gt;0"),P203,0))+(IF(SUMIF(B227,"&gt;0"),P204,0))+(IF(SUMIF(B228,"&gt;0"),P205,0))+(IF(SUMIF(B229,"&gt;0"),P206,0))+(IF(SUMIF(B230,"&gt;0"),P207,0))+(IF(SUMIF(B231,"&gt;0"),P208,0))+(IF(SUMIF(B232,"&gt;0"),P209,0)))/Grundlagen!$C$26)</f>
        <v>0</v>
      </c>
      <c r="Q210" s="958" t="str">
        <f>CONCATENATE("BBG"," anteilig ",O212)</f>
        <v>BBG anteilig 2025</v>
      </c>
      <c r="R210" s="931" t="s">
        <v>659</v>
      </c>
      <c r="S210" s="931" t="s">
        <v>398</v>
      </c>
      <c r="T210" s="107"/>
    </row>
    <row r="211" spans="1:22" s="46" customFormat="1" ht="13.5" customHeight="1" x14ac:dyDescent="0.2">
      <c r="A211" s="924" t="s">
        <v>732</v>
      </c>
      <c r="D211" s="55" t="s">
        <v>369</v>
      </c>
      <c r="E211" s="56" t="s">
        <v>368</v>
      </c>
      <c r="F211" s="58"/>
      <c r="J211" s="61"/>
      <c r="Q211" s="932" t="s">
        <v>144</v>
      </c>
      <c r="R211" s="140">
        <f>IF(M200=0,R215,IF(M199="",R215,(SUM(R221:R232)/M203)))</f>
        <v>5175</v>
      </c>
      <c r="S211" s="933">
        <f>IF(M200=0,S215,IF(M199="",S215,SUM(R221:R232)))</f>
        <v>0</v>
      </c>
      <c r="T211" s="107"/>
    </row>
    <row r="212" spans="1:22" s="46" customFormat="1" ht="13.5" customHeight="1" x14ac:dyDescent="0.25">
      <c r="A212" s="60"/>
      <c r="B212" s="1314" t="str">
        <f>IF($B$20="","",$B$20)</f>
        <v>Jahressonderzahlung (JSZ)</v>
      </c>
      <c r="C212" s="1315"/>
      <c r="D212" s="926"/>
      <c r="E212" s="929" t="str">
        <f>IF(A212="","",ROUND((((SUM(B227:B229)+SUM(F227:F229))/3)*D212)/Grundlagen!$C$26*M203,2))</f>
        <v/>
      </c>
      <c r="G212" s="941" t="s">
        <v>733</v>
      </c>
      <c r="H212" s="943"/>
      <c r="I212" s="1316" t="str">
        <f>CONCATENATE(R235,":"," Übergangsbereich von ",R236+0.01," €"," bis ",R237," €")</f>
        <v>2025: Übergangsbereich von 556,01 € bis 2000 €</v>
      </c>
      <c r="J212" s="1317"/>
      <c r="K212" s="1317"/>
      <c r="L212" s="1067"/>
      <c r="M212" s="1067"/>
      <c r="N212" s="1068" t="s">
        <v>736</v>
      </c>
      <c r="O212" s="1069">
        <f>P212+1</f>
        <v>2025</v>
      </c>
      <c r="P212" s="1069" t="s">
        <v>721</v>
      </c>
      <c r="Q212" s="932" t="s">
        <v>145</v>
      </c>
      <c r="R212" s="140">
        <f>IF(M200=0,R216,IF(M199="",R216,(SUM(S221:S232)/M203)))</f>
        <v>7450</v>
      </c>
      <c r="S212" s="933">
        <f>IF(M200=0,S216,IF(M199="",S216,SUM(S221:S232)))</f>
        <v>0</v>
      </c>
      <c r="T212" s="109"/>
    </row>
    <row r="213" spans="1:22" ht="14.25" customHeight="1" x14ac:dyDescent="0.2">
      <c r="A213" s="60"/>
      <c r="B213" s="1314" t="str">
        <f>IF($B$21="","",$B$21)</f>
        <v>Leistungsentgelt (LOB)</v>
      </c>
      <c r="C213" s="1315"/>
      <c r="D213" s="926"/>
      <c r="E213" s="929" t="str">
        <f>IF(A213="","",ROUND(((B233+F233)*D213)/Grundlagen!$C$26*M203,2))</f>
        <v/>
      </c>
      <c r="F213" s="1"/>
      <c r="G213" s="941" t="str">
        <f>IF(OR(H212="",H212="nein")=TRUE,"","Faktor (F):")</f>
        <v/>
      </c>
      <c r="H213" s="949" t="str">
        <f>IF(OR(H212="",H212="nein")=TRUE,"",IF(H212="","",R239))</f>
        <v/>
      </c>
      <c r="I213" s="1318" t="str">
        <f>IF(OR(H212="",H212="nein")=TRUE,"",IF(H213="","",CONCATENATE(S239*100,"%"," / ","(",R238*100,"%"," Gesamt-SV-Beitragssatz 2024)")))</f>
        <v/>
      </c>
      <c r="J213" s="1319"/>
      <c r="K213" s="1319"/>
      <c r="L213" s="1070"/>
      <c r="M213" s="1070"/>
      <c r="N213" s="1071" t="s">
        <v>144</v>
      </c>
      <c r="O213" s="1072">
        <f>'päd.Personal - Leitung'!$O$21</f>
        <v>5175</v>
      </c>
      <c r="P213" s="1072">
        <f>'päd.Personal - Leitung'!$P$21</f>
        <v>5175</v>
      </c>
      <c r="Q213" s="11"/>
      <c r="R213" s="11"/>
      <c r="S213" s="11"/>
      <c r="T213" s="109"/>
    </row>
    <row r="214" spans="1:22" ht="14.25" customHeight="1" x14ac:dyDescent="0.2">
      <c r="A214" s="1"/>
      <c r="B214" s="1"/>
      <c r="C214" s="925" t="s">
        <v>731</v>
      </c>
      <c r="D214" s="1"/>
      <c r="E214" s="1"/>
      <c r="F214" s="1"/>
      <c r="G214" s="1"/>
      <c r="H214" s="1"/>
      <c r="I214" s="1"/>
      <c r="J214" s="1"/>
      <c r="K214" s="1"/>
      <c r="L214" s="1070"/>
      <c r="M214" s="1070"/>
      <c r="N214" s="1071" t="s">
        <v>145</v>
      </c>
      <c r="O214" s="1073">
        <f>'päd.Personal - Leitung'!$O$22</f>
        <v>7450</v>
      </c>
      <c r="P214" s="1073">
        <f>'päd.Personal - Leitung'!$P$22</f>
        <v>7450</v>
      </c>
      <c r="Q214" s="958" t="str">
        <f>CONCATENATE("BBG"," ",O212)</f>
        <v>BBG 2025</v>
      </c>
      <c r="R214" s="11"/>
      <c r="S214" s="11"/>
      <c r="T214" s="109"/>
    </row>
    <row r="215" spans="1:22" ht="14.25" customHeight="1" x14ac:dyDescent="0.2">
      <c r="A215" s="53" t="s">
        <v>141</v>
      </c>
      <c r="B215" s="46"/>
      <c r="C215" s="46"/>
      <c r="D215" s="46"/>
      <c r="E215" s="46"/>
      <c r="F215" s="46"/>
      <c r="G215" s="46"/>
      <c r="H215" s="46"/>
      <c r="I215" s="46"/>
      <c r="J215" s="46"/>
      <c r="K215" s="46"/>
      <c r="L215" s="46"/>
      <c r="M215" s="46"/>
      <c r="N215" s="46"/>
      <c r="O215" s="46"/>
      <c r="P215" s="46"/>
      <c r="Q215" s="932" t="s">
        <v>144</v>
      </c>
      <c r="R215" s="141">
        <f>IF($O$21="",0,$O$21)</f>
        <v>5175</v>
      </c>
      <c r="S215" s="933">
        <f>R215*IF(M203="",0,M203)</f>
        <v>0</v>
      </c>
      <c r="T215" s="295"/>
    </row>
    <row r="216" spans="1:22" ht="14.25" customHeight="1" x14ac:dyDescent="0.2">
      <c r="A216" s="1346"/>
      <c r="B216" s="1348" t="s">
        <v>8</v>
      </c>
      <c r="C216" s="1349"/>
      <c r="D216" s="1349"/>
      <c r="E216" s="1349"/>
      <c r="F216" s="1349"/>
      <c r="G216" s="1350"/>
      <c r="H216" s="1351" t="s">
        <v>113</v>
      </c>
      <c r="I216" s="1352"/>
      <c r="J216" s="1352"/>
      <c r="K216" s="1352"/>
      <c r="L216" s="1352"/>
      <c r="M216" s="1352"/>
      <c r="N216" s="1352"/>
      <c r="O216" s="30"/>
      <c r="P216" s="1330" t="s">
        <v>0</v>
      </c>
      <c r="Q216" s="932" t="s">
        <v>145</v>
      </c>
      <c r="R216" s="141">
        <f>IF($O$22="",0,$O$22)</f>
        <v>7450</v>
      </c>
      <c r="S216" s="933">
        <f>R216*IF(M203="",0,M203)</f>
        <v>0</v>
      </c>
      <c r="T216" s="830"/>
    </row>
    <row r="217" spans="1:22" ht="14.25" customHeight="1" x14ac:dyDescent="0.2">
      <c r="A217" s="1347"/>
      <c r="B217" s="1333" t="s">
        <v>111</v>
      </c>
      <c r="C217" s="1335" t="s">
        <v>743</v>
      </c>
      <c r="D217" s="1337" t="s">
        <v>226</v>
      </c>
      <c r="E217" s="1339" t="s">
        <v>133</v>
      </c>
      <c r="F217" s="1030" t="s">
        <v>6</v>
      </c>
      <c r="G217" s="1340" t="s">
        <v>5</v>
      </c>
      <c r="H217" s="1339" t="s">
        <v>119</v>
      </c>
      <c r="I217" s="1339" t="s">
        <v>4</v>
      </c>
      <c r="J217" s="1339" t="s">
        <v>3</v>
      </c>
      <c r="K217" s="1339" t="s">
        <v>2</v>
      </c>
      <c r="L217" s="1339" t="s">
        <v>114</v>
      </c>
      <c r="M217" s="1339" t="s">
        <v>115</v>
      </c>
      <c r="N217" s="1339" t="s">
        <v>116</v>
      </c>
      <c r="O217" s="1338" t="s">
        <v>109</v>
      </c>
      <c r="P217" s="1331"/>
      <c r="Q217" s="456"/>
      <c r="R217" s="11"/>
      <c r="S217" s="11"/>
      <c r="T217" s="621"/>
    </row>
    <row r="218" spans="1:22" ht="14.25" customHeight="1" x14ac:dyDescent="0.2">
      <c r="A218" s="1347"/>
      <c r="B218" s="1333"/>
      <c r="C218" s="1335"/>
      <c r="D218" s="1338"/>
      <c r="E218" s="1339"/>
      <c r="F218" s="1343" t="str">
        <f>I210</f>
        <v>Zuschläge / Zulagen / o.ä.:</v>
      </c>
      <c r="G218" s="1340"/>
      <c r="H218" s="1342" t="s">
        <v>117</v>
      </c>
      <c r="I218" s="1342"/>
      <c r="J218" s="1342"/>
      <c r="K218" s="1342"/>
      <c r="L218" s="1342"/>
      <c r="M218" s="1342"/>
      <c r="N218" s="1342"/>
      <c r="O218" s="1338"/>
      <c r="P218" s="1331"/>
      <c r="Q218" s="456"/>
      <c r="R218" s="1306" t="str">
        <f>Q210</f>
        <v>BBG anteilig 2025</v>
      </c>
      <c r="S218" s="1306"/>
      <c r="T218" s="829"/>
    </row>
    <row r="219" spans="1:22" ht="14.25" customHeight="1" x14ac:dyDescent="0.2">
      <c r="A219" s="1347"/>
      <c r="B219" s="1333"/>
      <c r="C219" s="1335"/>
      <c r="D219" s="1338"/>
      <c r="E219" s="1339"/>
      <c r="F219" s="1343"/>
      <c r="G219" s="1340"/>
      <c r="H219" s="39" t="str">
        <f>'päd.Personal - Leitung'!$H$27</f>
        <v>(7,30% + Zusatz)</v>
      </c>
      <c r="I219" s="39" t="str">
        <f>'päd.Personal - Leitung'!$I$27</f>
        <v xml:space="preserve"> (2024: 9,30%)</v>
      </c>
      <c r="J219" s="39" t="str">
        <f>'päd.Personal - Leitung'!$J$27</f>
        <v>(2024: 1,30%)</v>
      </c>
      <c r="K219" s="39" t="str">
        <f>'päd.Personal - Leitung'!$K$27</f>
        <v>(2024: 1,700%)</v>
      </c>
      <c r="L219" s="39"/>
      <c r="M219" s="39"/>
      <c r="N219" s="39" t="str">
        <f>'päd.Personal - Leitung'!$N$27</f>
        <v>(2024: 0,06%)</v>
      </c>
      <c r="O219" s="1338"/>
      <c r="P219" s="1331"/>
      <c r="Q219" s="456"/>
      <c r="R219" s="1307" t="s">
        <v>659</v>
      </c>
      <c r="S219" s="1307"/>
      <c r="T219" s="829"/>
      <c r="U219" s="1308" t="s">
        <v>1</v>
      </c>
      <c r="V219" s="1308" t="s">
        <v>741</v>
      </c>
    </row>
    <row r="220" spans="1:22" x14ac:dyDescent="0.2">
      <c r="A220" s="1347"/>
      <c r="B220" s="1334"/>
      <c r="C220" s="1336"/>
      <c r="D220" s="45"/>
      <c r="E220" s="45"/>
      <c r="F220" s="1344"/>
      <c r="G220" s="1341"/>
      <c r="H220" s="74"/>
      <c r="I220" s="99">
        <f>'päd.Personal - Leitung'!$I$28</f>
        <v>0</v>
      </c>
      <c r="J220" s="99">
        <f>'päd.Personal - Leitung'!$J$28</f>
        <v>0</v>
      </c>
      <c r="K220" s="40">
        <f>'päd.Personal - Leitung'!$K$28</f>
        <v>0</v>
      </c>
      <c r="L220" s="19"/>
      <c r="M220" s="19"/>
      <c r="N220" s="99">
        <f>'päd.Personal - Leitung'!$N$28</f>
        <v>0</v>
      </c>
      <c r="O220" s="23"/>
      <c r="P220" s="1332"/>
      <c r="Q220" s="456"/>
      <c r="R220" s="935" t="s">
        <v>144</v>
      </c>
      <c r="S220" s="935" t="s">
        <v>145</v>
      </c>
      <c r="T220" s="829"/>
      <c r="U220" s="1308"/>
      <c r="V220" s="1308"/>
    </row>
    <row r="221" spans="1:22" x14ac:dyDescent="0.2">
      <c r="A221" s="76" t="str">
        <f>CONCATENATE("Jan ",O197)</f>
        <v>Jan 2025</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1">SUM(B221+C221+E221+F221)</f>
        <v>0</v>
      </c>
      <c r="H221" s="64">
        <f>IF(B221=0,0,IF(AND(H212="ja",((U221)&lt;R237)),ROUND(((R239*R236+((R237/(R237-R236))-(R236/(R237-R236))*R239)*((U221)-R236))*(H220*2))-(((R237/(R237-R236))*((U221)-R236))*H220),2),ROUND(IF((U221)&gt;R221,R221*H220,U221*H220),2)))</f>
        <v>0</v>
      </c>
      <c r="I221" s="64">
        <f>IF(B221=0,0,IF(AND(H212="ja",((U221)&lt;R237)),ROUND(((R239*R236+((R237/(R237-R236))-(R236/(R237-R236))*R239)*((U221)-R236))*(I220*2))-(((R237/(R237-R236))*((U221)-R236))*I220),2),ROUND(IF((U221)&gt;S221,S221*I220,U221*I220),2)))</f>
        <v>0</v>
      </c>
      <c r="J221" s="64">
        <f>IF(B221=0,0,IF(AND(H212="ja",((U221)&lt;R237)),ROUND(((R239*R236+((R237/(R237-R236))-(R236/(R237-R236))*R239)*((U221)-R236))*(J220*2))-(((R237/(R237-R236))*((U221)-R236))*J220),2),ROUND(IF((U221)&gt;S221,S221*J220,U221*J220),2)))</f>
        <v>0</v>
      </c>
      <c r="K221" s="64">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64">
        <f>IF(B221=0,0,IF(AND(H212="ja",((U221)&lt;R237)),ROUND(((R239*R236+((R237/(R237-R236))-(R236/(R237-R236))*R239)*((U221)-R236))*(N220)),2),ROUND(IF((SUM(B221:F221))&gt;S221,S221*N220,SUM(B221:F221)*N220),2)))</f>
        <v>0</v>
      </c>
      <c r="O221" s="21">
        <f>ROUND(SUM(B221+C221+F221)*O220,2)</f>
        <v>0</v>
      </c>
      <c r="P221" s="25">
        <f>SUM(G221:O221)</f>
        <v>0</v>
      </c>
      <c r="Q221" s="456"/>
      <c r="R221" s="140">
        <f>ROUND(IF(M199="",R215,R215/M199*P198),2)</f>
        <v>5175</v>
      </c>
      <c r="S221" s="140">
        <f>ROUND(IF(M199="",R216,R216/M199*P198),2)</f>
        <v>7450</v>
      </c>
      <c r="U221" s="950">
        <f>SUM(B221:F221)</f>
        <v>0</v>
      </c>
      <c r="V221" s="950">
        <f>SUM(B221:F221)</f>
        <v>0</v>
      </c>
    </row>
    <row r="222" spans="1:22" x14ac:dyDescent="0.2">
      <c r="A222" s="76" t="str">
        <f>CONCATENATE("Feb ",O197)</f>
        <v>Feb 2025</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1"/>
        <v>0</v>
      </c>
      <c r="H222" s="64">
        <f>IF(B222=0,0,IF(AND(H212="ja",((U222)&lt;R237)),ROUND(((R239*R236+((R237/(R237-R236))-(R236/(R237-R236))*R239)*((U222)-R236))*(H220*2))-(((R237/(R237-R236))*((U222)-R236))*H220),2),ROUND(IF(U221&lt;(R221),IF((V222)&gt;(SUM(R221:R222)),(((SUM(R221:R222))-(V222-C221))*H220)+((U222-C221)*H220),U222*H220),IF(V222&gt;(SUM(R221:R222)),R222*H220,U222*H220)),2)))</f>
        <v>0</v>
      </c>
      <c r="I222" s="64">
        <f>IF(B222=0,0,IF(AND(H212="ja",((U222)&lt;R237)),ROUND(((R239*R236+((R237/(R237-R236))-(R236/(R237-R236))*R239)*((U222)-R236))*(I220*2))-(((R237/(R237-R236))*((U222)-R236))*I220),2),ROUND(IF(U221&lt;(S221),IF((V222)&gt;(SUM(S221:S222)),(((SUM(S221:S222))-(V222-C221))*I220)+((U222-C221)*I220),U222*I220),IF(V222&gt;(SUM(S221:S222)),S222*I220,U222*I220)),2)))</f>
        <v>0</v>
      </c>
      <c r="J222" s="64">
        <f>IF(B222=0,0,IF(AND(H212="ja",((U222)&lt;R237)),ROUND(((R239*R236+((R237/(R237-R236))-(R236/(R237-R236))*R239)*((U222)-R236))*(J220*2))-(((R237/(R237-R236))*((U222)-R236))*J220),2),ROUND(IF(U221&lt;(S221),IF((V222)&gt;(SUM(S221:S222)),(((SUM(S221:S222))-(V222-C221))*J220)+((U222-C221)*J220),U222*J220),IF(V222&gt;(SUM(S221:S222)),S222*J220,U222*J220)),2)))</f>
        <v>0</v>
      </c>
      <c r="K222" s="64">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64">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2">SUM(G222:O222)</f>
        <v>0</v>
      </c>
      <c r="Q222" s="456"/>
      <c r="R222" s="140">
        <f>ROUND(IF(M199="",R215,R215/M199*P199),2)</f>
        <v>5175</v>
      </c>
      <c r="S222" s="140">
        <f>ROUND(IF(M199="",R216,R216/M199*P199),2)</f>
        <v>7450</v>
      </c>
      <c r="U222" s="950">
        <f t="shared" ref="U222:U232" si="33">SUM(B222:F222)</f>
        <v>0</v>
      </c>
      <c r="V222" s="950">
        <f>SUM(B221:F222)</f>
        <v>0</v>
      </c>
    </row>
    <row r="223" spans="1:22" x14ac:dyDescent="0.2">
      <c r="A223" s="76" t="str">
        <f>CONCATENATE("Mrz ",O197)</f>
        <v>Mrz 2025</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1"/>
        <v>0</v>
      </c>
      <c r="H223" s="64">
        <f>IF(B223=0,0,IF(AND(H212="ja",((U223)&lt;R237)),ROUND(((R239*R236+((R237/(R237-R236))-(R236/(R237-R236))*R239)*((U223)-R236))*(H220*2))-(((R237/(R237-R236))*((U223)-R236))*H220),2),ROUND(IF(V222&lt;(SUM(R221:R222)),IF((V223)&gt;(SUM(R221:R223)),(((SUM(R221:R223))-(V223-C222))*H220)+((U223-C222)*H220),U223*H220),IF(V223&gt;(SUM(R221:R223)),R223*H220,U223*H220)),2)))</f>
        <v>0</v>
      </c>
      <c r="I223" s="64">
        <f>IF(B223=0,0,IF(AND(H212="ja",((U223)&lt;R237)),ROUND(((R239*R236+((R237/(R237-R236))-(R236/(R237-R236))*R239)*((U223)-R236))*(I220*2))-(((R237/(R237-R236))*((U223)-R236))*I220),2),ROUND(IF(V222&lt;(SUM(S221:S222)),IF((V223)&gt;(SUM(S221:S223)),(((SUM(S221:S223))-(V223-C222))*I220)+((U223-C222)*I220),U223*I220),IF(V223&gt;(SUM(S221:S223)),S223*I220,U223*I220)),2)))</f>
        <v>0</v>
      </c>
      <c r="J223" s="64">
        <f>IF(B223=0,0,IF(AND(H212="ja",((U223)&lt;R237)),ROUND(((R239*R236+((R237/(R237-R236))-(R236/(R237-R236))*R239)*((U223)-R236))*(J220*2))-(((R237/(R237-R236))*((U223)-R236))*J220),2),ROUND(IF(V222&lt;(SUM(S221:S222)),IF((V223)&gt;(SUM(S221:S223)),(((SUM(S221:S223))-(V223-C222))*J220)+((U223-C222)*J220),U223*J220),IF(V223&gt;(SUM(S221:S223)),S223*J220,U223*J220)),2)))</f>
        <v>0</v>
      </c>
      <c r="K223" s="64">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64">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2"/>
        <v>0</v>
      </c>
      <c r="Q223" s="456"/>
      <c r="R223" s="140">
        <f>ROUND(IF(M199="",R215,R215/M199*P200),2)</f>
        <v>5175</v>
      </c>
      <c r="S223" s="140">
        <f>ROUND(IF(M199="",R216,R216/M199*P200),2)</f>
        <v>7450</v>
      </c>
      <c r="U223" s="950">
        <f t="shared" si="33"/>
        <v>0</v>
      </c>
      <c r="V223" s="950">
        <f>SUM(B221:F223)</f>
        <v>0</v>
      </c>
    </row>
    <row r="224" spans="1:22" x14ac:dyDescent="0.2">
      <c r="A224" s="76" t="str">
        <f>CONCATENATE("Apr ",O197)</f>
        <v>Apr 2025</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1"/>
        <v>0</v>
      </c>
      <c r="H224" s="64">
        <f>IF(B224=0,0,IF(AND(H212="ja",((U224)&lt;R237)),ROUND(((R239*R236+((R237/(R237-R236))-(R236/(R237-R236))*R239)*((U224)-R236))*(H220*2))-(((R237/(R237-R236))*((U224)-R236))*H220),2),ROUND(IF(V223&lt;(SUM(R221:R223)),IF((V224)&gt;(SUM(R221:R224)),(((SUM(R221:R224))-(V224-C223))*H220)+((U224-C223)*H220),U224*H220),IF(V224&gt;(SUM(R221:R224)),R224*H220,U224*H220)),2)))</f>
        <v>0</v>
      </c>
      <c r="I224" s="64">
        <f>IF(B224=0,0,IF(AND(H212="ja",((U224)&lt;R237)),ROUND(((R239*R236+((R237/(R237-R236))-(R236/(R237-R236))*R239)*((U224)-R236))*(I220*2))-(((R237/(R237-R236))*((U224)-R236))*I220),2),ROUND(IF(V223&lt;(SUM(S221:S223)),IF((V224)&gt;(SUM(S221:S224)),(((SUM(S221:S224))-(V224-C223))*I220)+((U224-C223)*I220),U224*I220),IF(V224&gt;(SUM(S221:S224)),S224*I220,U224*I220)),2)))</f>
        <v>0</v>
      </c>
      <c r="J224" s="64">
        <f>IF(B224=0,0,IF(AND(H212="ja",((U224)&lt;R237)),ROUND(((R239*R236+((R237/(R237-R236))-(R236/(R237-R236))*R239)*((U224)-R236))*(J220*2))-(((R237/(R237-R236))*((U224)-R236))*J220),2),ROUND(IF(U223&lt;(SUM(S221:S223)),IF((V224)&gt;(SUM(S221:S224)),(((SUM(S221:S224))-(V224-C223))*J220)+((U224-C223)*J220),U224*J220),IF(V224&gt;(SUM(S221:S224)),S224*J220,U224*J220)),2)))</f>
        <v>0</v>
      </c>
      <c r="K224" s="64">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64">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2"/>
        <v>0</v>
      </c>
      <c r="Q224" s="456"/>
      <c r="R224" s="140">
        <f>ROUND(IF(M199="",R215,R215/M199*P201),2)</f>
        <v>5175</v>
      </c>
      <c r="S224" s="140">
        <f>ROUND(IF(M199="",R216,R216/M199*P201),2)</f>
        <v>7450</v>
      </c>
      <c r="U224" s="950">
        <f t="shared" si="33"/>
        <v>0</v>
      </c>
      <c r="V224" s="950">
        <f>SUM(B221:F224)</f>
        <v>0</v>
      </c>
    </row>
    <row r="225" spans="1:24" x14ac:dyDescent="0.2">
      <c r="A225" s="76" t="str">
        <f>CONCATENATE("Mai ",O197)</f>
        <v>Mai 2025</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1"/>
        <v>0</v>
      </c>
      <c r="H225" s="64">
        <f>IF(B225=0,0,IF(AND(H212="ja",((U225)&lt;R237)),ROUND(((R239*R236+((R237/(R237-R236))-(R236/(R237-R236))*R239)*((U225)-R236))*(H220*2))-(((R237/(R237-R236))*((U225)-R236))*H220),2),ROUND(IF(V224&lt;(SUM(R221:R224)),IF((V225)&gt;(SUM(R221:R225)),(((SUM(R221:R225))-(V225-C224))*H220)+((U225-C224)*H220),U225*H220),IF(V225&gt;(SUM(R221:R225)),R225*H220,U225*H220)),2)))</f>
        <v>0</v>
      </c>
      <c r="I225" s="64">
        <f>IF(B225=0,0,IF(AND(H212="ja",((U225)&lt;R237)),ROUND(((R239*R236+((R237/(R237-R236))-(R236/(R237-R236))*R239)*((U225)-R236))*(I220*2))-(((R237/(R237-R236))*((U225)-R236))*I220),2),ROUND(IF(V224&lt;(SUM(S221:S224)),IF((V225)&gt;(SUM(S221:S225)),(((SUM(S221:S225))-(V225-C224))*I220)+((U225-C224)*I220),U225*I220),IF(V225&gt;(SUM(S221:S225)),S225*I220,U225*I220)),2)))</f>
        <v>0</v>
      </c>
      <c r="J225" s="64">
        <f>IF(B225=0,0,IF(AND(H212="ja",((U225)&lt;R237)),ROUND(((R239*R236+((R237/(R237-R236))-(R236/(R237-R236))*R239)*((U225)-R236))*(J220*2))-(((R237/(R237-R236))*((U225)-R236))*J220),2),ROUND(IF(V224&lt;(SUM(S221:S224)),IF((V225)&gt;(SUM(S221:S225)),(((SUM(S221:S225))-(V225-C224))*J220)+((U225-C224)*J220),U225*J220),IF(V225&gt;(SUM(S221:S225)),S225*J220,U225*J220)),2)))</f>
        <v>0</v>
      </c>
      <c r="K225" s="64">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64">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2"/>
        <v>0</v>
      </c>
      <c r="Q225" s="456"/>
      <c r="R225" s="140">
        <f>ROUND(IF(M199="",R215,R215/M199*P202),2)</f>
        <v>5175</v>
      </c>
      <c r="S225" s="140">
        <f>ROUND(IF(M199="",R216,R216/M199*P202),2)</f>
        <v>7450</v>
      </c>
      <c r="U225" s="950">
        <f t="shared" si="33"/>
        <v>0</v>
      </c>
      <c r="V225" s="950">
        <f>SUM(B221:F225)</f>
        <v>0</v>
      </c>
    </row>
    <row r="226" spans="1:24" x14ac:dyDescent="0.2">
      <c r="A226" s="76" t="str">
        <f>CONCATENATE("Jun ",O197)</f>
        <v>Jun 2025</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1"/>
        <v>0</v>
      </c>
      <c r="H226" s="64">
        <f>IF(B226=0,0,IF(AND(H212="ja",((U226)&lt;R237)),ROUND(((R239*R236+((R237/(R237-R236))-(R236/(R237-R236))*R239)*((U226)-R236))*(H220*2))-(((R237/(R237-R236))*((U226)-R236))*H220),2),ROUND(IF(V225&lt;(SUM(R221:R225)),IF((V226)&gt;(SUM(R221:R226)),(((SUM(R221:R226))-(V226-C225))*H220)+((U226-C225)*H220),U226*H220),IF(V226&gt;(SUM(R221:R226)),R226*H220,U226*H220)),2)))</f>
        <v>0</v>
      </c>
      <c r="I226" s="64">
        <f>IF(B226=0,0,IF(AND(H212="ja",((U226)&lt;R237)),ROUND(((R239*R236+((R237/(R237-R236))-(R236/(R237-R236))*R239)*((U226)-R236))*(I220*2))-(((R237/(R237-R236))*((U226)-R236))*I220),2),ROUND(IF(V225&lt;(SUM(S221:S225)),IF((V226)&gt;(SUM(S221:S226)),(((SUM(S221:S226))-(V226-C225))*I220)+((U226-C225)*I220),U226*I220),IF(V226&gt;(SUM(S221:S226)),S226*I220,U226*I220)),2)))</f>
        <v>0</v>
      </c>
      <c r="J226" s="64">
        <f>IF(B226=0,0,IF(AND(H212="ja",((U226)&lt;R237)),ROUND(((R239*R236+((R237/(R237-R236))-(R236/(R237-R236))*R239)*((U226)-R236))*(J220*2))-(((R237/(R237-R236))*((U226)-R236))*J220),2),ROUND(IF(V225&lt;(SUM(S221:S225)),IF((V226)&gt;(SUM(S221:S226)),(((SUM(S221:S226))-(V226-C225))*J220)+((U226-C225)*J220),U226*J220),IF(V226&gt;(SUM(S221:S226)),S226*J220,U226*J220)),2)))</f>
        <v>0</v>
      </c>
      <c r="K226" s="64">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64">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2"/>
        <v>0</v>
      </c>
      <c r="Q226" s="456"/>
      <c r="R226" s="140">
        <f>ROUND(IF(M199="",R215,R215/M199*P203),2)</f>
        <v>5175</v>
      </c>
      <c r="S226" s="140">
        <f>ROUND(IF(M199="",R216,R216/M199*P203),2)</f>
        <v>7450</v>
      </c>
      <c r="U226" s="950">
        <f t="shared" si="33"/>
        <v>0</v>
      </c>
      <c r="V226" s="950">
        <f>SUM(B221:F226)</f>
        <v>0</v>
      </c>
    </row>
    <row r="227" spans="1:24" x14ac:dyDescent="0.2">
      <c r="A227" s="76" t="str">
        <f>CONCATENATE("Jul ",O197)</f>
        <v>Jul 2025</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1"/>
        <v>0</v>
      </c>
      <c r="H227" s="64">
        <f>IF(B227=0,0,IF(AND(H212="ja",((U227)&lt;R237)),ROUND(((R239*R236+((R237/(R237-R236))-(R236/(R237-R236))*R239)*((U227)-R236))*(H220*2))-(((R237/(R237-R236))*((U227)-R236))*H220),2),ROUND(IF(V226&lt;(SUM(R221:R226)),IF((V227)&gt;(SUM(R221:R227)),(((SUM(R221:R227))-(V227-C226))*H220)+((U227-C226)*H220),U227*H220),IF(V227&gt;(SUM(R221:R227)),R227*H220,U227*H220)),2)))</f>
        <v>0</v>
      </c>
      <c r="I227" s="64">
        <f>IF(B227=0,0,IF(AND(H212="ja",((U227)&lt;R237)),ROUND(((R239*R236+((R237/(R237-R236))-(R236/(R237-R236))*R239)*((U227)-R236))*(I220*2))-(((R237/(R237-R236))*((U227)-R236))*I220),2),ROUND(IF(V226&lt;(SUM(S221:S226)),IF((V227)&gt;(SUM(S221:S227)),(((SUM(S221:S227))-(V227-C226))*I220)+((U227-C226)*I220),U227*I220),IF(V227&gt;(SUM(S221:S227)),S227*I220,U227*I220)),2)))</f>
        <v>0</v>
      </c>
      <c r="J227" s="64">
        <f>IF(B227=0,0,IF(AND(H212="ja",((U227)&lt;R237)),ROUND(((R239*R236+((R237/(R237-R236))-(R236/(R237-R236))*R239)*((U227)-R236))*(J220*2))-(((R237/(R237-R236))*((U227)-R236))*J220),2),ROUND(IF(V226&lt;(SUM(S221:S226)),IF((V227)&gt;(SUM(S221:S227)),(((SUM(S221:S227))-(V227-C226))*J220)+((U227-C226)*J220),U227*J220),IF(V227&gt;(SUM(S221:S227)),S227*J220,U227*J220)),2)))</f>
        <v>0</v>
      </c>
      <c r="K227" s="64">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64">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2"/>
        <v>0</v>
      </c>
      <c r="Q227" s="456"/>
      <c r="R227" s="140">
        <f>ROUND(IF(M199="",R215,R215/M199*P204),2)</f>
        <v>5175</v>
      </c>
      <c r="S227" s="140">
        <f>ROUND(IF(M199="",R216,R216/M199*P204),2)</f>
        <v>7450</v>
      </c>
      <c r="U227" s="950">
        <f t="shared" si="33"/>
        <v>0</v>
      </c>
      <c r="V227" s="950">
        <f>SUM(B221:F227)</f>
        <v>0</v>
      </c>
    </row>
    <row r="228" spans="1:24" x14ac:dyDescent="0.2">
      <c r="A228" s="76" t="str">
        <f>CONCATENATE("Aug ",O197)</f>
        <v>Aug 2025</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1"/>
        <v>0</v>
      </c>
      <c r="H228" s="64">
        <f>IF(B228=0,0,IF(AND(H212="ja",((U228)&lt;R237)),ROUND(((R239*R236+((R237/(R237-R236))-(R236/(R237-R236))*R239)*((U228)-R236))*(H220*2))-(((R237/(R237-R236))*((U228)-R236))*H220),2),ROUND(IF(V227&lt;(SUM(R221:R227)),IF((V228)&gt;(SUM(R221:R228)),(((SUM(R221:R228))-(V228-C227))*H220)+((U228-C227)*H220),U228*H220),IF(V228&gt;(SUM(R221:R228)),R228*H220,U228*H220)),2)))</f>
        <v>0</v>
      </c>
      <c r="I228" s="64">
        <f>IF(B228=0,0,IF(AND(H212="ja",((U228)&lt;R237)),ROUND(((R239*R236+((R237/(R237-R236))-(R236/(R237-R236))*R239)*((U228)-R236))*(I220*2))-(((R237/(R237-R236))*((U228)-R236))*I220),2),ROUND(IF(V227&lt;(SUM(S221:S227)),IF((V228)&gt;(SUM(S221:S228)),(((SUM(S221:S228))-(V228-C227))*I220)+((U228-C227)*I220),U228*I220),IF(V228&gt;(SUM(S221:S228)),S228*I220,U228*I220)),2)))</f>
        <v>0</v>
      </c>
      <c r="J228" s="64">
        <f>IF(B228=0,0,IF(AND(H212="ja",((U228)&lt;R237)),ROUND(((R239*R236+((R237/(R237-R236))-(R236/(R237-R236))*R239)*((U228)-R236))*(J220*2))-(((R237/(R237-R236))*((U228)-R236))*J220),2),ROUND(IF(V227&lt;(SUM(S221:S227)),IF((V228)&gt;(SUM(S221:S228)),(((SUM(S221:S228))-(V228-C227))*J220)+((U228-C227)*J220),U228*J220),IF(V228&gt;(SUM(S221:S228)),S228*J220,U228*J220)),2)))</f>
        <v>0</v>
      </c>
      <c r="K228" s="64">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64">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2"/>
        <v>0</v>
      </c>
      <c r="Q228" s="456"/>
      <c r="R228" s="140">
        <f>ROUND(IF(M199="",R215,R215/M199*P205),2)</f>
        <v>5175</v>
      </c>
      <c r="S228" s="140">
        <f>ROUND(IF(M199="",R216,R216/M199*P205),2)</f>
        <v>7450</v>
      </c>
      <c r="U228" s="950">
        <f t="shared" si="33"/>
        <v>0</v>
      </c>
      <c r="V228" s="950">
        <f>SUM(B221:F228)</f>
        <v>0</v>
      </c>
    </row>
    <row r="229" spans="1:24" x14ac:dyDescent="0.2">
      <c r="A229" s="76" t="str">
        <f>CONCATENATE("Sep ",O197)</f>
        <v>Sep 2025</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1"/>
        <v>0</v>
      </c>
      <c r="H229" s="64">
        <f>IF(B229=0,0,IF(AND(H212="ja",((U229)&lt;R237)),ROUND(((R239*R236+((R237/(R237-R236))-(R236/(R237-R236))*R239)*((U229)-R236))*(H220*2))-(((R237/(R237-R236))*((U229)-R236))*H220),2),ROUND(IF(V228&lt;(SUM(R221:R228)),IF((V229)&gt;(SUM(R221:R229)),(((SUM(R221:R229))-(V229-C228))*H220)+((U229-C228)*H220),U229*H220),IF(V229&gt;(SUM(R221:R229)),R229*H220,U229*H220)),2)))</f>
        <v>0</v>
      </c>
      <c r="I229" s="64">
        <f>IF(B229=0,0,IF(AND(H212="ja",((U229)&lt;R237)),ROUND(((R239*R236+((R237/(R237-R236))-(R236/(R237-R236))*R239)*((U229)-R236))*(I220*2))-(((R237/(R237-R236))*((U229)-R236))*I220),2),ROUND(IF(V228&lt;(SUM(S221:S228)),IF((V229)&gt;(SUM(S221:S229)),(((SUM(S221:S229))-(V229-C228))*I220)+((U229-C228)*I220),U229*I220),IF(V229&gt;(SUM(S221:S229)),S229*I220,U229*I220)),2)))</f>
        <v>0</v>
      </c>
      <c r="J229" s="64">
        <f>IF(B229=0,0,IF(AND(H212="ja",((U229)&lt;R237)),ROUND(((R239*R236+((R237/(R237-R236))-(R236/(R237-R236))*R239)*((U229)-R236))*(J220*2))-(((R237/(R237-R236))*((U229)-R236))*J220),2),ROUND(IF(V228&lt;(SUM(S221:S228)),IF((V229)&gt;(SUM(S221:S229)),(((SUM(S221:S229))-(V229-C228))*J220)+((U229-C228)*J220),U229*J220),IF(V229&gt;(SUM(S221:S229)),S229*J220,U229*J220)),2)))</f>
        <v>0</v>
      </c>
      <c r="K229" s="64">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64">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2"/>
        <v>0</v>
      </c>
      <c r="Q229" s="456"/>
      <c r="R229" s="140">
        <f>ROUND(IF(M199="",R215,R215/M199*P206),2)</f>
        <v>5175</v>
      </c>
      <c r="S229" s="140">
        <f>ROUND(IF(M199="",R216,R216/M199*P206),2)</f>
        <v>7450</v>
      </c>
      <c r="U229" s="950">
        <f t="shared" si="33"/>
        <v>0</v>
      </c>
      <c r="V229" s="950">
        <f>SUM(B221:F229)</f>
        <v>0</v>
      </c>
    </row>
    <row r="230" spans="1:24" s="12" customFormat="1" ht="15" x14ac:dyDescent="0.25">
      <c r="A230" s="76" t="str">
        <f>CONCATENATE("Okt ",O197)</f>
        <v>Okt 2025</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1"/>
        <v>0</v>
      </c>
      <c r="H230" s="64">
        <f>IF(B230=0,0,IF(AND(H212="ja",((U230)&lt;R237)),ROUND(((R239*R236+((R237/(R237-R236))-(R236/(R237-R236))*R239)*((U230)-R236))*(H220*2))-(((R237/(R237-R236))*((U230)-R236))*H220),2),ROUND(IF(V229&lt;(SUM(R221:R229)),IF((V230)&gt;(SUM(R221:R230)),(((SUM(R221:R230))-(V230-C229))*H220)+((U230-C229)*H220),U230*H220),IF(V230&gt;(SUM(R221:R230)),R230*H220,U230*H220)),2)))</f>
        <v>0</v>
      </c>
      <c r="I230" s="64">
        <f>IF(B230=0,0,IF(AND(H212="ja",((U230)&lt;R237)),ROUND(((R239*R236+((R237/(R237-R236))-(R236/(R237-R236))*R239)*((U230)-R236))*(I220*2))-(((R237/(R237-R236))*((U230)-R236))*I220),2),ROUND(IF(V229&lt;(SUM(S221:S229)),IF((V230)&gt;(SUM(S221:S230)),(((SUM(S221:S230))-(V230-C229))*I220)+((U230-C229)*I220),U230*I220),IF(V230&gt;(SUM(S221:S230)),S230*I220,U230*I220)),2)))</f>
        <v>0</v>
      </c>
      <c r="J230" s="64">
        <f>IF(B230=0,0,IF(AND(H212="ja",((U230)&lt;R237)),ROUND(((R239*R236+((R237/(R237-R236))-(R236/(R237-R236))*R239)*((U230)-R236))*(J220*2))-(((R237/(R237-R236))*((U230)-R236))*J220),2),ROUND(IF(V229&lt;(SUM(S221:S229)),IF((V230)&gt;(SUM(S221:S230)),(((SUM(S221:S230))-(V230-C229))*J220)+((U230-C229)*J220),U230*J220),IF(V230&gt;(SUM(S221:S230)),S230*J220,U230*J220)),2)))</f>
        <v>0</v>
      </c>
      <c r="K230" s="64">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64">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2"/>
        <v>0</v>
      </c>
      <c r="Q230" s="936"/>
      <c r="R230" s="140">
        <f>ROUND(IF(M199="",R215,R215/M199*P207),2)</f>
        <v>5175</v>
      </c>
      <c r="S230" s="140">
        <f>ROUND(IF(M199="",R216,R216/M199*P207),2)</f>
        <v>7450</v>
      </c>
      <c r="U230" s="950">
        <f t="shared" si="33"/>
        <v>0</v>
      </c>
      <c r="V230" s="950">
        <f>SUM(B221:F230)</f>
        <v>0</v>
      </c>
      <c r="X230" s="1"/>
    </row>
    <row r="231" spans="1:24" s="11" customFormat="1" x14ac:dyDescent="0.2">
      <c r="A231" s="76" t="str">
        <f>CONCATENATE("Nov ",O197)</f>
        <v>Nov 2025</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1"/>
        <v>0</v>
      </c>
      <c r="H231" s="64">
        <f>IF(B231=0,0,IF(AND(H212="ja",((U231)&lt;R237)),ROUND(((R239*R236+((R237/(R237-R236))-(R236/(R237-R236))*R239)*((U231)-R236))*(H220*2))-(((R237/(R237-R236))*((U231)-R236))*H220),2),ROUND(IF(V230&lt;(SUM(R221:R230)),IF((V231)&gt;(SUM(R221:R231)),(((SUM(R221:R231))-(V231-C230))*H220)+((U231-C230)*H220),U231*H220),IF(V231&gt;(SUM(R221:R231)),R231*H220,U231*H220)),2)))</f>
        <v>0</v>
      </c>
      <c r="I231" s="64">
        <f>IF(B231=0,0,IF(AND(H212="ja",((U231)&lt;R237)),ROUND(((R239*R236+((R237/(R237-R236))-(R236/(R237-R236))*R239)*((U231)-R236))*(I220*2))-(((R237/(R237-R236))*((U231)-R236))*I220),2),ROUND(IF(V230&lt;(SUM(S221:S230)),IF((V231)&gt;(SUM(S221:S231)),(((SUM(S221:S231))-(V231-C230))*I220)+((U231-C230)*I220),U231*I220),IF(V231&gt;(SUM(S221:S231)),S231*I220,U231*I220)),2)))</f>
        <v>0</v>
      </c>
      <c r="J231" s="64">
        <f>IF(B231=0,0,IF(AND(H212="ja",((U231)&lt;R237)),ROUND(((R239*R236+((R237/(R237-R236))-(R236/(R237-R236))*R239)*((U231)-R236))*(J220*2))-(((R237/(R237-R236))*((U231)-R236))*J220),2),ROUND(IF(V230&lt;(SUM(S221:S230)),IF((V231)&gt;(SUM(S221:S231)),(((SUM(S221:S231))-(V231-C230))*J220)+((U231-C230)*J220),U231*J220),IF(V231&gt;(SUM(S221:S231)),S231*J220,U231*J220)),2)))</f>
        <v>0</v>
      </c>
      <c r="K231" s="64">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64">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2"/>
        <v>0</v>
      </c>
      <c r="R231" s="140">
        <f>ROUND(IF(M199="",R215,R215/M199*P208),2)</f>
        <v>5175</v>
      </c>
      <c r="S231" s="140">
        <f>ROUND(IF(M199="",R216,R216/M199*P208),2)</f>
        <v>7450</v>
      </c>
      <c r="U231" s="950">
        <f t="shared" si="33"/>
        <v>0</v>
      </c>
      <c r="V231" s="950">
        <f>SUM(B221:F231)</f>
        <v>0</v>
      </c>
      <c r="X231" s="1"/>
    </row>
    <row r="232" spans="1:24" ht="14.25" customHeight="1" x14ac:dyDescent="0.2">
      <c r="A232" s="76" t="str">
        <f>CONCATENATE("Dez ",O197)</f>
        <v>Dez 2025</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1"/>
        <v>0</v>
      </c>
      <c r="H232" s="64">
        <f>IF(B232=0,0,IF(AND(H212="ja",((U232)&lt;R237)),ROUND(((R239*R236+((R237/(R237-R236))-(R236/(R237-R236))*R239)*((U232)-R236))*(H220*2))-(((R237/(R237-R236))*((U232)-R236))*H220),2),ROUND(IF(V231&lt;(SUM(R221:R231)),IF((V232)&gt;(SUM(R221:R232)),(((SUM(R221:R232))-(V232-C231))*H220)+((U232-C231)*H220),U232*H220),IF(V232&gt;(SUM(R221:R232)),R232*H220,U232*H220)),2)))</f>
        <v>0</v>
      </c>
      <c r="I232" s="64">
        <f>IF(B232=0,0,IF(AND(H212="ja",((U232)&lt;R237)),ROUND(((R239*R236+((R237/(R237-R236))-(R236/(R237-R236))*R239)*((U232)-R236))*(I220*2))-(((R237/(R237-R236))*((U232)-R236))*I220),2),ROUND(IF(V231&lt;(SUM(S221:S231)),IF((V232)&gt;(SUM(S221:S232)),(((SUM(S221:S232))-(V232-C231))*I220)+((U232-C231)*I220),U232*I220),IF(V232&gt;(SUM(S221:S232)),S232*I220,U232*I220)),2)))</f>
        <v>0</v>
      </c>
      <c r="J232" s="64">
        <f>IF(B232=0,0,IF(AND(H212="ja",((U232)&lt;R237)),ROUND(((R239*R236+((R237/(R237-R236))-(R236/(R237-R236))*R239)*((U232)-R236))*(J220*2))-(((R237/(R237-R236))*((U232)-R236))*J220),2),ROUND(IF(V231&lt;(SUM(S221:S231)),IF((V232)&gt;(SUM(S221:S232)),(((SUM(S221:S232))-(V232-C231))*J220)+((U232-C231)*J220),U232*J220),IF(V232&gt;(SUM(S221:S232)),S232*J220,U232*J220)),2)))</f>
        <v>0</v>
      </c>
      <c r="K232" s="64">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64">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2"/>
        <v>0</v>
      </c>
      <c r="Q232" s="11"/>
      <c r="R232" s="140">
        <f>ROUND(IF(M199="",R215,R215/M199*P209),2)</f>
        <v>5175</v>
      </c>
      <c r="S232" s="140">
        <f>ROUND(IF(M199="",R216,R216/M199*P209),2)</f>
        <v>7450</v>
      </c>
      <c r="U232" s="950">
        <f t="shared" si="33"/>
        <v>0</v>
      </c>
      <c r="V232" s="950">
        <f>SUM(B221:F232)</f>
        <v>0</v>
      </c>
    </row>
    <row r="233" spans="1:24" ht="15" customHeight="1" x14ac:dyDescent="0.2">
      <c r="A233" s="2" t="s">
        <v>1</v>
      </c>
      <c r="B233" s="25">
        <f t="shared" ref="B233:G233" si="34">SUM(B221:B232)</f>
        <v>0</v>
      </c>
      <c r="C233" s="25">
        <f t="shared" si="34"/>
        <v>0</v>
      </c>
      <c r="D233" s="25">
        <f t="shared" si="34"/>
        <v>0</v>
      </c>
      <c r="E233" s="25">
        <f t="shared" si="34"/>
        <v>0</v>
      </c>
      <c r="F233" s="25">
        <f t="shared" si="34"/>
        <v>0</v>
      </c>
      <c r="G233" s="25">
        <f t="shared" si="34"/>
        <v>0</v>
      </c>
      <c r="H233" s="1309">
        <f>SUM(H221:N232)</f>
        <v>0</v>
      </c>
      <c r="I233" s="1310"/>
      <c r="J233" s="1310"/>
      <c r="K233" s="1310"/>
      <c r="L233" s="1310"/>
      <c r="M233" s="1310"/>
      <c r="N233" s="1311"/>
      <c r="O233" s="25">
        <f>SUM(O221:O232)</f>
        <v>0</v>
      </c>
      <c r="P233" s="25">
        <f>SUM(P221:P232)</f>
        <v>0</v>
      </c>
    </row>
    <row r="234" spans="1:24" ht="12" customHeight="1" x14ac:dyDescent="0.2">
      <c r="A234" s="1"/>
      <c r="B234" s="1"/>
      <c r="C234" s="1"/>
      <c r="D234" s="1"/>
      <c r="E234" s="1"/>
      <c r="F234" s="1"/>
      <c r="G234" s="1"/>
      <c r="H234" s="1"/>
      <c r="I234" s="1"/>
      <c r="J234" s="1"/>
      <c r="K234" s="1"/>
      <c r="L234" s="1"/>
      <c r="M234" s="1"/>
      <c r="N234" s="1"/>
      <c r="O234" s="1"/>
      <c r="P234" s="1"/>
    </row>
    <row r="235" spans="1:24" ht="14.25" customHeight="1" x14ac:dyDescent="0.2">
      <c r="A235" s="1"/>
      <c r="B235" s="906"/>
      <c r="C235" s="1"/>
      <c r="D235" s="1"/>
      <c r="E235" s="1"/>
      <c r="F235" s="1"/>
      <c r="G235" s="1"/>
      <c r="H235" s="905"/>
      <c r="I235" s="62"/>
      <c r="J235" s="914" t="s">
        <v>123</v>
      </c>
      <c r="K235" s="1"/>
      <c r="L235" s="900" t="s">
        <v>124</v>
      </c>
      <c r="M235" s="974" t="str">
        <f>IF(IF(G233=0,"",'päd.Personal - Leitung'!$M$43)=0,"",IF(G233=0,"",'päd.Personal - Leitung'!$M$43))</f>
        <v/>
      </c>
      <c r="N235" s="902" t="s">
        <v>125</v>
      </c>
      <c r="O235" s="963" t="str">
        <f>IF(IF(G233=0,"",'päd.Personal - Leitung'!$O$43)=0,"",IF(G233=0,"",'päd.Personal - Leitung'!$O$43))</f>
        <v/>
      </c>
      <c r="P235" s="25">
        <f>ROUND(IF(M235="",0,G233*M235*O235/1000),2)</f>
        <v>0</v>
      </c>
      <c r="Q235" s="937"/>
      <c r="R235" s="938">
        <v>2025</v>
      </c>
      <c r="S235" s="939"/>
    </row>
    <row r="236" spans="1:24" ht="14.25" customHeight="1" x14ac:dyDescent="0.2">
      <c r="A236" s="1"/>
      <c r="B236" s="1"/>
      <c r="C236" s="1"/>
      <c r="D236" s="1"/>
      <c r="E236" s="1"/>
      <c r="F236" s="1"/>
      <c r="G236" s="1"/>
      <c r="H236" s="907"/>
      <c r="I236" s="42"/>
      <c r="J236" s="1"/>
      <c r="K236" s="1"/>
      <c r="L236" s="1"/>
      <c r="M236" s="915" t="s">
        <v>129</v>
      </c>
      <c r="N236" s="80" t="s">
        <v>125</v>
      </c>
      <c r="O236" s="75" t="str">
        <f>IF(IF(G233=0,"",'päd.Personal - Leitung'!$O$44)=0,"",IF(G233=0,"",'päd.Personal - Leitung'!$O$44))</f>
        <v/>
      </c>
      <c r="P236" s="25">
        <f>ROUND(IF(O236="",0,G233*O236/1000),2)</f>
        <v>0</v>
      </c>
      <c r="Q236" s="942" t="s">
        <v>737</v>
      </c>
      <c r="R236" s="141">
        <f>'päd.Personal - Leitung'!$R$44</f>
        <v>556</v>
      </c>
      <c r="S236" s="955">
        <f>'päd.Personal - Leitung'!$S$44</f>
        <v>12.82</v>
      </c>
    </row>
    <row r="237" spans="1:24" ht="14.25" customHeight="1" x14ac:dyDescent="0.2">
      <c r="A237" s="1"/>
      <c r="B237" s="1"/>
      <c r="C237" s="1"/>
      <c r="D237" s="1"/>
      <c r="E237" s="1"/>
      <c r="F237" s="1"/>
      <c r="G237" s="1"/>
      <c r="H237" s="912" t="s">
        <v>126</v>
      </c>
      <c r="I237" s="1013" t="s">
        <v>127</v>
      </c>
      <c r="J237" s="975" t="str">
        <f>IF(IF(G233=0,"",'päd.Personal - Leitung'!$J$45)=0,"",IF(G233=0,"",'päd.Personal - Leitung'!$J$45))</f>
        <v/>
      </c>
      <c r="K237" s="902" t="s">
        <v>128</v>
      </c>
      <c r="L237" s="964" t="str">
        <f>IF(IF(G233=0,"",'päd.Personal - Leitung'!$L$45)=0,"",IF(G233=0,"",'päd.Personal - Leitung'!$L$45))</f>
        <v/>
      </c>
      <c r="M237" s="16"/>
      <c r="N237" s="900" t="s">
        <v>132</v>
      </c>
      <c r="O237" s="965" t="str">
        <f>IF(IF(G233=0,"",'päd.Personal - Leitung'!$O$45)=0,"",IF(G233=0,"",'päd.Personal - Leitung'!$O$45))</f>
        <v/>
      </c>
      <c r="P237" s="25">
        <f>ROUND(IF(J237="",0,(J237*L237/O237)/M201*M202),2)</f>
        <v>0</v>
      </c>
      <c r="Q237" s="942" t="s">
        <v>738</v>
      </c>
      <c r="R237" s="140">
        <f>'päd.Personal - Leitung'!$R$45</f>
        <v>2000</v>
      </c>
      <c r="S237" s="939"/>
    </row>
    <row r="238" spans="1:24" ht="14.25" customHeight="1" x14ac:dyDescent="0.2">
      <c r="A238" s="1"/>
      <c r="B238" s="1"/>
      <c r="C238" s="1"/>
      <c r="D238" s="16"/>
      <c r="E238" s="1"/>
      <c r="F238" s="1"/>
      <c r="G238" s="1"/>
      <c r="H238" s="1"/>
      <c r="I238" s="16"/>
      <c r="J238" s="16"/>
      <c r="K238" s="63"/>
      <c r="L238" s="67"/>
      <c r="M238" s="915" t="s">
        <v>130</v>
      </c>
      <c r="N238" s="80" t="s">
        <v>131</v>
      </c>
      <c r="O238" s="904">
        <f>IF(IF(M204="",0,$O$46)=0,0,IF(M204="",0,$O$46))</f>
        <v>0</v>
      </c>
      <c r="P238" s="21">
        <f>ROUND(IF(G233=0,0,O238/M199*M200),2)</f>
        <v>0</v>
      </c>
      <c r="Q238" s="942" t="s">
        <v>740</v>
      </c>
      <c r="R238" s="956">
        <f>'päd.Personal - Leitung'!$R$46</f>
        <v>0.40900000000000003</v>
      </c>
    </row>
    <row r="239" spans="1:24" ht="14.25" customHeight="1" x14ac:dyDescent="0.2">
      <c r="A239" s="16"/>
      <c r="B239" s="16"/>
      <c r="C239" s="1"/>
      <c r="D239" s="1"/>
      <c r="E239" s="1"/>
      <c r="F239" s="1"/>
      <c r="G239" s="1"/>
      <c r="H239" s="1"/>
      <c r="I239" s="905"/>
      <c r="J239" s="961" t="s">
        <v>176</v>
      </c>
      <c r="K239" s="1312" t="str">
        <f>IF($K$47="","",$K$47)</f>
        <v/>
      </c>
      <c r="L239" s="1312"/>
      <c r="M239" s="1312"/>
      <c r="N239" s="80" t="s">
        <v>131</v>
      </c>
      <c r="O239" s="904">
        <f>IF(IF(M204="",0,$O$47)=0,0,IF(M204="",0,$O$47))</f>
        <v>0</v>
      </c>
      <c r="P239" s="21">
        <f>ROUND(IF(G233=0,0,O239/M199*M200),2)</f>
        <v>0</v>
      </c>
      <c r="Q239" s="942" t="s">
        <v>739</v>
      </c>
      <c r="R239" s="940">
        <f>'päd.Personal - Leitung'!$R$47</f>
        <v>0.68459999999999999</v>
      </c>
      <c r="S239" s="957">
        <f>'päd.Personal - Leitung'!$S$47</f>
        <v>0.28000000000000003</v>
      </c>
    </row>
    <row r="240" spans="1:24" ht="14.25" customHeight="1" x14ac:dyDescent="0.2">
      <c r="A240" s="908"/>
      <c r="B240" s="908"/>
      <c r="C240" s="1013"/>
      <c r="D240" s="1013"/>
      <c r="E240" s="1"/>
      <c r="F240" s="1"/>
      <c r="G240" s="1"/>
      <c r="H240" s="1"/>
      <c r="I240" s="913"/>
      <c r="J240" s="913"/>
      <c r="K240" s="916"/>
      <c r="L240" s="27"/>
      <c r="M240" s="27"/>
      <c r="N240" s="27"/>
      <c r="O240" s="26" t="s">
        <v>0</v>
      </c>
      <c r="P240" s="25">
        <f>P233+SUM(P235:P239)</f>
        <v>0</v>
      </c>
    </row>
    <row r="241" spans="1:19" s="10" customFormat="1" ht="13.5" customHeight="1" x14ac:dyDescent="0.2">
      <c r="A241" s="1321" t="s">
        <v>17</v>
      </c>
      <c r="B241" s="1321"/>
      <c r="C241" s="1321"/>
      <c r="D241" s="1320" t="str">
        <f>IF('päd.Personal - Leitung'!$D$1="","",'päd.Personal - Leitung'!$D$1)</f>
        <v/>
      </c>
      <c r="E241" s="1320"/>
      <c r="F241" s="1320"/>
      <c r="G241" s="1320"/>
      <c r="H241" s="1320"/>
      <c r="I241" s="1320"/>
      <c r="J241" s="1320"/>
      <c r="K241" s="1320"/>
      <c r="L241" s="1320"/>
      <c r="M241" s="1320"/>
      <c r="N241" s="1320"/>
    </row>
    <row r="242" spans="1:19" s="10" customFormat="1" ht="15" customHeight="1" x14ac:dyDescent="0.2">
      <c r="A242" s="1321" t="s">
        <v>16</v>
      </c>
      <c r="B242" s="1321"/>
      <c r="C242" s="1321" t="s">
        <v>14</v>
      </c>
      <c r="D242" s="1320" t="str">
        <f>IF('päd.Personal - Leitung'!$D$2="","",'päd.Personal - Leitung'!$D$2)</f>
        <v/>
      </c>
      <c r="E242" s="1320"/>
      <c r="F242" s="1320"/>
      <c r="G242" s="1320"/>
      <c r="H242" s="1320"/>
      <c r="I242" s="1320"/>
      <c r="J242" s="1320"/>
      <c r="K242" s="1320"/>
      <c r="L242" s="1320"/>
      <c r="M242" s="1320"/>
      <c r="N242" s="1320"/>
    </row>
    <row r="243" spans="1:19" s="10" customFormat="1" ht="15" customHeight="1" x14ac:dyDescent="0.2">
      <c r="A243" s="1321" t="s">
        <v>15</v>
      </c>
      <c r="B243" s="1321"/>
      <c r="C243" s="1321" t="s">
        <v>14</v>
      </c>
      <c r="D243" s="1320" t="str">
        <f>IF('päd.Personal - Leitung'!$D$3="","",'päd.Personal - Leitung'!$D$3)</f>
        <v/>
      </c>
      <c r="E243" s="1320"/>
      <c r="F243" s="1320"/>
      <c r="G243" s="1320"/>
      <c r="H243" s="1320"/>
      <c r="I243" s="1320"/>
      <c r="J243" s="1320"/>
      <c r="K243" s="1321" t="s">
        <v>100</v>
      </c>
      <c r="L243" s="1321"/>
      <c r="M243" s="1321"/>
      <c r="N243" s="38" t="str">
        <f>IF('päd.Personal - Leitung'!$N$3="","",'päd.Personal - Leitung'!$N$3)</f>
        <v/>
      </c>
    </row>
    <row r="244" spans="1:19" s="923" customFormat="1" ht="7.5" customHeight="1" x14ac:dyDescent="0.15">
      <c r="A244" s="1353"/>
      <c r="B244" s="1353"/>
      <c r="C244" s="1353"/>
      <c r="D244" s="1354"/>
      <c r="E244" s="1354"/>
      <c r="F244" s="1354"/>
      <c r="G244" s="1354"/>
      <c r="H244" s="1354"/>
      <c r="I244" s="1354"/>
      <c r="J244" s="1354"/>
      <c r="K244" s="922"/>
      <c r="L244" s="922"/>
      <c r="M244" s="922"/>
      <c r="N244" s="922"/>
      <c r="O244" s="922"/>
      <c r="P244" s="922"/>
    </row>
    <row r="245" spans="1:19" s="13" customFormat="1" ht="13.5" customHeight="1" x14ac:dyDescent="0.2">
      <c r="A245" s="1355" t="s">
        <v>750</v>
      </c>
      <c r="B245" s="1355"/>
      <c r="C245" s="1355"/>
      <c r="D245" s="1355"/>
      <c r="E245" s="1355"/>
      <c r="F245" s="1355"/>
      <c r="G245" s="1355"/>
      <c r="H245" s="1355"/>
      <c r="I245" s="1355"/>
      <c r="J245" s="1355"/>
      <c r="K245" s="7"/>
      <c r="L245" s="7"/>
      <c r="M245" s="7"/>
      <c r="N245" s="52"/>
      <c r="O245" s="138">
        <f>'päd.Personal - Leitung'!$O$5</f>
        <v>2025</v>
      </c>
      <c r="P245" s="52" t="s">
        <v>140</v>
      </c>
    </row>
    <row r="246" spans="1:19" s="8" customFormat="1" ht="13.5" customHeight="1" x14ac:dyDescent="0.25">
      <c r="B246" s="29"/>
      <c r="C246" s="29"/>
      <c r="D246" s="3" t="s">
        <v>25</v>
      </c>
      <c r="E246" s="28"/>
      <c r="F246" s="28"/>
      <c r="G246" s="28"/>
      <c r="H246" s="28"/>
      <c r="I246" s="24"/>
      <c r="K246" s="1327" t="s">
        <v>13</v>
      </c>
      <c r="L246" s="1327"/>
      <c r="M246" s="131"/>
      <c r="O246" s="928" t="str">
        <f>A269</f>
        <v>Jan 2025</v>
      </c>
      <c r="P246" s="1402">
        <f>IF(M248="","",M248)</f>
        <v>0</v>
      </c>
    </row>
    <row r="247" spans="1:19" s="5" customFormat="1" ht="13.5" customHeight="1" x14ac:dyDescent="0.25">
      <c r="A247" s="1328" t="s">
        <v>754</v>
      </c>
      <c r="B247" s="1328"/>
      <c r="C247" s="1328"/>
      <c r="D247" s="1345"/>
      <c r="E247" s="1345"/>
      <c r="F247" s="1345"/>
      <c r="G247" s="1345"/>
      <c r="H247" s="1345"/>
      <c r="I247" s="1345"/>
      <c r="K247" s="1327" t="s">
        <v>101</v>
      </c>
      <c r="L247" s="1327"/>
      <c r="M247" s="101"/>
      <c r="O247" s="928" t="str">
        <f t="shared" ref="O247:O257" si="35">A270</f>
        <v>Feb 2025</v>
      </c>
      <c r="P247" s="1403">
        <f t="shared" ref="P247:P257" si="36">IF(P246="","",P246)</f>
        <v>0</v>
      </c>
    </row>
    <row r="248" spans="1:19" ht="13.5" customHeight="1" x14ac:dyDescent="0.2">
      <c r="A248" s="1328" t="s">
        <v>12</v>
      </c>
      <c r="B248" s="1328"/>
      <c r="C248" s="1328"/>
      <c r="D248" s="1345"/>
      <c r="E248" s="1345"/>
      <c r="F248" s="1345"/>
      <c r="G248" s="1345"/>
      <c r="H248" s="1345"/>
      <c r="I248" s="1345"/>
      <c r="J248" s="1"/>
      <c r="K248" s="1327" t="s">
        <v>149</v>
      </c>
      <c r="L248" s="1327"/>
      <c r="M248" s="101">
        <f>IF((M249+M250)&gt;M247,0,M247-M249-M250)</f>
        <v>0</v>
      </c>
      <c r="N248" s="1"/>
      <c r="O248" s="928" t="str">
        <f t="shared" si="35"/>
        <v>Mrz 2025</v>
      </c>
      <c r="P248" s="1403">
        <f t="shared" si="36"/>
        <v>0</v>
      </c>
    </row>
    <row r="249" spans="1:19" ht="13.5" customHeight="1" x14ac:dyDescent="0.2">
      <c r="A249" s="1328" t="s">
        <v>11</v>
      </c>
      <c r="B249" s="1328"/>
      <c r="C249" s="1328"/>
      <c r="D249" s="1345"/>
      <c r="E249" s="1345"/>
      <c r="F249" s="1345"/>
      <c r="G249" s="1345"/>
      <c r="H249" s="1345"/>
      <c r="I249" s="1345"/>
      <c r="J249" s="1"/>
      <c r="K249" s="1327" t="s">
        <v>150</v>
      </c>
      <c r="L249" s="1327"/>
      <c r="M249" s="101"/>
      <c r="N249" s="1"/>
      <c r="O249" s="928" t="str">
        <f t="shared" si="35"/>
        <v>Apr 2025</v>
      </c>
      <c r="P249" s="1403">
        <f t="shared" si="36"/>
        <v>0</v>
      </c>
    </row>
    <row r="250" spans="1:19" ht="13.5" customHeight="1" x14ac:dyDescent="0.2">
      <c r="A250" s="1328" t="s">
        <v>18</v>
      </c>
      <c r="B250" s="1328"/>
      <c r="C250" s="1328"/>
      <c r="D250" s="1345"/>
      <c r="E250" s="1345"/>
      <c r="F250" s="1345"/>
      <c r="G250" s="1345"/>
      <c r="H250" s="1345"/>
      <c r="I250" s="1345"/>
      <c r="J250" s="1"/>
      <c r="K250" s="1327" t="s">
        <v>222</v>
      </c>
      <c r="L250" s="1327"/>
      <c r="M250" s="101"/>
      <c r="N250" s="1"/>
      <c r="O250" s="928" t="str">
        <f t="shared" si="35"/>
        <v>Mai 2025</v>
      </c>
      <c r="P250" s="1403">
        <f t="shared" si="36"/>
        <v>0</v>
      </c>
    </row>
    <row r="251" spans="1:19" ht="13.5" customHeight="1" x14ac:dyDescent="0.2">
      <c r="A251" s="1"/>
      <c r="B251" s="6"/>
      <c r="C251" s="1029" t="s">
        <v>147</v>
      </c>
      <c r="D251" s="1324"/>
      <c r="E251" s="1324"/>
      <c r="F251" s="1359" t="s">
        <v>103</v>
      </c>
      <c r="G251" s="1359"/>
      <c r="H251" s="1361"/>
      <c r="I251" s="1361"/>
      <c r="J251" s="1"/>
      <c r="K251" s="1327" t="s">
        <v>94</v>
      </c>
      <c r="L251" s="1327"/>
      <c r="M251" s="15" t="str">
        <f>IF(IF((COUNTIF(B269:B280,"&gt;0"))=0,0,(COUNTIF(B269:B280,"&gt;0")))&gt;Grundlagen!$C$26,Grundlagen!$C$26,IF((COUNTIF(B269:B280,"&gt;0"))=0,"",(COUNTIF(B269:B280,"&gt;0"))))</f>
        <v/>
      </c>
      <c r="N251" s="1"/>
      <c r="O251" s="928" t="str">
        <f t="shared" si="35"/>
        <v>Jun 2025</v>
      </c>
      <c r="P251" s="1403">
        <f t="shared" si="36"/>
        <v>0</v>
      </c>
    </row>
    <row r="252" spans="1:19" ht="13.5" customHeight="1" x14ac:dyDescent="0.2">
      <c r="A252" s="1"/>
      <c r="B252" s="1"/>
      <c r="C252" s="1"/>
      <c r="D252" s="1"/>
      <c r="E252" s="1"/>
      <c r="F252" s="1"/>
      <c r="G252" s="1"/>
      <c r="H252" s="1"/>
      <c r="I252" s="4"/>
      <c r="J252" s="1"/>
      <c r="K252" s="1"/>
      <c r="L252" s="1"/>
      <c r="M252" s="102" t="str">
        <f>IF((SUM(F254:F257))=0,"",IF(P258&gt;M248,M248,IF(M248="","",IF(M251="","",P258))))</f>
        <v/>
      </c>
      <c r="N252" s="1"/>
      <c r="O252" s="928" t="str">
        <f t="shared" si="35"/>
        <v>Jul 2025</v>
      </c>
      <c r="P252" s="1403">
        <f t="shared" si="36"/>
        <v>0</v>
      </c>
    </row>
    <row r="253" spans="1:19" s="46" customFormat="1" ht="13.5" customHeight="1" x14ac:dyDescent="0.2">
      <c r="A253" s="54" t="s">
        <v>134</v>
      </c>
      <c r="B253" s="1356" t="s">
        <v>135</v>
      </c>
      <c r="C253" s="1356"/>
      <c r="D253" s="55" t="s">
        <v>136</v>
      </c>
      <c r="E253" s="56" t="s">
        <v>137</v>
      </c>
      <c r="F253" s="57" t="str">
        <f>CONCATENATE("Entg. ",N243," h/Wo")</f>
        <v>Entg.  h/Wo</v>
      </c>
      <c r="G253" s="58" t="s">
        <v>138</v>
      </c>
      <c r="I253" s="58" t="s">
        <v>139</v>
      </c>
      <c r="K253" s="970"/>
      <c r="L253" s="970"/>
      <c r="M253" s="59"/>
      <c r="N253" s="968"/>
      <c r="O253" s="928" t="str">
        <f t="shared" si="35"/>
        <v>Aug 2025</v>
      </c>
      <c r="P253" s="1403">
        <f t="shared" si="36"/>
        <v>0</v>
      </c>
      <c r="Q253" s="85"/>
      <c r="R253" s="85"/>
      <c r="S253" s="85"/>
    </row>
    <row r="254" spans="1:19" s="46" customFormat="1" ht="13.5" customHeight="1" x14ac:dyDescent="0.25">
      <c r="A254" s="48" t="str">
        <f>'päd.Personal - Leitung'!$A$14</f>
        <v>Jan 2025</v>
      </c>
      <c r="B254" s="1357" t="str">
        <f>IF($D$3="","",$D$3)</f>
        <v/>
      </c>
      <c r="C254" s="1358"/>
      <c r="D254" s="132"/>
      <c r="E254" s="132"/>
      <c r="F254" s="71"/>
      <c r="G254" s="50">
        <f>IF(N243="",0,F254/N243/4.348)</f>
        <v>0</v>
      </c>
      <c r="I254" s="125">
        <f>SUM(J254:M254)</f>
        <v>0</v>
      </c>
      <c r="J254" s="124"/>
      <c r="K254" s="124"/>
      <c r="L254" s="124"/>
      <c r="M254" s="124"/>
      <c r="N254" s="969"/>
      <c r="O254" s="928" t="str">
        <f t="shared" si="35"/>
        <v>Sep 2025</v>
      </c>
      <c r="P254" s="1403">
        <f t="shared" si="36"/>
        <v>0</v>
      </c>
      <c r="Q254" s="85"/>
      <c r="R254" s="85"/>
      <c r="S254" s="85"/>
    </row>
    <row r="255" spans="1:19" s="46" customFormat="1" ht="13.5" customHeight="1" x14ac:dyDescent="0.25">
      <c r="A255" s="49"/>
      <c r="B255" s="1322" t="str">
        <f>IF(A255="","",B254)</f>
        <v/>
      </c>
      <c r="C255" s="1323"/>
      <c r="D255" s="132"/>
      <c r="E255" s="132"/>
      <c r="F255" s="71"/>
      <c r="G255" s="50">
        <f>IF(N243="",0,F255/N243/4.348)</f>
        <v>0</v>
      </c>
      <c r="I255" s="125">
        <f t="shared" ref="I255:I257" si="37">SUM(J255:M255)</f>
        <v>0</v>
      </c>
      <c r="J255" s="124"/>
      <c r="K255" s="124"/>
      <c r="L255" s="124"/>
      <c r="M255" s="124"/>
      <c r="N255" s="969"/>
      <c r="O255" s="928" t="str">
        <f t="shared" si="35"/>
        <v>Okt 2025</v>
      </c>
      <c r="P255" s="1403">
        <f t="shared" si="36"/>
        <v>0</v>
      </c>
      <c r="Q255" s="85"/>
      <c r="R255" s="85"/>
      <c r="S255" s="85"/>
    </row>
    <row r="256" spans="1:19" s="46" customFormat="1" ht="13.5" customHeight="1" x14ac:dyDescent="0.25">
      <c r="A256" s="49"/>
      <c r="B256" s="1322" t="str">
        <f>IF(A256="","",B255)</f>
        <v/>
      </c>
      <c r="C256" s="1323"/>
      <c r="D256" s="132"/>
      <c r="E256" s="132"/>
      <c r="F256" s="71"/>
      <c r="G256" s="50">
        <f>IF(N243="",0,F256/N243/4.348)</f>
        <v>0</v>
      </c>
      <c r="I256" s="125">
        <f t="shared" si="37"/>
        <v>0</v>
      </c>
      <c r="J256" s="124"/>
      <c r="K256" s="124"/>
      <c r="L256" s="124"/>
      <c r="M256" s="124"/>
      <c r="N256" s="969"/>
      <c r="O256" s="928" t="str">
        <f t="shared" si="35"/>
        <v>Nov 2025</v>
      </c>
      <c r="P256" s="1403">
        <f t="shared" si="36"/>
        <v>0</v>
      </c>
      <c r="Q256" s="85"/>
      <c r="R256" s="85"/>
      <c r="S256" s="85"/>
    </row>
    <row r="257" spans="1:22" s="46" customFormat="1" ht="13.5" customHeight="1" x14ac:dyDescent="0.25">
      <c r="A257" s="49"/>
      <c r="B257" s="1322" t="str">
        <f>IF(A257="","",B256)</f>
        <v/>
      </c>
      <c r="C257" s="1323"/>
      <c r="D257" s="132"/>
      <c r="E257" s="132"/>
      <c r="F257" s="71"/>
      <c r="G257" s="50">
        <f>IF(N243="",0,F257/N243/4.348)</f>
        <v>0</v>
      </c>
      <c r="I257" s="125">
        <f t="shared" si="37"/>
        <v>0</v>
      </c>
      <c r="J257" s="124"/>
      <c r="K257" s="124"/>
      <c r="L257" s="124"/>
      <c r="M257" s="124"/>
      <c r="N257" s="969"/>
      <c r="O257" s="928" t="str">
        <f t="shared" si="35"/>
        <v>Dez 2025</v>
      </c>
      <c r="P257" s="1403">
        <f t="shared" si="36"/>
        <v>0</v>
      </c>
      <c r="Q257" s="85"/>
      <c r="R257" s="85"/>
      <c r="S257" s="85"/>
    </row>
    <row r="258" spans="1:22" s="46" customFormat="1" ht="13.5" customHeight="1" x14ac:dyDescent="0.25">
      <c r="B258" s="972"/>
      <c r="C258" s="972"/>
      <c r="E258" s="972"/>
      <c r="F258" s="972"/>
      <c r="I258" s="930" t="s">
        <v>730</v>
      </c>
      <c r="J258" s="1052"/>
      <c r="K258" s="1052"/>
      <c r="L258" s="1052"/>
      <c r="M258" s="1052"/>
      <c r="N258" s="971"/>
      <c r="O258" s="126" t="s">
        <v>221</v>
      </c>
      <c r="P258" s="127">
        <f>IF(M251="",0,((IF(SUMIF(B269,"&gt;0"),P246,0))+(IF(SUMIF(B270,"&gt;0"),P247,0))+(IF(SUMIF(B271,"&gt;0"),P248,0))+(IF(SUMIF(B272,"&gt;0"),P249,0))+(IF(SUMIF(B273,"&gt;0"),P250,0))+(IF(SUMIF(B274,"&gt;0"),P251,0))+(IF(SUMIF(B275,"&gt;0"),P252,0))+(IF(SUMIF(B276,"&gt;0"),P253,0))+(IF(SUMIF(B277,"&gt;0"),P254,0))+(IF(SUMIF(B278,"&gt;0"),P255,0))+(IF(SUMIF(B279,"&gt;0"),P256,0))+(IF(SUMIF(B280,"&gt;0"),P257,0)))/Grundlagen!$C$26)</f>
        <v>0</v>
      </c>
      <c r="Q258" s="958" t="str">
        <f>CONCATENATE("BBG"," anteilig ",O260)</f>
        <v>BBG anteilig 2025</v>
      </c>
      <c r="R258" s="931" t="s">
        <v>659</v>
      </c>
      <c r="S258" s="931" t="s">
        <v>398</v>
      </c>
      <c r="T258" s="107"/>
    </row>
    <row r="259" spans="1:22" s="46" customFormat="1" ht="13.5" customHeight="1" x14ac:dyDescent="0.2">
      <c r="A259" s="924" t="s">
        <v>732</v>
      </c>
      <c r="D259" s="55" t="s">
        <v>369</v>
      </c>
      <c r="E259" s="56" t="s">
        <v>368</v>
      </c>
      <c r="F259" s="58"/>
      <c r="J259" s="61"/>
      <c r="Q259" s="932" t="s">
        <v>144</v>
      </c>
      <c r="R259" s="140">
        <f>IF(M248=0,R263,IF(M247="",R263,(SUM(R269:R280)/M251)))</f>
        <v>5175</v>
      </c>
      <c r="S259" s="933">
        <f>IF(M248=0,S263,IF(M247="",S263,SUM(R269:R280)))</f>
        <v>0</v>
      </c>
      <c r="T259" s="107"/>
    </row>
    <row r="260" spans="1:22" s="46" customFormat="1" ht="13.5" customHeight="1" x14ac:dyDescent="0.25">
      <c r="A260" s="60"/>
      <c r="B260" s="1314" t="str">
        <f>IF($B$20="","",$B$20)</f>
        <v>Jahressonderzahlung (JSZ)</v>
      </c>
      <c r="C260" s="1315"/>
      <c r="D260" s="926"/>
      <c r="E260" s="929" t="str">
        <f>IF(A260="","",ROUND((((SUM(B275:B277)+SUM(F275:F277))/3)*D260)/Grundlagen!$C$26*M251,2))</f>
        <v/>
      </c>
      <c r="G260" s="941" t="s">
        <v>733</v>
      </c>
      <c r="H260" s="943"/>
      <c r="I260" s="1316" t="str">
        <f>CONCATENATE(R283,":"," Übergangsbereich von ",R284+0.01," €"," bis ",R285," €")</f>
        <v>2025: Übergangsbereich von 556,01 € bis 2000 €</v>
      </c>
      <c r="J260" s="1317"/>
      <c r="K260" s="1317"/>
      <c r="L260" s="1067"/>
      <c r="M260" s="1067"/>
      <c r="N260" s="1068" t="s">
        <v>736</v>
      </c>
      <c r="O260" s="1069">
        <f>P260+1</f>
        <v>2025</v>
      </c>
      <c r="P260" s="1069" t="s">
        <v>721</v>
      </c>
      <c r="Q260" s="932" t="s">
        <v>145</v>
      </c>
      <c r="R260" s="140">
        <f>IF(M248=0,R264,IF(M247="",R264,(SUM(S269:S280)/M251)))</f>
        <v>7450</v>
      </c>
      <c r="S260" s="933">
        <f>IF(M248=0,S264,IF(M247="",S264,SUM(S269:S280)))</f>
        <v>0</v>
      </c>
      <c r="T260" s="109"/>
    </row>
    <row r="261" spans="1:22" ht="14.25" customHeight="1" x14ac:dyDescent="0.2">
      <c r="A261" s="60"/>
      <c r="B261" s="1314" t="str">
        <f>IF($B$21="","",$B$21)</f>
        <v>Leistungsentgelt (LOB)</v>
      </c>
      <c r="C261" s="1315"/>
      <c r="D261" s="926"/>
      <c r="E261" s="929" t="str">
        <f>IF(A261="","",ROUND(((B281+F281)*D261)/Grundlagen!$C$26*M251,2))</f>
        <v/>
      </c>
      <c r="F261" s="1"/>
      <c r="G261" s="941" t="str">
        <f>IF(OR(H260="",H260="nein")=TRUE,"","Faktor (F):")</f>
        <v/>
      </c>
      <c r="H261" s="949" t="str">
        <f>IF(OR(H260="",H260="nein")=TRUE,"",IF(H260="","",R287))</f>
        <v/>
      </c>
      <c r="I261" s="1318" t="str">
        <f>IF(OR(H260="",H260="nein")=TRUE,"",IF(H261="","",CONCATENATE(S287*100,"%"," / ","(",R286*100,"%"," Gesamt-SV-Beitragssatz 2024)")))</f>
        <v/>
      </c>
      <c r="J261" s="1319"/>
      <c r="K261" s="1319"/>
      <c r="L261" s="1070"/>
      <c r="M261" s="1070"/>
      <c r="N261" s="1071" t="s">
        <v>144</v>
      </c>
      <c r="O261" s="1072">
        <f>'päd.Personal - Leitung'!$O$21</f>
        <v>5175</v>
      </c>
      <c r="P261" s="1072">
        <f>'päd.Personal - Leitung'!$P$21</f>
        <v>5175</v>
      </c>
      <c r="Q261" s="11"/>
      <c r="R261" s="11"/>
      <c r="S261" s="11"/>
      <c r="T261" s="109"/>
    </row>
    <row r="262" spans="1:22" ht="14.25" customHeight="1" x14ac:dyDescent="0.2">
      <c r="A262" s="1"/>
      <c r="B262" s="1"/>
      <c r="C262" s="925" t="s">
        <v>731</v>
      </c>
      <c r="D262" s="1"/>
      <c r="E262" s="1"/>
      <c r="F262" s="1"/>
      <c r="G262" s="1"/>
      <c r="H262" s="1"/>
      <c r="I262" s="1"/>
      <c r="J262" s="1"/>
      <c r="K262" s="1"/>
      <c r="L262" s="1070"/>
      <c r="M262" s="1070"/>
      <c r="N262" s="1071" t="s">
        <v>145</v>
      </c>
      <c r="O262" s="1073">
        <f>'päd.Personal - Leitung'!$O$22</f>
        <v>7450</v>
      </c>
      <c r="P262" s="1073">
        <f>'päd.Personal - Leitung'!$P$22</f>
        <v>7450</v>
      </c>
      <c r="Q262" s="958" t="str">
        <f>CONCATENATE("BBG"," ",O260)</f>
        <v>BBG 2025</v>
      </c>
      <c r="R262" s="11"/>
      <c r="S262" s="11"/>
      <c r="T262" s="109"/>
    </row>
    <row r="263" spans="1:22" ht="14.25" customHeight="1" x14ac:dyDescent="0.2">
      <c r="A263" s="53" t="s">
        <v>141</v>
      </c>
      <c r="B263" s="46"/>
      <c r="C263" s="46"/>
      <c r="D263" s="46"/>
      <c r="E263" s="46"/>
      <c r="F263" s="46"/>
      <c r="G263" s="46"/>
      <c r="H263" s="46"/>
      <c r="I263" s="46"/>
      <c r="J263" s="46"/>
      <c r="K263" s="46"/>
      <c r="L263" s="46"/>
      <c r="M263" s="46"/>
      <c r="N263" s="46"/>
      <c r="O263" s="46"/>
      <c r="P263" s="46"/>
      <c r="Q263" s="932" t="s">
        <v>144</v>
      </c>
      <c r="R263" s="141">
        <f>IF($O$21="",0,$O$21)</f>
        <v>5175</v>
      </c>
      <c r="S263" s="933">
        <f>R263*IF(M251="",0,M251)</f>
        <v>0</v>
      </c>
      <c r="T263" s="295"/>
    </row>
    <row r="264" spans="1:22" ht="14.25" customHeight="1" x14ac:dyDescent="0.2">
      <c r="A264" s="1346"/>
      <c r="B264" s="1348" t="s">
        <v>8</v>
      </c>
      <c r="C264" s="1349"/>
      <c r="D264" s="1349"/>
      <c r="E264" s="1349"/>
      <c r="F264" s="1349"/>
      <c r="G264" s="1350"/>
      <c r="H264" s="1351" t="s">
        <v>113</v>
      </c>
      <c r="I264" s="1352"/>
      <c r="J264" s="1352"/>
      <c r="K264" s="1352"/>
      <c r="L264" s="1352"/>
      <c r="M264" s="1352"/>
      <c r="N264" s="1352"/>
      <c r="O264" s="30"/>
      <c r="P264" s="1330" t="s">
        <v>0</v>
      </c>
      <c r="Q264" s="932" t="s">
        <v>145</v>
      </c>
      <c r="R264" s="141">
        <f>IF($O$22="",0,$O$22)</f>
        <v>7450</v>
      </c>
      <c r="S264" s="933">
        <f>R264*IF(M251="",0,M251)</f>
        <v>0</v>
      </c>
      <c r="T264" s="830"/>
    </row>
    <row r="265" spans="1:22" ht="14.25" customHeight="1" x14ac:dyDescent="0.2">
      <c r="A265" s="1347"/>
      <c r="B265" s="1333" t="s">
        <v>111</v>
      </c>
      <c r="C265" s="1335" t="s">
        <v>743</v>
      </c>
      <c r="D265" s="1337" t="s">
        <v>226</v>
      </c>
      <c r="E265" s="1339" t="s">
        <v>133</v>
      </c>
      <c r="F265" s="1030" t="s">
        <v>6</v>
      </c>
      <c r="G265" s="1340" t="s">
        <v>5</v>
      </c>
      <c r="H265" s="1339" t="s">
        <v>119</v>
      </c>
      <c r="I265" s="1339" t="s">
        <v>4</v>
      </c>
      <c r="J265" s="1339" t="s">
        <v>3</v>
      </c>
      <c r="K265" s="1339" t="s">
        <v>2</v>
      </c>
      <c r="L265" s="1339" t="s">
        <v>114</v>
      </c>
      <c r="M265" s="1339" t="s">
        <v>115</v>
      </c>
      <c r="N265" s="1339" t="s">
        <v>116</v>
      </c>
      <c r="O265" s="1338" t="s">
        <v>109</v>
      </c>
      <c r="P265" s="1331"/>
      <c r="Q265" s="456"/>
      <c r="R265" s="11"/>
      <c r="S265" s="11"/>
      <c r="T265" s="621"/>
    </row>
    <row r="266" spans="1:22" ht="14.25" customHeight="1" x14ac:dyDescent="0.2">
      <c r="A266" s="1347"/>
      <c r="B266" s="1333"/>
      <c r="C266" s="1335"/>
      <c r="D266" s="1338"/>
      <c r="E266" s="1339"/>
      <c r="F266" s="1343" t="str">
        <f>I258</f>
        <v>Zuschläge / Zulagen / o.ä.:</v>
      </c>
      <c r="G266" s="1340"/>
      <c r="H266" s="1342" t="s">
        <v>117</v>
      </c>
      <c r="I266" s="1342"/>
      <c r="J266" s="1342"/>
      <c r="K266" s="1342"/>
      <c r="L266" s="1342"/>
      <c r="M266" s="1342"/>
      <c r="N266" s="1342"/>
      <c r="O266" s="1338"/>
      <c r="P266" s="1331"/>
      <c r="Q266" s="456"/>
      <c r="R266" s="1306" t="str">
        <f>Q258</f>
        <v>BBG anteilig 2025</v>
      </c>
      <c r="S266" s="1306"/>
      <c r="T266" s="829"/>
    </row>
    <row r="267" spans="1:22" ht="14.25" customHeight="1" x14ac:dyDescent="0.2">
      <c r="A267" s="1347"/>
      <c r="B267" s="1333"/>
      <c r="C267" s="1335"/>
      <c r="D267" s="1338"/>
      <c r="E267" s="1339"/>
      <c r="F267" s="1343"/>
      <c r="G267" s="1340"/>
      <c r="H267" s="39" t="str">
        <f>'päd.Personal - Leitung'!$H$27</f>
        <v>(7,30% + Zusatz)</v>
      </c>
      <c r="I267" s="39" t="str">
        <f>'päd.Personal - Leitung'!$I$27</f>
        <v xml:space="preserve"> (2024: 9,30%)</v>
      </c>
      <c r="J267" s="39" t="str">
        <f>'päd.Personal - Leitung'!$J$27</f>
        <v>(2024: 1,30%)</v>
      </c>
      <c r="K267" s="39" t="str">
        <f>'päd.Personal - Leitung'!$K$27</f>
        <v>(2024: 1,700%)</v>
      </c>
      <c r="L267" s="39"/>
      <c r="M267" s="39"/>
      <c r="N267" s="39" t="str">
        <f>'päd.Personal - Leitung'!$N$27</f>
        <v>(2024: 0,06%)</v>
      </c>
      <c r="O267" s="1338"/>
      <c r="P267" s="1331"/>
      <c r="Q267" s="456"/>
      <c r="R267" s="1307" t="s">
        <v>659</v>
      </c>
      <c r="S267" s="1307"/>
      <c r="T267" s="829"/>
      <c r="U267" s="1308" t="s">
        <v>1</v>
      </c>
      <c r="V267" s="1308" t="s">
        <v>741</v>
      </c>
    </row>
    <row r="268" spans="1:22" x14ac:dyDescent="0.2">
      <c r="A268" s="1347"/>
      <c r="B268" s="1334"/>
      <c r="C268" s="1336"/>
      <c r="D268" s="45"/>
      <c r="E268" s="45"/>
      <c r="F268" s="1344"/>
      <c r="G268" s="1341"/>
      <c r="H268" s="74"/>
      <c r="I268" s="99">
        <f>'päd.Personal - Leitung'!$I$28</f>
        <v>0</v>
      </c>
      <c r="J268" s="99">
        <f>'päd.Personal - Leitung'!$J$28</f>
        <v>0</v>
      </c>
      <c r="K268" s="40">
        <f>'päd.Personal - Leitung'!$K$28</f>
        <v>0</v>
      </c>
      <c r="L268" s="19"/>
      <c r="M268" s="19"/>
      <c r="N268" s="99">
        <f>'päd.Personal - Leitung'!$N$28</f>
        <v>0</v>
      </c>
      <c r="O268" s="23"/>
      <c r="P268" s="1332"/>
      <c r="Q268" s="456"/>
      <c r="R268" s="935" t="s">
        <v>144</v>
      </c>
      <c r="S268" s="935" t="s">
        <v>145</v>
      </c>
      <c r="T268" s="829"/>
      <c r="U268" s="1308"/>
      <c r="V268" s="1308"/>
    </row>
    <row r="269" spans="1:22" x14ac:dyDescent="0.2">
      <c r="A269" s="76" t="str">
        <f>CONCATENATE("Jan ",O245)</f>
        <v>Jan 2025</v>
      </c>
      <c r="B269" s="22">
        <f>ROUND(IF(P246=0,0,(LOOKUP(2,1/(A254:A257=A269),G254:G257))*P246*4.348),2)</f>
        <v>0</v>
      </c>
      <c r="C269" s="21">
        <f>ROUND(IFERROR((LOOKUP(2,1/(A260=A269),E260)),0)+IFERROR((LOOKUP(2,1/(A261=A269),E261)),0),2)</f>
        <v>0</v>
      </c>
      <c r="D269" s="21">
        <f>ROUND(IF(B269=0,0,D268/M247*P246),2)</f>
        <v>0</v>
      </c>
      <c r="E269" s="21">
        <f>ROUND(IF(B269=0,0,E268/N243*P246),2)</f>
        <v>0</v>
      </c>
      <c r="F269" s="22">
        <f>ROUND(IF(P246=0,0,(LOOKUP(2,1/(A254:A257=A269),I254:I257))/N243*P246),2)</f>
        <v>0</v>
      </c>
      <c r="G269" s="25">
        <f t="shared" ref="G269:G280" si="38">SUM(B269+C269+E269+F269)</f>
        <v>0</v>
      </c>
      <c r="H269" s="64">
        <f>IF(B269=0,0,IF(AND(H260="ja",((U269)&lt;R285)),ROUND(((R287*R284+((R285/(R285-R284))-(R284/(R285-R284))*R287)*((U269)-R284))*(H268*2))-(((R285/(R285-R284))*((U269)-R284))*H268),2),ROUND(IF((U269)&gt;R269,R269*H268,U269*H268),2)))</f>
        <v>0</v>
      </c>
      <c r="I269" s="64">
        <f>IF(B269=0,0,IF(AND(H260="ja",((U269)&lt;R285)),ROUND(((R287*R284+((R285/(R285-R284))-(R284/(R285-R284))*R287)*((U269)-R284))*(I268*2))-(((R285/(R285-R284))*((U269)-R284))*I268),2),ROUND(IF((U269)&gt;S269,S269*I268,U269*I268),2)))</f>
        <v>0</v>
      </c>
      <c r="J269" s="64">
        <f>IF(B269=0,0,IF(AND(H260="ja",((U269)&lt;R285)),ROUND(((R287*R284+((R285/(R285-R284))-(R284/(R285-R284))*R287)*((U269)-R284))*(J268*2))-(((R285/(R285-R284))*((U269)-R284))*J268),2),ROUND(IF((U269)&gt;S269,S269*J268,U269*J268),2)))</f>
        <v>0</v>
      </c>
      <c r="K269" s="64">
        <f>IF(B269=0,0,IF(AND(H260="ja",((U269)&lt;R285)),ROUND(((R287*R284+((R285/(R285-R284))-(R284/(R285-R284))*R287)*((U269)-R284))*(K268*2))-(((R285/(R285-R284))*((U269)-R284))*K268),2),ROUND(IF((U269)&gt;R269,R269*K268,U269*K268),2)))</f>
        <v>0</v>
      </c>
      <c r="L269" s="64">
        <f>IF(B269=0,0,IF(AND(H260="ja",((U269-C269)&lt;R285)),ROUND(((R287*R284+((R285/(R285-R284))-(R284/(R285-R284))*R287)*((U269-C269)-R284))*(L268)),2),ROUND(IF((SUM(B269:F269))&gt;S269,S269*L268,(SUM(B269:F269)-C269)*L268),2)))</f>
        <v>0</v>
      </c>
      <c r="M269" s="64">
        <f>IF(B269=0,0,IF(AND(H260="ja",((U269-C269)&lt;R285)),ROUND(((R287*R284+((R285/(R285-R284))-(R284/(R285-R284))*R287)*((U269-C269)-R284))*(M268)),2),ROUND(IF((SUM(B269:F269))&gt;S269,S269*M268,(SUM(B269:F269)-C269)*M268),2)))</f>
        <v>0</v>
      </c>
      <c r="N269" s="64">
        <f>IF(B269=0,0,IF(AND(H260="ja",((U269)&lt;R285)),ROUND(((R287*R284+((R285/(R285-R284))-(R284/(R285-R284))*R287)*((U269)-R284))*(N268)),2),ROUND(IF((SUM(B269:F269))&gt;S269,S269*N268,SUM(B269:F269)*N268),2)))</f>
        <v>0</v>
      </c>
      <c r="O269" s="21">
        <f>ROUND(SUM(B269+C269+F269)*O268,2)</f>
        <v>0</v>
      </c>
      <c r="P269" s="25">
        <f>SUM(G269:O269)</f>
        <v>0</v>
      </c>
      <c r="Q269" s="456"/>
      <c r="R269" s="140">
        <f>ROUND(IF(M247="",R263,R263/M247*P246),2)</f>
        <v>5175</v>
      </c>
      <c r="S269" s="140">
        <f>ROUND(IF(M247="",R264,R264/M247*P246),2)</f>
        <v>7450</v>
      </c>
      <c r="U269" s="950">
        <f>SUM(B269:F269)</f>
        <v>0</v>
      </c>
      <c r="V269" s="950">
        <f>SUM(B269:F269)</f>
        <v>0</v>
      </c>
    </row>
    <row r="270" spans="1:22" x14ac:dyDescent="0.2">
      <c r="A270" s="76" t="str">
        <f>CONCATENATE("Feb ",O245)</f>
        <v>Feb 2025</v>
      </c>
      <c r="B270" s="22">
        <f>ROUND(IF(P247=0,0,IFERROR(((LOOKUP(2,1/(A254:A257=A270),G254:G257))*P247*4.348),B269/P246*P247)),2)</f>
        <v>0</v>
      </c>
      <c r="C270" s="21">
        <f>ROUND(IFERROR((LOOKUP(2,1/(A260=A270),E260)),0)+IFERROR((LOOKUP(2,1/(A261=A270),E261)),0),2)</f>
        <v>0</v>
      </c>
      <c r="D270" s="21">
        <f>ROUND(IF(B270=0,0,D268/M247*P247),2)</f>
        <v>0</v>
      </c>
      <c r="E270" s="21">
        <f>ROUND(IF(B270=0,0,E268/N243*P247),2)</f>
        <v>0</v>
      </c>
      <c r="F270" s="22">
        <f>ROUND(IF(P247=0,0,IFERROR(((LOOKUP(2,1/(A254:A257=A270),I254:I257))/N243*P247),F269/P246*P247)),2)</f>
        <v>0</v>
      </c>
      <c r="G270" s="25">
        <f t="shared" si="38"/>
        <v>0</v>
      </c>
      <c r="H270" s="64">
        <f>IF(B270=0,0,IF(AND(H260="ja",((U270)&lt;R285)),ROUND(((R287*R284+((R285/(R285-R284))-(R284/(R285-R284))*R287)*((U270)-R284))*(H268*2))-(((R285/(R285-R284))*((U270)-R284))*H268),2),ROUND(IF(U269&lt;(R269),IF((V270)&gt;(SUM(R269:R270)),(((SUM(R269:R270))-(V270-C269))*H268)+((U270-C269)*H268),U270*H268),IF(V270&gt;(SUM(R269:R270)),R270*H268,U270*H268)),2)))</f>
        <v>0</v>
      </c>
      <c r="I270" s="64">
        <f>IF(B270=0,0,IF(AND(H260="ja",((U270)&lt;R285)),ROUND(((R287*R284+((R285/(R285-R284))-(R284/(R285-R284))*R287)*((U270)-R284))*(I268*2))-(((R285/(R285-R284))*((U270)-R284))*I268),2),ROUND(IF(U269&lt;(S269),IF((V270)&gt;(SUM(S269:S270)),(((SUM(S269:S270))-(V270-C269))*I268)+((U270-C269)*I268),U270*I268),IF(V270&gt;(SUM(S269:S270)),S270*I268,U270*I268)),2)))</f>
        <v>0</v>
      </c>
      <c r="J270" s="64">
        <f>IF(B270=0,0,IF(AND(H260="ja",((U270)&lt;R285)),ROUND(((R287*R284+((R285/(R285-R284))-(R284/(R285-R284))*R287)*((U270)-R284))*(J268*2))-(((R285/(R285-R284))*((U270)-R284))*J268),2),ROUND(IF(U269&lt;(S269),IF((V270)&gt;(SUM(S269:S270)),(((SUM(S269:S270))-(V270-C269))*J268)+((U270-C269)*J268),U270*J268),IF(V270&gt;(SUM(S269:S270)),S270*J268,U270*J268)),2)))</f>
        <v>0</v>
      </c>
      <c r="K270" s="64">
        <f>IF(B270=0,0,IF(AND(H260="ja",((U270)&lt;R285)),ROUND(((R287*R284+((R285/(R285-R284))-(R284/(R285-R284))*R287)*((U270)-R284))*(K268*2))-(((R285/(R285-R284))*((U270)-R284))*K268),2),ROUND(IF(U269&lt;(R269),IF((V270)&gt;(SUM(R269:R270)),(((SUM(R269:R270))-(V270-C269))*K268)+((U270-C269)*K268),U270*K268),IF(V270&gt;(SUM(R269:R270)),R270*K268,U270*K268)),2)))</f>
        <v>0</v>
      </c>
      <c r="L270" s="64">
        <f>IF(B270=0,0,IF(AND(H260="ja",((U270-C270)&lt;R285)),ROUND(((R287*R284+((R285/(R285-R284))-(R284/(R285-R284))*R287)*((U270-C270)-R284))*(L268)),2),ROUND(IF(SUM(B269:F269)&lt;(S269),IF((SUM(B269:F270))&gt;(SUM(S269:S270)),(((SUM(S269:S270))-(SUM(B269:F270)-C270))*L268)+((SUM(B270:F270)-C270)*L268),(SUM(B270:F270)-C270)*L268),IF(SUM(B269:F270)&gt;(SUM(S269:S270)),S270*L268,SUM(B270:F270)*L268)),2)))</f>
        <v>0</v>
      </c>
      <c r="M270" s="64">
        <f>IF(B270=0,0,IF(AND(H260="ja",((U270-C270)&lt;R285)),ROUND(((R287*R284+((R285/(R285-R284))-(R284/(R285-R284))*R287)*((U270-C270)-R284))*(M268)),2),ROUND(IF(SUM(B269:F269)&lt;(S269),IF((SUM(B269:F270))&gt;(SUM(S269:S270)),(((SUM(S269:S270))-(SUM(B269:F270)-C270))*M268)+((SUM(B270:F270)-C270)*M268),(SUM(B270:F270)-C270)*M268),IF(SUM(B269:F270)&gt;(SUM(S269:S270)),S270*M268,SUM(B270:F270)*M268)),2)))</f>
        <v>0</v>
      </c>
      <c r="N270" s="64">
        <f>IF(B270=0,0,IF(AND(H260="ja",((U270)&lt;R285)),ROUND(((R287*R284+((R285/(R285-R284))-(R284/(R285-R284))*R287)*((U270)-R284))*(N268)),2),ROUND(IF(SUM(B269:F269)&lt;(S269),IF((SUM(B269:F270))&gt;(SUM(S269:S270)),(((SUM(S269:S270))-(SUM(B269:F270)-C269))*N268)+((SUM(B270:F270)-C269)*N268),SUM(B270:F270)*N268),IF(SUM(B269:F270)&gt;(SUM(S269:S270)),S270*N268,SUM(B270:F270)*N268)),2)))</f>
        <v>0</v>
      </c>
      <c r="O270" s="21">
        <f>ROUND(SUM(B270+C270+F270)*O268,2)</f>
        <v>0</v>
      </c>
      <c r="P270" s="25">
        <f t="shared" ref="P270:P280" si="39">SUM(G270:O270)</f>
        <v>0</v>
      </c>
      <c r="Q270" s="456"/>
      <c r="R270" s="140">
        <f>ROUND(IF(M247="",R263,R263/M247*P247),2)</f>
        <v>5175</v>
      </c>
      <c r="S270" s="140">
        <f>ROUND(IF(M247="",R264,R264/M247*P247),2)</f>
        <v>7450</v>
      </c>
      <c r="U270" s="950">
        <f t="shared" ref="U270:U280" si="40">SUM(B270:F270)</f>
        <v>0</v>
      </c>
      <c r="V270" s="950">
        <f>SUM(B269:F270)</f>
        <v>0</v>
      </c>
    </row>
    <row r="271" spans="1:22" x14ac:dyDescent="0.2">
      <c r="A271" s="76" t="str">
        <f>CONCATENATE("Mrz ",O245)</f>
        <v>Mrz 2025</v>
      </c>
      <c r="B271" s="22">
        <f>ROUND(IF(P248=0,0,IFERROR(((LOOKUP(2,1/(A254:A257=A271),G254:G257))*P248*4.348),B270/P247*P248)),2)</f>
        <v>0</v>
      </c>
      <c r="C271" s="21">
        <f>ROUND(IFERROR((LOOKUP(2,1/(A260=A271),E260)),0)+IFERROR((LOOKUP(2,1/(A261=A271),E261)),0),2)</f>
        <v>0</v>
      </c>
      <c r="D271" s="21">
        <f>ROUND(IF(B271=0,0,D268/M247*P248),2)</f>
        <v>0</v>
      </c>
      <c r="E271" s="21">
        <f>ROUND(IF(B271=0,0,E268/N243*P248),2)</f>
        <v>0</v>
      </c>
      <c r="F271" s="22">
        <f>ROUND(IF(P248=0,0,IFERROR(((LOOKUP(2,1/(A254:A257=A271),I254:I257))/N243*P248),F270/P247*P248)),2)</f>
        <v>0</v>
      </c>
      <c r="G271" s="25">
        <f t="shared" si="38"/>
        <v>0</v>
      </c>
      <c r="H271" s="64">
        <f>IF(B271=0,0,IF(AND(H260="ja",((U271)&lt;R285)),ROUND(((R287*R284+((R285/(R285-R284))-(R284/(R285-R284))*R287)*((U271)-R284))*(H268*2))-(((R285/(R285-R284))*((U271)-R284))*H268),2),ROUND(IF(V270&lt;(SUM(R269:R270)),IF((V271)&gt;(SUM(R269:R271)),(((SUM(R269:R271))-(V271-C270))*H268)+((U271-C270)*H268),U271*H268),IF(V271&gt;(SUM(R269:R271)),R271*H268,U271*H268)),2)))</f>
        <v>0</v>
      </c>
      <c r="I271" s="64">
        <f>IF(B271=0,0,IF(AND(H260="ja",((U271)&lt;R285)),ROUND(((R287*R284+((R285/(R285-R284))-(R284/(R285-R284))*R287)*((U271)-R284))*(I268*2))-(((R285/(R285-R284))*((U271)-R284))*I268),2),ROUND(IF(V270&lt;(SUM(S269:S270)),IF((V271)&gt;(SUM(S269:S271)),(((SUM(S269:S271))-(V271-C270))*I268)+((U271-C270)*I268),U271*I268),IF(V271&gt;(SUM(S269:S271)),S271*I268,U271*I268)),2)))</f>
        <v>0</v>
      </c>
      <c r="J271" s="64">
        <f>IF(B271=0,0,IF(AND(H260="ja",((U271)&lt;R285)),ROUND(((R287*R284+((R285/(R285-R284))-(R284/(R285-R284))*R287)*((U271)-R284))*(J268*2))-(((R285/(R285-R284))*((U271)-R284))*J268),2),ROUND(IF(V270&lt;(SUM(S269:S270)),IF((V271)&gt;(SUM(S269:S271)),(((SUM(S269:S271))-(V271-C270))*J268)+((U271-C270)*J268),U271*J268),IF(V271&gt;(SUM(S269:S271)),S271*J268,U271*J268)),2)))</f>
        <v>0</v>
      </c>
      <c r="K271" s="64">
        <f>IF(B271=0,0,IF(AND(H260="ja",((U271)&lt;R285)),ROUND(((R287*R284+((R285/(R285-R284))-(R284/(R285-R284))*R287)*((U271)-R284))*(K268*2))-(((R285/(R285-R284))*((U271)-R284))*K268),2),ROUND(IF(V270&lt;(SUM(R269:R270)),IF((V271)&gt;(SUM(R269:R271)),(((SUM(R269:R271))-(V271-C270))*K268)+((U271-C270)*K268),U271*K268),IF(V271&gt;(SUM(R269:R271)),R271*K268,U271*K268)),2)))</f>
        <v>0</v>
      </c>
      <c r="L271" s="64">
        <f>IF(B271=0,0,IF(AND(H260="ja",((U271-C271)&lt;R285)),ROUND(((R287*R284+((R285/(R285-R284))-(R284/(R285-R284))*R287)*((U271-C271)-R284))*(L268)),2),ROUND(IF(SUM(B269:F270)&lt;(SUM(S269:S270)),IF((SUM(B269:F271))&gt;(SUM(S269:S271)),(((SUM(S269:S271))-(SUM(B269:F271)-C271))*L268)+((SUM(B271:F271)-C271)*L268),(SUM(B271:F271)-C271)*L268),IF(SUM(B269:F271)&gt;(SUM(S269:S271)),S271*L268,SUM(B271:F271)*L268)),2)))</f>
        <v>0</v>
      </c>
      <c r="M271" s="64">
        <f>IF(B271=0,0,IF(AND(H260="ja",((U271-C271)&lt;R285)),ROUND(((R287*R284+((R285/(R285-R284))-(R284/(R285-R284))*R287)*((U271-C271)-R284))*(M268)),2),ROUND(IF(SUM(B269:F270)&lt;(SUM(S269:S270)),IF((SUM(B269:F271))&gt;(SUM(S269:S271)),(((SUM(S269:S271))-(SUM(B269:F271)-C271))*M268)+((SUM(B271:F271)-C271)*M268),(SUM(B271:F271)-C271)*M268),IF(SUM(B269:F271)&gt;(SUM(S269:S271)),S271*M268,SUM(B271:F271)*M268)),2)))</f>
        <v>0</v>
      </c>
      <c r="N271" s="64">
        <f>IF(B271=0,0,IF(AND(H260="ja",((U271)&lt;R285)),ROUND(((R287*R284+((R285/(R285-R284))-(R284/(R285-R284))*R287)*((U271)-R284))*(N268)),2),ROUND(IF(SUM(B269:F270)&lt;(SUM(S269:S270)),IF((SUM(B269:F271))&gt;(SUM(S269:S271)),(((SUM(S269:S271))-(SUM(B269:F271)-C270))*N268)+((SUM(B271:F271)-C270)*N268),SUM(B271:F271)*N268),IF(SUM(B269:F271)&gt;(SUM(S269:S271)),S271*N268,SUM(B271:F271)*N268)),2)))</f>
        <v>0</v>
      </c>
      <c r="O271" s="21">
        <f>ROUND(SUM(B271+C271+F271)*O268,2)</f>
        <v>0</v>
      </c>
      <c r="P271" s="25">
        <f t="shared" si="39"/>
        <v>0</v>
      </c>
      <c r="Q271" s="456"/>
      <c r="R271" s="140">
        <f>ROUND(IF(M247="",R263,R263/M247*P248),2)</f>
        <v>5175</v>
      </c>
      <c r="S271" s="140">
        <f>ROUND(IF(M247="",R264,R264/M247*P248),2)</f>
        <v>7450</v>
      </c>
      <c r="U271" s="950">
        <f t="shared" si="40"/>
        <v>0</v>
      </c>
      <c r="V271" s="950">
        <f>SUM(B269:F271)</f>
        <v>0</v>
      </c>
    </row>
    <row r="272" spans="1:22" x14ac:dyDescent="0.2">
      <c r="A272" s="76" t="str">
        <f>CONCATENATE("Apr ",O245)</f>
        <v>Apr 2025</v>
      </c>
      <c r="B272" s="22">
        <f>ROUND(IF(P249=0,0,IFERROR(((LOOKUP(2,1/(A254:A257=A272),G254:G257))*P249*4.348),B271/P248*P249)),2)</f>
        <v>0</v>
      </c>
      <c r="C272" s="21">
        <f>ROUND(IFERROR((LOOKUP(2,1/(A260=A272),E260)),0)+IFERROR((LOOKUP(2,1/(A261=A272),E261)),0),2)</f>
        <v>0</v>
      </c>
      <c r="D272" s="21">
        <f>ROUND(IF(B272=0,0,D268/M247*P249),2)</f>
        <v>0</v>
      </c>
      <c r="E272" s="21">
        <f>ROUND(IF(B272=0,0,E268/N243*P249),2)</f>
        <v>0</v>
      </c>
      <c r="F272" s="22">
        <f>ROUND(IF(P249=0,0,IFERROR(((LOOKUP(2,1/(A254:A257=A272),I254:I257))/N243*P249),F271/P248*P249)),2)</f>
        <v>0</v>
      </c>
      <c r="G272" s="25">
        <f t="shared" si="38"/>
        <v>0</v>
      </c>
      <c r="H272" s="64">
        <f>IF(B272=0,0,IF(AND(H260="ja",((U272)&lt;R285)),ROUND(((R287*R284+((R285/(R285-R284))-(R284/(R285-R284))*R287)*((U272)-R284))*(H268*2))-(((R285/(R285-R284))*((U272)-R284))*H268),2),ROUND(IF(V271&lt;(SUM(R269:R271)),IF((V272)&gt;(SUM(R269:R272)),(((SUM(R269:R272))-(V272-C271))*H268)+((U272-C271)*H268),U272*H268),IF(V272&gt;(SUM(R269:R272)),R272*H268,U272*H268)),2)))</f>
        <v>0</v>
      </c>
      <c r="I272" s="64">
        <f>IF(B272=0,0,IF(AND(H260="ja",((U272)&lt;R285)),ROUND(((R287*R284+((R285/(R285-R284))-(R284/(R285-R284))*R287)*((U272)-R284))*(I268*2))-(((R285/(R285-R284))*((U272)-R284))*I268),2),ROUND(IF(V271&lt;(SUM(S269:S271)),IF((V272)&gt;(SUM(S269:S272)),(((SUM(S269:S272))-(V272-C271))*I268)+((U272-C271)*I268),U272*I268),IF(V272&gt;(SUM(S269:S272)),S272*I268,U272*I268)),2)))</f>
        <v>0</v>
      </c>
      <c r="J272" s="64">
        <f>IF(B272=0,0,IF(AND(H260="ja",((U272)&lt;R285)),ROUND(((R287*R284+((R285/(R285-R284))-(R284/(R285-R284))*R287)*((U272)-R284))*(J268*2))-(((R285/(R285-R284))*((U272)-R284))*J268),2),ROUND(IF(U271&lt;(SUM(S269:S271)),IF((V272)&gt;(SUM(S269:S272)),(((SUM(S269:S272))-(V272-C271))*J268)+((U272-C271)*J268),U272*J268),IF(V272&gt;(SUM(S269:S272)),S272*J268,U272*J268)),2)))</f>
        <v>0</v>
      </c>
      <c r="K272" s="64">
        <f>IF(B272=0,0,IF(AND(H260="ja",((U272)&lt;R285)),ROUND(((R287*R284+((R285/(R285-R284))-(R284/(R285-R284))*R287)*((U272)-R284))*(K268*2))-(((R285/(R285-R284))*((U272)-R284))*K268),2),ROUND(IF(V271&lt;(SUM(R269:R271)),IF((V272)&gt;(SUM(R269:R272)),(((SUM(R269:R272))-(V272-C271))*K268)+((U272-C271)*K268),U272*K268),IF(V272&gt;(SUM(R269:R272)),R272*K268,U272*K268)),2)))</f>
        <v>0</v>
      </c>
      <c r="L272" s="64">
        <f>IF(B272=0,0,IF(AND(H260="ja",((U272-C272)&lt;R285)),ROUND(((R287*R284+((R285/(R285-R284))-(R284/(R285-R284))*R287)*((U272-C272)-R284))*(L268)),2),ROUND(IF(SUM(B269:F271)&lt;(SUM(S269:S271)),IF((SUM(B269:F272))&gt;(SUM(S269:S272)),(((SUM(S269:S272))-(SUM(B269:F272)-C272))*L268)+((SUM(B272:F272)-C272)*L268),(SUM(B272:F272)-C272)*L268),IF(SUM(B269:F272)&gt;(SUM(S269:S272)),S272*L268,SUM(B272:F272)*L268)),2)))</f>
        <v>0</v>
      </c>
      <c r="M272" s="64">
        <f>IF(B272=0,0,IF(AND(H260="ja",((U272-C272)&lt;R285)),ROUND(((R287*R284+((R285/(R285-R284))-(R284/(R285-R284))*R287)*((U272-C272)-R284))*(M268)),2),ROUND(IF(SUM(B269:F271)&lt;(SUM(S269:S271)),IF((SUM(B269:F272))&gt;(SUM(S269:S272)),(((SUM(S269:S272))-(SUM(B269:F272)-C272))*M268)+((SUM(B272:F272)-C272)*M268),(SUM(B272:F272)-C272)*M268),IF(SUM(B269:F272)&gt;(SUM(S269:S272)),S272*M268,SUM(B272:F272)*M268)),2)))</f>
        <v>0</v>
      </c>
      <c r="N272" s="64">
        <f>IF(B272=0,0,IF(AND(H260="ja",((U272)&lt;R285)),ROUND(((R287*R284+((R285/(R285-R284))-(R284/(R285-R284))*R287)*((U272)-R284))*(N268)),2),ROUND(IF(SUM(B269:F271)&lt;(SUM(S269:S271)),IF((SUM(B269:F272))&gt;(SUM(S269:S272)),(((SUM(S269:S272))-(SUM(B269:F272)-C271))*N268)+((SUM(B272:F272)-C271)*N268),SUM(B272:F272)*N268),IF(SUM(B269:F272)&gt;(SUM(S269:S272)),S272*N268,SUM(B272:F272)*N268)),2)))</f>
        <v>0</v>
      </c>
      <c r="O272" s="21">
        <f>ROUND(SUM(B272+C272+F272)*O268,2)</f>
        <v>0</v>
      </c>
      <c r="P272" s="25">
        <f t="shared" si="39"/>
        <v>0</v>
      </c>
      <c r="Q272" s="456"/>
      <c r="R272" s="140">
        <f>ROUND(IF(M247="",R263,R263/M247*P249),2)</f>
        <v>5175</v>
      </c>
      <c r="S272" s="140">
        <f>ROUND(IF(M247="",R264,R264/M247*P249),2)</f>
        <v>7450</v>
      </c>
      <c r="U272" s="950">
        <f t="shared" si="40"/>
        <v>0</v>
      </c>
      <c r="V272" s="950">
        <f>SUM(B269:F272)</f>
        <v>0</v>
      </c>
    </row>
    <row r="273" spans="1:24" x14ac:dyDescent="0.2">
      <c r="A273" s="76" t="str">
        <f>CONCATENATE("Mai ",O245)</f>
        <v>Mai 2025</v>
      </c>
      <c r="B273" s="22">
        <f>ROUND(IF(P250=0,0,IFERROR(((LOOKUP(2,1/(A254:A257=A273),G254:G257))*P250*4.348),B272/P249*P250)),2)</f>
        <v>0</v>
      </c>
      <c r="C273" s="21">
        <f>ROUND(IFERROR((LOOKUP(2,1/(A260=A273),E260)),0)+IFERROR((LOOKUP(2,1/(A261=A273),E261)),0),2)</f>
        <v>0</v>
      </c>
      <c r="D273" s="21">
        <f>ROUND(IF(B273=0,0,D268/M247*P250),2)</f>
        <v>0</v>
      </c>
      <c r="E273" s="21">
        <f>ROUND(IF(B273=0,0,E268/N243*P250),2)</f>
        <v>0</v>
      </c>
      <c r="F273" s="22">
        <f>ROUND(IF(P250=0,0,IFERROR(((LOOKUP(2,1/(A254:A257=A273),I254:I257))/N243*P250),F272/P249*P250)),2)</f>
        <v>0</v>
      </c>
      <c r="G273" s="25">
        <f t="shared" si="38"/>
        <v>0</v>
      </c>
      <c r="H273" s="64">
        <f>IF(B273=0,0,IF(AND(H260="ja",((U273)&lt;R285)),ROUND(((R287*R284+((R285/(R285-R284))-(R284/(R285-R284))*R287)*((U273)-R284))*(H268*2))-(((R285/(R285-R284))*((U273)-R284))*H268),2),ROUND(IF(V272&lt;(SUM(R269:R272)),IF((V273)&gt;(SUM(R269:R273)),(((SUM(R269:R273))-(V273-C272))*H268)+((U273-C272)*H268),U273*H268),IF(V273&gt;(SUM(R269:R273)),R273*H268,U273*H268)),2)))</f>
        <v>0</v>
      </c>
      <c r="I273" s="64">
        <f>IF(B273=0,0,IF(AND(H260="ja",((U273)&lt;R285)),ROUND(((R287*R284+((R285/(R285-R284))-(R284/(R285-R284))*R287)*((U273)-R284))*(I268*2))-(((R285/(R285-R284))*((U273)-R284))*I268),2),ROUND(IF(V272&lt;(SUM(S269:S272)),IF((V273)&gt;(SUM(S269:S273)),(((SUM(S269:S273))-(V273-C272))*I268)+((U273-C272)*I268),U273*I268),IF(V273&gt;(SUM(S269:S273)),S273*I268,U273*I268)),2)))</f>
        <v>0</v>
      </c>
      <c r="J273" s="64">
        <f>IF(B273=0,0,IF(AND(H260="ja",((U273)&lt;R285)),ROUND(((R287*R284+((R285/(R285-R284))-(R284/(R285-R284))*R287)*((U273)-R284))*(J268*2))-(((R285/(R285-R284))*((U273)-R284))*J268),2),ROUND(IF(V272&lt;(SUM(S269:S272)),IF((V273)&gt;(SUM(S269:S273)),(((SUM(S269:S273))-(V273-C272))*J268)+((U273-C272)*J268),U273*J268),IF(V273&gt;(SUM(S269:S273)),S273*J268,U273*J268)),2)))</f>
        <v>0</v>
      </c>
      <c r="K273" s="64">
        <f>IF(B273=0,0,IF(AND(H260="ja",((U273)&lt;R285)),ROUND(((R287*R284+((R285/(R285-R284))-(R284/(R285-R284))*R287)*((U273)-R284))*(K268*2))-(((R285/(R285-R284))*((U273)-R284))*K268),2),ROUND(IF(V272&lt;(SUM(R269:R272)),IF((V273)&gt;(SUM(R269:R273)),(((SUM(R269:R273))-(V273-C272))*K268)+((U273-C272)*K268),U273*K268),IF(V273&gt;(SUM(R269:R273)),R273*K268,U273*K268)),2)))</f>
        <v>0</v>
      </c>
      <c r="L273" s="64">
        <f>IF(B273=0,0,IF(AND(H260="ja",((U273-C273)&lt;R285)),ROUND(((R287*R284+((R285/(R285-R284))-(R284/(R285-R284))*R287)*((U273-C273)-R284))*(L268)),2),ROUND(IF(SUM(B269:F272)&lt;(SUM(S269:S272)),IF((SUM(B269:F273))&gt;(SUM(S269:S273)),(((SUM(S269:S273))-(SUM(B269:F273)-C273))*L268)+((SUM(B273:F273)-C273)*L268),(SUM(B273:F273)-C273)*L268),IF(SUM(B269:F273)&gt;(SUM(S269:S273)),S273*L268,SUM(B273:F273)*L268)),2)))</f>
        <v>0</v>
      </c>
      <c r="M273" s="64">
        <f>IF(B273=0,0,IF(AND(H260="ja",((U273-C273)&lt;R285)),ROUND(((R287*R284+((R285/(R285-R284))-(R284/(R285-R284))*R287)*((U273-C273)-R284))*(M268)),2),ROUND(IF(SUM(B269:F272)&lt;(SUM(S269:S272)),IF((SUM(B269:F273))&gt;(SUM(S269:S273)),(((SUM(S269:S273))-(SUM(B269:F273)-C273))*M268)+((SUM(B273:F273)-C273)*M268),(SUM(B273:F273)-C273)*M268),IF(SUM(B269:F273)&gt;(SUM(S269:S273)),S273*M268,SUM(B273:F273)*M268)),2)))</f>
        <v>0</v>
      </c>
      <c r="N273" s="64">
        <f>IF(B273=0,0,IF(AND(H260="ja",((U273)&lt;R285)),ROUND(((R287*R284+((R285/(R285-R284))-(R284/(R285-R284))*R287)*((U273)-R284))*(N268)),2),ROUND(IF(SUM(B269:F272)&lt;(SUM(S269:S272)),IF((SUM(B269:F273))&gt;(SUM(S269:S273)),(((SUM(S269:S273))-(SUM(B269:F273)-C272))*N268)+((SUM(B273:F273)-C272)*N268),SUM(B273:F273)*N268),IF(SUM(B269:F273)&gt;(SUM(S269:S273)),S273*N268,SUM(B273:F273)*N268)),2)))</f>
        <v>0</v>
      </c>
      <c r="O273" s="21">
        <f>ROUND(SUM(B273+C273+F273)*O268,2)</f>
        <v>0</v>
      </c>
      <c r="P273" s="25">
        <f t="shared" si="39"/>
        <v>0</v>
      </c>
      <c r="Q273" s="456"/>
      <c r="R273" s="140">
        <f>ROUND(IF(M247="",R263,R263/M247*P250),2)</f>
        <v>5175</v>
      </c>
      <c r="S273" s="140">
        <f>ROUND(IF(M247="",R264,R264/M247*P250),2)</f>
        <v>7450</v>
      </c>
      <c r="U273" s="950">
        <f t="shared" si="40"/>
        <v>0</v>
      </c>
      <c r="V273" s="950">
        <f>SUM(B269:F273)</f>
        <v>0</v>
      </c>
    </row>
    <row r="274" spans="1:24" x14ac:dyDescent="0.2">
      <c r="A274" s="76" t="str">
        <f>CONCATENATE("Jun ",O245)</f>
        <v>Jun 2025</v>
      </c>
      <c r="B274" s="22">
        <f>ROUND(IF(P251=0,0,IFERROR(((LOOKUP(2,1/(A254:A257=A274),G254:G257))*P251*4.348),B273/P250*P251)),2)</f>
        <v>0</v>
      </c>
      <c r="C274" s="21">
        <f>ROUND(IFERROR((LOOKUP(2,1/(A260=A274),E260)),0)+IFERROR((LOOKUP(2,1/(A261=A274),E261)),0),2)</f>
        <v>0</v>
      </c>
      <c r="D274" s="21">
        <f>ROUND(IF(B274=0,0,D268/M247*P251),2)</f>
        <v>0</v>
      </c>
      <c r="E274" s="21">
        <f>ROUND(IF(B274=0,0,E268/N243*P251),2)</f>
        <v>0</v>
      </c>
      <c r="F274" s="22">
        <f>ROUND(IF(P251=0,0,IFERROR(((LOOKUP(2,1/(A254:A257=A274),I254:I257))/N243*P251),F273/P250*P251)),2)</f>
        <v>0</v>
      </c>
      <c r="G274" s="25">
        <f t="shared" si="38"/>
        <v>0</v>
      </c>
      <c r="H274" s="64">
        <f>IF(B274=0,0,IF(AND(H260="ja",((U274)&lt;R285)),ROUND(((R287*R284+((R285/(R285-R284))-(R284/(R285-R284))*R287)*((U274)-R284))*(H268*2))-(((R285/(R285-R284))*((U274)-R284))*H268),2),ROUND(IF(V273&lt;(SUM(R269:R273)),IF((V274)&gt;(SUM(R269:R274)),(((SUM(R269:R274))-(V274-C273))*H268)+((U274-C273)*H268),U274*H268),IF(V274&gt;(SUM(R269:R274)),R274*H268,U274*H268)),2)))</f>
        <v>0</v>
      </c>
      <c r="I274" s="64">
        <f>IF(B274=0,0,IF(AND(H260="ja",((U274)&lt;R285)),ROUND(((R287*R284+((R285/(R285-R284))-(R284/(R285-R284))*R287)*((U274)-R284))*(I268*2))-(((R285/(R285-R284))*((U274)-R284))*I268),2),ROUND(IF(V273&lt;(SUM(S269:S273)),IF((V274)&gt;(SUM(S269:S274)),(((SUM(S269:S274))-(V274-C273))*I268)+((U274-C273)*I268),U274*I268),IF(V274&gt;(SUM(S269:S274)),S274*I268,U274*I268)),2)))</f>
        <v>0</v>
      </c>
      <c r="J274" s="64">
        <f>IF(B274=0,0,IF(AND(H260="ja",((U274)&lt;R285)),ROUND(((R287*R284+((R285/(R285-R284))-(R284/(R285-R284))*R287)*((U274)-R284))*(J268*2))-(((R285/(R285-R284))*((U274)-R284))*J268),2),ROUND(IF(V273&lt;(SUM(S269:S273)),IF((V274)&gt;(SUM(S269:S274)),(((SUM(S269:S274))-(V274-C273))*J268)+((U274-C273)*J268),U274*J268),IF(V274&gt;(SUM(S269:S274)),S274*J268,U274*J268)),2)))</f>
        <v>0</v>
      </c>
      <c r="K274" s="64">
        <f>IF(B274=0,0,IF(AND(H260="ja",((U274)&lt;R285)),ROUND(((R287*R284+((R285/(R285-R284))-(R284/(R285-R284))*R287)*((U274)-R284))*(K268*2))-(((R285/(R285-R284))*((U274)-R284))*K268),2),ROUND(IF(V273&lt;(SUM(R269:R273)),IF((V274)&gt;(SUM(R269:R274)),(((SUM(R269:R274))-(V274-C273))*K268)+((U274-C273)*K268),U274*K268),IF(V274&gt;(SUM(R269:R274)),R274*K268,U274*K268)),2)))</f>
        <v>0</v>
      </c>
      <c r="L274" s="64">
        <f>IF(B274=0,0,IF(AND(H260="ja",((U274-C274)&lt;R285)),ROUND(((R287*R284+((R285/(R285-R284))-(R284/(R285-R284))*R287)*((U274-C274)-R284))*(L268)),2),ROUND(IF(SUM(B269:F273)&lt;(SUM(S269:S273)),IF((SUM(B269:F274))&gt;(SUM(S269:S274)),(((SUM(S269:S274))-(SUM(B269:F274)-C274))*L268)+((SUM(B274:F274)-C274)*L268),(SUM(B274:F274)-C274)*L268),IF(SUM(B269:F274)&gt;(SUM(S269:S274)),S274*L268,SUM(B274:F274)*L268)),2)))</f>
        <v>0</v>
      </c>
      <c r="M274" s="64">
        <f>IF(B274=0,0,IF(AND(H260="ja",((U274-C274)&lt;R285)),ROUND(((R287*R284+((R285/(R285-R284))-(R284/(R285-R284))*R287)*((U274-C274)-R284))*(M268)),2),ROUND(IF(SUM(B269:F273)&lt;(SUM(S269:S273)),IF((SUM(B269:F274))&gt;(SUM(S269:S274)),(((SUM(S269:S274))-(SUM(B269:F274)-C274))*M268)+((SUM(B274:F274)-C274)*M268),(SUM(B274:F274)-C274)*M268),IF(SUM(B269:F274)&gt;(SUM(S269:S274)),S274*M268,SUM(B274:F274)*M268)),2)))</f>
        <v>0</v>
      </c>
      <c r="N274" s="64">
        <f>IF(B274=0,0,IF(AND(H260="ja",((U274)&lt;R285)),ROUND(((R287*R284+((R285/(R285-R284))-(R284/(R285-R284))*R287)*((U274)-R284))*(N268)),2),ROUND(IF(SUM(B269:F273)&lt;(SUM(S269:S273)),IF((SUM(B269:F274))&gt;(SUM(S269:S274)),(((SUM(S269:S274))-(SUM(B269:F274)-C273))*N268)+((SUM(B274:F274)-C273)*N268),SUM(B274:F274)*N268),IF(SUM(B269:F274)&gt;(SUM(S269:S274)),S274*N268,SUM(B274:F274)*N268)),2)))</f>
        <v>0</v>
      </c>
      <c r="O274" s="21">
        <f>ROUND(SUM(B274+C274+F274)*O268,2)</f>
        <v>0</v>
      </c>
      <c r="P274" s="25">
        <f t="shared" si="39"/>
        <v>0</v>
      </c>
      <c r="Q274" s="456"/>
      <c r="R274" s="140">
        <f>ROUND(IF(M247="",R263,R263/M247*P251),2)</f>
        <v>5175</v>
      </c>
      <c r="S274" s="140">
        <f>ROUND(IF(M247="",R264,R264/M247*P251),2)</f>
        <v>7450</v>
      </c>
      <c r="U274" s="950">
        <f t="shared" si="40"/>
        <v>0</v>
      </c>
      <c r="V274" s="950">
        <f>SUM(B269:F274)</f>
        <v>0</v>
      </c>
    </row>
    <row r="275" spans="1:24" x14ac:dyDescent="0.2">
      <c r="A275" s="76" t="str">
        <f>CONCATENATE("Jul ",O245)</f>
        <v>Jul 2025</v>
      </c>
      <c r="B275" s="22">
        <f>ROUND(IF(P252=0,0,IFERROR(((LOOKUP(2,1/(A254:A257=A275),G254:G257))*P252*4.348),B274/P251*P252)),2)</f>
        <v>0</v>
      </c>
      <c r="C275" s="21">
        <f>ROUND(IFERROR((LOOKUP(2,1/(A260=A275),E260)),0)+IFERROR((LOOKUP(2,1/(A261=A275),E261)),0),2)</f>
        <v>0</v>
      </c>
      <c r="D275" s="21">
        <f>ROUND(IF(B275=0,0,D268/M247*P252),2)</f>
        <v>0</v>
      </c>
      <c r="E275" s="21">
        <f>ROUND(IF(B275=0,0,E268/N243*P252),2)</f>
        <v>0</v>
      </c>
      <c r="F275" s="22">
        <f>ROUND(IF(P252=0,0,IFERROR(((LOOKUP(2,1/(A254:A257=A275),I254:I257))/N243*P252),F274/P251*P252)),2)</f>
        <v>0</v>
      </c>
      <c r="G275" s="25">
        <f t="shared" si="38"/>
        <v>0</v>
      </c>
      <c r="H275" s="64">
        <f>IF(B275=0,0,IF(AND(H260="ja",((U275)&lt;R285)),ROUND(((R287*R284+((R285/(R285-R284))-(R284/(R285-R284))*R287)*((U275)-R284))*(H268*2))-(((R285/(R285-R284))*((U275)-R284))*H268),2),ROUND(IF(V274&lt;(SUM(R269:R274)),IF((V275)&gt;(SUM(R269:R275)),(((SUM(R269:R275))-(V275-C274))*H268)+((U275-C274)*H268),U275*H268),IF(V275&gt;(SUM(R269:R275)),R275*H268,U275*H268)),2)))</f>
        <v>0</v>
      </c>
      <c r="I275" s="64">
        <f>IF(B275=0,0,IF(AND(H260="ja",((U275)&lt;R285)),ROUND(((R287*R284+((R285/(R285-R284))-(R284/(R285-R284))*R287)*((U275)-R284))*(I268*2))-(((R285/(R285-R284))*((U275)-R284))*I268),2),ROUND(IF(V274&lt;(SUM(S269:S274)),IF((V275)&gt;(SUM(S269:S275)),(((SUM(S269:S275))-(V275-C274))*I268)+((U275-C274)*I268),U275*I268),IF(V275&gt;(SUM(S269:S275)),S275*I268,U275*I268)),2)))</f>
        <v>0</v>
      </c>
      <c r="J275" s="64">
        <f>IF(B275=0,0,IF(AND(H260="ja",((U275)&lt;R285)),ROUND(((R287*R284+((R285/(R285-R284))-(R284/(R285-R284))*R287)*((U275)-R284))*(J268*2))-(((R285/(R285-R284))*((U275)-R284))*J268),2),ROUND(IF(V274&lt;(SUM(S269:S274)),IF((V275)&gt;(SUM(S269:S275)),(((SUM(S269:S275))-(V275-C274))*J268)+((U275-C274)*J268),U275*J268),IF(V275&gt;(SUM(S269:S275)),S275*J268,U275*J268)),2)))</f>
        <v>0</v>
      </c>
      <c r="K275" s="64">
        <f>IF(B275=0,0,IF(AND(H260="ja",((U275)&lt;R285)),ROUND(((R287*R284+((R285/(R285-R284))-(R284/(R285-R284))*R287)*((U275)-R284))*(K268*2))-(((R285/(R285-R284))*((U275)-R284))*K268),2),ROUND(IF(V274&lt;(SUM(R269:R274)),IF((V275)&gt;(SUM(R269:R275)),(((SUM(R269:R275))-(V275-C274))*K268)+((U275-C274)*K268),U275*K268),IF(V275&gt;(SUM(R269:R275)),R275*K268,U275*K268)),2)))</f>
        <v>0</v>
      </c>
      <c r="L275" s="64">
        <f>IF(B275=0,0,IF(AND(H260="ja",((U275-C275)&lt;R285)),ROUND(((R287*R284+((R285/(R285-R284))-(R284/(R285-R284))*R287)*((U275-C275)-R284))*(L268)),2),ROUND(IF(SUM(B269:F274)&lt;(SUM(S269:S274)),IF((SUM(B269:F275))&gt;(SUM(S269:S275)),(((SUM(S269:S275))-(SUM(B269:F275)-C275))*L268)+((SUM(B275:F275)-C275)*L268),(SUM(B275:F275)-C275)*L268),IF(SUM(B269:F275)&gt;(SUM(S269:S275)),S275*L268,SUM(B275:F275)*L268)),2)))</f>
        <v>0</v>
      </c>
      <c r="M275" s="64">
        <f>IF(B275=0,0,IF(AND(H260="ja",((U275-C275)&lt;R285)),ROUND(((R287*R284+((R285/(R285-R284))-(R284/(R285-R284))*R287)*((U275-C275)-R284))*(M268)),2),ROUND(IF(SUM(B269:F274)&lt;(SUM(S269:S274)),IF((SUM(B269:F275))&gt;(SUM(S269:S275)),(((SUM(S269:S275))-(SUM(B269:F275)-C275))*M268)+((SUM(B275:F275)-C275)*M268),(SUM(B275:F275)-C275)*M268),IF(SUM(B269:F275)&gt;(SUM(S269:S275)),S275*M268,SUM(B275:F275)*M268)),2)))</f>
        <v>0</v>
      </c>
      <c r="N275" s="64">
        <f>IF(B275=0,0,IF(AND(H260="ja",((U275)&lt;R285)),ROUND(((R287*R284+((R285/(R285-R284))-(R284/(R285-R284))*R287)*((U275)-R284))*(N268)),2),ROUND(IF(SUM(B269:F274)&lt;(SUM(S269:S274)),IF((SUM(B269:F275))&gt;(SUM(S269:S275)),(((SUM(S269:S275))-(SUM(B269:F275)-C274))*N268)+((SUM(B275:F275)-C274)*N268),SUM(B275:F275)*N268),IF(SUM(B269:F275)&gt;(SUM(S269:S275)),S275*N268,SUM(B275:F275)*N268)),2)))</f>
        <v>0</v>
      </c>
      <c r="O275" s="21">
        <f>ROUND(SUM(B275+C275+F275)*O268,2)</f>
        <v>0</v>
      </c>
      <c r="P275" s="25">
        <f t="shared" si="39"/>
        <v>0</v>
      </c>
      <c r="Q275" s="456"/>
      <c r="R275" s="140">
        <f>ROUND(IF(M247="",R263,R263/M247*P252),2)</f>
        <v>5175</v>
      </c>
      <c r="S275" s="140">
        <f>ROUND(IF(M247="",R264,R264/M247*P252),2)</f>
        <v>7450</v>
      </c>
      <c r="U275" s="950">
        <f t="shared" si="40"/>
        <v>0</v>
      </c>
      <c r="V275" s="950">
        <f>SUM(B269:F275)</f>
        <v>0</v>
      </c>
    </row>
    <row r="276" spans="1:24" x14ac:dyDescent="0.2">
      <c r="A276" s="76" t="str">
        <f>CONCATENATE("Aug ",O245)</f>
        <v>Aug 2025</v>
      </c>
      <c r="B276" s="22">
        <f>ROUND(IF(P253=0,0,IFERROR(((LOOKUP(2,1/(A254:A257=A276),G254:G257))*P253*4.348),B275/P252*P253)),2)</f>
        <v>0</v>
      </c>
      <c r="C276" s="21">
        <f>ROUND(IFERROR((LOOKUP(2,1/(A260=A276),E260)),0)+IFERROR((LOOKUP(2,1/(A261=A276),E261)),0),2)</f>
        <v>0</v>
      </c>
      <c r="D276" s="21">
        <f>ROUND(IF(B276=0,0,D268/M247*P253),2)</f>
        <v>0</v>
      </c>
      <c r="E276" s="21">
        <f>ROUND(IF(B276=0,0,E268/N243*P253),2)</f>
        <v>0</v>
      </c>
      <c r="F276" s="22">
        <f>ROUND(IF(P253=0,0,IFERROR(((LOOKUP(2,1/(A254:A257=A276),I254:I257))/N243*P253),F275/P252*P253)),2)</f>
        <v>0</v>
      </c>
      <c r="G276" s="25">
        <f t="shared" si="38"/>
        <v>0</v>
      </c>
      <c r="H276" s="64">
        <f>IF(B276=0,0,IF(AND(H260="ja",((U276)&lt;R285)),ROUND(((R287*R284+((R285/(R285-R284))-(R284/(R285-R284))*R287)*((U276)-R284))*(H268*2))-(((R285/(R285-R284))*((U276)-R284))*H268),2),ROUND(IF(V275&lt;(SUM(R269:R275)),IF((V276)&gt;(SUM(R269:R276)),(((SUM(R269:R276))-(V276-C275))*H268)+((U276-C275)*H268),U276*H268),IF(V276&gt;(SUM(R269:R276)),R276*H268,U276*H268)),2)))</f>
        <v>0</v>
      </c>
      <c r="I276" s="64">
        <f>IF(B276=0,0,IF(AND(H260="ja",((U276)&lt;R285)),ROUND(((R287*R284+((R285/(R285-R284))-(R284/(R285-R284))*R287)*((U276)-R284))*(I268*2))-(((R285/(R285-R284))*((U276)-R284))*I268),2),ROUND(IF(V275&lt;(SUM(S269:S275)),IF((V276)&gt;(SUM(S269:S276)),(((SUM(S269:S276))-(V276-C275))*I268)+((U276-C275)*I268),U276*I268),IF(V276&gt;(SUM(S269:S276)),S276*I268,U276*I268)),2)))</f>
        <v>0</v>
      </c>
      <c r="J276" s="64">
        <f>IF(B276=0,0,IF(AND(H260="ja",((U276)&lt;R285)),ROUND(((R287*R284+((R285/(R285-R284))-(R284/(R285-R284))*R287)*((U276)-R284))*(J268*2))-(((R285/(R285-R284))*((U276)-R284))*J268),2),ROUND(IF(V275&lt;(SUM(S269:S275)),IF((V276)&gt;(SUM(S269:S276)),(((SUM(S269:S276))-(V276-C275))*J268)+((U276-C275)*J268),U276*J268),IF(V276&gt;(SUM(S269:S276)),S276*J268,U276*J268)),2)))</f>
        <v>0</v>
      </c>
      <c r="K276" s="64">
        <f>IF(B276=0,0,IF(AND(H260="ja",((U276)&lt;R285)),ROUND(((R287*R284+((R285/(R285-R284))-(R284/(R285-R284))*R287)*((U276)-R284))*(K268*2))-(((R285/(R285-R284))*((U276)-R284))*K268),2),ROUND(IF(V275&lt;(SUM(R269:R275)),IF((V276)&gt;(SUM(R269:R276)),(((SUM(R269:R276))-(V276-C275))*K268)+((U276-C275)*K268),U276*K268),IF(V276&gt;(SUM(R269:R276)),R276*K268,U276*K268)),2)))</f>
        <v>0</v>
      </c>
      <c r="L276" s="64">
        <f>IF(B276=0,0,IF(AND(H260="ja",((U276-C276)&lt;R285)),ROUND(((R287*R284+((R285/(R285-R284))-(R284/(R285-R284))*R287)*((U276-C276)-R284))*(L268)),2),ROUND(IF(SUM(B269:F275)&lt;(SUM(S269:S275)),IF((SUM(B269:F276))&gt;(SUM(S269:S276)),(((SUM(S269:S276))-(SUM(B269:F276)-C276))*L268)+((SUM(B276:F276)-C276)*L268),(SUM(B276:F276)-C276)*L268),IF(SUM(B269:F276)&gt;(SUM(S269:S276)),S276*L268,SUM(B276:F276)*L268)),2)))</f>
        <v>0</v>
      </c>
      <c r="M276" s="64">
        <f>IF(B276=0,0,IF(AND(H260="ja",((U276-C276)&lt;R285)),ROUND(((R287*R284+((R285/(R285-R284))-(R284/(R285-R284))*R287)*((U276-C276)-R284))*(M268)),2),ROUND(IF(SUM(B269:F275)&lt;(SUM(S269:S275)),IF((SUM(B269:F276))&gt;(SUM(S269:S276)),(((SUM(S269:S276))-(SUM(B269:F276)-C276))*M268)+((SUM(B276:F276)-C276)*M268),(SUM(B276:F276)-C276)*M268),IF(SUM(B269:F276)&gt;(SUM(S269:S276)),S276*M268,SUM(B276:F276)*M268)),2)))</f>
        <v>0</v>
      </c>
      <c r="N276" s="64">
        <f>IF(B276=0,0,IF(AND(H260="ja",((U276)&lt;R285)),ROUND(((R287*R284+((R285/(R285-R284))-(R284/(R285-R284))*R287)*((U276)-R284))*(N268)),2),ROUND(IF(SUM(B269:F275)&lt;(SUM(S269:S275)),IF((SUM(B269:F276))&gt;(SUM(S269:S276)),(((SUM(S269:S276))-(SUM(B269:F276)-C275))*N268)+((SUM(B276:F276)-C275)*N268),SUM(B276:F276)*N268),IF(SUM(B269:F276)&gt;(SUM(S269:S276)),S276*N268,SUM(B276:F276)*N268)),2)))</f>
        <v>0</v>
      </c>
      <c r="O276" s="21">
        <f>ROUND(SUM(B276+C276+F276)*O268,2)</f>
        <v>0</v>
      </c>
      <c r="P276" s="25">
        <f t="shared" si="39"/>
        <v>0</v>
      </c>
      <c r="Q276" s="456"/>
      <c r="R276" s="140">
        <f>ROUND(IF(M247="",R263,R263/M247*P253),2)</f>
        <v>5175</v>
      </c>
      <c r="S276" s="140">
        <f>ROUND(IF(M247="",R264,R264/M247*P253),2)</f>
        <v>7450</v>
      </c>
      <c r="U276" s="950">
        <f t="shared" si="40"/>
        <v>0</v>
      </c>
      <c r="V276" s="950">
        <f>SUM(B269:F276)</f>
        <v>0</v>
      </c>
    </row>
    <row r="277" spans="1:24" x14ac:dyDescent="0.2">
      <c r="A277" s="76" t="str">
        <f>CONCATENATE("Sep ",O245)</f>
        <v>Sep 2025</v>
      </c>
      <c r="B277" s="22">
        <f>ROUND(IF(P254=0,0,IFERROR(((LOOKUP(2,1/(A254:A257=A277),G254:G257))*P254*4.348),B276/P253*P254)),2)</f>
        <v>0</v>
      </c>
      <c r="C277" s="21">
        <f>ROUND(IFERROR((LOOKUP(2,1/(A260=A277),E260)),0)+IFERROR((LOOKUP(2,1/(A261=A277),E261)),0),2)</f>
        <v>0</v>
      </c>
      <c r="D277" s="21">
        <f>ROUND(IF(B277=0,0,D268/M247*P254),2)</f>
        <v>0</v>
      </c>
      <c r="E277" s="21">
        <f>ROUND(IF(B277=0,0,E268/N243*P254),2)</f>
        <v>0</v>
      </c>
      <c r="F277" s="22">
        <f>ROUND(IF(P254=0,0,IFERROR(((LOOKUP(2,1/(A254:A257=A277),I254:I257))/N243*P254),F276/P253*P254)),2)</f>
        <v>0</v>
      </c>
      <c r="G277" s="25">
        <f t="shared" si="38"/>
        <v>0</v>
      </c>
      <c r="H277" s="64">
        <f>IF(B277=0,0,IF(AND(H260="ja",((U277)&lt;R285)),ROUND(((R287*R284+((R285/(R285-R284))-(R284/(R285-R284))*R287)*((U277)-R284))*(H268*2))-(((R285/(R285-R284))*((U277)-R284))*H268),2),ROUND(IF(V276&lt;(SUM(R269:R276)),IF((V277)&gt;(SUM(R269:R277)),(((SUM(R269:R277))-(V277-C276))*H268)+((U277-C276)*H268),U277*H268),IF(V277&gt;(SUM(R269:R277)),R277*H268,U277*H268)),2)))</f>
        <v>0</v>
      </c>
      <c r="I277" s="64">
        <f>IF(B277=0,0,IF(AND(H260="ja",((U277)&lt;R285)),ROUND(((R287*R284+((R285/(R285-R284))-(R284/(R285-R284))*R287)*((U277)-R284))*(I268*2))-(((R285/(R285-R284))*((U277)-R284))*I268),2),ROUND(IF(V276&lt;(SUM(S269:S276)),IF((V277)&gt;(SUM(S269:S277)),(((SUM(S269:S277))-(V277-C276))*I268)+((U277-C276)*I268),U277*I268),IF(V277&gt;(SUM(S269:S277)),S277*I268,U277*I268)),2)))</f>
        <v>0</v>
      </c>
      <c r="J277" s="64">
        <f>IF(B277=0,0,IF(AND(H260="ja",((U277)&lt;R285)),ROUND(((R287*R284+((R285/(R285-R284))-(R284/(R285-R284))*R287)*((U277)-R284))*(J268*2))-(((R285/(R285-R284))*((U277)-R284))*J268),2),ROUND(IF(V276&lt;(SUM(S269:S276)),IF((V277)&gt;(SUM(S269:S277)),(((SUM(S269:S277))-(V277-C276))*J268)+((U277-C276)*J268),U277*J268),IF(V277&gt;(SUM(S269:S277)),S277*J268,U277*J268)),2)))</f>
        <v>0</v>
      </c>
      <c r="K277" s="64">
        <f>IF(B277=0,0,IF(AND(H260="ja",((U277)&lt;R285)),ROUND(((R287*R284+((R285/(R285-R284))-(R284/(R285-R284))*R287)*((U277)-R284))*(K268*2))-(((R285/(R285-R284))*((U277)-R284))*K268),2),ROUND(IF(V276&lt;(SUM(R269:R276)),IF((V277)&gt;(SUM(R269:R277)),(((SUM(R269:R277))-(V277-C276))*K268)+((U277-C276)*K268),U277*K268),IF(V277&gt;(SUM(R269:R277)),R277*K268,U277*K268)),2)))</f>
        <v>0</v>
      </c>
      <c r="L277" s="64">
        <f>IF(B277=0,0,IF(AND(H260="ja",((U277-C277)&lt;R285)),ROUND(((R287*R284+((R285/(R285-R284))-(R284/(R285-R284))*R287)*((U277-C277)-R284))*(L268)),2),ROUND(IF(SUM(B269:F276)&lt;(SUM(S269:S276)),IF((SUM(B269:F277))&gt;(SUM(S269:S277)),(((SUM(S269:S277))-(SUM(B269:F277)-C277))*L268)+((SUM(B277:F277)-C277)*L268),(SUM(B277:F277)-C277)*L268),IF(SUM(B269:F277)&gt;(SUM(S269:S277)),S277*L268,SUM(B277:F277)*L268)),2)))</f>
        <v>0</v>
      </c>
      <c r="M277" s="64">
        <f>IF(B277=0,0,IF(AND(H260="ja",((U277-C277)&lt;R285)),ROUND(((R287*R284+((R285/(R285-R284))-(R284/(R285-R284))*R287)*((U277-C277)-R284))*(M268)),2),ROUND(IF(SUM(B269:F276)&lt;(SUM(S269:S276)),IF((SUM(B269:F277))&gt;(SUM(S269:S277)),(((SUM(S269:S277))-(SUM(B269:F277)-C277))*M268)+((SUM(B277:F277)-C277)*M268),(SUM(B277:F277)-C277)*M268),IF(SUM(B269:F277)&gt;(SUM(S269:S277)),S277*M268,SUM(B277:F277)*M268)),2)))</f>
        <v>0</v>
      </c>
      <c r="N277" s="64">
        <f>IF(B277=0,0,IF(AND(H260="ja",((U277)&lt;R285)),ROUND(((R287*R284+((R285/(R285-R284))-(R284/(R285-R284))*R287)*((U277)-R284))*(N268)),2),ROUND(IF(SUM(B269:F276)&lt;(SUM(S269:S276)),IF((SUM(B269:F277))&gt;(SUM(S269:S277)),(((SUM(S269:S277))-(SUM(B269:F277)-C276))*N268)+((SUM(B277:F277)-C276)*N268),SUM(B277:F277)*N268),IF(SUM(B269:F277)&gt;(SUM(S269:S277)),S277*N268,SUM(B277:F277)*N268)),2)))</f>
        <v>0</v>
      </c>
      <c r="O277" s="21">
        <f>ROUND(SUM(B277+C277+F277)*O268,2)</f>
        <v>0</v>
      </c>
      <c r="P277" s="25">
        <f t="shared" si="39"/>
        <v>0</v>
      </c>
      <c r="Q277" s="456"/>
      <c r="R277" s="140">
        <f>ROUND(IF(M247="",R263,R263/M247*P254),2)</f>
        <v>5175</v>
      </c>
      <c r="S277" s="140">
        <f>ROUND(IF(M247="",R264,R264/M247*P254),2)</f>
        <v>7450</v>
      </c>
      <c r="U277" s="950">
        <f t="shared" si="40"/>
        <v>0</v>
      </c>
      <c r="V277" s="950">
        <f>SUM(B269:F277)</f>
        <v>0</v>
      </c>
    </row>
    <row r="278" spans="1:24" s="12" customFormat="1" ht="15" x14ac:dyDescent="0.25">
      <c r="A278" s="76" t="str">
        <f>CONCATENATE("Okt ",O245)</f>
        <v>Okt 2025</v>
      </c>
      <c r="B278" s="22">
        <f>ROUND(IF(P255=0,0,IFERROR(((LOOKUP(2,1/(A254:A257=A278),G254:G257))*P255*4.348),B277/P254*P255)),2)</f>
        <v>0</v>
      </c>
      <c r="C278" s="21">
        <f>ROUND(IFERROR((LOOKUP(2,1/(A260=A278),E260)),0)+IFERROR((LOOKUP(2,1/(A261=A278),E261)),0),2)</f>
        <v>0</v>
      </c>
      <c r="D278" s="21">
        <f>ROUND(IF(B278=0,0,D268/M247*P255),2)</f>
        <v>0</v>
      </c>
      <c r="E278" s="21">
        <f>ROUND(IF(B278=0,0,E268/N243*P255),2)</f>
        <v>0</v>
      </c>
      <c r="F278" s="22">
        <f>ROUND(IF(P255=0,0,IFERROR(((LOOKUP(2,1/(A254:A257=A278),I254:I257))/N243*P255),F277/P254*P255)),2)</f>
        <v>0</v>
      </c>
      <c r="G278" s="25">
        <f t="shared" si="38"/>
        <v>0</v>
      </c>
      <c r="H278" s="64">
        <f>IF(B278=0,0,IF(AND(H260="ja",((U278)&lt;R285)),ROUND(((R287*R284+((R285/(R285-R284))-(R284/(R285-R284))*R287)*((U278)-R284))*(H268*2))-(((R285/(R285-R284))*((U278)-R284))*H268),2),ROUND(IF(V277&lt;(SUM(R269:R277)),IF((V278)&gt;(SUM(R269:R278)),(((SUM(R269:R278))-(V278-C277))*H268)+((U278-C277)*H268),U278*H268),IF(V278&gt;(SUM(R269:R278)),R278*H268,U278*H268)),2)))</f>
        <v>0</v>
      </c>
      <c r="I278" s="64">
        <f>IF(B278=0,0,IF(AND(H260="ja",((U278)&lt;R285)),ROUND(((R287*R284+((R285/(R285-R284))-(R284/(R285-R284))*R287)*((U278)-R284))*(I268*2))-(((R285/(R285-R284))*((U278)-R284))*I268),2),ROUND(IF(V277&lt;(SUM(S269:S277)),IF((V278)&gt;(SUM(S269:S278)),(((SUM(S269:S278))-(V278-C277))*I268)+((U278-C277)*I268),U278*I268),IF(V278&gt;(SUM(S269:S278)),S278*I268,U278*I268)),2)))</f>
        <v>0</v>
      </c>
      <c r="J278" s="64">
        <f>IF(B278=0,0,IF(AND(H260="ja",((U278)&lt;R285)),ROUND(((R287*R284+((R285/(R285-R284))-(R284/(R285-R284))*R287)*((U278)-R284))*(J268*2))-(((R285/(R285-R284))*((U278)-R284))*J268),2),ROUND(IF(V277&lt;(SUM(S269:S277)),IF((V278)&gt;(SUM(S269:S278)),(((SUM(S269:S278))-(V278-C277))*J268)+((U278-C277)*J268),U278*J268),IF(V278&gt;(SUM(S269:S278)),S278*J268,U278*J268)),2)))</f>
        <v>0</v>
      </c>
      <c r="K278" s="64">
        <f>IF(B278=0,0,IF(AND(H260="ja",((U278)&lt;R285)),ROUND(((R287*R284+((R285/(R285-R284))-(R284/(R285-R284))*R287)*((U278)-R284))*(K268*2))-(((R285/(R285-R284))*((U278)-R284))*K268),2),ROUND(IF(V277&lt;(SUM(R269:R277)),IF((V278)&gt;(SUM(R269:R278)),(((SUM(R269:R278))-(V278-C277))*K268)+((U278-C277)*K268),U278*K268),IF(V278&gt;(SUM(R269:R278)),R278*K268,U278*K268)),2)))</f>
        <v>0</v>
      </c>
      <c r="L278" s="64">
        <f>IF(B278=0,0,IF(AND(H260="ja",((U278-C278)&lt;R285)),ROUND(((R287*R284+((R285/(R285-R284))-(R284/(R285-R284))*R287)*((U278-C278)-R284))*(L268)),2),ROUND(IF(SUM(B269:F277)&lt;(SUM(S269:S277)),IF((SUM(B269:F278))&gt;(SUM(S269:S278)),(((SUM(S269:S278))-(SUM(B269:F278)-C278))*L268)+((SUM(B278:F278)-C278)*L268),(SUM(B278:F278)-C278)*L268),IF(SUM(B269:F278)&gt;(SUM(S269:S278)),S278*L268,SUM(B278:F278)*L268)),2)))</f>
        <v>0</v>
      </c>
      <c r="M278" s="64">
        <f>IF(B278=0,0,IF(AND(H260="ja",((U278-C278)&lt;R285)),ROUND(((R287*R284+((R285/(R285-R284))-(R284/(R285-R284))*R287)*((U278-C278)-R284))*(M268)),2),ROUND(IF(SUM(B269:F277)&lt;(SUM(S269:S277)),IF((SUM(B269:F278))&gt;(SUM(S269:S278)),(((SUM(S269:S278))-(SUM(B269:F278)-C278))*M268)+((SUM(B278:F278)-C278)*M268),(SUM(B278:F278)-C278)*M268),IF(SUM(B269:F278)&gt;(SUM(S269:S278)),S278*M268,SUM(B278:F278)*M268)),2)))</f>
        <v>0</v>
      </c>
      <c r="N278" s="64">
        <f>IF(B278=0,0,IF(AND(H260="ja",((U278)&lt;R285)),ROUND(((R287*R284+((R285/(R285-R284))-(R284/(R285-R284))*R287)*((U278)-R284))*(N268)),2),ROUND(IF(SUM(B269:F277)&lt;(SUM(S269:S277)),IF((SUM(B269:F278))&gt;(SUM(S269:S278)),(((SUM(S269:S278))-(SUM(B269:F278)-C277))*N268)+((SUM(B278:F278)-C277)*N268),SUM(B278:F278)*N268),IF(SUM(B269:F278)&gt;(SUM(S269:S278)),S278*N268,SUM(B278:F278)*N268)),2)))</f>
        <v>0</v>
      </c>
      <c r="O278" s="21">
        <f>ROUND(SUM(B278+C278+F278)*O268,2)</f>
        <v>0</v>
      </c>
      <c r="P278" s="25">
        <f t="shared" si="39"/>
        <v>0</v>
      </c>
      <c r="Q278" s="936"/>
      <c r="R278" s="140">
        <f>ROUND(IF(M247="",R263,R263/M247*P255),2)</f>
        <v>5175</v>
      </c>
      <c r="S278" s="140">
        <f>ROUND(IF(M247="",R264,R264/M247*P255),2)</f>
        <v>7450</v>
      </c>
      <c r="U278" s="950">
        <f t="shared" si="40"/>
        <v>0</v>
      </c>
      <c r="V278" s="950">
        <f>SUM(B269:F278)</f>
        <v>0</v>
      </c>
      <c r="X278" s="1"/>
    </row>
    <row r="279" spans="1:24" s="11" customFormat="1" x14ac:dyDescent="0.2">
      <c r="A279" s="76" t="str">
        <f>CONCATENATE("Nov ",O245)</f>
        <v>Nov 2025</v>
      </c>
      <c r="B279" s="22">
        <f>ROUND(IF(P256=0,0,IFERROR(((LOOKUP(2,1/(A254:A257=A279),G254:G257))*P256*4.348),B278/P255*P256)),2)</f>
        <v>0</v>
      </c>
      <c r="C279" s="21">
        <f>ROUND(IFERROR((LOOKUP(2,1/(A260=A279),E260)),0)+(IFERROR((LOOKUP(2,1/(A261=A279),E261)),0)),2)</f>
        <v>0</v>
      </c>
      <c r="D279" s="21">
        <f>ROUND(IF(B279=0,0,D268/M247*P256),2)</f>
        <v>0</v>
      </c>
      <c r="E279" s="21">
        <f>ROUND(IF(B279=0,0,E268/N243*P256),2)</f>
        <v>0</v>
      </c>
      <c r="F279" s="22">
        <f>ROUND(IF(P256=0,0,IFERROR(((LOOKUP(2,1/(A254:A257=A279),I254:I257))/N243*P256),F278/P255*P256)),2)</f>
        <v>0</v>
      </c>
      <c r="G279" s="25">
        <f t="shared" si="38"/>
        <v>0</v>
      </c>
      <c r="H279" s="64">
        <f>IF(B279=0,0,IF(AND(H260="ja",((U279)&lt;R285)),ROUND(((R287*R284+((R285/(R285-R284))-(R284/(R285-R284))*R287)*((U279)-R284))*(H268*2))-(((R285/(R285-R284))*((U279)-R284))*H268),2),ROUND(IF(V278&lt;(SUM(R269:R278)),IF((V279)&gt;(SUM(R269:R279)),(((SUM(R269:R279))-(V279-C278))*H268)+((U279-C278)*H268),U279*H268),IF(V279&gt;(SUM(R269:R279)),R279*H268,U279*H268)),2)))</f>
        <v>0</v>
      </c>
      <c r="I279" s="64">
        <f>IF(B279=0,0,IF(AND(H260="ja",((U279)&lt;R285)),ROUND(((R287*R284+((R285/(R285-R284))-(R284/(R285-R284))*R287)*((U279)-R284))*(I268*2))-(((R285/(R285-R284))*((U279)-R284))*I268),2),ROUND(IF(V278&lt;(SUM(S269:S278)),IF((V279)&gt;(SUM(S269:S279)),(((SUM(S269:S279))-(V279-C278))*I268)+((U279-C278)*I268),U279*I268),IF(V279&gt;(SUM(S269:S279)),S279*I268,U279*I268)),2)))</f>
        <v>0</v>
      </c>
      <c r="J279" s="64">
        <f>IF(B279=0,0,IF(AND(H260="ja",((U279)&lt;R285)),ROUND(((R287*R284+((R285/(R285-R284))-(R284/(R285-R284))*R287)*((U279)-R284))*(J268*2))-(((R285/(R285-R284))*((U279)-R284))*J268),2),ROUND(IF(V278&lt;(SUM(S269:S278)),IF((V279)&gt;(SUM(S269:S279)),(((SUM(S269:S279))-(V279-C278))*J268)+((U279-C278)*J268),U279*J268),IF(V279&gt;(SUM(S269:S279)),S279*J268,U279*J268)),2)))</f>
        <v>0</v>
      </c>
      <c r="K279" s="64">
        <f>IF(B279=0,0,IF(AND(H260="ja",((U279)&lt;R285)),ROUND(((R287*R284+((R285/(R285-R284))-(R284/(R285-R284))*R287)*((U279)-R284))*(K268*2))-(((R285/(R285-R284))*((U279)-R284))*K268),2),ROUND(IF(V278&lt;(SUM(R269:R278)),IF((V279)&gt;(SUM(R269:R279)),(((SUM(R269:R279))-(V279-C278))*K268)+((U279-C278)*K268),U279*K268),IF(V279&gt;(SUM(R269:R279)),R279*K268,U279*K268)),2)))</f>
        <v>0</v>
      </c>
      <c r="L279" s="64">
        <f>IF(B279=0,0,IF(AND(H260="ja",((U279-C279)&lt;R285)),ROUND(((R287*R284+((R285/(R285-R284))-(R284/(R285-R284))*R287)*((U279-C279)-R284))*(L268)),2),ROUND(IF(SUM(B269:F278)&lt;(SUM(S269:S278)),IF((SUM(B269:F279))&gt;(SUM(S269:S279)),(((SUM(S269:S279))-(SUM(B269:F279)-C279))*L268)+((SUM(B279:F279)-C279)*L268),(SUM(B279:F279)-C279)*L268),IF(SUM(B269:F279)&gt;(SUM(S269:S279)),S279*L268,SUM(B279:F279)*L268)),2)))</f>
        <v>0</v>
      </c>
      <c r="M279" s="64">
        <f>IF(B279=0,0,IF(AND(H260="ja",((U279-C279)&lt;R285)),ROUND(((R287*R284+((R285/(R285-R284))-(R284/(R285-R284))*R287)*((U279-C279)-R284))*(M268)),2),ROUND(IF(SUM(B269:F278)&lt;(SUM(S269:S278)),IF((SUM(B269:F279))&gt;(SUM(S269:S279)),(((SUM(S269:S279))-(SUM(B269:F279)-C279))*M268)+((SUM(B279:F279)-C279)*M268),(SUM(B279:F279)-C279)*M268),IF(SUM(B269:F279)&gt;(SUM(S269:S279)),S279*M268,SUM(B279:F279)*M268)),2)))</f>
        <v>0</v>
      </c>
      <c r="N279" s="64">
        <f>IF(B279=0,0,IF(AND(H260="ja",((U279)&lt;R285)),ROUND(((R287*R284+((R285/(R285-R284))-(R284/(R285-R284))*R287)*((U279)-R284))*(N268)),2),ROUND(IF(SUM(B269:F278)&lt;(SUM(S269:S278)),IF((SUM(B269:F279))&gt;(SUM(S269:S279)),(((SUM(S269:S279))-(SUM(B269:F279)-C278))*N268)+((SUM(B279:F279)-C278)*N268),SUM(B279:F279)*N268),IF(SUM(B269:F279)&gt;(SUM(S269:S279)),S279*N268,SUM(B279:F279)*N268)),2)))</f>
        <v>0</v>
      </c>
      <c r="O279" s="21">
        <f>ROUND(SUM(B279+C279+F279)*O268,2)</f>
        <v>0</v>
      </c>
      <c r="P279" s="25">
        <f t="shared" si="39"/>
        <v>0</v>
      </c>
      <c r="R279" s="140">
        <f>ROUND(IF(M247="",R263,R263/M247*P256),2)</f>
        <v>5175</v>
      </c>
      <c r="S279" s="140">
        <f>ROUND(IF(M247="",R264,R264/M247*P256),2)</f>
        <v>7450</v>
      </c>
      <c r="U279" s="950">
        <f t="shared" si="40"/>
        <v>0</v>
      </c>
      <c r="V279" s="950">
        <f>SUM(B269:F279)</f>
        <v>0</v>
      </c>
      <c r="X279" s="1"/>
    </row>
    <row r="280" spans="1:24" ht="14.25" customHeight="1" x14ac:dyDescent="0.2">
      <c r="A280" s="76" t="str">
        <f>CONCATENATE("Dez ",O245)</f>
        <v>Dez 2025</v>
      </c>
      <c r="B280" s="22">
        <f>ROUND(IF(P257=0,0,IFERROR(((LOOKUP(2,1/(A254:A257=A280),G254:G257))*P257*4.348),B279/P256*P257)),2)</f>
        <v>0</v>
      </c>
      <c r="C280" s="21">
        <f>ROUND(IFERROR((LOOKUP(2,1/(A260=A280),E260)),0)+IFERROR((LOOKUP(2,1/(A261=A280),E261)),0),2)</f>
        <v>0</v>
      </c>
      <c r="D280" s="21">
        <f>ROUND(IF(B280=0,0,D268/M247*P257),2)</f>
        <v>0</v>
      </c>
      <c r="E280" s="21">
        <f>ROUND(IF(B280=0,0,E268/N243*P257),2)</f>
        <v>0</v>
      </c>
      <c r="F280" s="22">
        <f>ROUND(IF(P257=0,0,IFERROR(((LOOKUP(2,1/(A254:A257=A280),I254:I257))/N243*P257),F279/P256*P257)),2)</f>
        <v>0</v>
      </c>
      <c r="G280" s="25">
        <f t="shared" si="38"/>
        <v>0</v>
      </c>
      <c r="H280" s="64">
        <f>IF(B280=0,0,IF(AND(H260="ja",((U280)&lt;R285)),ROUND(((R287*R284+((R285/(R285-R284))-(R284/(R285-R284))*R287)*((U280)-R284))*(H268*2))-(((R285/(R285-R284))*((U280)-R284))*H268),2),ROUND(IF(V279&lt;(SUM(R269:R279)),IF((V280)&gt;(SUM(R269:R280)),(((SUM(R269:R280))-(V280-C279))*H268)+((U280-C279)*H268),U280*H268),IF(V280&gt;(SUM(R269:R280)),R280*H268,U280*H268)),2)))</f>
        <v>0</v>
      </c>
      <c r="I280" s="64">
        <f>IF(B280=0,0,IF(AND(H260="ja",((U280)&lt;R285)),ROUND(((R287*R284+((R285/(R285-R284))-(R284/(R285-R284))*R287)*((U280)-R284))*(I268*2))-(((R285/(R285-R284))*((U280)-R284))*I268),2),ROUND(IF(V279&lt;(SUM(S269:S279)),IF((V280)&gt;(SUM(S269:S280)),(((SUM(S269:S280))-(V280-C279))*I268)+((U280-C279)*I268),U280*I268),IF(V280&gt;(SUM(S269:S280)),S280*I268,U280*I268)),2)))</f>
        <v>0</v>
      </c>
      <c r="J280" s="64">
        <f>IF(B280=0,0,IF(AND(H260="ja",((U280)&lt;R285)),ROUND(((R287*R284+((R285/(R285-R284))-(R284/(R285-R284))*R287)*((U280)-R284))*(J268*2))-(((R285/(R285-R284))*((U280)-R284))*J268),2),ROUND(IF(V279&lt;(SUM(S269:S279)),IF((V280)&gt;(SUM(S269:S280)),(((SUM(S269:S280))-(V280-C279))*J268)+((U280-C279)*J268),U280*J268),IF(V280&gt;(SUM(S269:S280)),S280*J268,U280*J268)),2)))</f>
        <v>0</v>
      </c>
      <c r="K280" s="64">
        <f>IF(B280=0,0,IF(AND(H260="ja",((U280)&lt;R285)),ROUND(((R287*R284+((R285/(R285-R284))-(R284/(R285-R284))*R287)*((U280)-R284))*(K268*2))-(((R285/(R285-R284))*((U280)-R284))*K268),2),ROUND(IF(V279&lt;(SUM(R269:R279)),IF((V280)&gt;(SUM(R269:R280)),(((SUM(R269:R280))-(V280-C279))*K268)+((U280-C279)*K268),U280*K268),IF(V280&gt;(SUM(R269:R280)),R280*K268,U280*K268)),2)))</f>
        <v>0</v>
      </c>
      <c r="L280" s="64">
        <f>IF(B280=0,0,IF(AND(H260="ja",((U280-C280)&lt;R285)),ROUND(((R287*R284+((R285/(R285-R284))-(R284/(R285-R284))*R287)*((U280-C280)-R284))*(L268)),2),ROUND(IF(SUM(B269:F279)&lt;(SUM(S269:S279)),IF((SUM(B269:F280))&gt;(SUM(S269:S280)),(((SUM(S269:S280))-(SUM(B269:F280)-C280))*L268)+((SUM(B280:F280)-C280)*L268),(SUM(B280:F280)-C280)*L268),IF(SUM(B269:F280)&gt;(SUM(S269:S280)),S280*L268,SUM(B280:F280)*L268)),2)))</f>
        <v>0</v>
      </c>
      <c r="M280" s="64">
        <f>IF(B280=0,0,IF(AND(H260="ja",((U280-C280)&lt;R285)),ROUND(((R287*R284+((R285/(R285-R284))-(R284/(R285-R284))*R287)*((U280-C280)-R284))*(M268)),2),ROUND(IF(SUM(B269:F279)&lt;(SUM(S269:S279)),IF((SUM(B269:F280))&gt;(SUM(S269:S280)),(((SUM(S269:S280))-(SUM(B269:F280)-C280))*M268)+((SUM(B280:F280)-C280)*M268),(SUM(B280:F280)-C280)*M268),IF(SUM(B269:F280)&gt;(SUM(S269:S280)),S280*M268,SUM(B280:F280)*M268)),2)))</f>
        <v>0</v>
      </c>
      <c r="N280" s="64">
        <f>IF(B280=0,0,IF(AND(H260="ja",((U280)&lt;R285)),ROUND(((R287*R284+((R285/(R285-R284))-(R284/(R285-R284))*R287)*((U280)-R284))*(N268)),2),ROUND(IF(SUM(B269:F279)&lt;(SUM(S269:S279)),IF((SUM(B269:F280))&gt;(SUM(S269:S280)),(((SUM(S269:S280))-(SUM(B269:F280)-C279))*N268)+((SUM(B280:F280)-C279)*N268),SUM(B280:F280)*N268),IF(SUM(B269:F280)&gt;(SUM(S269:S280)),S280*N268,SUM(B280:F280)*N268)),2)))</f>
        <v>0</v>
      </c>
      <c r="O280" s="21">
        <f>ROUND(SUM(B280+C280+F280)*O268,2)</f>
        <v>0</v>
      </c>
      <c r="P280" s="25">
        <f t="shared" si="39"/>
        <v>0</v>
      </c>
      <c r="Q280" s="11"/>
      <c r="R280" s="140">
        <f>ROUND(IF(M247="",R263,R263/M247*P257),2)</f>
        <v>5175</v>
      </c>
      <c r="S280" s="140">
        <f>ROUND(IF(M247="",R264,R264/M247*P257),2)</f>
        <v>7450</v>
      </c>
      <c r="U280" s="950">
        <f t="shared" si="40"/>
        <v>0</v>
      </c>
      <c r="V280" s="950">
        <f>SUM(B269:F280)</f>
        <v>0</v>
      </c>
    </row>
    <row r="281" spans="1:24" ht="15" customHeight="1" x14ac:dyDescent="0.2">
      <c r="A281" s="2" t="s">
        <v>1</v>
      </c>
      <c r="B281" s="25">
        <f t="shared" ref="B281:G281" si="41">SUM(B269:B280)</f>
        <v>0</v>
      </c>
      <c r="C281" s="25">
        <f t="shared" si="41"/>
        <v>0</v>
      </c>
      <c r="D281" s="25">
        <f t="shared" si="41"/>
        <v>0</v>
      </c>
      <c r="E281" s="25">
        <f t="shared" si="41"/>
        <v>0</v>
      </c>
      <c r="F281" s="25">
        <f t="shared" si="41"/>
        <v>0</v>
      </c>
      <c r="G281" s="25">
        <f t="shared" si="41"/>
        <v>0</v>
      </c>
      <c r="H281" s="1309">
        <f>SUM(H269:N280)</f>
        <v>0</v>
      </c>
      <c r="I281" s="1310"/>
      <c r="J281" s="1310"/>
      <c r="K281" s="1310"/>
      <c r="L281" s="1310"/>
      <c r="M281" s="1310"/>
      <c r="N281" s="1311"/>
      <c r="O281" s="25">
        <f>SUM(O269:O280)</f>
        <v>0</v>
      </c>
      <c r="P281" s="25">
        <f>SUM(P269:P280)</f>
        <v>0</v>
      </c>
    </row>
    <row r="282" spans="1:24" ht="12" customHeight="1" x14ac:dyDescent="0.2">
      <c r="A282" s="1"/>
      <c r="B282" s="1"/>
      <c r="C282" s="1"/>
      <c r="D282" s="1"/>
      <c r="E282" s="1"/>
      <c r="F282" s="1"/>
      <c r="G282" s="1"/>
      <c r="H282" s="1"/>
      <c r="I282" s="1"/>
      <c r="J282" s="1"/>
      <c r="K282" s="1"/>
      <c r="L282" s="1"/>
      <c r="M282" s="1"/>
      <c r="N282" s="1"/>
      <c r="O282" s="1"/>
      <c r="P282" s="1"/>
    </row>
    <row r="283" spans="1:24" ht="14.25" customHeight="1" x14ac:dyDescent="0.2">
      <c r="A283" s="1"/>
      <c r="B283" s="906"/>
      <c r="C283" s="1"/>
      <c r="D283" s="1"/>
      <c r="E283" s="1"/>
      <c r="F283" s="1"/>
      <c r="G283" s="1"/>
      <c r="H283" s="905"/>
      <c r="I283" s="62"/>
      <c r="J283" s="914" t="s">
        <v>123</v>
      </c>
      <c r="K283" s="1"/>
      <c r="L283" s="900" t="s">
        <v>124</v>
      </c>
      <c r="M283" s="974" t="str">
        <f>IF(IF(G281=0,"",'päd.Personal - Leitung'!$M$43)=0,"",IF(G281=0,"",'päd.Personal - Leitung'!$M$43))</f>
        <v/>
      </c>
      <c r="N283" s="902" t="s">
        <v>125</v>
      </c>
      <c r="O283" s="963" t="str">
        <f>IF(IF(G281=0,"",'päd.Personal - Leitung'!$O$43)=0,"",IF(G281=0,"",'päd.Personal - Leitung'!$O$43))</f>
        <v/>
      </c>
      <c r="P283" s="25">
        <f>ROUND(IF(M283="",0,G281*M283*O283/1000),2)</f>
        <v>0</v>
      </c>
      <c r="Q283" s="937"/>
      <c r="R283" s="938">
        <v>2025</v>
      </c>
      <c r="S283" s="939"/>
    </row>
    <row r="284" spans="1:24" ht="14.25" customHeight="1" x14ac:dyDescent="0.2">
      <c r="A284" s="1"/>
      <c r="B284" s="1"/>
      <c r="C284" s="1"/>
      <c r="D284" s="1"/>
      <c r="E284" s="1"/>
      <c r="F284" s="1"/>
      <c r="G284" s="1"/>
      <c r="H284" s="907"/>
      <c r="I284" s="42"/>
      <c r="J284" s="1"/>
      <c r="K284" s="1"/>
      <c r="L284" s="1"/>
      <c r="M284" s="915" t="s">
        <v>129</v>
      </c>
      <c r="N284" s="80" t="s">
        <v>125</v>
      </c>
      <c r="O284" s="75" t="str">
        <f>IF(IF(G281=0,"",'päd.Personal - Leitung'!$O$44)=0,"",IF(G281=0,"",'päd.Personal - Leitung'!$O$44))</f>
        <v/>
      </c>
      <c r="P284" s="25">
        <f>ROUND(IF(O284="",0,G281*O284/1000),2)</f>
        <v>0</v>
      </c>
      <c r="Q284" s="942" t="s">
        <v>737</v>
      </c>
      <c r="R284" s="141">
        <f>'päd.Personal - Leitung'!$R$44</f>
        <v>556</v>
      </c>
      <c r="S284" s="955">
        <f>'päd.Personal - Leitung'!$S$44</f>
        <v>12.82</v>
      </c>
    </row>
    <row r="285" spans="1:24" ht="14.25" customHeight="1" x14ac:dyDescent="0.2">
      <c r="A285" s="1"/>
      <c r="B285" s="1"/>
      <c r="C285" s="1"/>
      <c r="D285" s="1"/>
      <c r="E285" s="1"/>
      <c r="F285" s="1"/>
      <c r="G285" s="1"/>
      <c r="H285" s="912" t="s">
        <v>126</v>
      </c>
      <c r="I285" s="1013" t="s">
        <v>127</v>
      </c>
      <c r="J285" s="975" t="str">
        <f>IF(IF(G281=0,"",'päd.Personal - Leitung'!$J$45)=0,"",IF(G281=0,"",'päd.Personal - Leitung'!$J$45))</f>
        <v/>
      </c>
      <c r="K285" s="902" t="s">
        <v>128</v>
      </c>
      <c r="L285" s="964" t="str">
        <f>IF(IF(G281=0,"",'päd.Personal - Leitung'!$L$45)=0,"",IF(G281=0,"",'päd.Personal - Leitung'!$L$45))</f>
        <v/>
      </c>
      <c r="M285" s="16"/>
      <c r="N285" s="900" t="s">
        <v>132</v>
      </c>
      <c r="O285" s="965" t="str">
        <f>IF(IF(G281=0,"",'päd.Personal - Leitung'!$O$45)=0,"",IF(G281=0,"",'päd.Personal - Leitung'!$O$45))</f>
        <v/>
      </c>
      <c r="P285" s="25">
        <f>ROUND(IF(J285="",0,(J285*L285/O285)/M249*M250),2)</f>
        <v>0</v>
      </c>
      <c r="Q285" s="942" t="s">
        <v>738</v>
      </c>
      <c r="R285" s="140">
        <f>'päd.Personal - Leitung'!$R$45</f>
        <v>2000</v>
      </c>
      <c r="S285" s="939"/>
    </row>
    <row r="286" spans="1:24" ht="14.25" customHeight="1" x14ac:dyDescent="0.2">
      <c r="A286" s="1"/>
      <c r="B286" s="1"/>
      <c r="C286" s="1"/>
      <c r="D286" s="16"/>
      <c r="E286" s="1"/>
      <c r="F286" s="1"/>
      <c r="G286" s="1"/>
      <c r="H286" s="1"/>
      <c r="I286" s="16"/>
      <c r="J286" s="16"/>
      <c r="K286" s="63"/>
      <c r="L286" s="67"/>
      <c r="M286" s="915" t="s">
        <v>130</v>
      </c>
      <c r="N286" s="80" t="s">
        <v>131</v>
      </c>
      <c r="O286" s="904">
        <f>IF(IF(M252="",0,$O$46)=0,0,IF(M252="",0,$O$46))</f>
        <v>0</v>
      </c>
      <c r="P286" s="21">
        <f>ROUND(IF(G281=0,0,O286/M247*M248),2)</f>
        <v>0</v>
      </c>
      <c r="Q286" s="942" t="s">
        <v>740</v>
      </c>
      <c r="R286" s="956">
        <f>'päd.Personal - Leitung'!$R$46</f>
        <v>0.40900000000000003</v>
      </c>
    </row>
    <row r="287" spans="1:24" ht="14.25" customHeight="1" x14ac:dyDescent="0.2">
      <c r="A287" s="16"/>
      <c r="B287" s="16"/>
      <c r="C287" s="1"/>
      <c r="D287" s="1"/>
      <c r="E287" s="1"/>
      <c r="F287" s="1"/>
      <c r="G287" s="1"/>
      <c r="H287" s="1"/>
      <c r="I287" s="905"/>
      <c r="J287" s="961" t="s">
        <v>176</v>
      </c>
      <c r="K287" s="1312" t="str">
        <f>IF($K$47="","",$K$47)</f>
        <v/>
      </c>
      <c r="L287" s="1312"/>
      <c r="M287" s="1312"/>
      <c r="N287" s="80" t="s">
        <v>131</v>
      </c>
      <c r="O287" s="904">
        <f>IF(IF(M252="",0,$O$47)=0,0,IF(M252="",0,$O$47))</f>
        <v>0</v>
      </c>
      <c r="P287" s="21">
        <f>ROUND(IF(G281=0,0,O287/M247*M248),2)</f>
        <v>0</v>
      </c>
      <c r="Q287" s="942" t="s">
        <v>739</v>
      </c>
      <c r="R287" s="940">
        <f>'päd.Personal - Leitung'!$R$47</f>
        <v>0.68459999999999999</v>
      </c>
      <c r="S287" s="957">
        <f>'päd.Personal - Leitung'!$S$47</f>
        <v>0.28000000000000003</v>
      </c>
    </row>
    <row r="288" spans="1:24" ht="14.25" customHeight="1" x14ac:dyDescent="0.2">
      <c r="A288" s="908"/>
      <c r="B288" s="908"/>
      <c r="C288" s="1013"/>
      <c r="D288" s="1013"/>
      <c r="E288" s="1"/>
      <c r="F288" s="1"/>
      <c r="G288" s="1"/>
      <c r="H288" s="1"/>
      <c r="I288" s="913"/>
      <c r="J288" s="913"/>
      <c r="K288" s="916"/>
      <c r="L288" s="27"/>
      <c r="M288" s="27"/>
      <c r="N288" s="27"/>
      <c r="O288" s="26" t="s">
        <v>0</v>
      </c>
      <c r="P288" s="25">
        <f>P281+SUM(P283:P287)</f>
        <v>0</v>
      </c>
    </row>
    <row r="289" spans="1:19" s="10" customFormat="1" ht="13.5" customHeight="1" x14ac:dyDescent="0.2">
      <c r="A289" s="1321" t="s">
        <v>17</v>
      </c>
      <c r="B289" s="1321"/>
      <c r="C289" s="1321"/>
      <c r="D289" s="1320" t="str">
        <f>IF('päd.Personal - Leitung'!$D$1="","",'päd.Personal - Leitung'!$D$1)</f>
        <v/>
      </c>
      <c r="E289" s="1320"/>
      <c r="F289" s="1320"/>
      <c r="G289" s="1320"/>
      <c r="H289" s="1320"/>
      <c r="I289" s="1320"/>
      <c r="J289" s="1320"/>
      <c r="K289" s="1320"/>
      <c r="L289" s="1320"/>
      <c r="M289" s="1320"/>
      <c r="N289" s="1320"/>
    </row>
    <row r="290" spans="1:19" s="10" customFormat="1" ht="15" customHeight="1" x14ac:dyDescent="0.2">
      <c r="A290" s="1321" t="s">
        <v>16</v>
      </c>
      <c r="B290" s="1321"/>
      <c r="C290" s="1321" t="s">
        <v>14</v>
      </c>
      <c r="D290" s="1320" t="str">
        <f>IF('päd.Personal - Leitung'!$D$2="","",'päd.Personal - Leitung'!$D$2)</f>
        <v/>
      </c>
      <c r="E290" s="1320"/>
      <c r="F290" s="1320"/>
      <c r="G290" s="1320"/>
      <c r="H290" s="1320"/>
      <c r="I290" s="1320"/>
      <c r="J290" s="1320"/>
      <c r="K290" s="1320"/>
      <c r="L290" s="1320"/>
      <c r="M290" s="1320"/>
      <c r="N290" s="1320"/>
    </row>
    <row r="291" spans="1:19" s="10" customFormat="1" ht="15" customHeight="1" x14ac:dyDescent="0.2">
      <c r="A291" s="1321" t="s">
        <v>15</v>
      </c>
      <c r="B291" s="1321"/>
      <c r="C291" s="1321" t="s">
        <v>14</v>
      </c>
      <c r="D291" s="1320" t="str">
        <f>IF('päd.Personal - Leitung'!$D$3="","",'päd.Personal - Leitung'!$D$3)</f>
        <v/>
      </c>
      <c r="E291" s="1320"/>
      <c r="F291" s="1320"/>
      <c r="G291" s="1320"/>
      <c r="H291" s="1320"/>
      <c r="I291" s="1320"/>
      <c r="J291" s="1320"/>
      <c r="K291" s="1321" t="s">
        <v>100</v>
      </c>
      <c r="L291" s="1321"/>
      <c r="M291" s="1321"/>
      <c r="N291" s="38" t="str">
        <f>IF('päd.Personal - Leitung'!$N$3="","",'päd.Personal - Leitung'!$N$3)</f>
        <v/>
      </c>
    </row>
    <row r="292" spans="1:19" s="923" customFormat="1" ht="7.5" customHeight="1" x14ac:dyDescent="0.15">
      <c r="A292" s="1353"/>
      <c r="B292" s="1353"/>
      <c r="C292" s="1353"/>
      <c r="D292" s="1354"/>
      <c r="E292" s="1354"/>
      <c r="F292" s="1354"/>
      <c r="G292" s="1354"/>
      <c r="H292" s="1354"/>
      <c r="I292" s="1354"/>
      <c r="J292" s="1354"/>
      <c r="K292" s="922"/>
      <c r="L292" s="922"/>
      <c r="M292" s="922"/>
      <c r="N292" s="922"/>
      <c r="O292" s="922"/>
      <c r="P292" s="922"/>
    </row>
    <row r="293" spans="1:19" s="13" customFormat="1" ht="13.5" customHeight="1" x14ac:dyDescent="0.2">
      <c r="A293" s="1355" t="s">
        <v>750</v>
      </c>
      <c r="B293" s="1355"/>
      <c r="C293" s="1355"/>
      <c r="D293" s="1355"/>
      <c r="E293" s="1355"/>
      <c r="F293" s="1355"/>
      <c r="G293" s="1355"/>
      <c r="H293" s="1355"/>
      <c r="I293" s="1355"/>
      <c r="J293" s="1355"/>
      <c r="K293" s="7"/>
      <c r="L293" s="7"/>
      <c r="M293" s="7"/>
      <c r="N293" s="52"/>
      <c r="O293" s="138">
        <f>'päd.Personal - Leitung'!$O$5</f>
        <v>2025</v>
      </c>
      <c r="P293" s="52" t="s">
        <v>140</v>
      </c>
    </row>
    <row r="294" spans="1:19" s="8" customFormat="1" ht="13.5" customHeight="1" x14ac:dyDescent="0.25">
      <c r="B294" s="29"/>
      <c r="C294" s="29"/>
      <c r="D294" s="3" t="s">
        <v>26</v>
      </c>
      <c r="E294" s="28"/>
      <c r="F294" s="28"/>
      <c r="G294" s="28"/>
      <c r="H294" s="28"/>
      <c r="I294" s="24"/>
      <c r="K294" s="1327" t="s">
        <v>13</v>
      </c>
      <c r="L294" s="1327"/>
      <c r="M294" s="131"/>
      <c r="O294" s="928" t="str">
        <f>A317</f>
        <v>Jan 2025</v>
      </c>
      <c r="P294" s="1402">
        <f>IF(M296="","",M296)</f>
        <v>0</v>
      </c>
    </row>
    <row r="295" spans="1:19" s="5" customFormat="1" ht="13.5" customHeight="1" x14ac:dyDescent="0.25">
      <c r="A295" s="1328" t="s">
        <v>754</v>
      </c>
      <c r="B295" s="1328"/>
      <c r="C295" s="1328"/>
      <c r="D295" s="1345"/>
      <c r="E295" s="1345"/>
      <c r="F295" s="1345"/>
      <c r="G295" s="1345"/>
      <c r="H295" s="1345"/>
      <c r="I295" s="1345"/>
      <c r="K295" s="1327" t="s">
        <v>101</v>
      </c>
      <c r="L295" s="1327"/>
      <c r="M295" s="101"/>
      <c r="O295" s="928" t="str">
        <f t="shared" ref="O295:O305" si="42">A318</f>
        <v>Feb 2025</v>
      </c>
      <c r="P295" s="1403">
        <f t="shared" ref="P295:P305" si="43">IF(P294="","",P294)</f>
        <v>0</v>
      </c>
    </row>
    <row r="296" spans="1:19" ht="13.5" customHeight="1" x14ac:dyDescent="0.2">
      <c r="A296" s="1328" t="s">
        <v>12</v>
      </c>
      <c r="B296" s="1328"/>
      <c r="C296" s="1328"/>
      <c r="D296" s="1345"/>
      <c r="E296" s="1345"/>
      <c r="F296" s="1345"/>
      <c r="G296" s="1345"/>
      <c r="H296" s="1345"/>
      <c r="I296" s="1345"/>
      <c r="J296" s="1"/>
      <c r="K296" s="1327" t="s">
        <v>149</v>
      </c>
      <c r="L296" s="1327"/>
      <c r="M296" s="101">
        <f>IF((M297+M298)&gt;M295,0,M295-M297-M298)</f>
        <v>0</v>
      </c>
      <c r="N296" s="1"/>
      <c r="O296" s="928" t="str">
        <f t="shared" si="42"/>
        <v>Mrz 2025</v>
      </c>
      <c r="P296" s="1403">
        <f t="shared" si="43"/>
        <v>0</v>
      </c>
    </row>
    <row r="297" spans="1:19" ht="13.5" customHeight="1" x14ac:dyDescent="0.2">
      <c r="A297" s="1328" t="s">
        <v>11</v>
      </c>
      <c r="B297" s="1328"/>
      <c r="C297" s="1328"/>
      <c r="D297" s="1345"/>
      <c r="E297" s="1345"/>
      <c r="F297" s="1345"/>
      <c r="G297" s="1345"/>
      <c r="H297" s="1345"/>
      <c r="I297" s="1345"/>
      <c r="J297" s="1"/>
      <c r="K297" s="1327" t="s">
        <v>150</v>
      </c>
      <c r="L297" s="1327"/>
      <c r="M297" s="101"/>
      <c r="N297" s="1"/>
      <c r="O297" s="928" t="str">
        <f t="shared" si="42"/>
        <v>Apr 2025</v>
      </c>
      <c r="P297" s="1403">
        <f t="shared" si="43"/>
        <v>0</v>
      </c>
    </row>
    <row r="298" spans="1:19" ht="13.5" customHeight="1" x14ac:dyDescent="0.2">
      <c r="A298" s="1328" t="s">
        <v>18</v>
      </c>
      <c r="B298" s="1328"/>
      <c r="C298" s="1328"/>
      <c r="D298" s="1345"/>
      <c r="E298" s="1345"/>
      <c r="F298" s="1345"/>
      <c r="G298" s="1345"/>
      <c r="H298" s="1345"/>
      <c r="I298" s="1345"/>
      <c r="J298" s="1"/>
      <c r="K298" s="1327" t="s">
        <v>222</v>
      </c>
      <c r="L298" s="1327"/>
      <c r="M298" s="101"/>
      <c r="N298" s="1"/>
      <c r="O298" s="928" t="str">
        <f t="shared" si="42"/>
        <v>Mai 2025</v>
      </c>
      <c r="P298" s="1403">
        <f t="shared" si="43"/>
        <v>0</v>
      </c>
    </row>
    <row r="299" spans="1:19" ht="13.5" customHeight="1" x14ac:dyDescent="0.2">
      <c r="A299" s="1"/>
      <c r="B299" s="6"/>
      <c r="C299" s="959" t="s">
        <v>147</v>
      </c>
      <c r="D299" s="1324"/>
      <c r="E299" s="1324"/>
      <c r="F299" s="1359" t="s">
        <v>103</v>
      </c>
      <c r="G299" s="1359"/>
      <c r="H299" s="1361"/>
      <c r="I299" s="1361"/>
      <c r="J299" s="1"/>
      <c r="K299" s="1327" t="s">
        <v>94</v>
      </c>
      <c r="L299" s="1327"/>
      <c r="M299" s="15" t="str">
        <f>IF(IF((COUNTIF(B317:B328,"&gt;0"))=0,0,(COUNTIF(B317:B328,"&gt;0")))&gt;Grundlagen!$C$26,Grundlagen!$C$26,IF((COUNTIF(B317:B328,"&gt;0"))=0,"",(COUNTIF(B317:B328,"&gt;0"))))</f>
        <v/>
      </c>
      <c r="N299" s="1"/>
      <c r="O299" s="928" t="str">
        <f t="shared" si="42"/>
        <v>Jun 2025</v>
      </c>
      <c r="P299" s="1403">
        <f t="shared" si="43"/>
        <v>0</v>
      </c>
    </row>
    <row r="300" spans="1:19" ht="13.5" customHeight="1" x14ac:dyDescent="0.2">
      <c r="A300" s="1"/>
      <c r="B300" s="1"/>
      <c r="C300" s="1"/>
      <c r="D300" s="1"/>
      <c r="E300" s="1"/>
      <c r="F300" s="1"/>
      <c r="G300" s="1"/>
      <c r="H300" s="1"/>
      <c r="I300" s="4"/>
      <c r="J300" s="1"/>
      <c r="K300" s="1"/>
      <c r="L300" s="1"/>
      <c r="M300" s="102" t="str">
        <f>IF((SUM(F302:F305))=0,"",IF(P306&gt;M296,M296,IF(M296="","",IF(M299="","",P306))))</f>
        <v/>
      </c>
      <c r="N300" s="1"/>
      <c r="O300" s="928" t="str">
        <f t="shared" si="42"/>
        <v>Jul 2025</v>
      </c>
      <c r="P300" s="1403">
        <f t="shared" si="43"/>
        <v>0</v>
      </c>
    </row>
    <row r="301" spans="1:19" s="46" customFormat="1" ht="13.5" customHeight="1" x14ac:dyDescent="0.2">
      <c r="A301" s="54" t="s">
        <v>134</v>
      </c>
      <c r="B301" s="1356" t="s">
        <v>135</v>
      </c>
      <c r="C301" s="1356"/>
      <c r="D301" s="55" t="s">
        <v>136</v>
      </c>
      <c r="E301" s="56" t="s">
        <v>137</v>
      </c>
      <c r="F301" s="57" t="str">
        <f>CONCATENATE("Entg. ",N291," h/Wo")</f>
        <v>Entg.  h/Wo</v>
      </c>
      <c r="G301" s="58" t="s">
        <v>138</v>
      </c>
      <c r="I301" s="58" t="s">
        <v>139</v>
      </c>
      <c r="K301" s="970"/>
      <c r="L301" s="970"/>
      <c r="M301" s="59"/>
      <c r="N301" s="968"/>
      <c r="O301" s="928" t="str">
        <f t="shared" si="42"/>
        <v>Aug 2025</v>
      </c>
      <c r="P301" s="1403">
        <f t="shared" si="43"/>
        <v>0</v>
      </c>
      <c r="Q301" s="85"/>
      <c r="R301" s="85"/>
      <c r="S301" s="85"/>
    </row>
    <row r="302" spans="1:19" s="46" customFormat="1" ht="13.5" customHeight="1" x14ac:dyDescent="0.25">
      <c r="A302" s="48" t="str">
        <f>'päd.Personal - Leitung'!$A$14</f>
        <v>Jan 2025</v>
      </c>
      <c r="B302" s="1357" t="str">
        <f>IF($D$3="","",$D$3)</f>
        <v/>
      </c>
      <c r="C302" s="1358"/>
      <c r="D302" s="132"/>
      <c r="E302" s="132"/>
      <c r="F302" s="71"/>
      <c r="G302" s="50">
        <f>IF(N291="",0,F302/N291/4.348)</f>
        <v>0</v>
      </c>
      <c r="I302" s="125">
        <f>SUM(J302:M302)</f>
        <v>0</v>
      </c>
      <c r="J302" s="124"/>
      <c r="K302" s="124"/>
      <c r="L302" s="124"/>
      <c r="M302" s="124"/>
      <c r="N302" s="969"/>
      <c r="O302" s="928" t="str">
        <f t="shared" si="42"/>
        <v>Sep 2025</v>
      </c>
      <c r="P302" s="1403">
        <f t="shared" si="43"/>
        <v>0</v>
      </c>
      <c r="Q302" s="85"/>
      <c r="R302" s="85"/>
      <c r="S302" s="85"/>
    </row>
    <row r="303" spans="1:19" s="46" customFormat="1" ht="13.5" customHeight="1" x14ac:dyDescent="0.25">
      <c r="A303" s="49"/>
      <c r="B303" s="1322" t="str">
        <f>IF(A303="","",B302)</f>
        <v/>
      </c>
      <c r="C303" s="1323"/>
      <c r="D303" s="132"/>
      <c r="E303" s="132"/>
      <c r="F303" s="71"/>
      <c r="G303" s="50">
        <f>IF(N291="",0,F303/N291/4.348)</f>
        <v>0</v>
      </c>
      <c r="I303" s="125">
        <f t="shared" ref="I303:I305" si="44">SUM(J303:M303)</f>
        <v>0</v>
      </c>
      <c r="J303" s="124"/>
      <c r="K303" s="124"/>
      <c r="L303" s="124"/>
      <c r="M303" s="124"/>
      <c r="N303" s="969"/>
      <c r="O303" s="928" t="str">
        <f t="shared" si="42"/>
        <v>Okt 2025</v>
      </c>
      <c r="P303" s="1403">
        <f t="shared" si="43"/>
        <v>0</v>
      </c>
      <c r="Q303" s="85"/>
      <c r="R303" s="85"/>
      <c r="S303" s="85"/>
    </row>
    <row r="304" spans="1:19" s="46" customFormat="1" ht="13.5" customHeight="1" x14ac:dyDescent="0.25">
      <c r="A304" s="49"/>
      <c r="B304" s="1322" t="str">
        <f>IF(A304="","",B303)</f>
        <v/>
      </c>
      <c r="C304" s="1323"/>
      <c r="D304" s="132"/>
      <c r="E304" s="132"/>
      <c r="F304" s="71"/>
      <c r="G304" s="50">
        <f>IF(N291="",0,F304/N291/4.348)</f>
        <v>0</v>
      </c>
      <c r="I304" s="125">
        <f t="shared" si="44"/>
        <v>0</v>
      </c>
      <c r="J304" s="124"/>
      <c r="K304" s="124"/>
      <c r="L304" s="124"/>
      <c r="M304" s="124"/>
      <c r="N304" s="969"/>
      <c r="O304" s="928" t="str">
        <f t="shared" si="42"/>
        <v>Nov 2025</v>
      </c>
      <c r="P304" s="1403">
        <f t="shared" si="43"/>
        <v>0</v>
      </c>
      <c r="Q304" s="85"/>
      <c r="R304" s="85"/>
      <c r="S304" s="85"/>
    </row>
    <row r="305" spans="1:22" s="46" customFormat="1" ht="13.5" customHeight="1" x14ac:dyDescent="0.25">
      <c r="A305" s="49"/>
      <c r="B305" s="1322" t="str">
        <f>IF(A305="","",B304)</f>
        <v/>
      </c>
      <c r="C305" s="1323"/>
      <c r="D305" s="132"/>
      <c r="E305" s="132"/>
      <c r="F305" s="71"/>
      <c r="G305" s="50">
        <f>IF(N291="",0,F305/N291/4.348)</f>
        <v>0</v>
      </c>
      <c r="I305" s="125">
        <f t="shared" si="44"/>
        <v>0</v>
      </c>
      <c r="J305" s="124"/>
      <c r="K305" s="124"/>
      <c r="L305" s="124"/>
      <c r="M305" s="124"/>
      <c r="N305" s="969"/>
      <c r="O305" s="928" t="str">
        <f t="shared" si="42"/>
        <v>Dez 2025</v>
      </c>
      <c r="P305" s="1403">
        <f t="shared" si="43"/>
        <v>0</v>
      </c>
      <c r="Q305" s="85"/>
      <c r="R305" s="85"/>
      <c r="S305" s="85"/>
    </row>
    <row r="306" spans="1:22" s="46" customFormat="1" ht="13.5" customHeight="1" x14ac:dyDescent="0.25">
      <c r="B306" s="972"/>
      <c r="C306" s="972"/>
      <c r="E306" s="972"/>
      <c r="F306" s="972"/>
      <c r="I306" s="930" t="s">
        <v>730</v>
      </c>
      <c r="J306" s="1052"/>
      <c r="K306" s="1052"/>
      <c r="L306" s="1052"/>
      <c r="M306" s="1052"/>
      <c r="N306" s="971"/>
      <c r="O306" s="126" t="s">
        <v>221</v>
      </c>
      <c r="P306" s="127">
        <f>IF(M299="",0,((IF(SUMIF(B317,"&gt;0"),P294,0))+(IF(SUMIF(B318,"&gt;0"),P295,0))+(IF(SUMIF(B319,"&gt;0"),P296,0))+(IF(SUMIF(B320,"&gt;0"),P297,0))+(IF(SUMIF(B321,"&gt;0"),P298,0))+(IF(SUMIF(B322,"&gt;0"),P299,0))+(IF(SUMIF(B323,"&gt;0"),P300,0))+(IF(SUMIF(B324,"&gt;0"),P301,0))+(IF(SUMIF(B325,"&gt;0"),P302,0))+(IF(SUMIF(B326,"&gt;0"),P303,0))+(IF(SUMIF(B327,"&gt;0"),P304,0))+(IF(SUMIF(B328,"&gt;0"),P305,0)))/Grundlagen!$C$26)</f>
        <v>0</v>
      </c>
      <c r="Q306" s="958" t="str">
        <f>CONCATENATE("BBG"," anteilig ",O308)</f>
        <v>BBG anteilig 2025</v>
      </c>
      <c r="R306" s="931" t="s">
        <v>659</v>
      </c>
      <c r="S306" s="931" t="s">
        <v>398</v>
      </c>
      <c r="T306" s="107"/>
    </row>
    <row r="307" spans="1:22" s="46" customFormat="1" ht="13.5" customHeight="1" x14ac:dyDescent="0.2">
      <c r="A307" s="924" t="s">
        <v>732</v>
      </c>
      <c r="D307" s="55" t="s">
        <v>369</v>
      </c>
      <c r="E307" s="56" t="s">
        <v>368</v>
      </c>
      <c r="F307" s="58"/>
      <c r="J307" s="61"/>
      <c r="Q307" s="932" t="s">
        <v>144</v>
      </c>
      <c r="R307" s="140">
        <f>IF(M296=0,R311,IF(M295="",R311,(SUM(R317:R328)/M299)))</f>
        <v>5175</v>
      </c>
      <c r="S307" s="933">
        <f>IF(M296=0,S311,IF(M295="",S311,SUM(R317:R328)))</f>
        <v>0</v>
      </c>
      <c r="T307" s="107"/>
    </row>
    <row r="308" spans="1:22" s="46" customFormat="1" ht="13.5" customHeight="1" x14ac:dyDescent="0.25">
      <c r="A308" s="60"/>
      <c r="B308" s="1314" t="str">
        <f>IF($B$20="","",$B$20)</f>
        <v>Jahressonderzahlung (JSZ)</v>
      </c>
      <c r="C308" s="1315"/>
      <c r="D308" s="926"/>
      <c r="E308" s="929" t="str">
        <f>IF(A308="","",ROUND((((SUM(B323:B325)+SUM(F323:F325))/3)*D308)/Grundlagen!$C$26*M299,2))</f>
        <v/>
      </c>
      <c r="G308" s="941" t="s">
        <v>733</v>
      </c>
      <c r="H308" s="943"/>
      <c r="I308" s="1316" t="str">
        <f>CONCATENATE(R331,":"," Übergangsbereich von ",R332+0.01," €"," bis ",R333," €")</f>
        <v>2025: Übergangsbereich von 556,01 € bis 2000 €</v>
      </c>
      <c r="J308" s="1317"/>
      <c r="K308" s="1317"/>
      <c r="L308" s="1067"/>
      <c r="M308" s="1067"/>
      <c r="N308" s="1068" t="s">
        <v>736</v>
      </c>
      <c r="O308" s="1069">
        <f>P308+1</f>
        <v>2025</v>
      </c>
      <c r="P308" s="1069" t="s">
        <v>721</v>
      </c>
      <c r="Q308" s="932" t="s">
        <v>145</v>
      </c>
      <c r="R308" s="140">
        <f>IF(M296=0,R312,IF(M295="",R312,(SUM(S317:S328)/M299)))</f>
        <v>7450</v>
      </c>
      <c r="S308" s="933">
        <f>IF(M296=0,S312,IF(M295="",S312,SUM(S317:S328)))</f>
        <v>0</v>
      </c>
      <c r="T308" s="109"/>
    </row>
    <row r="309" spans="1:22" ht="14.25" customHeight="1" x14ac:dyDescent="0.2">
      <c r="A309" s="60"/>
      <c r="B309" s="1314" t="str">
        <f>IF($B$21="","",$B$21)</f>
        <v>Leistungsentgelt (LOB)</v>
      </c>
      <c r="C309" s="1315"/>
      <c r="D309" s="926"/>
      <c r="E309" s="929" t="str">
        <f>IF(A309="","",ROUND(((B329+F329)*D309)/Grundlagen!$C$26*M299,2))</f>
        <v/>
      </c>
      <c r="F309" s="1"/>
      <c r="G309" s="941" t="str">
        <f>IF(OR(H308="",H308="nein")=TRUE,"","Faktor (F):")</f>
        <v/>
      </c>
      <c r="H309" s="949" t="str">
        <f>IF(OR(H308="",H308="nein")=TRUE,"",IF(H308="","",R335))</f>
        <v/>
      </c>
      <c r="I309" s="1318" t="str">
        <f>IF(OR(H308="",H308="nein")=TRUE,"",IF(H309="","",CONCATENATE(S335*100,"%"," / ","(",R334*100,"%"," Gesamt-SV-Beitragssatz 2024)")))</f>
        <v/>
      </c>
      <c r="J309" s="1319"/>
      <c r="K309" s="1319"/>
      <c r="L309" s="1070"/>
      <c r="M309" s="1070"/>
      <c r="N309" s="1071" t="s">
        <v>144</v>
      </c>
      <c r="O309" s="1072">
        <f>'päd.Personal - Leitung'!$O$21</f>
        <v>5175</v>
      </c>
      <c r="P309" s="1072">
        <f>'päd.Personal - Leitung'!$P$21</f>
        <v>5175</v>
      </c>
      <c r="Q309" s="11"/>
      <c r="R309" s="11"/>
      <c r="S309" s="11"/>
      <c r="T309" s="109"/>
    </row>
    <row r="310" spans="1:22" ht="14.25" customHeight="1" x14ac:dyDescent="0.2">
      <c r="A310" s="1"/>
      <c r="B310" s="1"/>
      <c r="C310" s="925" t="s">
        <v>731</v>
      </c>
      <c r="D310" s="1"/>
      <c r="E310" s="1"/>
      <c r="F310" s="1"/>
      <c r="G310" s="1"/>
      <c r="H310" s="1"/>
      <c r="I310" s="1"/>
      <c r="J310" s="1"/>
      <c r="K310" s="1"/>
      <c r="L310" s="1070"/>
      <c r="M310" s="1070"/>
      <c r="N310" s="1071" t="s">
        <v>145</v>
      </c>
      <c r="O310" s="1073">
        <f>'päd.Personal - Leitung'!$O$22</f>
        <v>7450</v>
      </c>
      <c r="P310" s="1073">
        <f>'päd.Personal - Leitung'!$P$22</f>
        <v>7450</v>
      </c>
      <c r="Q310" s="958" t="str">
        <f>CONCATENATE("BBG"," ",O308)</f>
        <v>BBG 2025</v>
      </c>
      <c r="R310" s="11"/>
      <c r="S310" s="11"/>
      <c r="T310" s="109"/>
    </row>
    <row r="311" spans="1:22" ht="14.25" customHeight="1" x14ac:dyDescent="0.2">
      <c r="A311" s="53" t="s">
        <v>141</v>
      </c>
      <c r="B311" s="46"/>
      <c r="C311" s="46"/>
      <c r="D311" s="46"/>
      <c r="E311" s="46"/>
      <c r="F311" s="46"/>
      <c r="G311" s="46"/>
      <c r="H311" s="46"/>
      <c r="I311" s="46"/>
      <c r="J311" s="46"/>
      <c r="K311" s="46"/>
      <c r="L311" s="46"/>
      <c r="M311" s="46"/>
      <c r="N311" s="46"/>
      <c r="O311" s="46"/>
      <c r="P311" s="46"/>
      <c r="Q311" s="932" t="s">
        <v>144</v>
      </c>
      <c r="R311" s="141">
        <f>IF($O$21="",0,$O$21)</f>
        <v>5175</v>
      </c>
      <c r="S311" s="933">
        <f>R311*IF(M299="",0,M299)</f>
        <v>0</v>
      </c>
      <c r="T311" s="295"/>
    </row>
    <row r="312" spans="1:22" x14ac:dyDescent="0.2">
      <c r="A312" s="1346"/>
      <c r="B312" s="1348" t="s">
        <v>8</v>
      </c>
      <c r="C312" s="1349"/>
      <c r="D312" s="1349"/>
      <c r="E312" s="1349"/>
      <c r="F312" s="1349"/>
      <c r="G312" s="1350"/>
      <c r="H312" s="1351" t="s">
        <v>113</v>
      </c>
      <c r="I312" s="1352"/>
      <c r="J312" s="1352"/>
      <c r="K312" s="1352"/>
      <c r="L312" s="1352"/>
      <c r="M312" s="1352"/>
      <c r="N312" s="1352"/>
      <c r="O312" s="30"/>
      <c r="P312" s="1330" t="s">
        <v>0</v>
      </c>
      <c r="Q312" s="932" t="s">
        <v>145</v>
      </c>
      <c r="R312" s="141">
        <f>IF($O$22="",0,$O$22)</f>
        <v>7450</v>
      </c>
      <c r="S312" s="933">
        <f>R312*IF(M299="",0,M299)</f>
        <v>0</v>
      </c>
      <c r="T312" s="830"/>
    </row>
    <row r="313" spans="1:22" ht="14.25" customHeight="1" x14ac:dyDescent="0.2">
      <c r="A313" s="1347"/>
      <c r="B313" s="1333" t="s">
        <v>111</v>
      </c>
      <c r="C313" s="1335" t="s">
        <v>743</v>
      </c>
      <c r="D313" s="1337" t="s">
        <v>226</v>
      </c>
      <c r="E313" s="1339" t="s">
        <v>133</v>
      </c>
      <c r="F313" s="962" t="s">
        <v>6</v>
      </c>
      <c r="G313" s="1340" t="s">
        <v>5</v>
      </c>
      <c r="H313" s="1339" t="s">
        <v>119</v>
      </c>
      <c r="I313" s="1339" t="s">
        <v>4</v>
      </c>
      <c r="J313" s="1339" t="s">
        <v>3</v>
      </c>
      <c r="K313" s="1339" t="s">
        <v>2</v>
      </c>
      <c r="L313" s="1339" t="s">
        <v>114</v>
      </c>
      <c r="M313" s="1339" t="s">
        <v>115</v>
      </c>
      <c r="N313" s="1339" t="s">
        <v>116</v>
      </c>
      <c r="O313" s="1338" t="s">
        <v>109</v>
      </c>
      <c r="P313" s="1331"/>
      <c r="Q313" s="456"/>
      <c r="R313" s="11"/>
      <c r="S313" s="11"/>
      <c r="T313" s="621"/>
    </row>
    <row r="314" spans="1:22" x14ac:dyDescent="0.2">
      <c r="A314" s="1347"/>
      <c r="B314" s="1333"/>
      <c r="C314" s="1335"/>
      <c r="D314" s="1338"/>
      <c r="E314" s="1339"/>
      <c r="F314" s="1343" t="str">
        <f>I306</f>
        <v>Zuschläge / Zulagen / o.ä.:</v>
      </c>
      <c r="G314" s="1340"/>
      <c r="H314" s="1342" t="s">
        <v>117</v>
      </c>
      <c r="I314" s="1342"/>
      <c r="J314" s="1342"/>
      <c r="K314" s="1342"/>
      <c r="L314" s="1342"/>
      <c r="M314" s="1342"/>
      <c r="N314" s="1342"/>
      <c r="O314" s="1338"/>
      <c r="P314" s="1331"/>
      <c r="Q314" s="456"/>
      <c r="R314" s="1306" t="str">
        <f>Q306</f>
        <v>BBG anteilig 2025</v>
      </c>
      <c r="S314" s="1306"/>
      <c r="T314" s="829"/>
    </row>
    <row r="315" spans="1:22" ht="14.25" customHeight="1" x14ac:dyDescent="0.2">
      <c r="A315" s="1347"/>
      <c r="B315" s="1333"/>
      <c r="C315" s="1335"/>
      <c r="D315" s="1338"/>
      <c r="E315" s="1339"/>
      <c r="F315" s="1343"/>
      <c r="G315" s="1340"/>
      <c r="H315" s="39" t="str">
        <f>'päd.Personal - Leitung'!$H$27</f>
        <v>(7,30% + Zusatz)</v>
      </c>
      <c r="I315" s="39" t="str">
        <f>'päd.Personal - Leitung'!$I$27</f>
        <v xml:space="preserve"> (2024: 9,30%)</v>
      </c>
      <c r="J315" s="39" t="str">
        <f>'päd.Personal - Leitung'!$J$27</f>
        <v>(2024: 1,30%)</v>
      </c>
      <c r="K315" s="39" t="str">
        <f>'päd.Personal - Leitung'!$K$27</f>
        <v>(2024: 1,700%)</v>
      </c>
      <c r="L315" s="39"/>
      <c r="M315" s="39"/>
      <c r="N315" s="39" t="str">
        <f>'päd.Personal - Leitung'!$N$27</f>
        <v>(2024: 0,06%)</v>
      </c>
      <c r="O315" s="1338"/>
      <c r="P315" s="1331"/>
      <c r="Q315" s="456"/>
      <c r="R315" s="1307" t="s">
        <v>659</v>
      </c>
      <c r="S315" s="1307"/>
      <c r="T315" s="829"/>
      <c r="U315" s="1308" t="s">
        <v>1</v>
      </c>
      <c r="V315" s="1308" t="s">
        <v>741</v>
      </c>
    </row>
    <row r="316" spans="1:22" x14ac:dyDescent="0.2">
      <c r="A316" s="1347"/>
      <c r="B316" s="1334"/>
      <c r="C316" s="1336"/>
      <c r="D316" s="45"/>
      <c r="E316" s="45"/>
      <c r="F316" s="1344"/>
      <c r="G316" s="1341"/>
      <c r="H316" s="74"/>
      <c r="I316" s="99">
        <f>'päd.Personal - Leitung'!$I$28</f>
        <v>0</v>
      </c>
      <c r="J316" s="99">
        <f>'päd.Personal - Leitung'!$J$28</f>
        <v>0</v>
      </c>
      <c r="K316" s="40">
        <f>'päd.Personal - Leitung'!$K$28</f>
        <v>0</v>
      </c>
      <c r="L316" s="19"/>
      <c r="M316" s="19"/>
      <c r="N316" s="99">
        <f>'päd.Personal - Leitung'!$N$28</f>
        <v>0</v>
      </c>
      <c r="O316" s="23"/>
      <c r="P316" s="1332"/>
      <c r="Q316" s="456"/>
      <c r="R316" s="935" t="s">
        <v>144</v>
      </c>
      <c r="S316" s="935" t="s">
        <v>145</v>
      </c>
      <c r="T316" s="829"/>
      <c r="U316" s="1308"/>
      <c r="V316" s="1308"/>
    </row>
    <row r="317" spans="1:22" x14ac:dyDescent="0.2">
      <c r="A317" s="76" t="str">
        <f>CONCATENATE("Jan ",O293)</f>
        <v>Jan 2025</v>
      </c>
      <c r="B317" s="22">
        <f>ROUND(IF(P294=0,0,(LOOKUP(2,1/(A302:A305=A317),G302:G305))*P294*4.348),2)</f>
        <v>0</v>
      </c>
      <c r="C317" s="21">
        <f>ROUND(IFERROR((LOOKUP(2,1/(A308=A317),E308)),0)+IFERROR((LOOKUP(2,1/(A309=A317),E309)),0),2)</f>
        <v>0</v>
      </c>
      <c r="D317" s="21">
        <f>ROUND(IF(B317=0,0,D316/M295*P294),2)</f>
        <v>0</v>
      </c>
      <c r="E317" s="21">
        <f>ROUND(IF(B317=0,0,E316/N291*P294),2)</f>
        <v>0</v>
      </c>
      <c r="F317" s="22">
        <f>ROUND(IF(P294=0,0,(LOOKUP(2,1/(A302:A305=A317),I302:I305))/N291*P294),2)</f>
        <v>0</v>
      </c>
      <c r="G317" s="25">
        <f t="shared" ref="G317:G328" si="45">SUM(B317+C317+E317+F317)</f>
        <v>0</v>
      </c>
      <c r="H317" s="64">
        <f>IF(B317=0,0,IF(AND(H308="ja",((U317)&lt;R333)),ROUND(((R335*R332+((R333/(R333-R332))-(R332/(R333-R332))*R335)*((U317)-R332))*(H316*2))-(((R333/(R333-R332))*((U317)-R332))*H316),2),ROUND(IF((U317)&gt;R317,R317*H316,U317*H316),2)))</f>
        <v>0</v>
      </c>
      <c r="I317" s="64">
        <f>IF(B317=0,0,IF(AND(H308="ja",((U317)&lt;R333)),ROUND(((R335*R332+((R333/(R333-R332))-(R332/(R333-R332))*R335)*((U317)-R332))*(I316*2))-(((R333/(R333-R332))*((U317)-R332))*I316),2),ROUND(IF((U317)&gt;S317,S317*I316,U317*I316),2)))</f>
        <v>0</v>
      </c>
      <c r="J317" s="64">
        <f>IF(B317=0,0,IF(AND(H308="ja",((U317)&lt;R333)),ROUND(((R335*R332+((R333/(R333-R332))-(R332/(R333-R332))*R335)*((U317)-R332))*(J316*2))-(((R333/(R333-R332))*((U317)-R332))*J316),2),ROUND(IF((U317)&gt;S317,S317*J316,U317*J316),2)))</f>
        <v>0</v>
      </c>
      <c r="K317" s="64">
        <f>IF(B317=0,0,IF(AND(H308="ja",((U317)&lt;R333)),ROUND(((R335*R332+((R333/(R333-R332))-(R332/(R333-R332))*R335)*((U317)-R332))*(K316*2))-(((R333/(R333-R332))*((U317)-R332))*K316),2),ROUND(IF((U317)&gt;R317,R317*K316,U317*K316),2)))</f>
        <v>0</v>
      </c>
      <c r="L317" s="64">
        <f>IF(B317=0,0,IF(AND(H308="ja",((U317-C317)&lt;R333)),ROUND(((R335*R332+((R333/(R333-R332))-(R332/(R333-R332))*R335)*((U317-C317)-R332))*(L316)),2),ROUND(IF((SUM(B317:F317))&gt;S317,S317*L316,(SUM(B317:F317)-C317)*L316),2)))</f>
        <v>0</v>
      </c>
      <c r="M317" s="64">
        <f>IF(B317=0,0,IF(AND(H308="ja",((U317-C317)&lt;R333)),ROUND(((R335*R332+((R333/(R333-R332))-(R332/(R333-R332))*R335)*((U317-C317)-R332))*(M316)),2),ROUND(IF((SUM(B317:F317))&gt;S317,S317*M316,(SUM(B317:F317)-C317)*M316),2)))</f>
        <v>0</v>
      </c>
      <c r="N317" s="64">
        <f>IF(B317=0,0,IF(AND(H308="ja",((U317)&lt;R333)),ROUND(((R335*R332+((R333/(R333-R332))-(R332/(R333-R332))*R335)*((U317)-R332))*(N316)),2),ROUND(IF((SUM(B317:F317))&gt;S317,S317*N316,SUM(B317:F317)*N316),2)))</f>
        <v>0</v>
      </c>
      <c r="O317" s="21">
        <f>ROUND(SUM(B317+C317+F317)*O316,2)</f>
        <v>0</v>
      </c>
      <c r="P317" s="25">
        <f>SUM(G317:O317)</f>
        <v>0</v>
      </c>
      <c r="Q317" s="456"/>
      <c r="R317" s="140">
        <f>ROUND(IF(M295="",R311,R311/M295*P294),2)</f>
        <v>5175</v>
      </c>
      <c r="S317" s="140">
        <f>ROUND(IF(M295="",R312,R312/M295*P294),2)</f>
        <v>7450</v>
      </c>
      <c r="U317" s="950">
        <f>SUM(B317:F317)</f>
        <v>0</v>
      </c>
      <c r="V317" s="950">
        <f>SUM(B317:F317)</f>
        <v>0</v>
      </c>
    </row>
    <row r="318" spans="1:22" x14ac:dyDescent="0.2">
      <c r="A318" s="76" t="str">
        <f>CONCATENATE("Feb ",O293)</f>
        <v>Feb 2025</v>
      </c>
      <c r="B318" s="22">
        <f>ROUND(IF(P295=0,0,IFERROR(((LOOKUP(2,1/(A302:A305=A318),G302:G305))*P295*4.348),B317/P294*P295)),2)</f>
        <v>0</v>
      </c>
      <c r="C318" s="21">
        <f>ROUND(IFERROR((LOOKUP(2,1/(A308=A318),E308)),0)+IFERROR((LOOKUP(2,1/(A309=A318),E309)),0),2)</f>
        <v>0</v>
      </c>
      <c r="D318" s="21">
        <f>ROUND(IF(B318=0,0,D316/M295*P295),2)</f>
        <v>0</v>
      </c>
      <c r="E318" s="21">
        <f>ROUND(IF(B318=0,0,E316/N291*P295),2)</f>
        <v>0</v>
      </c>
      <c r="F318" s="22">
        <f>ROUND(IF(P295=0,0,IFERROR(((LOOKUP(2,1/(A302:A305=A318),I302:I305))/N291*P295),F317/P294*P295)),2)</f>
        <v>0</v>
      </c>
      <c r="G318" s="25">
        <f t="shared" si="45"/>
        <v>0</v>
      </c>
      <c r="H318" s="64">
        <f>IF(B318=0,0,IF(AND(H308="ja",((U318)&lt;R333)),ROUND(((R335*R332+((R333/(R333-R332))-(R332/(R333-R332))*R335)*((U318)-R332))*(H316*2))-(((R333/(R333-R332))*((U318)-R332))*H316),2),ROUND(IF(U317&lt;(R317),IF((V318)&gt;(SUM(R317:R318)),(((SUM(R317:R318))-(V318-C317))*H316)+((U318-C317)*H316),U318*H316),IF(V318&gt;(SUM(R317:R318)),R318*H316,U318*H316)),2)))</f>
        <v>0</v>
      </c>
      <c r="I318" s="64">
        <f>IF(B318=0,0,IF(AND(H308="ja",((U318)&lt;R333)),ROUND(((R335*R332+((R333/(R333-R332))-(R332/(R333-R332))*R335)*((U318)-R332))*(I316*2))-(((R333/(R333-R332))*((U318)-R332))*I316),2),ROUND(IF(U317&lt;(S317),IF((V318)&gt;(SUM(S317:S318)),(((SUM(S317:S318))-(V318-C317))*I316)+((U318-C317)*I316),U318*I316),IF(V318&gt;(SUM(S317:S318)),S318*I316,U318*I316)),2)))</f>
        <v>0</v>
      </c>
      <c r="J318" s="64">
        <f>IF(B318=0,0,IF(AND(H308="ja",((U318)&lt;R333)),ROUND(((R335*R332+((R333/(R333-R332))-(R332/(R333-R332))*R335)*((U318)-R332))*(J316*2))-(((R333/(R333-R332))*((U318)-R332))*J316),2),ROUND(IF(U317&lt;(S317),IF((V318)&gt;(SUM(S317:S318)),(((SUM(S317:S318))-(V318-C317))*J316)+((U318-C317)*J316),U318*J316),IF(V318&gt;(SUM(S317:S318)),S318*J316,U318*J316)),2)))</f>
        <v>0</v>
      </c>
      <c r="K318" s="64">
        <f>IF(B318=0,0,IF(AND(H308="ja",((U318)&lt;R333)),ROUND(((R335*R332+((R333/(R333-R332))-(R332/(R333-R332))*R335)*((U318)-R332))*(K316*2))-(((R333/(R333-R332))*((U318)-R332))*K316),2),ROUND(IF(U317&lt;(R317),IF((V318)&gt;(SUM(R317:R318)),(((SUM(R317:R318))-(V318-C317))*K316)+((U318-C317)*K316),U318*K316),IF(V318&gt;(SUM(R317:R318)),R318*K316,U318*K316)),2)))</f>
        <v>0</v>
      </c>
      <c r="L318" s="64">
        <f>IF(B318=0,0,IF(AND(H308="ja",((U318-C318)&lt;R333)),ROUND(((R335*R332+((R333/(R333-R332))-(R332/(R333-R332))*R335)*((U318-C318)-R332))*(L316)),2),ROUND(IF(SUM(B317:F317)&lt;(S317),IF((SUM(B317:F318))&gt;(SUM(S317:S318)),(((SUM(S317:S318))-(SUM(B317:F318)-C318))*L316)+((SUM(B318:F318)-C318)*L316),(SUM(B318:F318)-C318)*L316),IF(SUM(B317:F318)&gt;(SUM(S317:S318)),S318*L316,SUM(B318:F318)*L316)),2)))</f>
        <v>0</v>
      </c>
      <c r="M318" s="64">
        <f>IF(B318=0,0,IF(AND(H308="ja",((U318-C318)&lt;R333)),ROUND(((R335*R332+((R333/(R333-R332))-(R332/(R333-R332))*R335)*((U318-C318)-R332))*(M316)),2),ROUND(IF(SUM(B317:F317)&lt;(S317),IF((SUM(B317:F318))&gt;(SUM(S317:S318)),(((SUM(S317:S318))-(SUM(B317:F318)-C318))*M316)+((SUM(B318:F318)-C318)*M316),(SUM(B318:F318)-C318)*M316),IF(SUM(B317:F318)&gt;(SUM(S317:S318)),S318*M316,SUM(B318:F318)*M316)),2)))</f>
        <v>0</v>
      </c>
      <c r="N318" s="64">
        <f>IF(B318=0,0,IF(AND(H308="ja",((U318)&lt;R333)),ROUND(((R335*R332+((R333/(R333-R332))-(R332/(R333-R332))*R335)*((U318)-R332))*(N316)),2),ROUND(IF(SUM(B317:F317)&lt;(S317),IF((SUM(B317:F318))&gt;(SUM(S317:S318)),(((SUM(S317:S318))-(SUM(B317:F318)-C317))*N316)+((SUM(B318:F318)-C317)*N316),SUM(B318:F318)*N316),IF(SUM(B317:F318)&gt;(SUM(S317:S318)),S318*N316,SUM(B318:F318)*N316)),2)))</f>
        <v>0</v>
      </c>
      <c r="O318" s="21">
        <f>ROUND(SUM(B318+C318+F318)*O316,2)</f>
        <v>0</v>
      </c>
      <c r="P318" s="25">
        <f t="shared" ref="P318:P328" si="46">SUM(G318:O318)</f>
        <v>0</v>
      </c>
      <c r="Q318" s="456"/>
      <c r="R318" s="140">
        <f>ROUND(IF(M295="",R311,R311/M295*P295),2)</f>
        <v>5175</v>
      </c>
      <c r="S318" s="140">
        <f>ROUND(IF(M295="",R312,R312/M295*P295),2)</f>
        <v>7450</v>
      </c>
      <c r="U318" s="950">
        <f t="shared" ref="U318:U328" si="47">SUM(B318:F318)</f>
        <v>0</v>
      </c>
      <c r="V318" s="950">
        <f>SUM(B317:F318)</f>
        <v>0</v>
      </c>
    </row>
    <row r="319" spans="1:22" x14ac:dyDescent="0.2">
      <c r="A319" s="76" t="str">
        <f>CONCATENATE("Mrz ",O293)</f>
        <v>Mrz 2025</v>
      </c>
      <c r="B319" s="22">
        <f>ROUND(IF(P296=0,0,IFERROR(((LOOKUP(2,1/(A302:A305=A319),G302:G305))*P296*4.348),B318/P295*P296)),2)</f>
        <v>0</v>
      </c>
      <c r="C319" s="21">
        <f>ROUND(IFERROR((LOOKUP(2,1/(A308=A319),E308)),0)+IFERROR((LOOKUP(2,1/(A309=A319),E309)),0),2)</f>
        <v>0</v>
      </c>
      <c r="D319" s="21">
        <f>ROUND(IF(B319=0,0,D316/M295*P296),2)</f>
        <v>0</v>
      </c>
      <c r="E319" s="21">
        <f>ROUND(IF(B319=0,0,E316/N291*P296),2)</f>
        <v>0</v>
      </c>
      <c r="F319" s="22">
        <f>ROUND(IF(P296=0,0,IFERROR(((LOOKUP(2,1/(A302:A305=A319),I302:I305))/N291*P296),F318/P295*P296)),2)</f>
        <v>0</v>
      </c>
      <c r="G319" s="25">
        <f t="shared" si="45"/>
        <v>0</v>
      </c>
      <c r="H319" s="64">
        <f>IF(B319=0,0,IF(AND(H308="ja",((U319)&lt;R333)),ROUND(((R335*R332+((R333/(R333-R332))-(R332/(R333-R332))*R335)*((U319)-R332))*(H316*2))-(((R333/(R333-R332))*((U319)-R332))*H316),2),ROUND(IF(V318&lt;(SUM(R317:R318)),IF((V319)&gt;(SUM(R317:R319)),(((SUM(R317:R319))-(V319-C318))*H316)+((U319-C318)*H316),U319*H316),IF(V319&gt;(SUM(R317:R319)),R319*H316,U319*H316)),2)))</f>
        <v>0</v>
      </c>
      <c r="I319" s="64">
        <f>IF(B319=0,0,IF(AND(H308="ja",((U319)&lt;R333)),ROUND(((R335*R332+((R333/(R333-R332))-(R332/(R333-R332))*R335)*((U319)-R332))*(I316*2))-(((R333/(R333-R332))*((U319)-R332))*I316),2),ROUND(IF(V318&lt;(SUM(S317:S318)),IF((V319)&gt;(SUM(S317:S319)),(((SUM(S317:S319))-(V319-C318))*I316)+((U319-C318)*I316),U319*I316),IF(V319&gt;(SUM(S317:S319)),S319*I316,U319*I316)),2)))</f>
        <v>0</v>
      </c>
      <c r="J319" s="64">
        <f>IF(B319=0,0,IF(AND(H308="ja",((U319)&lt;R333)),ROUND(((R335*R332+((R333/(R333-R332))-(R332/(R333-R332))*R335)*((U319)-R332))*(J316*2))-(((R333/(R333-R332))*((U319)-R332))*J316),2),ROUND(IF(V318&lt;(SUM(S317:S318)),IF((V319)&gt;(SUM(S317:S319)),(((SUM(S317:S319))-(V319-C318))*J316)+((U319-C318)*J316),U319*J316),IF(V319&gt;(SUM(S317:S319)),S319*J316,U319*J316)),2)))</f>
        <v>0</v>
      </c>
      <c r="K319" s="64">
        <f>IF(B319=0,0,IF(AND(H308="ja",((U319)&lt;R333)),ROUND(((R335*R332+((R333/(R333-R332))-(R332/(R333-R332))*R335)*((U319)-R332))*(K316*2))-(((R333/(R333-R332))*((U319)-R332))*K316),2),ROUND(IF(V318&lt;(SUM(R317:R318)),IF((V319)&gt;(SUM(R317:R319)),(((SUM(R317:R319))-(V319-C318))*K316)+((U319-C318)*K316),U319*K316),IF(V319&gt;(SUM(R317:R319)),R319*K316,U319*K316)),2)))</f>
        <v>0</v>
      </c>
      <c r="L319" s="64">
        <f>IF(B319=0,0,IF(AND(H308="ja",((U319-C319)&lt;R333)),ROUND(((R335*R332+((R333/(R333-R332))-(R332/(R333-R332))*R335)*((U319-C319)-R332))*(L316)),2),ROUND(IF(SUM(B317:F318)&lt;(SUM(S317:S318)),IF((SUM(B317:F319))&gt;(SUM(S317:S319)),(((SUM(S317:S319))-(SUM(B317:F319)-C319))*L316)+((SUM(B319:F319)-C319)*L316),(SUM(B319:F319)-C319)*L316),IF(SUM(B317:F319)&gt;(SUM(S317:S319)),S319*L316,SUM(B319:F319)*L316)),2)))</f>
        <v>0</v>
      </c>
      <c r="M319" s="64">
        <f>IF(B319=0,0,IF(AND(H308="ja",((U319-C319)&lt;R333)),ROUND(((R335*R332+((R333/(R333-R332))-(R332/(R333-R332))*R335)*((U319-C319)-R332))*(M316)),2),ROUND(IF(SUM(B317:F318)&lt;(SUM(S317:S318)),IF((SUM(B317:F319))&gt;(SUM(S317:S319)),(((SUM(S317:S319))-(SUM(B317:F319)-C319))*M316)+((SUM(B319:F319)-C319)*M316),(SUM(B319:F319)-C319)*M316),IF(SUM(B317:F319)&gt;(SUM(S317:S319)),S319*M316,SUM(B319:F319)*M316)),2)))</f>
        <v>0</v>
      </c>
      <c r="N319" s="64">
        <f>IF(B319=0,0,IF(AND(H308="ja",((U319)&lt;R333)),ROUND(((R335*R332+((R333/(R333-R332))-(R332/(R333-R332))*R335)*((U319)-R332))*(N316)),2),ROUND(IF(SUM(B317:F318)&lt;(SUM(S317:S318)),IF((SUM(B317:F319))&gt;(SUM(S317:S319)),(((SUM(S317:S319))-(SUM(B317:F319)-C318))*N316)+((SUM(B319:F319)-C318)*N316),SUM(B319:F319)*N316),IF(SUM(B317:F319)&gt;(SUM(S317:S319)),S319*N316,SUM(B319:F319)*N316)),2)))</f>
        <v>0</v>
      </c>
      <c r="O319" s="21">
        <f>ROUND(SUM(B319+C319+F319)*O316,2)</f>
        <v>0</v>
      </c>
      <c r="P319" s="25">
        <f t="shared" si="46"/>
        <v>0</v>
      </c>
      <c r="Q319" s="456"/>
      <c r="R319" s="140">
        <f>ROUND(IF(M295="",R311,R311/M295*P296),2)</f>
        <v>5175</v>
      </c>
      <c r="S319" s="140">
        <f>ROUND(IF(M295="",R312,R312/M295*P296),2)</f>
        <v>7450</v>
      </c>
      <c r="U319" s="950">
        <f t="shared" si="47"/>
        <v>0</v>
      </c>
      <c r="V319" s="950">
        <f>SUM(B317:F319)</f>
        <v>0</v>
      </c>
    </row>
    <row r="320" spans="1:22" x14ac:dyDescent="0.2">
      <c r="A320" s="76" t="str">
        <f>CONCATENATE("Apr ",O293)</f>
        <v>Apr 2025</v>
      </c>
      <c r="B320" s="22">
        <f>ROUND(IF(P297=0,0,IFERROR(((LOOKUP(2,1/(A302:A305=A320),G302:G305))*P297*4.348),B319/P296*P297)),2)</f>
        <v>0</v>
      </c>
      <c r="C320" s="21">
        <f>ROUND(IFERROR((LOOKUP(2,1/(A308=A320),E308)),0)+IFERROR((LOOKUP(2,1/(A309=A320),E309)),0),2)</f>
        <v>0</v>
      </c>
      <c r="D320" s="21">
        <f>ROUND(IF(B320=0,0,D316/M295*P297),2)</f>
        <v>0</v>
      </c>
      <c r="E320" s="21">
        <f>ROUND(IF(B320=0,0,E316/N291*P297),2)</f>
        <v>0</v>
      </c>
      <c r="F320" s="22">
        <f>ROUND(IF(P297=0,0,IFERROR(((LOOKUP(2,1/(A302:A305=A320),I302:I305))/N291*P297),F319/P296*P297)),2)</f>
        <v>0</v>
      </c>
      <c r="G320" s="25">
        <f t="shared" si="45"/>
        <v>0</v>
      </c>
      <c r="H320" s="64">
        <f>IF(B320=0,0,IF(AND(H308="ja",((U320)&lt;R333)),ROUND(((R335*R332+((R333/(R333-R332))-(R332/(R333-R332))*R335)*((U320)-R332))*(H316*2))-(((R333/(R333-R332))*((U320)-R332))*H316),2),ROUND(IF(V319&lt;(SUM(R317:R319)),IF((V320)&gt;(SUM(R317:R320)),(((SUM(R317:R320))-(V320-C319))*H316)+((U320-C319)*H316),U320*H316),IF(V320&gt;(SUM(R317:R320)),R320*H316,U320*H316)),2)))</f>
        <v>0</v>
      </c>
      <c r="I320" s="64">
        <f>IF(B320=0,0,IF(AND(H308="ja",((U320)&lt;R333)),ROUND(((R335*R332+((R333/(R333-R332))-(R332/(R333-R332))*R335)*((U320)-R332))*(I316*2))-(((R333/(R333-R332))*((U320)-R332))*I316),2),ROUND(IF(V319&lt;(SUM(S317:S319)),IF((V320)&gt;(SUM(S317:S320)),(((SUM(S317:S320))-(V320-C319))*I316)+((U320-C319)*I316),U320*I316),IF(V320&gt;(SUM(S317:S320)),S320*I316,U320*I316)),2)))</f>
        <v>0</v>
      </c>
      <c r="J320" s="64">
        <f>IF(B320=0,0,IF(AND(H308="ja",((U320)&lt;R333)),ROUND(((R335*R332+((R333/(R333-R332))-(R332/(R333-R332))*R335)*((U320)-R332))*(J316*2))-(((R333/(R333-R332))*((U320)-R332))*J316),2),ROUND(IF(U319&lt;(SUM(S317:S319)),IF((V320)&gt;(SUM(S317:S320)),(((SUM(S317:S320))-(V320-C319))*J316)+((U320-C319)*J316),U320*J316),IF(V320&gt;(SUM(S317:S320)),S320*J316,U320*J316)),2)))</f>
        <v>0</v>
      </c>
      <c r="K320" s="64">
        <f>IF(B320=0,0,IF(AND(H308="ja",((U320)&lt;R333)),ROUND(((R335*R332+((R333/(R333-R332))-(R332/(R333-R332))*R335)*((U320)-R332))*(K316*2))-(((R333/(R333-R332))*((U320)-R332))*K316),2),ROUND(IF(V319&lt;(SUM(R317:R319)),IF((V320)&gt;(SUM(R317:R320)),(((SUM(R317:R320))-(V320-C319))*K316)+((U320-C319)*K316),U320*K316),IF(V320&gt;(SUM(R317:R320)),R320*K316,U320*K316)),2)))</f>
        <v>0</v>
      </c>
      <c r="L320" s="64">
        <f>IF(B320=0,0,IF(AND(H308="ja",((U320-C320)&lt;R333)),ROUND(((R335*R332+((R333/(R333-R332))-(R332/(R333-R332))*R335)*((U320-C320)-R332))*(L316)),2),ROUND(IF(SUM(B317:F319)&lt;(SUM(S317:S319)),IF((SUM(B317:F320))&gt;(SUM(S317:S320)),(((SUM(S317:S320))-(SUM(B317:F320)-C320))*L316)+((SUM(B320:F320)-C320)*L316),(SUM(B320:F320)-C320)*L316),IF(SUM(B317:F320)&gt;(SUM(S317:S320)),S320*L316,SUM(B320:F320)*L316)),2)))</f>
        <v>0</v>
      </c>
      <c r="M320" s="64">
        <f>IF(B320=0,0,IF(AND(H308="ja",((U320-C320)&lt;R333)),ROUND(((R335*R332+((R333/(R333-R332))-(R332/(R333-R332))*R335)*((U320-C320)-R332))*(M316)),2),ROUND(IF(SUM(B317:F319)&lt;(SUM(S317:S319)),IF((SUM(B317:F320))&gt;(SUM(S317:S320)),(((SUM(S317:S320))-(SUM(B317:F320)-C320))*M316)+((SUM(B320:F320)-C320)*M316),(SUM(B320:F320)-C320)*M316),IF(SUM(B317:F320)&gt;(SUM(S317:S320)),S320*M316,SUM(B320:F320)*M316)),2)))</f>
        <v>0</v>
      </c>
      <c r="N320" s="64">
        <f>IF(B320=0,0,IF(AND(H308="ja",((U320)&lt;R333)),ROUND(((R335*R332+((R333/(R333-R332))-(R332/(R333-R332))*R335)*((U320)-R332))*(N316)),2),ROUND(IF(SUM(B317:F319)&lt;(SUM(S317:S319)),IF((SUM(B317:F320))&gt;(SUM(S317:S320)),(((SUM(S317:S320))-(SUM(B317:F320)-C319))*N316)+((SUM(B320:F320)-C319)*N316),SUM(B320:F320)*N316),IF(SUM(B317:F320)&gt;(SUM(S317:S320)),S320*N316,SUM(B320:F320)*N316)),2)))</f>
        <v>0</v>
      </c>
      <c r="O320" s="21">
        <f>ROUND(SUM(B320+C320+F320)*O316,2)</f>
        <v>0</v>
      </c>
      <c r="P320" s="25">
        <f t="shared" si="46"/>
        <v>0</v>
      </c>
      <c r="Q320" s="456"/>
      <c r="R320" s="140">
        <f>ROUND(IF(M295="",R311,R311/M295*P297),2)</f>
        <v>5175</v>
      </c>
      <c r="S320" s="140">
        <f>ROUND(IF(M295="",R312,R312/M295*P297),2)</f>
        <v>7450</v>
      </c>
      <c r="U320" s="950">
        <f t="shared" si="47"/>
        <v>0</v>
      </c>
      <c r="V320" s="950">
        <f>SUM(B317:F320)</f>
        <v>0</v>
      </c>
    </row>
    <row r="321" spans="1:24" x14ac:dyDescent="0.2">
      <c r="A321" s="76" t="str">
        <f>CONCATENATE("Mai ",O293)</f>
        <v>Mai 2025</v>
      </c>
      <c r="B321" s="22">
        <f>ROUND(IF(P298=0,0,IFERROR(((LOOKUP(2,1/(A302:A305=A321),G302:G305))*P298*4.348),B320/P297*P298)),2)</f>
        <v>0</v>
      </c>
      <c r="C321" s="21">
        <f>ROUND(IFERROR((LOOKUP(2,1/(A308=A321),E308)),0)+IFERROR((LOOKUP(2,1/(A309=A321),E309)),0),2)</f>
        <v>0</v>
      </c>
      <c r="D321" s="21">
        <f>ROUND(IF(B321=0,0,D316/M295*P298),2)</f>
        <v>0</v>
      </c>
      <c r="E321" s="21">
        <f>ROUND(IF(B321=0,0,E316/N291*P298),2)</f>
        <v>0</v>
      </c>
      <c r="F321" s="22">
        <f>ROUND(IF(P298=0,0,IFERROR(((LOOKUP(2,1/(A302:A305=A321),I302:I305))/N291*P298),F320/P297*P298)),2)</f>
        <v>0</v>
      </c>
      <c r="G321" s="25">
        <f t="shared" si="45"/>
        <v>0</v>
      </c>
      <c r="H321" s="64">
        <f>IF(B321=0,0,IF(AND(H308="ja",((U321)&lt;R333)),ROUND(((R335*R332+((R333/(R333-R332))-(R332/(R333-R332))*R335)*((U321)-R332))*(H316*2))-(((R333/(R333-R332))*((U321)-R332))*H316),2),ROUND(IF(V320&lt;(SUM(R317:R320)),IF((V321)&gt;(SUM(R317:R321)),(((SUM(R317:R321))-(V321-C320))*H316)+((U321-C320)*H316),U321*H316),IF(V321&gt;(SUM(R317:R321)),R321*H316,U321*H316)),2)))</f>
        <v>0</v>
      </c>
      <c r="I321" s="64">
        <f>IF(B321=0,0,IF(AND(H308="ja",((U321)&lt;R333)),ROUND(((R335*R332+((R333/(R333-R332))-(R332/(R333-R332))*R335)*((U321)-R332))*(I316*2))-(((R333/(R333-R332))*((U321)-R332))*I316),2),ROUND(IF(V320&lt;(SUM(S317:S320)),IF((V321)&gt;(SUM(S317:S321)),(((SUM(S317:S321))-(V321-C320))*I316)+((U321-C320)*I316),U321*I316),IF(V321&gt;(SUM(S317:S321)),S321*I316,U321*I316)),2)))</f>
        <v>0</v>
      </c>
      <c r="J321" s="64">
        <f>IF(B321=0,0,IF(AND(H308="ja",((U321)&lt;R333)),ROUND(((R335*R332+((R333/(R333-R332))-(R332/(R333-R332))*R335)*((U321)-R332))*(J316*2))-(((R333/(R333-R332))*((U321)-R332))*J316),2),ROUND(IF(V320&lt;(SUM(S317:S320)),IF((V321)&gt;(SUM(S317:S321)),(((SUM(S317:S321))-(V321-C320))*J316)+((U321-C320)*J316),U321*J316),IF(V321&gt;(SUM(S317:S321)),S321*J316,U321*J316)),2)))</f>
        <v>0</v>
      </c>
      <c r="K321" s="64">
        <f>IF(B321=0,0,IF(AND(H308="ja",((U321)&lt;R333)),ROUND(((R335*R332+((R333/(R333-R332))-(R332/(R333-R332))*R335)*((U321)-R332))*(K316*2))-(((R333/(R333-R332))*((U321)-R332))*K316),2),ROUND(IF(V320&lt;(SUM(R317:R320)),IF((V321)&gt;(SUM(R317:R321)),(((SUM(R317:R321))-(V321-C320))*K316)+((U321-C320)*K316),U321*K316),IF(V321&gt;(SUM(R317:R321)),R321*K316,U321*K316)),2)))</f>
        <v>0</v>
      </c>
      <c r="L321" s="64">
        <f>IF(B321=0,0,IF(AND(H308="ja",((U321-C321)&lt;R333)),ROUND(((R335*R332+((R333/(R333-R332))-(R332/(R333-R332))*R335)*((U321-C321)-R332))*(L316)),2),ROUND(IF(SUM(B317:F320)&lt;(SUM(S317:S320)),IF((SUM(B317:F321))&gt;(SUM(S317:S321)),(((SUM(S317:S321))-(SUM(B317:F321)-C321))*L316)+((SUM(B321:F321)-C321)*L316),(SUM(B321:F321)-C321)*L316),IF(SUM(B317:F321)&gt;(SUM(S317:S321)),S321*L316,SUM(B321:F321)*L316)),2)))</f>
        <v>0</v>
      </c>
      <c r="M321" s="64">
        <f>IF(B321=0,0,IF(AND(H308="ja",((U321-C321)&lt;R333)),ROUND(((R335*R332+((R333/(R333-R332))-(R332/(R333-R332))*R335)*((U321-C321)-R332))*(M316)),2),ROUND(IF(SUM(B317:F320)&lt;(SUM(S317:S320)),IF((SUM(B317:F321))&gt;(SUM(S317:S321)),(((SUM(S317:S321))-(SUM(B317:F321)-C321))*M316)+((SUM(B321:F321)-C321)*M316),(SUM(B321:F321)-C321)*M316),IF(SUM(B317:F321)&gt;(SUM(S317:S321)),S321*M316,SUM(B321:F321)*M316)),2)))</f>
        <v>0</v>
      </c>
      <c r="N321" s="64">
        <f>IF(B321=0,0,IF(AND(H308="ja",((U321)&lt;R333)),ROUND(((R335*R332+((R333/(R333-R332))-(R332/(R333-R332))*R335)*((U321)-R332))*(N316)),2),ROUND(IF(SUM(B317:F320)&lt;(SUM(S317:S320)),IF((SUM(B317:F321))&gt;(SUM(S317:S321)),(((SUM(S317:S321))-(SUM(B317:F321)-C320))*N316)+((SUM(B321:F321)-C320)*N316),SUM(B321:F321)*N316),IF(SUM(B317:F321)&gt;(SUM(S317:S321)),S321*N316,SUM(B321:F321)*N316)),2)))</f>
        <v>0</v>
      </c>
      <c r="O321" s="21">
        <f>ROUND(SUM(B321+C321+F321)*O316,2)</f>
        <v>0</v>
      </c>
      <c r="P321" s="25">
        <f t="shared" si="46"/>
        <v>0</v>
      </c>
      <c r="Q321" s="456"/>
      <c r="R321" s="140">
        <f>ROUND(IF(M295="",R311,R311/M295*P298),2)</f>
        <v>5175</v>
      </c>
      <c r="S321" s="140">
        <f>ROUND(IF(M295="",R312,R312/M295*P298),2)</f>
        <v>7450</v>
      </c>
      <c r="U321" s="950">
        <f t="shared" si="47"/>
        <v>0</v>
      </c>
      <c r="V321" s="950">
        <f>SUM(B317:F321)</f>
        <v>0</v>
      </c>
    </row>
    <row r="322" spans="1:24" x14ac:dyDescent="0.2">
      <c r="A322" s="76" t="str">
        <f>CONCATENATE("Jun ",O293)</f>
        <v>Jun 2025</v>
      </c>
      <c r="B322" s="22">
        <f>ROUND(IF(P299=0,0,IFERROR(((LOOKUP(2,1/(A302:A305=A322),G302:G305))*P299*4.348),B321/P298*P299)),2)</f>
        <v>0</v>
      </c>
      <c r="C322" s="21">
        <f>ROUND(IFERROR((LOOKUP(2,1/(A308=A322),E308)),0)+IFERROR((LOOKUP(2,1/(A309=A322),E309)),0),2)</f>
        <v>0</v>
      </c>
      <c r="D322" s="21">
        <f>ROUND(IF(B322=0,0,D316/M295*P299),2)</f>
        <v>0</v>
      </c>
      <c r="E322" s="21">
        <f>ROUND(IF(B322=0,0,E316/N291*P299),2)</f>
        <v>0</v>
      </c>
      <c r="F322" s="22">
        <f>ROUND(IF(P299=0,0,IFERROR(((LOOKUP(2,1/(A302:A305=A322),I302:I305))/N291*P299),F321/P298*P299)),2)</f>
        <v>0</v>
      </c>
      <c r="G322" s="25">
        <f t="shared" si="45"/>
        <v>0</v>
      </c>
      <c r="H322" s="64">
        <f>IF(B322=0,0,IF(AND(H308="ja",((U322)&lt;R333)),ROUND(((R335*R332+((R333/(R333-R332))-(R332/(R333-R332))*R335)*((U322)-R332))*(H316*2))-(((R333/(R333-R332))*((U322)-R332))*H316),2),ROUND(IF(V321&lt;(SUM(R317:R321)),IF((V322)&gt;(SUM(R317:R322)),(((SUM(R317:R322))-(V322-C321))*H316)+((U322-C321)*H316),U322*H316),IF(V322&gt;(SUM(R317:R322)),R322*H316,U322*H316)),2)))</f>
        <v>0</v>
      </c>
      <c r="I322" s="64">
        <f>IF(B322=0,0,IF(AND(H308="ja",((U322)&lt;R333)),ROUND(((R335*R332+((R333/(R333-R332))-(R332/(R333-R332))*R335)*((U322)-R332))*(I316*2))-(((R333/(R333-R332))*((U322)-R332))*I316),2),ROUND(IF(V321&lt;(SUM(S317:S321)),IF((V322)&gt;(SUM(S317:S322)),(((SUM(S317:S322))-(V322-C321))*I316)+((U322-C321)*I316),U322*I316),IF(V322&gt;(SUM(S317:S322)),S322*I316,U322*I316)),2)))</f>
        <v>0</v>
      </c>
      <c r="J322" s="64">
        <f>IF(B322=0,0,IF(AND(H308="ja",((U322)&lt;R333)),ROUND(((R335*R332+((R333/(R333-R332))-(R332/(R333-R332))*R335)*((U322)-R332))*(J316*2))-(((R333/(R333-R332))*((U322)-R332))*J316),2),ROUND(IF(V321&lt;(SUM(S317:S321)),IF((V322)&gt;(SUM(S317:S322)),(((SUM(S317:S322))-(V322-C321))*J316)+((U322-C321)*J316),U322*J316),IF(V322&gt;(SUM(S317:S322)),S322*J316,U322*J316)),2)))</f>
        <v>0</v>
      </c>
      <c r="K322" s="64">
        <f>IF(B322=0,0,IF(AND(H308="ja",((U322)&lt;R333)),ROUND(((R335*R332+((R333/(R333-R332))-(R332/(R333-R332))*R335)*((U322)-R332))*(K316*2))-(((R333/(R333-R332))*((U322)-R332))*K316),2),ROUND(IF(V321&lt;(SUM(R317:R321)),IF((V322)&gt;(SUM(R317:R322)),(((SUM(R317:R322))-(V322-C321))*K316)+((U322-C321)*K316),U322*K316),IF(V322&gt;(SUM(R317:R322)),R322*K316,U322*K316)),2)))</f>
        <v>0</v>
      </c>
      <c r="L322" s="64">
        <f>IF(B322=0,0,IF(AND(H308="ja",((U322-C322)&lt;R333)),ROUND(((R335*R332+((R333/(R333-R332))-(R332/(R333-R332))*R335)*((U322-C322)-R332))*(L316)),2),ROUND(IF(SUM(B317:F321)&lt;(SUM(S317:S321)),IF((SUM(B317:F322))&gt;(SUM(S317:S322)),(((SUM(S317:S322))-(SUM(B317:F322)-C322))*L316)+((SUM(B322:F322)-C322)*L316),(SUM(B322:F322)-C322)*L316),IF(SUM(B317:F322)&gt;(SUM(S317:S322)),S322*L316,SUM(B322:F322)*L316)),2)))</f>
        <v>0</v>
      </c>
      <c r="M322" s="64">
        <f>IF(B322=0,0,IF(AND(H308="ja",((U322-C322)&lt;R333)),ROUND(((R335*R332+((R333/(R333-R332))-(R332/(R333-R332))*R335)*((U322-C322)-R332))*(M316)),2),ROUND(IF(SUM(B317:F321)&lt;(SUM(S317:S321)),IF((SUM(B317:F322))&gt;(SUM(S317:S322)),(((SUM(S317:S322))-(SUM(B317:F322)-C322))*M316)+((SUM(B322:F322)-C322)*M316),(SUM(B322:F322)-C322)*M316),IF(SUM(B317:F322)&gt;(SUM(S317:S322)),S322*M316,SUM(B322:F322)*M316)),2)))</f>
        <v>0</v>
      </c>
      <c r="N322" s="64">
        <f>IF(B322=0,0,IF(AND(H308="ja",((U322)&lt;R333)),ROUND(((R335*R332+((R333/(R333-R332))-(R332/(R333-R332))*R335)*((U322)-R332))*(N316)),2),ROUND(IF(SUM(B317:F321)&lt;(SUM(S317:S321)),IF((SUM(B317:F322))&gt;(SUM(S317:S322)),(((SUM(S317:S322))-(SUM(B317:F322)-C321))*N316)+((SUM(B322:F322)-C321)*N316),SUM(B322:F322)*N316),IF(SUM(B317:F322)&gt;(SUM(S317:S322)),S322*N316,SUM(B322:F322)*N316)),2)))</f>
        <v>0</v>
      </c>
      <c r="O322" s="21">
        <f>ROUND(SUM(B322+C322+F322)*O316,2)</f>
        <v>0</v>
      </c>
      <c r="P322" s="25">
        <f t="shared" si="46"/>
        <v>0</v>
      </c>
      <c r="Q322" s="456"/>
      <c r="R322" s="140">
        <f>ROUND(IF(M295="",R311,R311/M295*P299),2)</f>
        <v>5175</v>
      </c>
      <c r="S322" s="140">
        <f>ROUND(IF(M295="",R312,R312/M295*P299),2)</f>
        <v>7450</v>
      </c>
      <c r="U322" s="950">
        <f t="shared" si="47"/>
        <v>0</v>
      </c>
      <c r="V322" s="950">
        <f>SUM(B317:F322)</f>
        <v>0</v>
      </c>
    </row>
    <row r="323" spans="1:24" x14ac:dyDescent="0.2">
      <c r="A323" s="76" t="str">
        <f>CONCATENATE("Jul ",O293)</f>
        <v>Jul 2025</v>
      </c>
      <c r="B323" s="22">
        <f>ROUND(IF(P300=0,0,IFERROR(((LOOKUP(2,1/(A302:A305=A323),G302:G305))*P300*4.348),B322/P299*P300)),2)</f>
        <v>0</v>
      </c>
      <c r="C323" s="21">
        <f>ROUND(IFERROR((LOOKUP(2,1/(A308=A323),E308)),0)+IFERROR((LOOKUP(2,1/(A309=A323),E309)),0),2)</f>
        <v>0</v>
      </c>
      <c r="D323" s="21">
        <f>ROUND(IF(B323=0,0,D316/M295*P300),2)</f>
        <v>0</v>
      </c>
      <c r="E323" s="21">
        <f>ROUND(IF(B323=0,0,E316/N291*P300),2)</f>
        <v>0</v>
      </c>
      <c r="F323" s="22">
        <f>ROUND(IF(P300=0,0,IFERROR(((LOOKUP(2,1/(A302:A305=A323),I302:I305))/N291*P300),F322/P299*P300)),2)</f>
        <v>0</v>
      </c>
      <c r="G323" s="25">
        <f t="shared" si="45"/>
        <v>0</v>
      </c>
      <c r="H323" s="64">
        <f>IF(B323=0,0,IF(AND(H308="ja",((U323)&lt;R333)),ROUND(((R335*R332+((R333/(R333-R332))-(R332/(R333-R332))*R335)*((U323)-R332))*(H316*2))-(((R333/(R333-R332))*((U323)-R332))*H316),2),ROUND(IF(V322&lt;(SUM(R317:R322)),IF((V323)&gt;(SUM(R317:R323)),(((SUM(R317:R323))-(V323-C322))*H316)+((U323-C322)*H316),U323*H316),IF(V323&gt;(SUM(R317:R323)),R323*H316,U323*H316)),2)))</f>
        <v>0</v>
      </c>
      <c r="I323" s="64">
        <f>IF(B323=0,0,IF(AND(H308="ja",((U323)&lt;R333)),ROUND(((R335*R332+((R333/(R333-R332))-(R332/(R333-R332))*R335)*((U323)-R332))*(I316*2))-(((R333/(R333-R332))*((U323)-R332))*I316),2),ROUND(IF(V322&lt;(SUM(S317:S322)),IF((V323)&gt;(SUM(S317:S323)),(((SUM(S317:S323))-(V323-C322))*I316)+((U323-C322)*I316),U323*I316),IF(V323&gt;(SUM(S317:S323)),S323*I316,U323*I316)),2)))</f>
        <v>0</v>
      </c>
      <c r="J323" s="64">
        <f>IF(B323=0,0,IF(AND(H308="ja",((U323)&lt;R333)),ROUND(((R335*R332+((R333/(R333-R332))-(R332/(R333-R332))*R335)*((U323)-R332))*(J316*2))-(((R333/(R333-R332))*((U323)-R332))*J316),2),ROUND(IF(V322&lt;(SUM(S317:S322)),IF((V323)&gt;(SUM(S317:S323)),(((SUM(S317:S323))-(V323-C322))*J316)+((U323-C322)*J316),U323*J316),IF(V323&gt;(SUM(S317:S323)),S323*J316,U323*J316)),2)))</f>
        <v>0</v>
      </c>
      <c r="K323" s="64">
        <f>IF(B323=0,0,IF(AND(H308="ja",((U323)&lt;R333)),ROUND(((R335*R332+((R333/(R333-R332))-(R332/(R333-R332))*R335)*((U323)-R332))*(K316*2))-(((R333/(R333-R332))*((U323)-R332))*K316),2),ROUND(IF(V322&lt;(SUM(R317:R322)),IF((V323)&gt;(SUM(R317:R323)),(((SUM(R317:R323))-(V323-C322))*K316)+((U323-C322)*K316),U323*K316),IF(V323&gt;(SUM(R317:R323)),R323*K316,U323*K316)),2)))</f>
        <v>0</v>
      </c>
      <c r="L323" s="64">
        <f>IF(B323=0,0,IF(AND(H308="ja",((U323-C323)&lt;R333)),ROUND(((R335*R332+((R333/(R333-R332))-(R332/(R333-R332))*R335)*((U323-C323)-R332))*(L316)),2),ROUND(IF(SUM(B317:F322)&lt;(SUM(S317:S322)),IF((SUM(B317:F323))&gt;(SUM(S317:S323)),(((SUM(S317:S323))-(SUM(B317:F323)-C323))*L316)+((SUM(B323:F323)-C323)*L316),(SUM(B323:F323)-C323)*L316),IF(SUM(B317:F323)&gt;(SUM(S317:S323)),S323*L316,SUM(B323:F323)*L316)),2)))</f>
        <v>0</v>
      </c>
      <c r="M323" s="64">
        <f>IF(B323=0,0,IF(AND(H308="ja",((U323-C323)&lt;R333)),ROUND(((R335*R332+((R333/(R333-R332))-(R332/(R333-R332))*R335)*((U323-C323)-R332))*(M316)),2),ROUND(IF(SUM(B317:F322)&lt;(SUM(S317:S322)),IF((SUM(B317:F323))&gt;(SUM(S317:S323)),(((SUM(S317:S323))-(SUM(B317:F323)-C323))*M316)+((SUM(B323:F323)-C323)*M316),(SUM(B323:F323)-C323)*M316),IF(SUM(B317:F323)&gt;(SUM(S317:S323)),S323*M316,SUM(B323:F323)*M316)),2)))</f>
        <v>0</v>
      </c>
      <c r="N323" s="64">
        <f>IF(B323=0,0,IF(AND(H308="ja",((U323)&lt;R333)),ROUND(((R335*R332+((R333/(R333-R332))-(R332/(R333-R332))*R335)*((U323)-R332))*(N316)),2),ROUND(IF(SUM(B317:F322)&lt;(SUM(S317:S322)),IF((SUM(B317:F323))&gt;(SUM(S317:S323)),(((SUM(S317:S323))-(SUM(B317:F323)-C322))*N316)+((SUM(B323:F323)-C322)*N316),SUM(B323:F323)*N316),IF(SUM(B317:F323)&gt;(SUM(S317:S323)),S323*N316,SUM(B323:F323)*N316)),2)))</f>
        <v>0</v>
      </c>
      <c r="O323" s="21">
        <f>ROUND(SUM(B323+C323+F323)*O316,2)</f>
        <v>0</v>
      </c>
      <c r="P323" s="25">
        <f t="shared" si="46"/>
        <v>0</v>
      </c>
      <c r="Q323" s="456"/>
      <c r="R323" s="140">
        <f>ROUND(IF(M295="",R311,R311/M295*P300),2)</f>
        <v>5175</v>
      </c>
      <c r="S323" s="140">
        <f>ROUND(IF(M295="",R312,R312/M295*P300),2)</f>
        <v>7450</v>
      </c>
      <c r="U323" s="950">
        <f t="shared" si="47"/>
        <v>0</v>
      </c>
      <c r="V323" s="950">
        <f>SUM(B317:F323)</f>
        <v>0</v>
      </c>
    </row>
    <row r="324" spans="1:24" x14ac:dyDescent="0.2">
      <c r="A324" s="76" t="str">
        <f>CONCATENATE("Aug ",O293)</f>
        <v>Aug 2025</v>
      </c>
      <c r="B324" s="22">
        <f>ROUND(IF(P301=0,0,IFERROR(((LOOKUP(2,1/(A302:A305=A324),G302:G305))*P301*4.348),B323/P300*P301)),2)</f>
        <v>0</v>
      </c>
      <c r="C324" s="21">
        <f>ROUND(IFERROR((LOOKUP(2,1/(A308=A324),E308)),0)+IFERROR((LOOKUP(2,1/(A309=A324),E309)),0),2)</f>
        <v>0</v>
      </c>
      <c r="D324" s="21">
        <f>ROUND(IF(B324=0,0,D316/M295*P301),2)</f>
        <v>0</v>
      </c>
      <c r="E324" s="21">
        <f>ROUND(IF(B324=0,0,E316/N291*P301),2)</f>
        <v>0</v>
      </c>
      <c r="F324" s="22">
        <f>ROUND(IF(P301=0,0,IFERROR(((LOOKUP(2,1/(A302:A305=A324),I302:I305))/N291*P301),F323/P300*P301)),2)</f>
        <v>0</v>
      </c>
      <c r="G324" s="25">
        <f t="shared" si="45"/>
        <v>0</v>
      </c>
      <c r="H324" s="64">
        <f>IF(B324=0,0,IF(AND(H308="ja",((U324)&lt;R333)),ROUND(((R335*R332+((R333/(R333-R332))-(R332/(R333-R332))*R335)*((U324)-R332))*(H316*2))-(((R333/(R333-R332))*((U324)-R332))*H316),2),ROUND(IF(V323&lt;(SUM(R317:R323)),IF((V324)&gt;(SUM(R317:R324)),(((SUM(R317:R324))-(V324-C323))*H316)+((U324-C323)*H316),U324*H316),IF(V324&gt;(SUM(R317:R324)),R324*H316,U324*H316)),2)))</f>
        <v>0</v>
      </c>
      <c r="I324" s="64">
        <f>IF(B324=0,0,IF(AND(H308="ja",((U324)&lt;R333)),ROUND(((R335*R332+((R333/(R333-R332))-(R332/(R333-R332))*R335)*((U324)-R332))*(I316*2))-(((R333/(R333-R332))*((U324)-R332))*I316),2),ROUND(IF(V323&lt;(SUM(S317:S323)),IF((V324)&gt;(SUM(S317:S324)),(((SUM(S317:S324))-(V324-C323))*I316)+((U324-C323)*I316),U324*I316),IF(V324&gt;(SUM(S317:S324)),S324*I316,U324*I316)),2)))</f>
        <v>0</v>
      </c>
      <c r="J324" s="64">
        <f>IF(B324=0,0,IF(AND(H308="ja",((U324)&lt;R333)),ROUND(((R335*R332+((R333/(R333-R332))-(R332/(R333-R332))*R335)*((U324)-R332))*(J316*2))-(((R333/(R333-R332))*((U324)-R332))*J316),2),ROUND(IF(V323&lt;(SUM(S317:S323)),IF((V324)&gt;(SUM(S317:S324)),(((SUM(S317:S324))-(V324-C323))*J316)+((U324-C323)*J316),U324*J316),IF(V324&gt;(SUM(S317:S324)),S324*J316,U324*J316)),2)))</f>
        <v>0</v>
      </c>
      <c r="K324" s="64">
        <f>IF(B324=0,0,IF(AND(H308="ja",((U324)&lt;R333)),ROUND(((R335*R332+((R333/(R333-R332))-(R332/(R333-R332))*R335)*((U324)-R332))*(K316*2))-(((R333/(R333-R332))*((U324)-R332))*K316),2),ROUND(IF(V323&lt;(SUM(R317:R323)),IF((V324)&gt;(SUM(R317:R324)),(((SUM(R317:R324))-(V324-C323))*K316)+((U324-C323)*K316),U324*K316),IF(V324&gt;(SUM(R317:R324)),R324*K316,U324*K316)),2)))</f>
        <v>0</v>
      </c>
      <c r="L324" s="64">
        <f>IF(B324=0,0,IF(AND(H308="ja",((U324-C324)&lt;R333)),ROUND(((R335*R332+((R333/(R333-R332))-(R332/(R333-R332))*R335)*((U324-C324)-R332))*(L316)),2),ROUND(IF(SUM(B317:F323)&lt;(SUM(S317:S323)),IF((SUM(B317:F324))&gt;(SUM(S317:S324)),(((SUM(S317:S324))-(SUM(B317:F324)-C324))*L316)+((SUM(B324:F324)-C324)*L316),(SUM(B324:F324)-C324)*L316),IF(SUM(B317:F324)&gt;(SUM(S317:S324)),S324*L316,SUM(B324:F324)*L316)),2)))</f>
        <v>0</v>
      </c>
      <c r="M324" s="64">
        <f>IF(B324=0,0,IF(AND(H308="ja",((U324-C324)&lt;R333)),ROUND(((R335*R332+((R333/(R333-R332))-(R332/(R333-R332))*R335)*((U324-C324)-R332))*(M316)),2),ROUND(IF(SUM(B317:F323)&lt;(SUM(S317:S323)),IF((SUM(B317:F324))&gt;(SUM(S317:S324)),(((SUM(S317:S324))-(SUM(B317:F324)-C324))*M316)+((SUM(B324:F324)-C324)*M316),(SUM(B324:F324)-C324)*M316),IF(SUM(B317:F324)&gt;(SUM(S317:S324)),S324*M316,SUM(B324:F324)*M316)),2)))</f>
        <v>0</v>
      </c>
      <c r="N324" s="64">
        <f>IF(B324=0,0,IF(AND(H308="ja",((U324)&lt;R333)),ROUND(((R335*R332+((R333/(R333-R332))-(R332/(R333-R332))*R335)*((U324)-R332))*(N316)),2),ROUND(IF(SUM(B317:F323)&lt;(SUM(S317:S323)),IF((SUM(B317:F324))&gt;(SUM(S317:S324)),(((SUM(S317:S324))-(SUM(B317:F324)-C323))*N316)+((SUM(B324:F324)-C323)*N316),SUM(B324:F324)*N316),IF(SUM(B317:F324)&gt;(SUM(S317:S324)),S324*N316,SUM(B324:F324)*N316)),2)))</f>
        <v>0</v>
      </c>
      <c r="O324" s="21">
        <f>ROUND(SUM(B324+C324+F324)*O316,2)</f>
        <v>0</v>
      </c>
      <c r="P324" s="25">
        <f t="shared" si="46"/>
        <v>0</v>
      </c>
      <c r="Q324" s="456"/>
      <c r="R324" s="140">
        <f>ROUND(IF(M295="",R311,R311/M295*P301),2)</f>
        <v>5175</v>
      </c>
      <c r="S324" s="140">
        <f>ROUND(IF(M295="",R312,R312/M295*P301),2)</f>
        <v>7450</v>
      </c>
      <c r="U324" s="950">
        <f t="shared" si="47"/>
        <v>0</v>
      </c>
      <c r="V324" s="950">
        <f>SUM(B317:F324)</f>
        <v>0</v>
      </c>
    </row>
    <row r="325" spans="1:24" x14ac:dyDescent="0.2">
      <c r="A325" s="76" t="str">
        <f>CONCATENATE("Sep ",O293)</f>
        <v>Sep 2025</v>
      </c>
      <c r="B325" s="22">
        <f>ROUND(IF(P302=0,0,IFERROR(((LOOKUP(2,1/(A302:A305=A325),G302:G305))*P302*4.348),B324/P301*P302)),2)</f>
        <v>0</v>
      </c>
      <c r="C325" s="21">
        <f>ROUND(IFERROR((LOOKUP(2,1/(A308=A325),E308)),0)+IFERROR((LOOKUP(2,1/(A309=A325),E309)),0),2)</f>
        <v>0</v>
      </c>
      <c r="D325" s="21">
        <f>ROUND(IF(B325=0,0,D316/M295*P302),2)</f>
        <v>0</v>
      </c>
      <c r="E325" s="21">
        <f>ROUND(IF(B325=0,0,E316/N291*P302),2)</f>
        <v>0</v>
      </c>
      <c r="F325" s="22">
        <f>ROUND(IF(P302=0,0,IFERROR(((LOOKUP(2,1/(A302:A305=A325),I302:I305))/N291*P302),F324/P301*P302)),2)</f>
        <v>0</v>
      </c>
      <c r="G325" s="25">
        <f t="shared" si="45"/>
        <v>0</v>
      </c>
      <c r="H325" s="64">
        <f>IF(B325=0,0,IF(AND(H308="ja",((U325)&lt;R333)),ROUND(((R335*R332+((R333/(R333-R332))-(R332/(R333-R332))*R335)*((U325)-R332))*(H316*2))-(((R333/(R333-R332))*((U325)-R332))*H316),2),ROUND(IF(V324&lt;(SUM(R317:R324)),IF((V325)&gt;(SUM(R317:R325)),(((SUM(R317:R325))-(V325-C324))*H316)+((U325-C324)*H316),U325*H316),IF(V325&gt;(SUM(R317:R325)),R325*H316,U325*H316)),2)))</f>
        <v>0</v>
      </c>
      <c r="I325" s="64">
        <f>IF(B325=0,0,IF(AND(H308="ja",((U325)&lt;R333)),ROUND(((R335*R332+((R333/(R333-R332))-(R332/(R333-R332))*R335)*((U325)-R332))*(I316*2))-(((R333/(R333-R332))*((U325)-R332))*I316),2),ROUND(IF(V324&lt;(SUM(S317:S324)),IF((V325)&gt;(SUM(S317:S325)),(((SUM(S317:S325))-(V325-C324))*I316)+((U325-C324)*I316),U325*I316),IF(V325&gt;(SUM(S317:S325)),S325*I316,U325*I316)),2)))</f>
        <v>0</v>
      </c>
      <c r="J325" s="64">
        <f>IF(B325=0,0,IF(AND(H308="ja",((U325)&lt;R333)),ROUND(((R335*R332+((R333/(R333-R332))-(R332/(R333-R332))*R335)*((U325)-R332))*(J316*2))-(((R333/(R333-R332))*((U325)-R332))*J316),2),ROUND(IF(V324&lt;(SUM(S317:S324)),IF((V325)&gt;(SUM(S317:S325)),(((SUM(S317:S325))-(V325-C324))*J316)+((U325-C324)*J316),U325*J316),IF(V325&gt;(SUM(S317:S325)),S325*J316,U325*J316)),2)))</f>
        <v>0</v>
      </c>
      <c r="K325" s="64">
        <f>IF(B325=0,0,IF(AND(H308="ja",((U325)&lt;R333)),ROUND(((R335*R332+((R333/(R333-R332))-(R332/(R333-R332))*R335)*((U325)-R332))*(K316*2))-(((R333/(R333-R332))*((U325)-R332))*K316),2),ROUND(IF(V324&lt;(SUM(R317:R324)),IF((V325)&gt;(SUM(R317:R325)),(((SUM(R317:R325))-(V325-C324))*K316)+((U325-C324)*K316),U325*K316),IF(V325&gt;(SUM(R317:R325)),R325*K316,U325*K316)),2)))</f>
        <v>0</v>
      </c>
      <c r="L325" s="64">
        <f>IF(B325=0,0,IF(AND(H308="ja",((U325-C325)&lt;R333)),ROUND(((R335*R332+((R333/(R333-R332))-(R332/(R333-R332))*R335)*((U325-C325)-R332))*(L316)),2),ROUND(IF(SUM(B317:F324)&lt;(SUM(S317:S324)),IF((SUM(B317:F325))&gt;(SUM(S317:S325)),(((SUM(S317:S325))-(SUM(B317:F325)-C325))*L316)+((SUM(B325:F325)-C325)*L316),(SUM(B325:F325)-C325)*L316),IF(SUM(B317:F325)&gt;(SUM(S317:S325)),S325*L316,SUM(B325:F325)*L316)),2)))</f>
        <v>0</v>
      </c>
      <c r="M325" s="64">
        <f>IF(B325=0,0,IF(AND(H308="ja",((U325-C325)&lt;R333)),ROUND(((R335*R332+((R333/(R333-R332))-(R332/(R333-R332))*R335)*((U325-C325)-R332))*(M316)),2),ROUND(IF(SUM(B317:F324)&lt;(SUM(S317:S324)),IF((SUM(B317:F325))&gt;(SUM(S317:S325)),(((SUM(S317:S325))-(SUM(B317:F325)-C325))*M316)+((SUM(B325:F325)-C325)*M316),(SUM(B325:F325)-C325)*M316),IF(SUM(B317:F325)&gt;(SUM(S317:S325)),S325*M316,SUM(B325:F325)*M316)),2)))</f>
        <v>0</v>
      </c>
      <c r="N325" s="64">
        <f>IF(B325=0,0,IF(AND(H308="ja",((U325)&lt;R333)),ROUND(((R335*R332+((R333/(R333-R332))-(R332/(R333-R332))*R335)*((U325)-R332))*(N316)),2),ROUND(IF(SUM(B317:F324)&lt;(SUM(S317:S324)),IF((SUM(B317:F325))&gt;(SUM(S317:S325)),(((SUM(S317:S325))-(SUM(B317:F325)-C324))*N316)+((SUM(B325:F325)-C324)*N316),SUM(B325:F325)*N316),IF(SUM(B317:F325)&gt;(SUM(S317:S325)),S325*N316,SUM(B325:F325)*N316)),2)))</f>
        <v>0</v>
      </c>
      <c r="O325" s="21">
        <f>ROUND(SUM(B325+C325+F325)*O316,2)</f>
        <v>0</v>
      </c>
      <c r="P325" s="25">
        <f t="shared" si="46"/>
        <v>0</v>
      </c>
      <c r="Q325" s="456"/>
      <c r="R325" s="140">
        <f>ROUND(IF(M295="",R311,R311/M295*P302),2)</f>
        <v>5175</v>
      </c>
      <c r="S325" s="140">
        <f>ROUND(IF(M295="",R312,R312/M295*P302),2)</f>
        <v>7450</v>
      </c>
      <c r="U325" s="950">
        <f t="shared" si="47"/>
        <v>0</v>
      </c>
      <c r="V325" s="950">
        <f>SUM(B317:F325)</f>
        <v>0</v>
      </c>
    </row>
    <row r="326" spans="1:24" s="12" customFormat="1" ht="15" x14ac:dyDescent="0.25">
      <c r="A326" s="76" t="str">
        <f>CONCATENATE("Okt ",O293)</f>
        <v>Okt 2025</v>
      </c>
      <c r="B326" s="22">
        <f>ROUND(IF(P303=0,0,IFERROR(((LOOKUP(2,1/(A302:A305=A326),G302:G305))*P303*4.348),B325/P302*P303)),2)</f>
        <v>0</v>
      </c>
      <c r="C326" s="21">
        <f>ROUND(IFERROR((LOOKUP(2,1/(A308=A326),E308)),0)+IFERROR((LOOKUP(2,1/(A309=A326),E309)),0),2)</f>
        <v>0</v>
      </c>
      <c r="D326" s="21">
        <f>ROUND(IF(B326=0,0,D316/M295*P303),2)</f>
        <v>0</v>
      </c>
      <c r="E326" s="21">
        <f>ROUND(IF(B326=0,0,E316/N291*P303),2)</f>
        <v>0</v>
      </c>
      <c r="F326" s="22">
        <f>ROUND(IF(P303=0,0,IFERROR(((LOOKUP(2,1/(A302:A305=A326),I302:I305))/N291*P303),F325/P302*P303)),2)</f>
        <v>0</v>
      </c>
      <c r="G326" s="25">
        <f t="shared" si="45"/>
        <v>0</v>
      </c>
      <c r="H326" s="64">
        <f>IF(B326=0,0,IF(AND(H308="ja",((U326)&lt;R333)),ROUND(((R335*R332+((R333/(R333-R332))-(R332/(R333-R332))*R335)*((U326)-R332))*(H316*2))-(((R333/(R333-R332))*((U326)-R332))*H316),2),ROUND(IF(V325&lt;(SUM(R317:R325)),IF((V326)&gt;(SUM(R317:R326)),(((SUM(R317:R326))-(V326-C325))*H316)+((U326-C325)*H316),U326*H316),IF(V326&gt;(SUM(R317:R326)),R326*H316,U326*H316)),2)))</f>
        <v>0</v>
      </c>
      <c r="I326" s="64">
        <f>IF(B326=0,0,IF(AND(H308="ja",((U326)&lt;R333)),ROUND(((R335*R332+((R333/(R333-R332))-(R332/(R333-R332))*R335)*((U326)-R332))*(I316*2))-(((R333/(R333-R332))*((U326)-R332))*I316),2),ROUND(IF(V325&lt;(SUM(S317:S325)),IF((V326)&gt;(SUM(S317:S326)),(((SUM(S317:S326))-(V326-C325))*I316)+((U326-C325)*I316),U326*I316),IF(V326&gt;(SUM(S317:S326)),S326*I316,U326*I316)),2)))</f>
        <v>0</v>
      </c>
      <c r="J326" s="64">
        <f>IF(B326=0,0,IF(AND(H308="ja",((U326)&lt;R333)),ROUND(((R335*R332+((R333/(R333-R332))-(R332/(R333-R332))*R335)*((U326)-R332))*(J316*2))-(((R333/(R333-R332))*((U326)-R332))*J316),2),ROUND(IF(V325&lt;(SUM(S317:S325)),IF((V326)&gt;(SUM(S317:S326)),(((SUM(S317:S326))-(V326-C325))*J316)+((U326-C325)*J316),U326*J316),IF(V326&gt;(SUM(S317:S326)),S326*J316,U326*J316)),2)))</f>
        <v>0</v>
      </c>
      <c r="K326" s="64">
        <f>IF(B326=0,0,IF(AND(H308="ja",((U326)&lt;R333)),ROUND(((R335*R332+((R333/(R333-R332))-(R332/(R333-R332))*R335)*((U326)-R332))*(K316*2))-(((R333/(R333-R332))*((U326)-R332))*K316),2),ROUND(IF(V325&lt;(SUM(R317:R325)),IF((V326)&gt;(SUM(R317:R326)),(((SUM(R317:R326))-(V326-C325))*K316)+((U326-C325)*K316),U326*K316),IF(V326&gt;(SUM(R317:R326)),R326*K316,U326*K316)),2)))</f>
        <v>0</v>
      </c>
      <c r="L326" s="64">
        <f>IF(B326=0,0,IF(AND(H308="ja",((U326-C326)&lt;R333)),ROUND(((R335*R332+((R333/(R333-R332))-(R332/(R333-R332))*R335)*((U326-C326)-R332))*(L316)),2),ROUND(IF(SUM(B317:F325)&lt;(SUM(S317:S325)),IF((SUM(B317:F326))&gt;(SUM(S317:S326)),(((SUM(S317:S326))-(SUM(B317:F326)-C326))*L316)+((SUM(B326:F326)-C326)*L316),(SUM(B326:F326)-C326)*L316),IF(SUM(B317:F326)&gt;(SUM(S317:S326)),S326*L316,SUM(B326:F326)*L316)),2)))</f>
        <v>0</v>
      </c>
      <c r="M326" s="64">
        <f>IF(B326=0,0,IF(AND(H308="ja",((U326-C326)&lt;R333)),ROUND(((R335*R332+((R333/(R333-R332))-(R332/(R333-R332))*R335)*((U326-C326)-R332))*(M316)),2),ROUND(IF(SUM(B317:F325)&lt;(SUM(S317:S325)),IF((SUM(B317:F326))&gt;(SUM(S317:S326)),(((SUM(S317:S326))-(SUM(B317:F326)-C326))*M316)+((SUM(B326:F326)-C326)*M316),(SUM(B326:F326)-C326)*M316),IF(SUM(B317:F326)&gt;(SUM(S317:S326)),S326*M316,SUM(B326:F326)*M316)),2)))</f>
        <v>0</v>
      </c>
      <c r="N326" s="64">
        <f>IF(B326=0,0,IF(AND(H308="ja",((U326)&lt;R333)),ROUND(((R335*R332+((R333/(R333-R332))-(R332/(R333-R332))*R335)*((U326)-R332))*(N316)),2),ROUND(IF(SUM(B317:F325)&lt;(SUM(S317:S325)),IF((SUM(B317:F326))&gt;(SUM(S317:S326)),(((SUM(S317:S326))-(SUM(B317:F326)-C325))*N316)+((SUM(B326:F326)-C325)*N316),SUM(B326:F326)*N316),IF(SUM(B317:F326)&gt;(SUM(S317:S326)),S326*N316,SUM(B326:F326)*N316)),2)))</f>
        <v>0</v>
      </c>
      <c r="O326" s="21">
        <f>ROUND(SUM(B326+C326+F326)*O316,2)</f>
        <v>0</v>
      </c>
      <c r="P326" s="25">
        <f t="shared" si="46"/>
        <v>0</v>
      </c>
      <c r="Q326" s="936"/>
      <c r="R326" s="140">
        <f>ROUND(IF(M295="",R311,R311/M295*P303),2)</f>
        <v>5175</v>
      </c>
      <c r="S326" s="140">
        <f>ROUND(IF(M295="",R312,R312/M295*P303),2)</f>
        <v>7450</v>
      </c>
      <c r="U326" s="950">
        <f t="shared" si="47"/>
        <v>0</v>
      </c>
      <c r="V326" s="950">
        <f>SUM(B317:F326)</f>
        <v>0</v>
      </c>
      <c r="X326" s="1"/>
    </row>
    <row r="327" spans="1:24" s="11" customFormat="1" x14ac:dyDescent="0.2">
      <c r="A327" s="76" t="str">
        <f>CONCATENATE("Nov ",O293)</f>
        <v>Nov 2025</v>
      </c>
      <c r="B327" s="22">
        <f>ROUND(IF(P304=0,0,IFERROR(((LOOKUP(2,1/(A302:A305=A327),G302:G305))*P304*4.348),B326/P303*P304)),2)</f>
        <v>0</v>
      </c>
      <c r="C327" s="21">
        <f>ROUND(IFERROR((LOOKUP(2,1/(A308=A327),E308)),0)+(IFERROR((LOOKUP(2,1/(A309=A327),E309)),0)),2)</f>
        <v>0</v>
      </c>
      <c r="D327" s="21">
        <f>ROUND(IF(B327=0,0,D316/M295*P304),2)</f>
        <v>0</v>
      </c>
      <c r="E327" s="21">
        <f>ROUND(IF(B327=0,0,E316/N291*P304),2)</f>
        <v>0</v>
      </c>
      <c r="F327" s="22">
        <f>ROUND(IF(P304=0,0,IFERROR(((LOOKUP(2,1/(A302:A305=A327),I302:I305))/N291*P304),F326/P303*P304)),2)</f>
        <v>0</v>
      </c>
      <c r="G327" s="25">
        <f t="shared" si="45"/>
        <v>0</v>
      </c>
      <c r="H327" s="64">
        <f>IF(B327=0,0,IF(AND(H308="ja",((U327)&lt;R333)),ROUND(((R335*R332+((R333/(R333-R332))-(R332/(R333-R332))*R335)*((U327)-R332))*(H316*2))-(((R333/(R333-R332))*((U327)-R332))*H316),2),ROUND(IF(V326&lt;(SUM(R317:R326)),IF((V327)&gt;(SUM(R317:R327)),(((SUM(R317:R327))-(V327-C326))*H316)+((U327-C326)*H316),U327*H316),IF(V327&gt;(SUM(R317:R327)),R327*H316,U327*H316)),2)))</f>
        <v>0</v>
      </c>
      <c r="I327" s="64">
        <f>IF(B327=0,0,IF(AND(H308="ja",((U327)&lt;R333)),ROUND(((R335*R332+((R333/(R333-R332))-(R332/(R333-R332))*R335)*((U327)-R332))*(I316*2))-(((R333/(R333-R332))*((U327)-R332))*I316),2),ROUND(IF(V326&lt;(SUM(S317:S326)),IF((V327)&gt;(SUM(S317:S327)),(((SUM(S317:S327))-(V327-C326))*I316)+((U327-C326)*I316),U327*I316),IF(V327&gt;(SUM(S317:S327)),S327*I316,U327*I316)),2)))</f>
        <v>0</v>
      </c>
      <c r="J327" s="64">
        <f>IF(B327=0,0,IF(AND(H308="ja",((U327)&lt;R333)),ROUND(((R335*R332+((R333/(R333-R332))-(R332/(R333-R332))*R335)*((U327)-R332))*(J316*2))-(((R333/(R333-R332))*((U327)-R332))*J316),2),ROUND(IF(V326&lt;(SUM(S317:S326)),IF((V327)&gt;(SUM(S317:S327)),(((SUM(S317:S327))-(V327-C326))*J316)+((U327-C326)*J316),U327*J316),IF(V327&gt;(SUM(S317:S327)),S327*J316,U327*J316)),2)))</f>
        <v>0</v>
      </c>
      <c r="K327" s="64">
        <f>IF(B327=0,0,IF(AND(H308="ja",((U327)&lt;R333)),ROUND(((R335*R332+((R333/(R333-R332))-(R332/(R333-R332))*R335)*((U327)-R332))*(K316*2))-(((R333/(R333-R332))*((U327)-R332))*K316),2),ROUND(IF(V326&lt;(SUM(R317:R326)),IF((V327)&gt;(SUM(R317:R327)),(((SUM(R317:R327))-(V327-C326))*K316)+((U327-C326)*K316),U327*K316),IF(V327&gt;(SUM(R317:R327)),R327*K316,U327*K316)),2)))</f>
        <v>0</v>
      </c>
      <c r="L327" s="64">
        <f>IF(B327=0,0,IF(AND(H308="ja",((U327-C327)&lt;R333)),ROUND(((R335*R332+((R333/(R333-R332))-(R332/(R333-R332))*R335)*((U327-C327)-R332))*(L316)),2),ROUND(IF(SUM(B317:F326)&lt;(SUM(S317:S326)),IF((SUM(B317:F327))&gt;(SUM(S317:S327)),(((SUM(S317:S327))-(SUM(B317:F327)-C327))*L316)+((SUM(B327:F327)-C327)*L316),(SUM(B327:F327)-C327)*L316),IF(SUM(B317:F327)&gt;(SUM(S317:S327)),S327*L316,SUM(B327:F327)*L316)),2)))</f>
        <v>0</v>
      </c>
      <c r="M327" s="64">
        <f>IF(B327=0,0,IF(AND(H308="ja",((U327-C327)&lt;R333)),ROUND(((R335*R332+((R333/(R333-R332))-(R332/(R333-R332))*R335)*((U327-C327)-R332))*(M316)),2),ROUND(IF(SUM(B317:F326)&lt;(SUM(S317:S326)),IF((SUM(B317:F327))&gt;(SUM(S317:S327)),(((SUM(S317:S327))-(SUM(B317:F327)-C327))*M316)+((SUM(B327:F327)-C327)*M316),(SUM(B327:F327)-C327)*M316),IF(SUM(B317:F327)&gt;(SUM(S317:S327)),S327*M316,SUM(B327:F327)*M316)),2)))</f>
        <v>0</v>
      </c>
      <c r="N327" s="64">
        <f>IF(B327=0,0,IF(AND(H308="ja",((U327)&lt;R333)),ROUND(((R335*R332+((R333/(R333-R332))-(R332/(R333-R332))*R335)*((U327)-R332))*(N316)),2),ROUND(IF(SUM(B317:F326)&lt;(SUM(S317:S326)),IF((SUM(B317:F327))&gt;(SUM(S317:S327)),(((SUM(S317:S327))-(SUM(B317:F327)-C326))*N316)+((SUM(B327:F327)-C326)*N316),SUM(B327:F327)*N316),IF(SUM(B317:F327)&gt;(SUM(S317:S327)),S327*N316,SUM(B327:F327)*N316)),2)))</f>
        <v>0</v>
      </c>
      <c r="O327" s="21">
        <f>ROUND(SUM(B327+C327+F327)*O316,2)</f>
        <v>0</v>
      </c>
      <c r="P327" s="25">
        <f t="shared" si="46"/>
        <v>0</v>
      </c>
      <c r="R327" s="140">
        <f>ROUND(IF(M295="",R311,R311/M295*P304),2)</f>
        <v>5175</v>
      </c>
      <c r="S327" s="140">
        <f>ROUND(IF(M295="",R312,R312/M295*P304),2)</f>
        <v>7450</v>
      </c>
      <c r="U327" s="950">
        <f t="shared" si="47"/>
        <v>0</v>
      </c>
      <c r="V327" s="950">
        <f>SUM(B317:F327)</f>
        <v>0</v>
      </c>
      <c r="X327" s="1"/>
    </row>
    <row r="328" spans="1:24" ht="14.25" customHeight="1" x14ac:dyDescent="0.2">
      <c r="A328" s="76" t="str">
        <f>CONCATENATE("Dez ",O293)</f>
        <v>Dez 2025</v>
      </c>
      <c r="B328" s="22">
        <f>ROUND(IF(P305=0,0,IFERROR(((LOOKUP(2,1/(A302:A305=A328),G302:G305))*P305*4.348),B327/P304*P305)),2)</f>
        <v>0</v>
      </c>
      <c r="C328" s="21">
        <f>ROUND(IFERROR((LOOKUP(2,1/(A308=A328),E308)),0)+IFERROR((LOOKUP(2,1/(A309=A328),E309)),0),2)</f>
        <v>0</v>
      </c>
      <c r="D328" s="21">
        <f>ROUND(IF(B328=0,0,D316/M295*P305),2)</f>
        <v>0</v>
      </c>
      <c r="E328" s="21">
        <f>ROUND(IF(B328=0,0,E316/N291*P305),2)</f>
        <v>0</v>
      </c>
      <c r="F328" s="22">
        <f>ROUND(IF(P305=0,0,IFERROR(((LOOKUP(2,1/(A302:A305=A328),I302:I305))/N291*P305),F327/P304*P305)),2)</f>
        <v>0</v>
      </c>
      <c r="G328" s="25">
        <f t="shared" si="45"/>
        <v>0</v>
      </c>
      <c r="H328" s="64">
        <f>IF(B328=0,0,IF(AND(H308="ja",((U328)&lt;R333)),ROUND(((R335*R332+((R333/(R333-R332))-(R332/(R333-R332))*R335)*((U328)-R332))*(H316*2))-(((R333/(R333-R332))*((U328)-R332))*H316),2),ROUND(IF(V327&lt;(SUM(R317:R327)),IF((V328)&gt;(SUM(R317:R328)),(((SUM(R317:R328))-(V328-C327))*H316)+((U328-C327)*H316),U328*H316),IF(V328&gt;(SUM(R317:R328)),R328*H316,U328*H316)),2)))</f>
        <v>0</v>
      </c>
      <c r="I328" s="64">
        <f>IF(B328=0,0,IF(AND(H308="ja",((U328)&lt;R333)),ROUND(((R335*R332+((R333/(R333-R332))-(R332/(R333-R332))*R335)*((U328)-R332))*(I316*2))-(((R333/(R333-R332))*((U328)-R332))*I316),2),ROUND(IF(V327&lt;(SUM(S317:S327)),IF((V328)&gt;(SUM(S317:S328)),(((SUM(S317:S328))-(V328-C327))*I316)+((U328-C327)*I316),U328*I316),IF(V328&gt;(SUM(S317:S328)),S328*I316,U328*I316)),2)))</f>
        <v>0</v>
      </c>
      <c r="J328" s="64">
        <f>IF(B328=0,0,IF(AND(H308="ja",((U328)&lt;R333)),ROUND(((R335*R332+((R333/(R333-R332))-(R332/(R333-R332))*R335)*((U328)-R332))*(J316*2))-(((R333/(R333-R332))*((U328)-R332))*J316),2),ROUND(IF(V327&lt;(SUM(S317:S327)),IF((V328)&gt;(SUM(S317:S328)),(((SUM(S317:S328))-(V328-C327))*J316)+((U328-C327)*J316),U328*J316),IF(V328&gt;(SUM(S317:S328)),S328*J316,U328*J316)),2)))</f>
        <v>0</v>
      </c>
      <c r="K328" s="64">
        <f>IF(B328=0,0,IF(AND(H308="ja",((U328)&lt;R333)),ROUND(((R335*R332+((R333/(R333-R332))-(R332/(R333-R332))*R335)*((U328)-R332))*(K316*2))-(((R333/(R333-R332))*((U328)-R332))*K316),2),ROUND(IF(V327&lt;(SUM(R317:R327)),IF((V328)&gt;(SUM(R317:R328)),(((SUM(R317:R328))-(V328-C327))*K316)+((U328-C327)*K316),U328*K316),IF(V328&gt;(SUM(R317:R328)),R328*K316,U328*K316)),2)))</f>
        <v>0</v>
      </c>
      <c r="L328" s="64">
        <f>IF(B328=0,0,IF(AND(H308="ja",((U328-C328)&lt;R333)),ROUND(((R335*R332+((R333/(R333-R332))-(R332/(R333-R332))*R335)*((U328-C328)-R332))*(L316)),2),ROUND(IF(SUM(B317:F327)&lt;(SUM(S317:S327)),IF((SUM(B317:F328))&gt;(SUM(S317:S328)),(((SUM(S317:S328))-(SUM(B317:F328)-C328))*L316)+((SUM(B328:F328)-C328)*L316),(SUM(B328:F328)-C328)*L316),IF(SUM(B317:F328)&gt;(SUM(S317:S328)),S328*L316,SUM(B328:F328)*L316)),2)))</f>
        <v>0</v>
      </c>
      <c r="M328" s="64">
        <f>IF(B328=0,0,IF(AND(H308="ja",((U328-C328)&lt;R333)),ROUND(((R335*R332+((R333/(R333-R332))-(R332/(R333-R332))*R335)*((U328-C328)-R332))*(M316)),2),ROUND(IF(SUM(B317:F327)&lt;(SUM(S317:S327)),IF((SUM(B317:F328))&gt;(SUM(S317:S328)),(((SUM(S317:S328))-(SUM(B317:F328)-C328))*M316)+((SUM(B328:F328)-C328)*M316),(SUM(B328:F328)-C328)*M316),IF(SUM(B317:F328)&gt;(SUM(S317:S328)),S328*M316,SUM(B328:F328)*M316)),2)))</f>
        <v>0</v>
      </c>
      <c r="N328" s="64">
        <f>IF(B328=0,0,IF(AND(H308="ja",((U328)&lt;R333)),ROUND(((R335*R332+((R333/(R333-R332))-(R332/(R333-R332))*R335)*((U328)-R332))*(N316)),2),ROUND(IF(SUM(B317:F327)&lt;(SUM(S317:S327)),IF((SUM(B317:F328))&gt;(SUM(S317:S328)),(((SUM(S317:S328))-(SUM(B317:F328)-C327))*N316)+((SUM(B328:F328)-C327)*N316),SUM(B328:F328)*N316),IF(SUM(B317:F328)&gt;(SUM(S317:S328)),S328*N316,SUM(B328:F328)*N316)),2)))</f>
        <v>0</v>
      </c>
      <c r="O328" s="21">
        <f>ROUND(SUM(B328+C328+F328)*O316,2)</f>
        <v>0</v>
      </c>
      <c r="P328" s="25">
        <f t="shared" si="46"/>
        <v>0</v>
      </c>
      <c r="Q328" s="11"/>
      <c r="R328" s="140">
        <f>ROUND(IF(M295="",R311,R311/M295*P305),2)</f>
        <v>5175</v>
      </c>
      <c r="S328" s="140">
        <f>ROUND(IF(M295="",R312,R312/M295*P305),2)</f>
        <v>7450</v>
      </c>
      <c r="U328" s="950">
        <f t="shared" si="47"/>
        <v>0</v>
      </c>
      <c r="V328" s="950">
        <f>SUM(B317:F328)</f>
        <v>0</v>
      </c>
    </row>
    <row r="329" spans="1:24" ht="15" customHeight="1" x14ac:dyDescent="0.2">
      <c r="A329" s="2" t="s">
        <v>1</v>
      </c>
      <c r="B329" s="25">
        <f t="shared" ref="B329:G329" si="48">SUM(B317:B328)</f>
        <v>0</v>
      </c>
      <c r="C329" s="25">
        <f t="shared" si="48"/>
        <v>0</v>
      </c>
      <c r="D329" s="25">
        <f t="shared" si="48"/>
        <v>0</v>
      </c>
      <c r="E329" s="25">
        <f t="shared" si="48"/>
        <v>0</v>
      </c>
      <c r="F329" s="25">
        <f t="shared" si="48"/>
        <v>0</v>
      </c>
      <c r="G329" s="25">
        <f t="shared" si="48"/>
        <v>0</v>
      </c>
      <c r="H329" s="1309">
        <f>SUM(H317:N328)</f>
        <v>0</v>
      </c>
      <c r="I329" s="1310"/>
      <c r="J329" s="1310"/>
      <c r="K329" s="1310"/>
      <c r="L329" s="1310"/>
      <c r="M329" s="1310"/>
      <c r="N329" s="1311"/>
      <c r="O329" s="25">
        <f>SUM(O317:O328)</f>
        <v>0</v>
      </c>
      <c r="P329" s="25">
        <f>SUM(P317:P328)</f>
        <v>0</v>
      </c>
    </row>
    <row r="330" spans="1:24" ht="12" customHeight="1" x14ac:dyDescent="0.2">
      <c r="A330" s="1"/>
      <c r="B330" s="1"/>
      <c r="C330" s="1"/>
      <c r="D330" s="1"/>
      <c r="E330" s="1"/>
      <c r="F330" s="1"/>
      <c r="G330" s="1"/>
      <c r="H330" s="1"/>
      <c r="I330" s="1"/>
      <c r="J330" s="1"/>
      <c r="K330" s="1"/>
      <c r="L330" s="1"/>
      <c r="M330" s="1"/>
      <c r="N330" s="1"/>
      <c r="O330" s="1"/>
      <c r="P330" s="1"/>
    </row>
    <row r="331" spans="1:24" ht="14.25" customHeight="1" x14ac:dyDescent="0.2">
      <c r="A331" s="1"/>
      <c r="B331" s="906"/>
      <c r="C331" s="1"/>
      <c r="D331" s="1"/>
      <c r="E331" s="1"/>
      <c r="F331" s="1"/>
      <c r="G331" s="1"/>
      <c r="H331" s="905"/>
      <c r="I331" s="62"/>
      <c r="J331" s="914" t="s">
        <v>123</v>
      </c>
      <c r="K331" s="1"/>
      <c r="L331" s="900" t="s">
        <v>124</v>
      </c>
      <c r="M331" s="974" t="str">
        <f>IF(IF(G329=0,"",'päd.Personal - Leitung'!$M$43)=0,"",IF(G329=0,"",'päd.Personal - Leitung'!$M$43))</f>
        <v/>
      </c>
      <c r="N331" s="902" t="s">
        <v>125</v>
      </c>
      <c r="O331" s="963" t="str">
        <f>IF(IF(G329=0,"",'päd.Personal - Leitung'!$O$43)=0,"",IF(G329=0,"",'päd.Personal - Leitung'!$O$43))</f>
        <v/>
      </c>
      <c r="P331" s="25">
        <f>ROUND(IF(M331="",0,G329*M331*O331/1000),2)</f>
        <v>0</v>
      </c>
      <c r="Q331" s="937"/>
      <c r="R331" s="938">
        <v>2025</v>
      </c>
      <c r="S331" s="939"/>
    </row>
    <row r="332" spans="1:24" ht="14.25" customHeight="1" x14ac:dyDescent="0.2">
      <c r="A332" s="1"/>
      <c r="B332" s="1"/>
      <c r="C332" s="1"/>
      <c r="D332" s="1"/>
      <c r="E332" s="1"/>
      <c r="F332" s="1"/>
      <c r="G332" s="1"/>
      <c r="H332" s="907"/>
      <c r="I332" s="42"/>
      <c r="J332" s="1"/>
      <c r="K332" s="1"/>
      <c r="L332" s="1"/>
      <c r="M332" s="915" t="s">
        <v>129</v>
      </c>
      <c r="N332" s="80" t="s">
        <v>125</v>
      </c>
      <c r="O332" s="75" t="str">
        <f>IF(IF(G329=0,"",'päd.Personal - Leitung'!$O$44)=0,"",IF(G329=0,"",'päd.Personal - Leitung'!$O$44))</f>
        <v/>
      </c>
      <c r="P332" s="25">
        <f>ROUND(IF(O332="",0,G329*O332/1000),2)</f>
        <v>0</v>
      </c>
      <c r="Q332" s="942" t="s">
        <v>737</v>
      </c>
      <c r="R332" s="141">
        <f>'päd.Personal - Leitung'!$R$44</f>
        <v>556</v>
      </c>
      <c r="S332" s="955">
        <f>'päd.Personal - Leitung'!$S$44</f>
        <v>12.82</v>
      </c>
    </row>
    <row r="333" spans="1:24" ht="14.25" customHeight="1" x14ac:dyDescent="0.2">
      <c r="A333" s="1"/>
      <c r="B333" s="1"/>
      <c r="C333" s="1"/>
      <c r="D333" s="1"/>
      <c r="E333" s="1"/>
      <c r="F333" s="1"/>
      <c r="G333" s="1"/>
      <c r="H333" s="912" t="s">
        <v>126</v>
      </c>
      <c r="I333" s="1013" t="s">
        <v>127</v>
      </c>
      <c r="J333" s="975" t="str">
        <f>IF(IF(G329=0,"",'päd.Personal - Leitung'!$J$45)=0,"",IF(G329=0,"",'päd.Personal - Leitung'!$J$45))</f>
        <v/>
      </c>
      <c r="K333" s="902" t="s">
        <v>128</v>
      </c>
      <c r="L333" s="964" t="str">
        <f>IF(IF(G329=0,"",'päd.Personal - Leitung'!$L$45)=0,"",IF(G329=0,"",'päd.Personal - Leitung'!$L$45))</f>
        <v/>
      </c>
      <c r="M333" s="16"/>
      <c r="N333" s="900" t="s">
        <v>132</v>
      </c>
      <c r="O333" s="965" t="str">
        <f>IF(IF(G329=0,"",'päd.Personal - Leitung'!$O$45)=0,"",IF(G329=0,"",'päd.Personal - Leitung'!$O$45))</f>
        <v/>
      </c>
      <c r="P333" s="25">
        <f>ROUND(IF(J333="",0,(J333*L333/O333)/M297*M298),2)</f>
        <v>0</v>
      </c>
      <c r="Q333" s="942" t="s">
        <v>738</v>
      </c>
      <c r="R333" s="140">
        <f>'päd.Personal - Leitung'!$R$45</f>
        <v>2000</v>
      </c>
      <c r="S333" s="939"/>
    </row>
    <row r="334" spans="1:24" ht="14.25" customHeight="1" x14ac:dyDescent="0.2">
      <c r="A334" s="1"/>
      <c r="B334" s="1"/>
      <c r="C334" s="1"/>
      <c r="D334" s="16"/>
      <c r="E334" s="1"/>
      <c r="F334" s="1"/>
      <c r="G334" s="1"/>
      <c r="H334" s="1"/>
      <c r="I334" s="16"/>
      <c r="J334" s="16"/>
      <c r="K334" s="63"/>
      <c r="L334" s="67"/>
      <c r="M334" s="915" t="s">
        <v>130</v>
      </c>
      <c r="N334" s="80" t="s">
        <v>131</v>
      </c>
      <c r="O334" s="904">
        <f>IF(IF(M300="",0,$O$46)=0,0,IF(M300="",0,$O$46))</f>
        <v>0</v>
      </c>
      <c r="P334" s="21">
        <f>ROUND(IF(G329=0,0,O334/M295*M296),2)</f>
        <v>0</v>
      </c>
      <c r="Q334" s="942" t="s">
        <v>740</v>
      </c>
      <c r="R334" s="956">
        <f>'päd.Personal - Leitung'!$R$46</f>
        <v>0.40900000000000003</v>
      </c>
    </row>
    <row r="335" spans="1:24" ht="14.25" customHeight="1" x14ac:dyDescent="0.2">
      <c r="A335" s="16"/>
      <c r="B335" s="16"/>
      <c r="C335" s="1"/>
      <c r="D335" s="1"/>
      <c r="E335" s="1"/>
      <c r="F335" s="1"/>
      <c r="G335" s="1"/>
      <c r="H335" s="1"/>
      <c r="I335" s="905"/>
      <c r="J335" s="961" t="s">
        <v>176</v>
      </c>
      <c r="K335" s="1312" t="str">
        <f>IF($K$47="","",$K$47)</f>
        <v/>
      </c>
      <c r="L335" s="1312"/>
      <c r="M335" s="1312"/>
      <c r="N335" s="80" t="s">
        <v>131</v>
      </c>
      <c r="O335" s="904">
        <f>IF(IF(M300="",0,$O$47)=0,0,IF(M300="",0,$O$47))</f>
        <v>0</v>
      </c>
      <c r="P335" s="21">
        <f>ROUND(IF(G329=0,0,O335/M295*M296),2)</f>
        <v>0</v>
      </c>
      <c r="Q335" s="942" t="s">
        <v>739</v>
      </c>
      <c r="R335" s="940">
        <f>'päd.Personal - Leitung'!$R$47</f>
        <v>0.68459999999999999</v>
      </c>
      <c r="S335" s="957">
        <f>'päd.Personal - Leitung'!$S$47</f>
        <v>0.28000000000000003</v>
      </c>
    </row>
    <row r="336" spans="1:24" ht="14.25" customHeight="1" x14ac:dyDescent="0.2">
      <c r="A336" s="908"/>
      <c r="B336" s="908"/>
      <c r="C336" s="960"/>
      <c r="D336" s="960"/>
      <c r="E336" s="1"/>
      <c r="F336" s="1"/>
      <c r="G336" s="1"/>
      <c r="H336" s="1"/>
      <c r="I336" s="913"/>
      <c r="J336" s="913"/>
      <c r="K336" s="916"/>
      <c r="L336" s="27"/>
      <c r="M336" s="27"/>
      <c r="N336" s="27"/>
      <c r="O336" s="26" t="s">
        <v>0</v>
      </c>
      <c r="P336" s="25">
        <f>P329+SUM(P331:P335)</f>
        <v>0</v>
      </c>
    </row>
    <row r="337" spans="1:19" s="10" customFormat="1" ht="13.5" customHeight="1" x14ac:dyDescent="0.2">
      <c r="A337" s="1321" t="s">
        <v>17</v>
      </c>
      <c r="B337" s="1321"/>
      <c r="C337" s="1321"/>
      <c r="D337" s="1320" t="str">
        <f>IF('päd.Personal - Leitung'!$D$1="","",'päd.Personal - Leitung'!$D$1)</f>
        <v/>
      </c>
      <c r="E337" s="1320"/>
      <c r="F337" s="1320"/>
      <c r="G337" s="1320"/>
      <c r="H337" s="1320"/>
      <c r="I337" s="1320"/>
      <c r="J337" s="1320"/>
      <c r="K337" s="1320"/>
      <c r="L337" s="1320"/>
      <c r="M337" s="1320"/>
      <c r="N337" s="1320"/>
    </row>
    <row r="338" spans="1:19" s="10" customFormat="1" ht="15" customHeight="1" x14ac:dyDescent="0.2">
      <c r="A338" s="1321" t="s">
        <v>16</v>
      </c>
      <c r="B338" s="1321"/>
      <c r="C338" s="1321" t="s">
        <v>14</v>
      </c>
      <c r="D338" s="1320" t="str">
        <f>IF('päd.Personal - Leitung'!$D$2="","",'päd.Personal - Leitung'!$D$2)</f>
        <v/>
      </c>
      <c r="E338" s="1320"/>
      <c r="F338" s="1320"/>
      <c r="G338" s="1320"/>
      <c r="H338" s="1320"/>
      <c r="I338" s="1320"/>
      <c r="J338" s="1320"/>
      <c r="K338" s="1320"/>
      <c r="L338" s="1320"/>
      <c r="M338" s="1320"/>
      <c r="N338" s="1320"/>
    </row>
    <row r="339" spans="1:19" s="10" customFormat="1" ht="15" customHeight="1" x14ac:dyDescent="0.2">
      <c r="A339" s="1321" t="s">
        <v>15</v>
      </c>
      <c r="B339" s="1321"/>
      <c r="C339" s="1321" t="s">
        <v>14</v>
      </c>
      <c r="D339" s="1320" t="str">
        <f>IF('päd.Personal - Leitung'!$D$3="","",'päd.Personal - Leitung'!$D$3)</f>
        <v/>
      </c>
      <c r="E339" s="1320"/>
      <c r="F339" s="1320"/>
      <c r="G339" s="1320"/>
      <c r="H339" s="1320"/>
      <c r="I339" s="1320"/>
      <c r="J339" s="1320"/>
      <c r="K339" s="1321" t="s">
        <v>100</v>
      </c>
      <c r="L339" s="1321"/>
      <c r="M339" s="1321"/>
      <c r="N339" s="38" t="str">
        <f>IF('päd.Personal - Leitung'!$N$3="","",'päd.Personal - Leitung'!$N$3)</f>
        <v/>
      </c>
    </row>
    <row r="340" spans="1:19" s="923" customFormat="1" ht="7.5" customHeight="1" x14ac:dyDescent="0.15">
      <c r="A340" s="1353"/>
      <c r="B340" s="1353"/>
      <c r="C340" s="1353"/>
      <c r="D340" s="1354"/>
      <c r="E340" s="1354"/>
      <c r="F340" s="1354"/>
      <c r="G340" s="1354"/>
      <c r="H340" s="1354"/>
      <c r="I340" s="1354"/>
      <c r="J340" s="1354"/>
      <c r="K340" s="922"/>
      <c r="L340" s="922"/>
      <c r="M340" s="922"/>
      <c r="N340" s="922"/>
      <c r="O340" s="922"/>
      <c r="P340" s="922"/>
    </row>
    <row r="341" spans="1:19" s="13" customFormat="1" ht="13.5" customHeight="1" x14ac:dyDescent="0.2">
      <c r="A341" s="1355" t="s">
        <v>750</v>
      </c>
      <c r="B341" s="1355"/>
      <c r="C341" s="1355"/>
      <c r="D341" s="1355"/>
      <c r="E341" s="1355"/>
      <c r="F341" s="1355"/>
      <c r="G341" s="1355"/>
      <c r="H341" s="1355"/>
      <c r="I341" s="1355"/>
      <c r="J341" s="1355"/>
      <c r="K341" s="7"/>
      <c r="L341" s="7"/>
      <c r="M341" s="7"/>
      <c r="N341" s="52"/>
      <c r="O341" s="138">
        <f>'päd.Personal - Leitung'!$O$5</f>
        <v>2025</v>
      </c>
      <c r="P341" s="52" t="s">
        <v>140</v>
      </c>
    </row>
    <row r="342" spans="1:19" s="8" customFormat="1" ht="13.5" customHeight="1" x14ac:dyDescent="0.25">
      <c r="B342" s="29"/>
      <c r="C342" s="29"/>
      <c r="D342" s="3" t="s">
        <v>64</v>
      </c>
      <c r="E342" s="28"/>
      <c r="F342" s="28"/>
      <c r="G342" s="28"/>
      <c r="H342" s="28"/>
      <c r="I342" s="24"/>
      <c r="K342" s="1327" t="s">
        <v>13</v>
      </c>
      <c r="L342" s="1327"/>
      <c r="M342" s="131"/>
      <c r="O342" s="928" t="str">
        <f>A365</f>
        <v>Jan 2025</v>
      </c>
      <c r="P342" s="1402">
        <f>IF(M344="","",M344)</f>
        <v>0</v>
      </c>
    </row>
    <row r="343" spans="1:19" s="5" customFormat="1" ht="13.5" customHeight="1" x14ac:dyDescent="0.25">
      <c r="A343" s="1328" t="s">
        <v>754</v>
      </c>
      <c r="B343" s="1328"/>
      <c r="C343" s="1328"/>
      <c r="D343" s="1345"/>
      <c r="E343" s="1345"/>
      <c r="F343" s="1345"/>
      <c r="G343" s="1345"/>
      <c r="H343" s="1345"/>
      <c r="I343" s="1345"/>
      <c r="K343" s="1327" t="s">
        <v>101</v>
      </c>
      <c r="L343" s="1327"/>
      <c r="M343" s="101"/>
      <c r="O343" s="928" t="str">
        <f t="shared" ref="O343:O353" si="49">A366</f>
        <v>Feb 2025</v>
      </c>
      <c r="P343" s="1403">
        <f t="shared" ref="P343:P353" si="50">IF(P342="","",P342)</f>
        <v>0</v>
      </c>
    </row>
    <row r="344" spans="1:19" ht="13.5" customHeight="1" x14ac:dyDescent="0.2">
      <c r="A344" s="1328" t="s">
        <v>12</v>
      </c>
      <c r="B344" s="1328"/>
      <c r="C344" s="1328"/>
      <c r="D344" s="1345"/>
      <c r="E344" s="1345"/>
      <c r="F344" s="1345"/>
      <c r="G344" s="1345"/>
      <c r="H344" s="1345"/>
      <c r="I344" s="1345"/>
      <c r="J344" s="1"/>
      <c r="K344" s="1327" t="s">
        <v>149</v>
      </c>
      <c r="L344" s="1327"/>
      <c r="M344" s="101">
        <f>IF((M345+M346)&gt;M343,0,M343-M345-M346)</f>
        <v>0</v>
      </c>
      <c r="N344" s="1"/>
      <c r="O344" s="928" t="str">
        <f t="shared" si="49"/>
        <v>Mrz 2025</v>
      </c>
      <c r="P344" s="1403">
        <f t="shared" si="50"/>
        <v>0</v>
      </c>
    </row>
    <row r="345" spans="1:19" ht="13.5" customHeight="1" x14ac:dyDescent="0.2">
      <c r="A345" s="1328" t="s">
        <v>11</v>
      </c>
      <c r="B345" s="1328"/>
      <c r="C345" s="1328"/>
      <c r="D345" s="1345"/>
      <c r="E345" s="1345"/>
      <c r="F345" s="1345"/>
      <c r="G345" s="1345"/>
      <c r="H345" s="1345"/>
      <c r="I345" s="1345"/>
      <c r="J345" s="1"/>
      <c r="K345" s="1327" t="s">
        <v>150</v>
      </c>
      <c r="L345" s="1327"/>
      <c r="M345" s="101"/>
      <c r="N345" s="1"/>
      <c r="O345" s="928" t="str">
        <f t="shared" si="49"/>
        <v>Apr 2025</v>
      </c>
      <c r="P345" s="1403">
        <f t="shared" si="50"/>
        <v>0</v>
      </c>
    </row>
    <row r="346" spans="1:19" ht="13.5" customHeight="1" x14ac:dyDescent="0.2">
      <c r="A346" s="1328" t="s">
        <v>18</v>
      </c>
      <c r="B346" s="1328"/>
      <c r="C346" s="1328"/>
      <c r="D346" s="1345"/>
      <c r="E346" s="1345"/>
      <c r="F346" s="1345"/>
      <c r="G346" s="1345"/>
      <c r="H346" s="1345"/>
      <c r="I346" s="1345"/>
      <c r="J346" s="1"/>
      <c r="K346" s="1327" t="s">
        <v>222</v>
      </c>
      <c r="L346" s="1327"/>
      <c r="M346" s="101"/>
      <c r="N346" s="1"/>
      <c r="O346" s="928" t="str">
        <f t="shared" si="49"/>
        <v>Mai 2025</v>
      </c>
      <c r="P346" s="1403">
        <f t="shared" si="50"/>
        <v>0</v>
      </c>
    </row>
    <row r="347" spans="1:19" ht="13.5" customHeight="1" x14ac:dyDescent="0.2">
      <c r="A347" s="1"/>
      <c r="B347" s="6"/>
      <c r="C347" s="959" t="s">
        <v>147</v>
      </c>
      <c r="D347" s="1324"/>
      <c r="E347" s="1324"/>
      <c r="F347" s="1359" t="s">
        <v>103</v>
      </c>
      <c r="G347" s="1359"/>
      <c r="H347" s="1361"/>
      <c r="I347" s="1361"/>
      <c r="J347" s="1"/>
      <c r="K347" s="1327" t="s">
        <v>94</v>
      </c>
      <c r="L347" s="1327"/>
      <c r="M347" s="15" t="str">
        <f>IF(IF((COUNTIF(B365:B376,"&gt;0"))=0,0,(COUNTIF(B365:B376,"&gt;0")))&gt;Grundlagen!$C$26,Grundlagen!$C$26,IF((COUNTIF(B365:B376,"&gt;0"))=0,"",(COUNTIF(B365:B376,"&gt;0"))))</f>
        <v/>
      </c>
      <c r="N347" s="1"/>
      <c r="O347" s="928" t="str">
        <f t="shared" si="49"/>
        <v>Jun 2025</v>
      </c>
      <c r="P347" s="1403">
        <f t="shared" si="50"/>
        <v>0</v>
      </c>
    </row>
    <row r="348" spans="1:19" ht="13.5" customHeight="1" x14ac:dyDescent="0.2">
      <c r="A348" s="1"/>
      <c r="B348" s="1"/>
      <c r="C348" s="1"/>
      <c r="D348" s="1"/>
      <c r="E348" s="1"/>
      <c r="F348" s="1"/>
      <c r="G348" s="1"/>
      <c r="H348" s="1"/>
      <c r="I348" s="4"/>
      <c r="J348" s="1"/>
      <c r="K348" s="1"/>
      <c r="L348" s="1"/>
      <c r="M348" s="102" t="str">
        <f>IF((SUM(F350:F353))=0,"",IF(P354&gt;M344,M344,IF(M344="","",IF(M347="","",P354))))</f>
        <v/>
      </c>
      <c r="N348" s="1"/>
      <c r="O348" s="928" t="str">
        <f t="shared" si="49"/>
        <v>Jul 2025</v>
      </c>
      <c r="P348" s="1403">
        <f t="shared" si="50"/>
        <v>0</v>
      </c>
    </row>
    <row r="349" spans="1:19" s="46" customFormat="1" ht="13.5" customHeight="1" x14ac:dyDescent="0.2">
      <c r="A349" s="54" t="s">
        <v>134</v>
      </c>
      <c r="B349" s="1356" t="s">
        <v>135</v>
      </c>
      <c r="C349" s="1356"/>
      <c r="D349" s="55" t="s">
        <v>136</v>
      </c>
      <c r="E349" s="56" t="s">
        <v>137</v>
      </c>
      <c r="F349" s="57" t="str">
        <f>CONCATENATE("Entg. ",N339," h/Wo")</f>
        <v>Entg.  h/Wo</v>
      </c>
      <c r="G349" s="58" t="s">
        <v>138</v>
      </c>
      <c r="I349" s="58" t="s">
        <v>139</v>
      </c>
      <c r="K349" s="970"/>
      <c r="L349" s="970"/>
      <c r="M349" s="59"/>
      <c r="N349" s="968"/>
      <c r="O349" s="928" t="str">
        <f t="shared" si="49"/>
        <v>Aug 2025</v>
      </c>
      <c r="P349" s="1403">
        <f t="shared" si="50"/>
        <v>0</v>
      </c>
      <c r="Q349" s="85"/>
      <c r="R349" s="85"/>
      <c r="S349" s="85"/>
    </row>
    <row r="350" spans="1:19" s="46" customFormat="1" ht="13.5" customHeight="1" x14ac:dyDescent="0.25">
      <c r="A350" s="48" t="str">
        <f>'päd.Personal - Leitung'!$A$14</f>
        <v>Jan 2025</v>
      </c>
      <c r="B350" s="1357" t="str">
        <f>IF($D$3="","",$D$3)</f>
        <v/>
      </c>
      <c r="C350" s="1358"/>
      <c r="D350" s="132"/>
      <c r="E350" s="132"/>
      <c r="F350" s="71"/>
      <c r="G350" s="50">
        <f>IF(N339="",0,F350/N339/4.348)</f>
        <v>0</v>
      </c>
      <c r="I350" s="125">
        <f>SUM(J350:M350)</f>
        <v>0</v>
      </c>
      <c r="J350" s="124"/>
      <c r="K350" s="124"/>
      <c r="L350" s="124"/>
      <c r="M350" s="124"/>
      <c r="N350" s="969"/>
      <c r="O350" s="928" t="str">
        <f t="shared" si="49"/>
        <v>Sep 2025</v>
      </c>
      <c r="P350" s="1403">
        <f t="shared" si="50"/>
        <v>0</v>
      </c>
      <c r="Q350" s="85"/>
      <c r="R350" s="85"/>
      <c r="S350" s="85"/>
    </row>
    <row r="351" spans="1:19" s="46" customFormat="1" ht="13.5" customHeight="1" x14ac:dyDescent="0.25">
      <c r="A351" s="49"/>
      <c r="B351" s="1322" t="str">
        <f>IF(A351="","",B350)</f>
        <v/>
      </c>
      <c r="C351" s="1323"/>
      <c r="D351" s="132"/>
      <c r="E351" s="132"/>
      <c r="F351" s="71"/>
      <c r="G351" s="50">
        <f>IF(N339="",0,F351/N339/4.348)</f>
        <v>0</v>
      </c>
      <c r="I351" s="125">
        <f t="shared" ref="I351:I353" si="51">SUM(J351:M351)</f>
        <v>0</v>
      </c>
      <c r="J351" s="124"/>
      <c r="K351" s="124"/>
      <c r="L351" s="124"/>
      <c r="M351" s="124"/>
      <c r="N351" s="969"/>
      <c r="O351" s="928" t="str">
        <f t="shared" si="49"/>
        <v>Okt 2025</v>
      </c>
      <c r="P351" s="1403">
        <f t="shared" si="50"/>
        <v>0</v>
      </c>
      <c r="Q351" s="85"/>
      <c r="R351" s="85"/>
      <c r="S351" s="85"/>
    </row>
    <row r="352" spans="1:19" s="46" customFormat="1" ht="13.5" customHeight="1" x14ac:dyDescent="0.25">
      <c r="A352" s="49"/>
      <c r="B352" s="1322" t="str">
        <f>IF(A352="","",B351)</f>
        <v/>
      </c>
      <c r="C352" s="1323"/>
      <c r="D352" s="132"/>
      <c r="E352" s="132"/>
      <c r="F352" s="71"/>
      <c r="G352" s="50">
        <f>IF(N339="",0,F352/N339/4.348)</f>
        <v>0</v>
      </c>
      <c r="I352" s="125">
        <f t="shared" si="51"/>
        <v>0</v>
      </c>
      <c r="J352" s="124"/>
      <c r="K352" s="124"/>
      <c r="L352" s="124"/>
      <c r="M352" s="124"/>
      <c r="N352" s="969"/>
      <c r="O352" s="928" t="str">
        <f t="shared" si="49"/>
        <v>Nov 2025</v>
      </c>
      <c r="P352" s="1403">
        <f t="shared" si="50"/>
        <v>0</v>
      </c>
      <c r="Q352" s="85"/>
      <c r="R352" s="85"/>
      <c r="S352" s="85"/>
    </row>
    <row r="353" spans="1:22" s="46" customFormat="1" ht="13.5" customHeight="1" x14ac:dyDescent="0.25">
      <c r="A353" s="49"/>
      <c r="B353" s="1322" t="str">
        <f>IF(A353="","",B352)</f>
        <v/>
      </c>
      <c r="C353" s="1323"/>
      <c r="D353" s="132"/>
      <c r="E353" s="132"/>
      <c r="F353" s="71"/>
      <c r="G353" s="50">
        <f>IF(N339="",0,F353/N339/4.348)</f>
        <v>0</v>
      </c>
      <c r="I353" s="125">
        <f t="shared" si="51"/>
        <v>0</v>
      </c>
      <c r="J353" s="124"/>
      <c r="K353" s="124"/>
      <c r="L353" s="124"/>
      <c r="M353" s="124"/>
      <c r="N353" s="969"/>
      <c r="O353" s="928" t="str">
        <f t="shared" si="49"/>
        <v>Dez 2025</v>
      </c>
      <c r="P353" s="1403">
        <f t="shared" si="50"/>
        <v>0</v>
      </c>
      <c r="Q353" s="85"/>
      <c r="R353" s="85"/>
      <c r="S353" s="85"/>
    </row>
    <row r="354" spans="1:22" s="46" customFormat="1" ht="13.5" customHeight="1" x14ac:dyDescent="0.25">
      <c r="B354" s="972"/>
      <c r="C354" s="972"/>
      <c r="E354" s="972"/>
      <c r="F354" s="972"/>
      <c r="I354" s="930" t="s">
        <v>730</v>
      </c>
      <c r="J354" s="1052"/>
      <c r="K354" s="1052"/>
      <c r="L354" s="1052"/>
      <c r="M354" s="1052"/>
      <c r="N354" s="971"/>
      <c r="O354" s="126" t="s">
        <v>221</v>
      </c>
      <c r="P354" s="127">
        <f>IF(M347="",0,((IF(SUMIF(B365,"&gt;0"),P342,0))+(IF(SUMIF(B366,"&gt;0"),P343,0))+(IF(SUMIF(B367,"&gt;0"),P344,0))+(IF(SUMIF(B368,"&gt;0"),P345,0))+(IF(SUMIF(B369,"&gt;0"),P346,0))+(IF(SUMIF(B370,"&gt;0"),P347,0))+(IF(SUMIF(B371,"&gt;0"),P348,0))+(IF(SUMIF(B372,"&gt;0"),P349,0))+(IF(SUMIF(B373,"&gt;0"),P350,0))+(IF(SUMIF(B374,"&gt;0"),P351,0))+(IF(SUMIF(B375,"&gt;0"),P352,0))+(IF(SUMIF(B376,"&gt;0"),P353,0)))/Grundlagen!$C$26)</f>
        <v>0</v>
      </c>
      <c r="Q354" s="958" t="str">
        <f>CONCATENATE("BBG"," anteilig ",O356)</f>
        <v>BBG anteilig 2025</v>
      </c>
      <c r="R354" s="931" t="s">
        <v>659</v>
      </c>
      <c r="S354" s="931" t="s">
        <v>398</v>
      </c>
      <c r="T354" s="107"/>
    </row>
    <row r="355" spans="1:22" s="46" customFormat="1" ht="13.5" customHeight="1" x14ac:dyDescent="0.2">
      <c r="A355" s="924" t="s">
        <v>732</v>
      </c>
      <c r="D355" s="55" t="s">
        <v>369</v>
      </c>
      <c r="E355" s="56" t="s">
        <v>368</v>
      </c>
      <c r="F355" s="58"/>
      <c r="J355" s="61"/>
      <c r="Q355" s="932" t="s">
        <v>144</v>
      </c>
      <c r="R355" s="140">
        <f>IF(M344=0,R359,IF(M343="",R359,(SUM(R365:R376)/M347)))</f>
        <v>5175</v>
      </c>
      <c r="S355" s="933">
        <f>IF(M344=0,S359,IF(M343="",S359,SUM(R365:R376)))</f>
        <v>0</v>
      </c>
      <c r="T355" s="107"/>
    </row>
    <row r="356" spans="1:22" s="46" customFormat="1" ht="13.5" customHeight="1" x14ac:dyDescent="0.25">
      <c r="A356" s="60"/>
      <c r="B356" s="1314" t="str">
        <f>IF($B$20="","",$B$20)</f>
        <v>Jahressonderzahlung (JSZ)</v>
      </c>
      <c r="C356" s="1315"/>
      <c r="D356" s="926"/>
      <c r="E356" s="929" t="str">
        <f>IF(A356="","",ROUND((((SUM(B371:B373)+SUM(F371:F373))/3)*D356)/Grundlagen!$C$26*M347,2))</f>
        <v/>
      </c>
      <c r="G356" s="941" t="s">
        <v>733</v>
      </c>
      <c r="H356" s="943"/>
      <c r="I356" s="1316" t="str">
        <f>CONCATENATE(R379,":"," Übergangsbereich von ",R380+0.01," €"," bis ",R381," €")</f>
        <v>2025: Übergangsbereich von 556,01 € bis 2000 €</v>
      </c>
      <c r="J356" s="1317"/>
      <c r="K356" s="1317"/>
      <c r="L356" s="1067"/>
      <c r="M356" s="1067"/>
      <c r="N356" s="1068" t="s">
        <v>736</v>
      </c>
      <c r="O356" s="1069">
        <f>P356+1</f>
        <v>2025</v>
      </c>
      <c r="P356" s="1069" t="s">
        <v>721</v>
      </c>
      <c r="Q356" s="932" t="s">
        <v>145</v>
      </c>
      <c r="R356" s="140">
        <f>IF(M344=0,R360,IF(M343="",R360,(SUM(S365:S376)/M347)))</f>
        <v>7450</v>
      </c>
      <c r="S356" s="933">
        <f>IF(M344=0,S360,IF(M343="",S360,SUM(S365:S376)))</f>
        <v>0</v>
      </c>
      <c r="T356" s="109"/>
    </row>
    <row r="357" spans="1:22" ht="14.25" customHeight="1" x14ac:dyDescent="0.2">
      <c r="A357" s="60"/>
      <c r="B357" s="1314" t="str">
        <f>IF($B$21="","",$B$21)</f>
        <v>Leistungsentgelt (LOB)</v>
      </c>
      <c r="C357" s="1315"/>
      <c r="D357" s="926"/>
      <c r="E357" s="929" t="str">
        <f>IF(A357="","",ROUND(((B377+F377)*D357)/Grundlagen!$C$26*M347,2))</f>
        <v/>
      </c>
      <c r="F357" s="1"/>
      <c r="G357" s="941" t="str">
        <f>IF(OR(H356="",H356="nein")=TRUE,"","Faktor (F):")</f>
        <v/>
      </c>
      <c r="H357" s="949" t="str">
        <f>IF(OR(H356="",H356="nein")=TRUE,"",IF(H356="","",R383))</f>
        <v/>
      </c>
      <c r="I357" s="1318" t="str">
        <f>IF(OR(H356="",H356="nein")=TRUE,"",IF(H357="","",CONCATENATE(S383*100,"%"," / ","(",R382*100,"%"," Gesamt-SV-Beitragssatz 2024)")))</f>
        <v/>
      </c>
      <c r="J357" s="1319"/>
      <c r="K357" s="1319"/>
      <c r="L357" s="1070"/>
      <c r="M357" s="1070"/>
      <c r="N357" s="1071" t="s">
        <v>144</v>
      </c>
      <c r="O357" s="1072">
        <f>'päd.Personal - Leitung'!$O$21</f>
        <v>5175</v>
      </c>
      <c r="P357" s="1072">
        <f>'päd.Personal - Leitung'!$P$21</f>
        <v>5175</v>
      </c>
      <c r="Q357" s="11"/>
      <c r="R357" s="11"/>
      <c r="S357" s="11"/>
      <c r="T357" s="109"/>
    </row>
    <row r="358" spans="1:22" ht="14.25" customHeight="1" x14ac:dyDescent="0.2">
      <c r="A358" s="1"/>
      <c r="B358" s="1"/>
      <c r="C358" s="925" t="s">
        <v>731</v>
      </c>
      <c r="D358" s="1"/>
      <c r="E358" s="1"/>
      <c r="F358" s="1"/>
      <c r="G358" s="1"/>
      <c r="H358" s="1"/>
      <c r="I358" s="1"/>
      <c r="J358" s="1"/>
      <c r="K358" s="1"/>
      <c r="L358" s="1070"/>
      <c r="M358" s="1070"/>
      <c r="N358" s="1071" t="s">
        <v>145</v>
      </c>
      <c r="O358" s="1073">
        <f>'päd.Personal - Leitung'!$O$22</f>
        <v>7450</v>
      </c>
      <c r="P358" s="1073">
        <f>'päd.Personal - Leitung'!$P$22</f>
        <v>7450</v>
      </c>
      <c r="Q358" s="958" t="str">
        <f>CONCATENATE("BBG"," ",O356)</f>
        <v>BBG 2025</v>
      </c>
      <c r="R358" s="11"/>
      <c r="S358" s="11"/>
      <c r="T358" s="109"/>
    </row>
    <row r="359" spans="1:22" ht="14.25" customHeight="1" x14ac:dyDescent="0.2">
      <c r="A359" s="53" t="s">
        <v>141</v>
      </c>
      <c r="B359" s="46"/>
      <c r="C359" s="46"/>
      <c r="D359" s="46"/>
      <c r="E359" s="46"/>
      <c r="F359" s="46"/>
      <c r="G359" s="46"/>
      <c r="H359" s="46"/>
      <c r="I359" s="46"/>
      <c r="J359" s="46"/>
      <c r="K359" s="46"/>
      <c r="L359" s="46"/>
      <c r="M359" s="46"/>
      <c r="N359" s="46"/>
      <c r="O359" s="46"/>
      <c r="P359" s="46"/>
      <c r="Q359" s="932" t="s">
        <v>144</v>
      </c>
      <c r="R359" s="141">
        <f>IF($O$21="",0,$O$21)</f>
        <v>5175</v>
      </c>
      <c r="S359" s="933">
        <f>R359*IF(M347="",0,M347)</f>
        <v>0</v>
      </c>
      <c r="T359" s="295"/>
    </row>
    <row r="360" spans="1:22" x14ac:dyDescent="0.2">
      <c r="A360" s="1346"/>
      <c r="B360" s="1348" t="s">
        <v>8</v>
      </c>
      <c r="C360" s="1349"/>
      <c r="D360" s="1349"/>
      <c r="E360" s="1349"/>
      <c r="F360" s="1349"/>
      <c r="G360" s="1350"/>
      <c r="H360" s="1351" t="s">
        <v>113</v>
      </c>
      <c r="I360" s="1352"/>
      <c r="J360" s="1352"/>
      <c r="K360" s="1352"/>
      <c r="L360" s="1352"/>
      <c r="M360" s="1352"/>
      <c r="N360" s="1352"/>
      <c r="O360" s="30"/>
      <c r="P360" s="1330" t="s">
        <v>0</v>
      </c>
      <c r="Q360" s="932" t="s">
        <v>145</v>
      </c>
      <c r="R360" s="141">
        <f>IF($O$22="",0,$O$22)</f>
        <v>7450</v>
      </c>
      <c r="S360" s="933">
        <f>R360*IF(M347="",0,M347)</f>
        <v>0</v>
      </c>
      <c r="T360" s="830"/>
    </row>
    <row r="361" spans="1:22" ht="14.25" customHeight="1" x14ac:dyDescent="0.2">
      <c r="A361" s="1347"/>
      <c r="B361" s="1333" t="s">
        <v>111</v>
      </c>
      <c r="C361" s="1335" t="s">
        <v>743</v>
      </c>
      <c r="D361" s="1337" t="s">
        <v>226</v>
      </c>
      <c r="E361" s="1339" t="s">
        <v>133</v>
      </c>
      <c r="F361" s="962" t="s">
        <v>6</v>
      </c>
      <c r="G361" s="1340" t="s">
        <v>5</v>
      </c>
      <c r="H361" s="1339" t="s">
        <v>119</v>
      </c>
      <c r="I361" s="1339" t="s">
        <v>4</v>
      </c>
      <c r="J361" s="1339" t="s">
        <v>3</v>
      </c>
      <c r="K361" s="1339" t="s">
        <v>2</v>
      </c>
      <c r="L361" s="1339" t="s">
        <v>114</v>
      </c>
      <c r="M361" s="1339" t="s">
        <v>115</v>
      </c>
      <c r="N361" s="1339" t="s">
        <v>116</v>
      </c>
      <c r="O361" s="1338" t="s">
        <v>109</v>
      </c>
      <c r="P361" s="1331"/>
      <c r="Q361" s="456"/>
      <c r="R361" s="11"/>
      <c r="S361" s="11"/>
      <c r="T361" s="621"/>
    </row>
    <row r="362" spans="1:22" x14ac:dyDescent="0.2">
      <c r="A362" s="1347"/>
      <c r="B362" s="1333"/>
      <c r="C362" s="1335"/>
      <c r="D362" s="1338"/>
      <c r="E362" s="1339"/>
      <c r="F362" s="1343" t="str">
        <f>I354</f>
        <v>Zuschläge / Zulagen / o.ä.:</v>
      </c>
      <c r="G362" s="1340"/>
      <c r="H362" s="1342" t="s">
        <v>117</v>
      </c>
      <c r="I362" s="1342"/>
      <c r="J362" s="1342"/>
      <c r="K362" s="1342"/>
      <c r="L362" s="1342"/>
      <c r="M362" s="1342"/>
      <c r="N362" s="1342"/>
      <c r="O362" s="1338"/>
      <c r="P362" s="1331"/>
      <c r="Q362" s="456"/>
      <c r="R362" s="1306" t="str">
        <f>Q354</f>
        <v>BBG anteilig 2025</v>
      </c>
      <c r="S362" s="1306"/>
      <c r="T362" s="829"/>
    </row>
    <row r="363" spans="1:22" ht="14.25" customHeight="1" x14ac:dyDescent="0.2">
      <c r="A363" s="1347"/>
      <c r="B363" s="1333"/>
      <c r="C363" s="1335"/>
      <c r="D363" s="1338"/>
      <c r="E363" s="1339"/>
      <c r="F363" s="1343"/>
      <c r="G363" s="1340"/>
      <c r="H363" s="39" t="str">
        <f>'päd.Personal - Leitung'!$H$27</f>
        <v>(7,30% + Zusatz)</v>
      </c>
      <c r="I363" s="39" t="str">
        <f>'päd.Personal - Leitung'!$I$27</f>
        <v xml:space="preserve"> (2024: 9,30%)</v>
      </c>
      <c r="J363" s="39" t="str">
        <f>'päd.Personal - Leitung'!$J$27</f>
        <v>(2024: 1,30%)</v>
      </c>
      <c r="K363" s="39" t="str">
        <f>'päd.Personal - Leitung'!$K$27</f>
        <v>(2024: 1,700%)</v>
      </c>
      <c r="L363" s="39"/>
      <c r="M363" s="39"/>
      <c r="N363" s="39" t="str">
        <f>'päd.Personal - Leitung'!$N$27</f>
        <v>(2024: 0,06%)</v>
      </c>
      <c r="O363" s="1338"/>
      <c r="P363" s="1331"/>
      <c r="Q363" s="456"/>
      <c r="R363" s="1307" t="s">
        <v>659</v>
      </c>
      <c r="S363" s="1307"/>
      <c r="T363" s="829"/>
      <c r="U363" s="1308" t="s">
        <v>1</v>
      </c>
      <c r="V363" s="1308" t="s">
        <v>741</v>
      </c>
    </row>
    <row r="364" spans="1:22" x14ac:dyDescent="0.2">
      <c r="A364" s="1347"/>
      <c r="B364" s="1334"/>
      <c r="C364" s="1336"/>
      <c r="D364" s="45"/>
      <c r="E364" s="45"/>
      <c r="F364" s="1344"/>
      <c r="G364" s="1341"/>
      <c r="H364" s="74"/>
      <c r="I364" s="99">
        <f>'päd.Personal - Leitung'!$I$28</f>
        <v>0</v>
      </c>
      <c r="J364" s="99">
        <f>'päd.Personal - Leitung'!$J$28</f>
        <v>0</v>
      </c>
      <c r="K364" s="40">
        <f>'päd.Personal - Leitung'!$K$28</f>
        <v>0</v>
      </c>
      <c r="L364" s="19"/>
      <c r="M364" s="19"/>
      <c r="N364" s="99">
        <f>'päd.Personal - Leitung'!$N$28</f>
        <v>0</v>
      </c>
      <c r="O364" s="23"/>
      <c r="P364" s="1332"/>
      <c r="Q364" s="456"/>
      <c r="R364" s="935" t="s">
        <v>144</v>
      </c>
      <c r="S364" s="935" t="s">
        <v>145</v>
      </c>
      <c r="T364" s="829"/>
      <c r="U364" s="1308"/>
      <c r="V364" s="1308"/>
    </row>
    <row r="365" spans="1:22" x14ac:dyDescent="0.2">
      <c r="A365" s="76" t="str">
        <f>CONCATENATE("Jan ",O341)</f>
        <v>Jan 2025</v>
      </c>
      <c r="B365" s="22">
        <f>ROUND(IF(P342=0,0,(LOOKUP(2,1/(A350:A353=A365),G350:G353))*P342*4.348),2)</f>
        <v>0</v>
      </c>
      <c r="C365" s="21">
        <f>ROUND(IFERROR((LOOKUP(2,1/(A356=A365),E356)),0)+IFERROR((LOOKUP(2,1/(A357=A365),E357)),0),2)</f>
        <v>0</v>
      </c>
      <c r="D365" s="21">
        <f>ROUND(IF(B365=0,0,D364/M343*P342),2)</f>
        <v>0</v>
      </c>
      <c r="E365" s="21">
        <f>ROUND(IF(B365=0,0,E364/N339*P342),2)</f>
        <v>0</v>
      </c>
      <c r="F365" s="22">
        <f>ROUND(IF(P342=0,0,(LOOKUP(2,1/(A350:A353=A365),I350:I353))/N339*P342),2)</f>
        <v>0</v>
      </c>
      <c r="G365" s="25">
        <f t="shared" ref="G365:G376" si="52">SUM(B365+C365+E365+F365)</f>
        <v>0</v>
      </c>
      <c r="H365" s="64">
        <f>IF(B365=0,0,IF(AND(H356="ja",((U365)&lt;R381)),ROUND(((R383*R380+((R381/(R381-R380))-(R380/(R381-R380))*R383)*((U365)-R380))*(H364*2))-(((R381/(R381-R380))*((U365)-R380))*H364),2),ROUND(IF((U365)&gt;R365,R365*H364,U365*H364),2)))</f>
        <v>0</v>
      </c>
      <c r="I365" s="64">
        <f>IF(B365=0,0,IF(AND(H356="ja",((U365)&lt;R381)),ROUND(((R383*R380+((R381/(R381-R380))-(R380/(R381-R380))*R383)*((U365)-R380))*(I364*2))-(((R381/(R381-R380))*((U365)-R380))*I364),2),ROUND(IF((U365)&gt;S365,S365*I364,U365*I364),2)))</f>
        <v>0</v>
      </c>
      <c r="J365" s="64">
        <f>IF(B365=0,0,IF(AND(H356="ja",((U365)&lt;R381)),ROUND(((R383*R380+((R381/(R381-R380))-(R380/(R381-R380))*R383)*((U365)-R380))*(J364*2))-(((R381/(R381-R380))*((U365)-R380))*J364),2),ROUND(IF((U365)&gt;S365,S365*J364,U365*J364),2)))</f>
        <v>0</v>
      </c>
      <c r="K365" s="64">
        <f>IF(B365=0,0,IF(AND(H356="ja",((U365)&lt;R381)),ROUND(((R383*R380+((R381/(R381-R380))-(R380/(R381-R380))*R383)*((U365)-R380))*(K364*2))-(((R381/(R381-R380))*((U365)-R380))*K364),2),ROUND(IF((U365)&gt;R365,R365*K364,U365*K364),2)))</f>
        <v>0</v>
      </c>
      <c r="L365" s="64">
        <f>IF(B365=0,0,IF(AND(H356="ja",((U365-C365)&lt;R381)),ROUND(((R383*R380+((R381/(R381-R380))-(R380/(R381-R380))*R383)*((U365-C365)-R380))*(L364)),2),ROUND(IF((SUM(B365:F365))&gt;S365,S365*L364,(SUM(B365:F365)-C365)*L364),2)))</f>
        <v>0</v>
      </c>
      <c r="M365" s="64">
        <f>IF(B365=0,0,IF(AND(H356="ja",((U365-C365)&lt;R381)),ROUND(((R383*R380+((R381/(R381-R380))-(R380/(R381-R380))*R383)*((U365-C365)-R380))*(M364)),2),ROUND(IF((SUM(B365:F365))&gt;S365,S365*M364,(SUM(B365:F365)-C365)*M364),2)))</f>
        <v>0</v>
      </c>
      <c r="N365" s="64">
        <f>IF(B365=0,0,IF(AND(H356="ja",((U365)&lt;R381)),ROUND(((R383*R380+((R381/(R381-R380))-(R380/(R381-R380))*R383)*((U365)-R380))*(N364)),2),ROUND(IF((SUM(B365:F365))&gt;S365,S365*N364,SUM(B365:F365)*N364),2)))</f>
        <v>0</v>
      </c>
      <c r="O365" s="21">
        <f>ROUND(SUM(B365+C365+F365)*O364,2)</f>
        <v>0</v>
      </c>
      <c r="P365" s="25">
        <f>SUM(G365:O365)</f>
        <v>0</v>
      </c>
      <c r="Q365" s="456"/>
      <c r="R365" s="140">
        <f>ROUND(IF(M343="",R359,R359/M343*P342),2)</f>
        <v>5175</v>
      </c>
      <c r="S365" s="140">
        <f>ROUND(IF(M343="",R360,R360/M343*P342),2)</f>
        <v>7450</v>
      </c>
      <c r="U365" s="950">
        <f>SUM(B365:F365)</f>
        <v>0</v>
      </c>
      <c r="V365" s="950">
        <f>SUM(B365:F365)</f>
        <v>0</v>
      </c>
    </row>
    <row r="366" spans="1:22" x14ac:dyDescent="0.2">
      <c r="A366" s="76" t="str">
        <f>CONCATENATE("Feb ",O341)</f>
        <v>Feb 2025</v>
      </c>
      <c r="B366" s="22">
        <f>ROUND(IF(P343=0,0,IFERROR(((LOOKUP(2,1/(A350:A353=A366),G350:G353))*P343*4.348),B365/P342*P343)),2)</f>
        <v>0</v>
      </c>
      <c r="C366" s="21">
        <f>ROUND(IFERROR((LOOKUP(2,1/(A356=A366),E356)),0)+IFERROR((LOOKUP(2,1/(A357=A366),E357)),0),2)</f>
        <v>0</v>
      </c>
      <c r="D366" s="21">
        <f>ROUND(IF(B366=0,0,D364/M343*P343),2)</f>
        <v>0</v>
      </c>
      <c r="E366" s="21">
        <f>ROUND(IF(B366=0,0,E364/N339*P343),2)</f>
        <v>0</v>
      </c>
      <c r="F366" s="22">
        <f>ROUND(IF(P343=0,0,IFERROR(((LOOKUP(2,1/(A350:A353=A366),I350:I353))/N339*P343),F365/P342*P343)),2)</f>
        <v>0</v>
      </c>
      <c r="G366" s="25">
        <f t="shared" si="52"/>
        <v>0</v>
      </c>
      <c r="H366" s="64">
        <f>IF(B366=0,0,IF(AND(H356="ja",((U366)&lt;R381)),ROUND(((R383*R380+((R381/(R381-R380))-(R380/(R381-R380))*R383)*((U366)-R380))*(H364*2))-(((R381/(R381-R380))*((U366)-R380))*H364),2),ROUND(IF(U365&lt;(R365),IF((V366)&gt;(SUM(R365:R366)),(((SUM(R365:R366))-(V366-C365))*H364)+((U366-C365)*H364),U366*H364),IF(V366&gt;(SUM(R365:R366)),R366*H364,U366*H364)),2)))</f>
        <v>0</v>
      </c>
      <c r="I366" s="64">
        <f>IF(B366=0,0,IF(AND(H356="ja",((U366)&lt;R381)),ROUND(((R383*R380+((R381/(R381-R380))-(R380/(R381-R380))*R383)*((U366)-R380))*(I364*2))-(((R381/(R381-R380))*((U366)-R380))*I364),2),ROUND(IF(U365&lt;(S365),IF((V366)&gt;(SUM(S365:S366)),(((SUM(S365:S366))-(V366-C365))*I364)+((U366-C365)*I364),U366*I364),IF(V366&gt;(SUM(S365:S366)),S366*I364,U366*I364)),2)))</f>
        <v>0</v>
      </c>
      <c r="J366" s="64">
        <f>IF(B366=0,0,IF(AND(H356="ja",((U366)&lt;R381)),ROUND(((R383*R380+((R381/(R381-R380))-(R380/(R381-R380))*R383)*((U366)-R380))*(J364*2))-(((R381/(R381-R380))*((U366)-R380))*J364),2),ROUND(IF(U365&lt;(S365),IF((V366)&gt;(SUM(S365:S366)),(((SUM(S365:S366))-(V366-C365))*J364)+((U366-C365)*J364),U366*J364),IF(V366&gt;(SUM(S365:S366)),S366*J364,U366*J364)),2)))</f>
        <v>0</v>
      </c>
      <c r="K366" s="64">
        <f>IF(B366=0,0,IF(AND(H356="ja",((U366)&lt;R381)),ROUND(((R383*R380+((R381/(R381-R380))-(R380/(R381-R380))*R383)*((U366)-R380))*(K364*2))-(((R381/(R381-R380))*((U366)-R380))*K364),2),ROUND(IF(U365&lt;(R365),IF((V366)&gt;(SUM(R365:R366)),(((SUM(R365:R366))-(V366-C365))*K364)+((U366-C365)*K364),U366*K364),IF(V366&gt;(SUM(R365:R366)),R366*K364,U366*K364)),2)))</f>
        <v>0</v>
      </c>
      <c r="L366" s="64">
        <f>IF(B366=0,0,IF(AND(H356="ja",((U366-C366)&lt;R381)),ROUND(((R383*R380+((R381/(R381-R380))-(R380/(R381-R380))*R383)*((U366-C366)-R380))*(L364)),2),ROUND(IF(SUM(B365:F365)&lt;(S365),IF((SUM(B365:F366))&gt;(SUM(S365:S366)),(((SUM(S365:S366))-(SUM(B365:F366)-C366))*L364)+((SUM(B366:F366)-C366)*L364),(SUM(B366:F366)-C366)*L364),IF(SUM(B365:F366)&gt;(SUM(S365:S366)),S366*L364,SUM(B366:F366)*L364)),2)))</f>
        <v>0</v>
      </c>
      <c r="M366" s="64">
        <f>IF(B366=0,0,IF(AND(H356="ja",((U366-C366)&lt;R381)),ROUND(((R383*R380+((R381/(R381-R380))-(R380/(R381-R380))*R383)*((U366-C366)-R380))*(M364)),2),ROUND(IF(SUM(B365:F365)&lt;(S365),IF((SUM(B365:F366))&gt;(SUM(S365:S366)),(((SUM(S365:S366))-(SUM(B365:F366)-C366))*M364)+((SUM(B366:F366)-C366)*M364),(SUM(B366:F366)-C366)*M364),IF(SUM(B365:F366)&gt;(SUM(S365:S366)),S366*M364,SUM(B366:F366)*M364)),2)))</f>
        <v>0</v>
      </c>
      <c r="N366" s="64">
        <f>IF(B366=0,0,IF(AND(H356="ja",((U366)&lt;R381)),ROUND(((R383*R380+((R381/(R381-R380))-(R380/(R381-R380))*R383)*((U366)-R380))*(N364)),2),ROUND(IF(SUM(B365:F365)&lt;(S365),IF((SUM(B365:F366))&gt;(SUM(S365:S366)),(((SUM(S365:S366))-(SUM(B365:F366)-C365))*N364)+((SUM(B366:F366)-C365)*N364),SUM(B366:F366)*N364),IF(SUM(B365:F366)&gt;(SUM(S365:S366)),S366*N364,SUM(B366:F366)*N364)),2)))</f>
        <v>0</v>
      </c>
      <c r="O366" s="21">
        <f>ROUND(SUM(B366+C366+F366)*O364,2)</f>
        <v>0</v>
      </c>
      <c r="P366" s="25">
        <f t="shared" ref="P366:P376" si="53">SUM(G366:O366)</f>
        <v>0</v>
      </c>
      <c r="Q366" s="456"/>
      <c r="R366" s="140">
        <f>ROUND(IF(M343="",R359,R359/M343*P343),2)</f>
        <v>5175</v>
      </c>
      <c r="S366" s="140">
        <f>ROUND(IF(M343="",R360,R360/M343*P343),2)</f>
        <v>7450</v>
      </c>
      <c r="U366" s="950">
        <f t="shared" ref="U366:U376" si="54">SUM(B366:F366)</f>
        <v>0</v>
      </c>
      <c r="V366" s="950">
        <f>SUM(B365:F366)</f>
        <v>0</v>
      </c>
    </row>
    <row r="367" spans="1:22" x14ac:dyDescent="0.2">
      <c r="A367" s="76" t="str">
        <f>CONCATENATE("Mrz ",O341)</f>
        <v>Mrz 2025</v>
      </c>
      <c r="B367" s="22">
        <f>ROUND(IF(P344=0,0,IFERROR(((LOOKUP(2,1/(A350:A353=A367),G350:G353))*P344*4.348),B366/P343*P344)),2)</f>
        <v>0</v>
      </c>
      <c r="C367" s="21">
        <f>ROUND(IFERROR((LOOKUP(2,1/(A356=A367),E356)),0)+IFERROR((LOOKUP(2,1/(A357=A367),E357)),0),2)</f>
        <v>0</v>
      </c>
      <c r="D367" s="21">
        <f>ROUND(IF(B367=0,0,D364/M343*P344),2)</f>
        <v>0</v>
      </c>
      <c r="E367" s="21">
        <f>ROUND(IF(B367=0,0,E364/N339*P344),2)</f>
        <v>0</v>
      </c>
      <c r="F367" s="22">
        <f>ROUND(IF(P344=0,0,IFERROR(((LOOKUP(2,1/(A350:A353=A367),I350:I353))/N339*P344),F366/P343*P344)),2)</f>
        <v>0</v>
      </c>
      <c r="G367" s="25">
        <f t="shared" si="52"/>
        <v>0</v>
      </c>
      <c r="H367" s="64">
        <f>IF(B367=0,0,IF(AND(H356="ja",((U367)&lt;R381)),ROUND(((R383*R380+((R381/(R381-R380))-(R380/(R381-R380))*R383)*((U367)-R380))*(H364*2))-(((R381/(R381-R380))*((U367)-R380))*H364),2),ROUND(IF(V366&lt;(SUM(R365:R366)),IF((V367)&gt;(SUM(R365:R367)),(((SUM(R365:R367))-(V367-C366))*H364)+((U367-C366)*H364),U367*H364),IF(V367&gt;(SUM(R365:R367)),R367*H364,U367*H364)),2)))</f>
        <v>0</v>
      </c>
      <c r="I367" s="64">
        <f>IF(B367=0,0,IF(AND(H356="ja",((U367)&lt;R381)),ROUND(((R383*R380+((R381/(R381-R380))-(R380/(R381-R380))*R383)*((U367)-R380))*(I364*2))-(((R381/(R381-R380))*((U367)-R380))*I364),2),ROUND(IF(V366&lt;(SUM(S365:S366)),IF((V367)&gt;(SUM(S365:S367)),(((SUM(S365:S367))-(V367-C366))*I364)+((U367-C366)*I364),U367*I364),IF(V367&gt;(SUM(S365:S367)),S367*I364,U367*I364)),2)))</f>
        <v>0</v>
      </c>
      <c r="J367" s="64">
        <f>IF(B367=0,0,IF(AND(H356="ja",((U367)&lt;R381)),ROUND(((R383*R380+((R381/(R381-R380))-(R380/(R381-R380))*R383)*((U367)-R380))*(J364*2))-(((R381/(R381-R380))*((U367)-R380))*J364),2),ROUND(IF(V366&lt;(SUM(S365:S366)),IF((V367)&gt;(SUM(S365:S367)),(((SUM(S365:S367))-(V367-C366))*J364)+((U367-C366)*J364),U367*J364),IF(V367&gt;(SUM(S365:S367)),S367*J364,U367*J364)),2)))</f>
        <v>0</v>
      </c>
      <c r="K367" s="64">
        <f>IF(B367=0,0,IF(AND(H356="ja",((U367)&lt;R381)),ROUND(((R383*R380+((R381/(R381-R380))-(R380/(R381-R380))*R383)*((U367)-R380))*(K364*2))-(((R381/(R381-R380))*((U367)-R380))*K364),2),ROUND(IF(V366&lt;(SUM(R365:R366)),IF((V367)&gt;(SUM(R365:R367)),(((SUM(R365:R367))-(V367-C366))*K364)+((U367-C366)*K364),U367*K364),IF(V367&gt;(SUM(R365:R367)),R367*K364,U367*K364)),2)))</f>
        <v>0</v>
      </c>
      <c r="L367" s="64">
        <f>IF(B367=0,0,IF(AND(H356="ja",((U367-C367)&lt;R381)),ROUND(((R383*R380+((R381/(R381-R380))-(R380/(R381-R380))*R383)*((U367-C367)-R380))*(L364)),2),ROUND(IF(SUM(B365:F366)&lt;(SUM(S365:S366)),IF((SUM(B365:F367))&gt;(SUM(S365:S367)),(((SUM(S365:S367))-(SUM(B365:F367)-C367))*L364)+((SUM(B367:F367)-C367)*L364),(SUM(B367:F367)-C367)*L364),IF(SUM(B365:F367)&gt;(SUM(S365:S367)),S367*L364,SUM(B367:F367)*L364)),2)))</f>
        <v>0</v>
      </c>
      <c r="M367" s="64">
        <f>IF(B367=0,0,IF(AND(H356="ja",((U367-C367)&lt;R381)),ROUND(((R383*R380+((R381/(R381-R380))-(R380/(R381-R380))*R383)*((U367-C367)-R380))*(M364)),2),ROUND(IF(SUM(B365:F366)&lt;(SUM(S365:S366)),IF((SUM(B365:F367))&gt;(SUM(S365:S367)),(((SUM(S365:S367))-(SUM(B365:F367)-C367))*M364)+((SUM(B367:F367)-C367)*M364),(SUM(B367:F367)-C367)*M364),IF(SUM(B365:F367)&gt;(SUM(S365:S367)),S367*M364,SUM(B367:F367)*M364)),2)))</f>
        <v>0</v>
      </c>
      <c r="N367" s="64">
        <f>IF(B367=0,0,IF(AND(H356="ja",((U367)&lt;R381)),ROUND(((R383*R380+((R381/(R381-R380))-(R380/(R381-R380))*R383)*((U367)-R380))*(N364)),2),ROUND(IF(SUM(B365:F366)&lt;(SUM(S365:S366)),IF((SUM(B365:F367))&gt;(SUM(S365:S367)),(((SUM(S365:S367))-(SUM(B365:F367)-C366))*N364)+((SUM(B367:F367)-C366)*N364),SUM(B367:F367)*N364),IF(SUM(B365:F367)&gt;(SUM(S365:S367)),S367*N364,SUM(B367:F367)*N364)),2)))</f>
        <v>0</v>
      </c>
      <c r="O367" s="21">
        <f>ROUND(SUM(B367+C367+F367)*O364,2)</f>
        <v>0</v>
      </c>
      <c r="P367" s="25">
        <f t="shared" si="53"/>
        <v>0</v>
      </c>
      <c r="Q367" s="456"/>
      <c r="R367" s="140">
        <f>ROUND(IF(M343="",R359,R359/M343*P344),2)</f>
        <v>5175</v>
      </c>
      <c r="S367" s="140">
        <f>ROUND(IF(M343="",R360,R360/M343*P344),2)</f>
        <v>7450</v>
      </c>
      <c r="U367" s="950">
        <f t="shared" si="54"/>
        <v>0</v>
      </c>
      <c r="V367" s="950">
        <f>SUM(B365:F367)</f>
        <v>0</v>
      </c>
    </row>
    <row r="368" spans="1:22" x14ac:dyDescent="0.2">
      <c r="A368" s="76" t="str">
        <f>CONCATENATE("Apr ",O341)</f>
        <v>Apr 2025</v>
      </c>
      <c r="B368" s="22">
        <f>ROUND(IF(P345=0,0,IFERROR(((LOOKUP(2,1/(A350:A353=A368),G350:G353))*P345*4.348),B367/P344*P345)),2)</f>
        <v>0</v>
      </c>
      <c r="C368" s="21">
        <f>ROUND(IFERROR((LOOKUP(2,1/(A356=A368),E356)),0)+IFERROR((LOOKUP(2,1/(A357=A368),E357)),0),2)</f>
        <v>0</v>
      </c>
      <c r="D368" s="21">
        <f>ROUND(IF(B368=0,0,D364/M343*P345),2)</f>
        <v>0</v>
      </c>
      <c r="E368" s="21">
        <f>ROUND(IF(B368=0,0,E364/N339*P345),2)</f>
        <v>0</v>
      </c>
      <c r="F368" s="22">
        <f>ROUND(IF(P345=0,0,IFERROR(((LOOKUP(2,1/(A350:A353=A368),I350:I353))/N339*P345),F367/P344*P345)),2)</f>
        <v>0</v>
      </c>
      <c r="G368" s="25">
        <f t="shared" si="52"/>
        <v>0</v>
      </c>
      <c r="H368" s="64">
        <f>IF(B368=0,0,IF(AND(H356="ja",((U368)&lt;R381)),ROUND(((R383*R380+((R381/(R381-R380))-(R380/(R381-R380))*R383)*((U368)-R380))*(H364*2))-(((R381/(R381-R380))*((U368)-R380))*H364),2),ROUND(IF(V367&lt;(SUM(R365:R367)),IF((V368)&gt;(SUM(R365:R368)),(((SUM(R365:R368))-(V368-C367))*H364)+((U368-C367)*H364),U368*H364),IF(V368&gt;(SUM(R365:R368)),R368*H364,U368*H364)),2)))</f>
        <v>0</v>
      </c>
      <c r="I368" s="64">
        <f>IF(B368=0,0,IF(AND(H356="ja",((U368)&lt;R381)),ROUND(((R383*R380+((R381/(R381-R380))-(R380/(R381-R380))*R383)*((U368)-R380))*(I364*2))-(((R381/(R381-R380))*((U368)-R380))*I364),2),ROUND(IF(V367&lt;(SUM(S365:S367)),IF((V368)&gt;(SUM(S365:S368)),(((SUM(S365:S368))-(V368-C367))*I364)+((U368-C367)*I364),U368*I364),IF(V368&gt;(SUM(S365:S368)),S368*I364,U368*I364)),2)))</f>
        <v>0</v>
      </c>
      <c r="J368" s="64">
        <f>IF(B368=0,0,IF(AND(H356="ja",((U368)&lt;R381)),ROUND(((R383*R380+((R381/(R381-R380))-(R380/(R381-R380))*R383)*((U368)-R380))*(J364*2))-(((R381/(R381-R380))*((U368)-R380))*J364),2),ROUND(IF(U367&lt;(SUM(S365:S367)),IF((V368)&gt;(SUM(S365:S368)),(((SUM(S365:S368))-(V368-C367))*J364)+((U368-C367)*J364),U368*J364),IF(V368&gt;(SUM(S365:S368)),S368*J364,U368*J364)),2)))</f>
        <v>0</v>
      </c>
      <c r="K368" s="64">
        <f>IF(B368=0,0,IF(AND(H356="ja",((U368)&lt;R381)),ROUND(((R383*R380+((R381/(R381-R380))-(R380/(R381-R380))*R383)*((U368)-R380))*(K364*2))-(((R381/(R381-R380))*((U368)-R380))*K364),2),ROUND(IF(V367&lt;(SUM(R365:R367)),IF((V368)&gt;(SUM(R365:R368)),(((SUM(R365:R368))-(V368-C367))*K364)+((U368-C367)*K364),U368*K364),IF(V368&gt;(SUM(R365:R368)),R368*K364,U368*K364)),2)))</f>
        <v>0</v>
      </c>
      <c r="L368" s="64">
        <f>IF(B368=0,0,IF(AND(H356="ja",((U368-C368)&lt;R381)),ROUND(((R383*R380+((R381/(R381-R380))-(R380/(R381-R380))*R383)*((U368-C368)-R380))*(L364)),2),ROUND(IF(SUM(B365:F367)&lt;(SUM(S365:S367)),IF((SUM(B365:F368))&gt;(SUM(S365:S368)),(((SUM(S365:S368))-(SUM(B365:F368)-C368))*L364)+((SUM(B368:F368)-C368)*L364),(SUM(B368:F368)-C368)*L364),IF(SUM(B365:F368)&gt;(SUM(S365:S368)),S368*L364,SUM(B368:F368)*L364)),2)))</f>
        <v>0</v>
      </c>
      <c r="M368" s="64">
        <f>IF(B368=0,0,IF(AND(H356="ja",((U368-C368)&lt;R381)),ROUND(((R383*R380+((R381/(R381-R380))-(R380/(R381-R380))*R383)*((U368-C368)-R380))*(M364)),2),ROUND(IF(SUM(B365:F367)&lt;(SUM(S365:S367)),IF((SUM(B365:F368))&gt;(SUM(S365:S368)),(((SUM(S365:S368))-(SUM(B365:F368)-C368))*M364)+((SUM(B368:F368)-C368)*M364),(SUM(B368:F368)-C368)*M364),IF(SUM(B365:F368)&gt;(SUM(S365:S368)),S368*M364,SUM(B368:F368)*M364)),2)))</f>
        <v>0</v>
      </c>
      <c r="N368" s="64">
        <f>IF(B368=0,0,IF(AND(H356="ja",((U368)&lt;R381)),ROUND(((R383*R380+((R381/(R381-R380))-(R380/(R381-R380))*R383)*((U368)-R380))*(N364)),2),ROUND(IF(SUM(B365:F367)&lt;(SUM(S365:S367)),IF((SUM(B365:F368))&gt;(SUM(S365:S368)),(((SUM(S365:S368))-(SUM(B365:F368)-C367))*N364)+((SUM(B368:F368)-C367)*N364),SUM(B368:F368)*N364),IF(SUM(B365:F368)&gt;(SUM(S365:S368)),S368*N364,SUM(B368:F368)*N364)),2)))</f>
        <v>0</v>
      </c>
      <c r="O368" s="21">
        <f>ROUND(SUM(B368+C368+F368)*O364,2)</f>
        <v>0</v>
      </c>
      <c r="P368" s="25">
        <f t="shared" si="53"/>
        <v>0</v>
      </c>
      <c r="Q368" s="456"/>
      <c r="R368" s="140">
        <f>ROUND(IF(M343="",R359,R359/M343*P345),2)</f>
        <v>5175</v>
      </c>
      <c r="S368" s="140">
        <f>ROUND(IF(M343="",R360,R360/M343*P345),2)</f>
        <v>7450</v>
      </c>
      <c r="U368" s="950">
        <f t="shared" si="54"/>
        <v>0</v>
      </c>
      <c r="V368" s="950">
        <f>SUM(B365:F368)</f>
        <v>0</v>
      </c>
    </row>
    <row r="369" spans="1:24" x14ac:dyDescent="0.2">
      <c r="A369" s="76" t="str">
        <f>CONCATENATE("Mai ",O341)</f>
        <v>Mai 2025</v>
      </c>
      <c r="B369" s="22">
        <f>ROUND(IF(P346=0,0,IFERROR(((LOOKUP(2,1/(A350:A353=A369),G350:G353))*P346*4.348),B368/P345*P346)),2)</f>
        <v>0</v>
      </c>
      <c r="C369" s="21">
        <f>ROUND(IFERROR((LOOKUP(2,1/(A356=A369),E356)),0)+IFERROR((LOOKUP(2,1/(A357=A369),E357)),0),2)</f>
        <v>0</v>
      </c>
      <c r="D369" s="21">
        <f>ROUND(IF(B369=0,0,D364/M343*P346),2)</f>
        <v>0</v>
      </c>
      <c r="E369" s="21">
        <f>ROUND(IF(B369=0,0,E364/N339*P346),2)</f>
        <v>0</v>
      </c>
      <c r="F369" s="22">
        <f>ROUND(IF(P346=0,0,IFERROR(((LOOKUP(2,1/(A350:A353=A369),I350:I353))/N339*P346),F368/P345*P346)),2)</f>
        <v>0</v>
      </c>
      <c r="G369" s="25">
        <f t="shared" si="52"/>
        <v>0</v>
      </c>
      <c r="H369" s="64">
        <f>IF(B369=0,0,IF(AND(H356="ja",((U369)&lt;R381)),ROUND(((R383*R380+((R381/(R381-R380))-(R380/(R381-R380))*R383)*((U369)-R380))*(H364*2))-(((R381/(R381-R380))*((U369)-R380))*H364),2),ROUND(IF(V368&lt;(SUM(R365:R368)),IF((V369)&gt;(SUM(R365:R369)),(((SUM(R365:R369))-(V369-C368))*H364)+((U369-C368)*H364),U369*H364),IF(V369&gt;(SUM(R365:R369)),R369*H364,U369*H364)),2)))</f>
        <v>0</v>
      </c>
      <c r="I369" s="64">
        <f>IF(B369=0,0,IF(AND(H356="ja",((U369)&lt;R381)),ROUND(((R383*R380+((R381/(R381-R380))-(R380/(R381-R380))*R383)*((U369)-R380))*(I364*2))-(((R381/(R381-R380))*((U369)-R380))*I364),2),ROUND(IF(V368&lt;(SUM(S365:S368)),IF((V369)&gt;(SUM(S365:S369)),(((SUM(S365:S369))-(V369-C368))*I364)+((U369-C368)*I364),U369*I364),IF(V369&gt;(SUM(S365:S369)),S369*I364,U369*I364)),2)))</f>
        <v>0</v>
      </c>
      <c r="J369" s="64">
        <f>IF(B369=0,0,IF(AND(H356="ja",((U369)&lt;R381)),ROUND(((R383*R380+((R381/(R381-R380))-(R380/(R381-R380))*R383)*((U369)-R380))*(J364*2))-(((R381/(R381-R380))*((U369)-R380))*J364),2),ROUND(IF(V368&lt;(SUM(S365:S368)),IF((V369)&gt;(SUM(S365:S369)),(((SUM(S365:S369))-(V369-C368))*J364)+((U369-C368)*J364),U369*J364),IF(V369&gt;(SUM(S365:S369)),S369*J364,U369*J364)),2)))</f>
        <v>0</v>
      </c>
      <c r="K369" s="64">
        <f>IF(B369=0,0,IF(AND(H356="ja",((U369)&lt;R381)),ROUND(((R383*R380+((R381/(R381-R380))-(R380/(R381-R380))*R383)*((U369)-R380))*(K364*2))-(((R381/(R381-R380))*((U369)-R380))*K364),2),ROUND(IF(V368&lt;(SUM(R365:R368)),IF((V369)&gt;(SUM(R365:R369)),(((SUM(R365:R369))-(V369-C368))*K364)+((U369-C368)*K364),U369*K364),IF(V369&gt;(SUM(R365:R369)),R369*K364,U369*K364)),2)))</f>
        <v>0</v>
      </c>
      <c r="L369" s="64">
        <f>IF(B369=0,0,IF(AND(H356="ja",((U369-C369)&lt;R381)),ROUND(((R383*R380+((R381/(R381-R380))-(R380/(R381-R380))*R383)*((U369-C369)-R380))*(L364)),2),ROUND(IF(SUM(B365:F368)&lt;(SUM(S365:S368)),IF((SUM(B365:F369))&gt;(SUM(S365:S369)),(((SUM(S365:S369))-(SUM(B365:F369)-C369))*L364)+((SUM(B369:F369)-C369)*L364),(SUM(B369:F369)-C369)*L364),IF(SUM(B365:F369)&gt;(SUM(S365:S369)),S369*L364,SUM(B369:F369)*L364)),2)))</f>
        <v>0</v>
      </c>
      <c r="M369" s="64">
        <f>IF(B369=0,0,IF(AND(H356="ja",((U369-C369)&lt;R381)),ROUND(((R383*R380+((R381/(R381-R380))-(R380/(R381-R380))*R383)*((U369-C369)-R380))*(M364)),2),ROUND(IF(SUM(B365:F368)&lt;(SUM(S365:S368)),IF((SUM(B365:F369))&gt;(SUM(S365:S369)),(((SUM(S365:S369))-(SUM(B365:F369)-C369))*M364)+((SUM(B369:F369)-C369)*M364),(SUM(B369:F369)-C369)*M364),IF(SUM(B365:F369)&gt;(SUM(S365:S369)),S369*M364,SUM(B369:F369)*M364)),2)))</f>
        <v>0</v>
      </c>
      <c r="N369" s="64">
        <f>IF(B369=0,0,IF(AND(H356="ja",((U369)&lt;R381)),ROUND(((R383*R380+((R381/(R381-R380))-(R380/(R381-R380))*R383)*((U369)-R380))*(N364)),2),ROUND(IF(SUM(B365:F368)&lt;(SUM(S365:S368)),IF((SUM(B365:F369))&gt;(SUM(S365:S369)),(((SUM(S365:S369))-(SUM(B365:F369)-C368))*N364)+((SUM(B369:F369)-C368)*N364),SUM(B369:F369)*N364),IF(SUM(B365:F369)&gt;(SUM(S365:S369)),S369*N364,SUM(B369:F369)*N364)),2)))</f>
        <v>0</v>
      </c>
      <c r="O369" s="21">
        <f>ROUND(SUM(B369+C369+F369)*O364,2)</f>
        <v>0</v>
      </c>
      <c r="P369" s="25">
        <f t="shared" si="53"/>
        <v>0</v>
      </c>
      <c r="Q369" s="456"/>
      <c r="R369" s="140">
        <f>ROUND(IF(M343="",R359,R359/M343*P346),2)</f>
        <v>5175</v>
      </c>
      <c r="S369" s="140">
        <f>ROUND(IF(M343="",R360,R360/M343*P346),2)</f>
        <v>7450</v>
      </c>
      <c r="U369" s="950">
        <f t="shared" si="54"/>
        <v>0</v>
      </c>
      <c r="V369" s="950">
        <f>SUM(B365:F369)</f>
        <v>0</v>
      </c>
    </row>
    <row r="370" spans="1:24" x14ac:dyDescent="0.2">
      <c r="A370" s="76" t="str">
        <f>CONCATENATE("Jun ",O341)</f>
        <v>Jun 2025</v>
      </c>
      <c r="B370" s="22">
        <f>ROUND(IF(P347=0,0,IFERROR(((LOOKUP(2,1/(A350:A353=A370),G350:G353))*P347*4.348),B369/P346*P347)),2)</f>
        <v>0</v>
      </c>
      <c r="C370" s="21">
        <f>ROUND(IFERROR((LOOKUP(2,1/(A356=A370),E356)),0)+IFERROR((LOOKUP(2,1/(A357=A370),E357)),0),2)</f>
        <v>0</v>
      </c>
      <c r="D370" s="21">
        <f>ROUND(IF(B370=0,0,D364/M343*P347),2)</f>
        <v>0</v>
      </c>
      <c r="E370" s="21">
        <f>ROUND(IF(B370=0,0,E364/N339*P347),2)</f>
        <v>0</v>
      </c>
      <c r="F370" s="22">
        <f>ROUND(IF(P347=0,0,IFERROR(((LOOKUP(2,1/(A350:A353=A370),I350:I353))/N339*P347),F369/P346*P347)),2)</f>
        <v>0</v>
      </c>
      <c r="G370" s="25">
        <f t="shared" si="52"/>
        <v>0</v>
      </c>
      <c r="H370" s="64">
        <f>IF(B370=0,0,IF(AND(H356="ja",((U370)&lt;R381)),ROUND(((R383*R380+((R381/(R381-R380))-(R380/(R381-R380))*R383)*((U370)-R380))*(H364*2))-(((R381/(R381-R380))*((U370)-R380))*H364),2),ROUND(IF(V369&lt;(SUM(R365:R369)),IF((V370)&gt;(SUM(R365:R370)),(((SUM(R365:R370))-(V370-C369))*H364)+((U370-C369)*H364),U370*H364),IF(V370&gt;(SUM(R365:R370)),R370*H364,U370*H364)),2)))</f>
        <v>0</v>
      </c>
      <c r="I370" s="64">
        <f>IF(B370=0,0,IF(AND(H356="ja",((U370)&lt;R381)),ROUND(((R383*R380+((R381/(R381-R380))-(R380/(R381-R380))*R383)*((U370)-R380))*(I364*2))-(((R381/(R381-R380))*((U370)-R380))*I364),2),ROUND(IF(V369&lt;(SUM(S365:S369)),IF((V370)&gt;(SUM(S365:S370)),(((SUM(S365:S370))-(V370-C369))*I364)+((U370-C369)*I364),U370*I364),IF(V370&gt;(SUM(S365:S370)),S370*I364,U370*I364)),2)))</f>
        <v>0</v>
      </c>
      <c r="J370" s="64">
        <f>IF(B370=0,0,IF(AND(H356="ja",((U370)&lt;R381)),ROUND(((R383*R380+((R381/(R381-R380))-(R380/(R381-R380))*R383)*((U370)-R380))*(J364*2))-(((R381/(R381-R380))*((U370)-R380))*J364),2),ROUND(IF(V369&lt;(SUM(S365:S369)),IF((V370)&gt;(SUM(S365:S370)),(((SUM(S365:S370))-(V370-C369))*J364)+((U370-C369)*J364),U370*J364),IF(V370&gt;(SUM(S365:S370)),S370*J364,U370*J364)),2)))</f>
        <v>0</v>
      </c>
      <c r="K370" s="64">
        <f>IF(B370=0,0,IF(AND(H356="ja",((U370)&lt;R381)),ROUND(((R383*R380+((R381/(R381-R380))-(R380/(R381-R380))*R383)*((U370)-R380))*(K364*2))-(((R381/(R381-R380))*((U370)-R380))*K364),2),ROUND(IF(V369&lt;(SUM(R365:R369)),IF((V370)&gt;(SUM(R365:R370)),(((SUM(R365:R370))-(V370-C369))*K364)+((U370-C369)*K364),U370*K364),IF(V370&gt;(SUM(R365:R370)),R370*K364,U370*K364)),2)))</f>
        <v>0</v>
      </c>
      <c r="L370" s="64">
        <f>IF(B370=0,0,IF(AND(H356="ja",((U370-C370)&lt;R381)),ROUND(((R383*R380+((R381/(R381-R380))-(R380/(R381-R380))*R383)*((U370-C370)-R380))*(L364)),2),ROUND(IF(SUM(B365:F369)&lt;(SUM(S365:S369)),IF((SUM(B365:F370))&gt;(SUM(S365:S370)),(((SUM(S365:S370))-(SUM(B365:F370)-C370))*L364)+((SUM(B370:F370)-C370)*L364),(SUM(B370:F370)-C370)*L364),IF(SUM(B365:F370)&gt;(SUM(S365:S370)),S370*L364,SUM(B370:F370)*L364)),2)))</f>
        <v>0</v>
      </c>
      <c r="M370" s="64">
        <f>IF(B370=0,0,IF(AND(H356="ja",((U370-C370)&lt;R381)),ROUND(((R383*R380+((R381/(R381-R380))-(R380/(R381-R380))*R383)*((U370-C370)-R380))*(M364)),2),ROUND(IF(SUM(B365:F369)&lt;(SUM(S365:S369)),IF((SUM(B365:F370))&gt;(SUM(S365:S370)),(((SUM(S365:S370))-(SUM(B365:F370)-C370))*M364)+((SUM(B370:F370)-C370)*M364),(SUM(B370:F370)-C370)*M364),IF(SUM(B365:F370)&gt;(SUM(S365:S370)),S370*M364,SUM(B370:F370)*M364)),2)))</f>
        <v>0</v>
      </c>
      <c r="N370" s="64">
        <f>IF(B370=0,0,IF(AND(H356="ja",((U370)&lt;R381)),ROUND(((R383*R380+((R381/(R381-R380))-(R380/(R381-R380))*R383)*((U370)-R380))*(N364)),2),ROUND(IF(SUM(B365:F369)&lt;(SUM(S365:S369)),IF((SUM(B365:F370))&gt;(SUM(S365:S370)),(((SUM(S365:S370))-(SUM(B365:F370)-C369))*N364)+((SUM(B370:F370)-C369)*N364),SUM(B370:F370)*N364),IF(SUM(B365:F370)&gt;(SUM(S365:S370)),S370*N364,SUM(B370:F370)*N364)),2)))</f>
        <v>0</v>
      </c>
      <c r="O370" s="21">
        <f>ROUND(SUM(B370+C370+F370)*O364,2)</f>
        <v>0</v>
      </c>
      <c r="P370" s="25">
        <f t="shared" si="53"/>
        <v>0</v>
      </c>
      <c r="Q370" s="456"/>
      <c r="R370" s="140">
        <f>ROUND(IF(M343="",R359,R359/M343*P347),2)</f>
        <v>5175</v>
      </c>
      <c r="S370" s="140">
        <f>ROUND(IF(M343="",R360,R360/M343*P347),2)</f>
        <v>7450</v>
      </c>
      <c r="U370" s="950">
        <f t="shared" si="54"/>
        <v>0</v>
      </c>
      <c r="V370" s="950">
        <f>SUM(B365:F370)</f>
        <v>0</v>
      </c>
    </row>
    <row r="371" spans="1:24" x14ac:dyDescent="0.2">
      <c r="A371" s="76" t="str">
        <f>CONCATENATE("Jul ",O341)</f>
        <v>Jul 2025</v>
      </c>
      <c r="B371" s="22">
        <f>ROUND(IF(P348=0,0,IFERROR(((LOOKUP(2,1/(A350:A353=A371),G350:G353))*P348*4.348),B370/P347*P348)),2)</f>
        <v>0</v>
      </c>
      <c r="C371" s="21">
        <f>ROUND(IFERROR((LOOKUP(2,1/(A356=A371),E356)),0)+IFERROR((LOOKUP(2,1/(A357=A371),E357)),0),2)</f>
        <v>0</v>
      </c>
      <c r="D371" s="21">
        <f>ROUND(IF(B371=0,0,D364/M343*P348),2)</f>
        <v>0</v>
      </c>
      <c r="E371" s="21">
        <f>ROUND(IF(B371=0,0,E364/N339*P348),2)</f>
        <v>0</v>
      </c>
      <c r="F371" s="22">
        <f>ROUND(IF(P348=0,0,IFERROR(((LOOKUP(2,1/(A350:A353=A371),I350:I353))/N339*P348),F370/P347*P348)),2)</f>
        <v>0</v>
      </c>
      <c r="G371" s="25">
        <f t="shared" si="52"/>
        <v>0</v>
      </c>
      <c r="H371" s="64">
        <f>IF(B371=0,0,IF(AND(H356="ja",((U371)&lt;R381)),ROUND(((R383*R380+((R381/(R381-R380))-(R380/(R381-R380))*R383)*((U371)-R380))*(H364*2))-(((R381/(R381-R380))*((U371)-R380))*H364),2),ROUND(IF(V370&lt;(SUM(R365:R370)),IF((V371)&gt;(SUM(R365:R371)),(((SUM(R365:R371))-(V371-C370))*H364)+((U371-C370)*H364),U371*H364),IF(V371&gt;(SUM(R365:R371)),R371*H364,U371*H364)),2)))</f>
        <v>0</v>
      </c>
      <c r="I371" s="64">
        <f>IF(B371=0,0,IF(AND(H356="ja",((U371)&lt;R381)),ROUND(((R383*R380+((R381/(R381-R380))-(R380/(R381-R380))*R383)*((U371)-R380))*(I364*2))-(((R381/(R381-R380))*((U371)-R380))*I364),2),ROUND(IF(V370&lt;(SUM(S365:S370)),IF((V371)&gt;(SUM(S365:S371)),(((SUM(S365:S371))-(V371-C370))*I364)+((U371-C370)*I364),U371*I364),IF(V371&gt;(SUM(S365:S371)),S371*I364,U371*I364)),2)))</f>
        <v>0</v>
      </c>
      <c r="J371" s="64">
        <f>IF(B371=0,0,IF(AND(H356="ja",((U371)&lt;R381)),ROUND(((R383*R380+((R381/(R381-R380))-(R380/(R381-R380))*R383)*((U371)-R380))*(J364*2))-(((R381/(R381-R380))*((U371)-R380))*J364),2),ROUND(IF(V370&lt;(SUM(S365:S370)),IF((V371)&gt;(SUM(S365:S371)),(((SUM(S365:S371))-(V371-C370))*J364)+((U371-C370)*J364),U371*J364),IF(V371&gt;(SUM(S365:S371)),S371*J364,U371*J364)),2)))</f>
        <v>0</v>
      </c>
      <c r="K371" s="64">
        <f>IF(B371=0,0,IF(AND(H356="ja",((U371)&lt;R381)),ROUND(((R383*R380+((R381/(R381-R380))-(R380/(R381-R380))*R383)*((U371)-R380))*(K364*2))-(((R381/(R381-R380))*((U371)-R380))*K364),2),ROUND(IF(V370&lt;(SUM(R365:R370)),IF((V371)&gt;(SUM(R365:R371)),(((SUM(R365:R371))-(V371-C370))*K364)+((U371-C370)*K364),U371*K364),IF(V371&gt;(SUM(R365:R371)),R371*K364,U371*K364)),2)))</f>
        <v>0</v>
      </c>
      <c r="L371" s="64">
        <f>IF(B371=0,0,IF(AND(H356="ja",((U371-C371)&lt;R381)),ROUND(((R383*R380+((R381/(R381-R380))-(R380/(R381-R380))*R383)*((U371-C371)-R380))*(L364)),2),ROUND(IF(SUM(B365:F370)&lt;(SUM(S365:S370)),IF((SUM(B365:F371))&gt;(SUM(S365:S371)),(((SUM(S365:S371))-(SUM(B365:F371)-C371))*L364)+((SUM(B371:F371)-C371)*L364),(SUM(B371:F371)-C371)*L364),IF(SUM(B365:F371)&gt;(SUM(S365:S371)),S371*L364,SUM(B371:F371)*L364)),2)))</f>
        <v>0</v>
      </c>
      <c r="M371" s="64">
        <f>IF(B371=0,0,IF(AND(H356="ja",((U371-C371)&lt;R381)),ROUND(((R383*R380+((R381/(R381-R380))-(R380/(R381-R380))*R383)*((U371-C371)-R380))*(M364)),2),ROUND(IF(SUM(B365:F370)&lt;(SUM(S365:S370)),IF((SUM(B365:F371))&gt;(SUM(S365:S371)),(((SUM(S365:S371))-(SUM(B365:F371)-C371))*M364)+((SUM(B371:F371)-C371)*M364),(SUM(B371:F371)-C371)*M364),IF(SUM(B365:F371)&gt;(SUM(S365:S371)),S371*M364,SUM(B371:F371)*M364)),2)))</f>
        <v>0</v>
      </c>
      <c r="N371" s="64">
        <f>IF(B371=0,0,IF(AND(H356="ja",((U371)&lt;R381)),ROUND(((R383*R380+((R381/(R381-R380))-(R380/(R381-R380))*R383)*((U371)-R380))*(N364)),2),ROUND(IF(SUM(B365:F370)&lt;(SUM(S365:S370)),IF((SUM(B365:F371))&gt;(SUM(S365:S371)),(((SUM(S365:S371))-(SUM(B365:F371)-C370))*N364)+((SUM(B371:F371)-C370)*N364),SUM(B371:F371)*N364),IF(SUM(B365:F371)&gt;(SUM(S365:S371)),S371*N364,SUM(B371:F371)*N364)),2)))</f>
        <v>0</v>
      </c>
      <c r="O371" s="21">
        <f>ROUND(SUM(B371+C371+F371)*O364,2)</f>
        <v>0</v>
      </c>
      <c r="P371" s="25">
        <f t="shared" si="53"/>
        <v>0</v>
      </c>
      <c r="Q371" s="456"/>
      <c r="R371" s="140">
        <f>ROUND(IF(M343="",R359,R359/M343*P348),2)</f>
        <v>5175</v>
      </c>
      <c r="S371" s="140">
        <f>ROUND(IF(M343="",R360,R360/M343*P348),2)</f>
        <v>7450</v>
      </c>
      <c r="U371" s="950">
        <f t="shared" si="54"/>
        <v>0</v>
      </c>
      <c r="V371" s="950">
        <f>SUM(B365:F371)</f>
        <v>0</v>
      </c>
    </row>
    <row r="372" spans="1:24" x14ac:dyDescent="0.2">
      <c r="A372" s="76" t="str">
        <f>CONCATENATE("Aug ",O341)</f>
        <v>Aug 2025</v>
      </c>
      <c r="B372" s="22">
        <f>ROUND(IF(P349=0,0,IFERROR(((LOOKUP(2,1/(A350:A353=A372),G350:G353))*P349*4.348),B371/P348*P349)),2)</f>
        <v>0</v>
      </c>
      <c r="C372" s="21">
        <f>ROUND(IFERROR((LOOKUP(2,1/(A356=A372),E356)),0)+IFERROR((LOOKUP(2,1/(A357=A372),E357)),0),2)</f>
        <v>0</v>
      </c>
      <c r="D372" s="21">
        <f>ROUND(IF(B372=0,0,D364/M343*P349),2)</f>
        <v>0</v>
      </c>
      <c r="E372" s="21">
        <f>ROUND(IF(B372=0,0,E364/N339*P349),2)</f>
        <v>0</v>
      </c>
      <c r="F372" s="22">
        <f>ROUND(IF(P349=0,0,IFERROR(((LOOKUP(2,1/(A350:A353=A372),I350:I353))/N339*P349),F371/P348*P349)),2)</f>
        <v>0</v>
      </c>
      <c r="G372" s="25">
        <f t="shared" si="52"/>
        <v>0</v>
      </c>
      <c r="H372" s="64">
        <f>IF(B372=0,0,IF(AND(H356="ja",((U372)&lt;R381)),ROUND(((R383*R380+((R381/(R381-R380))-(R380/(R381-R380))*R383)*((U372)-R380))*(H364*2))-(((R381/(R381-R380))*((U372)-R380))*H364),2),ROUND(IF(V371&lt;(SUM(R365:R371)),IF((V372)&gt;(SUM(R365:R372)),(((SUM(R365:R372))-(V372-C371))*H364)+((U372-C371)*H364),U372*H364),IF(V372&gt;(SUM(R365:R372)),R372*H364,U372*H364)),2)))</f>
        <v>0</v>
      </c>
      <c r="I372" s="64">
        <f>IF(B372=0,0,IF(AND(H356="ja",((U372)&lt;R381)),ROUND(((R383*R380+((R381/(R381-R380))-(R380/(R381-R380))*R383)*((U372)-R380))*(I364*2))-(((R381/(R381-R380))*((U372)-R380))*I364),2),ROUND(IF(V371&lt;(SUM(S365:S371)),IF((V372)&gt;(SUM(S365:S372)),(((SUM(S365:S372))-(V372-C371))*I364)+((U372-C371)*I364),U372*I364),IF(V372&gt;(SUM(S365:S372)),S372*I364,U372*I364)),2)))</f>
        <v>0</v>
      </c>
      <c r="J372" s="64">
        <f>IF(B372=0,0,IF(AND(H356="ja",((U372)&lt;R381)),ROUND(((R383*R380+((R381/(R381-R380))-(R380/(R381-R380))*R383)*((U372)-R380))*(J364*2))-(((R381/(R381-R380))*((U372)-R380))*J364),2),ROUND(IF(V371&lt;(SUM(S365:S371)),IF((V372)&gt;(SUM(S365:S372)),(((SUM(S365:S372))-(V372-C371))*J364)+((U372-C371)*J364),U372*J364),IF(V372&gt;(SUM(S365:S372)),S372*J364,U372*J364)),2)))</f>
        <v>0</v>
      </c>
      <c r="K372" s="64">
        <f>IF(B372=0,0,IF(AND(H356="ja",((U372)&lt;R381)),ROUND(((R383*R380+((R381/(R381-R380))-(R380/(R381-R380))*R383)*((U372)-R380))*(K364*2))-(((R381/(R381-R380))*((U372)-R380))*K364),2),ROUND(IF(V371&lt;(SUM(R365:R371)),IF((V372)&gt;(SUM(R365:R372)),(((SUM(R365:R372))-(V372-C371))*K364)+((U372-C371)*K364),U372*K364),IF(V372&gt;(SUM(R365:R372)),R372*K364,U372*K364)),2)))</f>
        <v>0</v>
      </c>
      <c r="L372" s="64">
        <f>IF(B372=0,0,IF(AND(H356="ja",((U372-C372)&lt;R381)),ROUND(((R383*R380+((R381/(R381-R380))-(R380/(R381-R380))*R383)*((U372-C372)-R380))*(L364)),2),ROUND(IF(SUM(B365:F371)&lt;(SUM(S365:S371)),IF((SUM(B365:F372))&gt;(SUM(S365:S372)),(((SUM(S365:S372))-(SUM(B365:F372)-C372))*L364)+((SUM(B372:F372)-C372)*L364),(SUM(B372:F372)-C372)*L364),IF(SUM(B365:F372)&gt;(SUM(S365:S372)),S372*L364,SUM(B372:F372)*L364)),2)))</f>
        <v>0</v>
      </c>
      <c r="M372" s="64">
        <f>IF(B372=0,0,IF(AND(H356="ja",((U372-C372)&lt;R381)),ROUND(((R383*R380+((R381/(R381-R380))-(R380/(R381-R380))*R383)*((U372-C372)-R380))*(M364)),2),ROUND(IF(SUM(B365:F371)&lt;(SUM(S365:S371)),IF((SUM(B365:F372))&gt;(SUM(S365:S372)),(((SUM(S365:S372))-(SUM(B365:F372)-C372))*M364)+((SUM(B372:F372)-C372)*M364),(SUM(B372:F372)-C372)*M364),IF(SUM(B365:F372)&gt;(SUM(S365:S372)),S372*M364,SUM(B372:F372)*M364)),2)))</f>
        <v>0</v>
      </c>
      <c r="N372" s="64">
        <f>IF(B372=0,0,IF(AND(H356="ja",((U372)&lt;R381)),ROUND(((R383*R380+((R381/(R381-R380))-(R380/(R381-R380))*R383)*((U372)-R380))*(N364)),2),ROUND(IF(SUM(B365:F371)&lt;(SUM(S365:S371)),IF((SUM(B365:F372))&gt;(SUM(S365:S372)),(((SUM(S365:S372))-(SUM(B365:F372)-C371))*N364)+((SUM(B372:F372)-C371)*N364),SUM(B372:F372)*N364),IF(SUM(B365:F372)&gt;(SUM(S365:S372)),S372*N364,SUM(B372:F372)*N364)),2)))</f>
        <v>0</v>
      </c>
      <c r="O372" s="21">
        <f>ROUND(SUM(B372+C372+F372)*O364,2)</f>
        <v>0</v>
      </c>
      <c r="P372" s="25">
        <f t="shared" si="53"/>
        <v>0</v>
      </c>
      <c r="Q372" s="456"/>
      <c r="R372" s="140">
        <f>ROUND(IF(M343="",R359,R359/M343*P349),2)</f>
        <v>5175</v>
      </c>
      <c r="S372" s="140">
        <f>ROUND(IF(M343="",R360,R360/M343*P349),2)</f>
        <v>7450</v>
      </c>
      <c r="U372" s="950">
        <f t="shared" si="54"/>
        <v>0</v>
      </c>
      <c r="V372" s="950">
        <f>SUM(B365:F372)</f>
        <v>0</v>
      </c>
    </row>
    <row r="373" spans="1:24" x14ac:dyDescent="0.2">
      <c r="A373" s="76" t="str">
        <f>CONCATENATE("Sep ",O341)</f>
        <v>Sep 2025</v>
      </c>
      <c r="B373" s="22">
        <f>ROUND(IF(P350=0,0,IFERROR(((LOOKUP(2,1/(A350:A353=A373),G350:G353))*P350*4.348),B372/P349*P350)),2)</f>
        <v>0</v>
      </c>
      <c r="C373" s="21">
        <f>ROUND(IFERROR((LOOKUP(2,1/(A356=A373),E356)),0)+IFERROR((LOOKUP(2,1/(A357=A373),E357)),0),2)</f>
        <v>0</v>
      </c>
      <c r="D373" s="21">
        <f>ROUND(IF(B373=0,0,D364/M343*P350),2)</f>
        <v>0</v>
      </c>
      <c r="E373" s="21">
        <f>ROUND(IF(B373=0,0,E364/N339*P350),2)</f>
        <v>0</v>
      </c>
      <c r="F373" s="22">
        <f>ROUND(IF(P350=0,0,IFERROR(((LOOKUP(2,1/(A350:A353=A373),I350:I353))/N339*P350),F372/P349*P350)),2)</f>
        <v>0</v>
      </c>
      <c r="G373" s="25">
        <f t="shared" si="52"/>
        <v>0</v>
      </c>
      <c r="H373" s="64">
        <f>IF(B373=0,0,IF(AND(H356="ja",((U373)&lt;R381)),ROUND(((R383*R380+((R381/(R381-R380))-(R380/(R381-R380))*R383)*((U373)-R380))*(H364*2))-(((R381/(R381-R380))*((U373)-R380))*H364),2),ROUND(IF(V372&lt;(SUM(R365:R372)),IF((V373)&gt;(SUM(R365:R373)),(((SUM(R365:R373))-(V373-C372))*H364)+((U373-C372)*H364),U373*H364),IF(V373&gt;(SUM(R365:R373)),R373*H364,U373*H364)),2)))</f>
        <v>0</v>
      </c>
      <c r="I373" s="64">
        <f>IF(B373=0,0,IF(AND(H356="ja",((U373)&lt;R381)),ROUND(((R383*R380+((R381/(R381-R380))-(R380/(R381-R380))*R383)*((U373)-R380))*(I364*2))-(((R381/(R381-R380))*((U373)-R380))*I364),2),ROUND(IF(V372&lt;(SUM(S365:S372)),IF((V373)&gt;(SUM(S365:S373)),(((SUM(S365:S373))-(V373-C372))*I364)+((U373-C372)*I364),U373*I364),IF(V373&gt;(SUM(S365:S373)),S373*I364,U373*I364)),2)))</f>
        <v>0</v>
      </c>
      <c r="J373" s="64">
        <f>IF(B373=0,0,IF(AND(H356="ja",((U373)&lt;R381)),ROUND(((R383*R380+((R381/(R381-R380))-(R380/(R381-R380))*R383)*((U373)-R380))*(J364*2))-(((R381/(R381-R380))*((U373)-R380))*J364),2),ROUND(IF(V372&lt;(SUM(S365:S372)),IF((V373)&gt;(SUM(S365:S373)),(((SUM(S365:S373))-(V373-C372))*J364)+((U373-C372)*J364),U373*J364),IF(V373&gt;(SUM(S365:S373)),S373*J364,U373*J364)),2)))</f>
        <v>0</v>
      </c>
      <c r="K373" s="64">
        <f>IF(B373=0,0,IF(AND(H356="ja",((U373)&lt;R381)),ROUND(((R383*R380+((R381/(R381-R380))-(R380/(R381-R380))*R383)*((U373)-R380))*(K364*2))-(((R381/(R381-R380))*((U373)-R380))*K364),2),ROUND(IF(V372&lt;(SUM(R365:R372)),IF((V373)&gt;(SUM(R365:R373)),(((SUM(R365:R373))-(V373-C372))*K364)+((U373-C372)*K364),U373*K364),IF(V373&gt;(SUM(R365:R373)),R373*K364,U373*K364)),2)))</f>
        <v>0</v>
      </c>
      <c r="L373" s="64">
        <f>IF(B373=0,0,IF(AND(H356="ja",((U373-C373)&lt;R381)),ROUND(((R383*R380+((R381/(R381-R380))-(R380/(R381-R380))*R383)*((U373-C373)-R380))*(L364)),2),ROUND(IF(SUM(B365:F372)&lt;(SUM(S365:S372)),IF((SUM(B365:F373))&gt;(SUM(S365:S373)),(((SUM(S365:S373))-(SUM(B365:F373)-C373))*L364)+((SUM(B373:F373)-C373)*L364),(SUM(B373:F373)-C373)*L364),IF(SUM(B365:F373)&gt;(SUM(S365:S373)),S373*L364,SUM(B373:F373)*L364)),2)))</f>
        <v>0</v>
      </c>
      <c r="M373" s="64">
        <f>IF(B373=0,0,IF(AND(H356="ja",((U373-C373)&lt;R381)),ROUND(((R383*R380+((R381/(R381-R380))-(R380/(R381-R380))*R383)*((U373-C373)-R380))*(M364)),2),ROUND(IF(SUM(B365:F372)&lt;(SUM(S365:S372)),IF((SUM(B365:F373))&gt;(SUM(S365:S373)),(((SUM(S365:S373))-(SUM(B365:F373)-C373))*M364)+((SUM(B373:F373)-C373)*M364),(SUM(B373:F373)-C373)*M364),IF(SUM(B365:F373)&gt;(SUM(S365:S373)),S373*M364,SUM(B373:F373)*M364)),2)))</f>
        <v>0</v>
      </c>
      <c r="N373" s="64">
        <f>IF(B373=0,0,IF(AND(H356="ja",((U373)&lt;R381)),ROUND(((R383*R380+((R381/(R381-R380))-(R380/(R381-R380))*R383)*((U373)-R380))*(N364)),2),ROUND(IF(SUM(B365:F372)&lt;(SUM(S365:S372)),IF((SUM(B365:F373))&gt;(SUM(S365:S373)),(((SUM(S365:S373))-(SUM(B365:F373)-C372))*N364)+((SUM(B373:F373)-C372)*N364),SUM(B373:F373)*N364),IF(SUM(B365:F373)&gt;(SUM(S365:S373)),S373*N364,SUM(B373:F373)*N364)),2)))</f>
        <v>0</v>
      </c>
      <c r="O373" s="21">
        <f>ROUND(SUM(B373+C373+F373)*O364,2)</f>
        <v>0</v>
      </c>
      <c r="P373" s="25">
        <f t="shared" si="53"/>
        <v>0</v>
      </c>
      <c r="Q373" s="456"/>
      <c r="R373" s="140">
        <f>ROUND(IF(M343="",R359,R359/M343*P350),2)</f>
        <v>5175</v>
      </c>
      <c r="S373" s="140">
        <f>ROUND(IF(M343="",R360,R360/M343*P350),2)</f>
        <v>7450</v>
      </c>
      <c r="U373" s="950">
        <f t="shared" si="54"/>
        <v>0</v>
      </c>
      <c r="V373" s="950">
        <f>SUM(B365:F373)</f>
        <v>0</v>
      </c>
    </row>
    <row r="374" spans="1:24" s="12" customFormat="1" ht="15" x14ac:dyDescent="0.25">
      <c r="A374" s="76" t="str">
        <f>CONCATENATE("Okt ",O341)</f>
        <v>Okt 2025</v>
      </c>
      <c r="B374" s="22">
        <f>ROUND(IF(P351=0,0,IFERROR(((LOOKUP(2,1/(A350:A353=A374),G350:G353))*P351*4.348),B373/P350*P351)),2)</f>
        <v>0</v>
      </c>
      <c r="C374" s="21">
        <f>ROUND(IFERROR((LOOKUP(2,1/(A356=A374),E356)),0)+IFERROR((LOOKUP(2,1/(A357=A374),E357)),0),2)</f>
        <v>0</v>
      </c>
      <c r="D374" s="21">
        <f>ROUND(IF(B374=0,0,D364/M343*P351),2)</f>
        <v>0</v>
      </c>
      <c r="E374" s="21">
        <f>ROUND(IF(B374=0,0,E364/N339*P351),2)</f>
        <v>0</v>
      </c>
      <c r="F374" s="22">
        <f>ROUND(IF(P351=0,0,IFERROR(((LOOKUP(2,1/(A350:A353=A374),I350:I353))/N339*P351),F373/P350*P351)),2)</f>
        <v>0</v>
      </c>
      <c r="G374" s="25">
        <f t="shared" si="52"/>
        <v>0</v>
      </c>
      <c r="H374" s="64">
        <f>IF(B374=0,0,IF(AND(H356="ja",((U374)&lt;R381)),ROUND(((R383*R380+((R381/(R381-R380))-(R380/(R381-R380))*R383)*((U374)-R380))*(H364*2))-(((R381/(R381-R380))*((U374)-R380))*H364),2),ROUND(IF(V373&lt;(SUM(R365:R373)),IF((V374)&gt;(SUM(R365:R374)),(((SUM(R365:R374))-(V374-C373))*H364)+((U374-C373)*H364),U374*H364),IF(V374&gt;(SUM(R365:R374)),R374*H364,U374*H364)),2)))</f>
        <v>0</v>
      </c>
      <c r="I374" s="64">
        <f>IF(B374=0,0,IF(AND(H356="ja",((U374)&lt;R381)),ROUND(((R383*R380+((R381/(R381-R380))-(R380/(R381-R380))*R383)*((U374)-R380))*(I364*2))-(((R381/(R381-R380))*((U374)-R380))*I364),2),ROUND(IF(V373&lt;(SUM(S365:S373)),IF((V374)&gt;(SUM(S365:S374)),(((SUM(S365:S374))-(V374-C373))*I364)+((U374-C373)*I364),U374*I364),IF(V374&gt;(SUM(S365:S374)),S374*I364,U374*I364)),2)))</f>
        <v>0</v>
      </c>
      <c r="J374" s="64">
        <f>IF(B374=0,0,IF(AND(H356="ja",((U374)&lt;R381)),ROUND(((R383*R380+((R381/(R381-R380))-(R380/(R381-R380))*R383)*((U374)-R380))*(J364*2))-(((R381/(R381-R380))*((U374)-R380))*J364),2),ROUND(IF(V373&lt;(SUM(S365:S373)),IF((V374)&gt;(SUM(S365:S374)),(((SUM(S365:S374))-(V374-C373))*J364)+((U374-C373)*J364),U374*J364),IF(V374&gt;(SUM(S365:S374)),S374*J364,U374*J364)),2)))</f>
        <v>0</v>
      </c>
      <c r="K374" s="64">
        <f>IF(B374=0,0,IF(AND(H356="ja",((U374)&lt;R381)),ROUND(((R383*R380+((R381/(R381-R380))-(R380/(R381-R380))*R383)*((U374)-R380))*(K364*2))-(((R381/(R381-R380))*((U374)-R380))*K364),2),ROUND(IF(V373&lt;(SUM(R365:R373)),IF((V374)&gt;(SUM(R365:R374)),(((SUM(R365:R374))-(V374-C373))*K364)+((U374-C373)*K364),U374*K364),IF(V374&gt;(SUM(R365:R374)),R374*K364,U374*K364)),2)))</f>
        <v>0</v>
      </c>
      <c r="L374" s="64">
        <f>IF(B374=0,0,IF(AND(H356="ja",((U374-C374)&lt;R381)),ROUND(((R383*R380+((R381/(R381-R380))-(R380/(R381-R380))*R383)*((U374-C374)-R380))*(L364)),2),ROUND(IF(SUM(B365:F373)&lt;(SUM(S365:S373)),IF((SUM(B365:F374))&gt;(SUM(S365:S374)),(((SUM(S365:S374))-(SUM(B365:F374)-C374))*L364)+((SUM(B374:F374)-C374)*L364),(SUM(B374:F374)-C374)*L364),IF(SUM(B365:F374)&gt;(SUM(S365:S374)),S374*L364,SUM(B374:F374)*L364)),2)))</f>
        <v>0</v>
      </c>
      <c r="M374" s="64">
        <f>IF(B374=0,0,IF(AND(H356="ja",((U374-C374)&lt;R381)),ROUND(((R383*R380+((R381/(R381-R380))-(R380/(R381-R380))*R383)*((U374-C374)-R380))*(M364)),2),ROUND(IF(SUM(B365:F373)&lt;(SUM(S365:S373)),IF((SUM(B365:F374))&gt;(SUM(S365:S374)),(((SUM(S365:S374))-(SUM(B365:F374)-C374))*M364)+((SUM(B374:F374)-C374)*M364),(SUM(B374:F374)-C374)*M364),IF(SUM(B365:F374)&gt;(SUM(S365:S374)),S374*M364,SUM(B374:F374)*M364)),2)))</f>
        <v>0</v>
      </c>
      <c r="N374" s="64">
        <f>IF(B374=0,0,IF(AND(H356="ja",((U374)&lt;R381)),ROUND(((R383*R380+((R381/(R381-R380))-(R380/(R381-R380))*R383)*((U374)-R380))*(N364)),2),ROUND(IF(SUM(B365:F373)&lt;(SUM(S365:S373)),IF((SUM(B365:F374))&gt;(SUM(S365:S374)),(((SUM(S365:S374))-(SUM(B365:F374)-C373))*N364)+((SUM(B374:F374)-C373)*N364),SUM(B374:F374)*N364),IF(SUM(B365:F374)&gt;(SUM(S365:S374)),S374*N364,SUM(B374:F374)*N364)),2)))</f>
        <v>0</v>
      </c>
      <c r="O374" s="21">
        <f>ROUND(SUM(B374+C374+F374)*O364,2)</f>
        <v>0</v>
      </c>
      <c r="P374" s="25">
        <f t="shared" si="53"/>
        <v>0</v>
      </c>
      <c r="Q374" s="936"/>
      <c r="R374" s="140">
        <f>ROUND(IF(M343="",R359,R359/M343*P351),2)</f>
        <v>5175</v>
      </c>
      <c r="S374" s="140">
        <f>ROUND(IF(M343="",R360,R360/M343*P351),2)</f>
        <v>7450</v>
      </c>
      <c r="U374" s="950">
        <f t="shared" si="54"/>
        <v>0</v>
      </c>
      <c r="V374" s="950">
        <f>SUM(B365:F374)</f>
        <v>0</v>
      </c>
      <c r="X374" s="1"/>
    </row>
    <row r="375" spans="1:24" s="11" customFormat="1" x14ac:dyDescent="0.2">
      <c r="A375" s="76" t="str">
        <f>CONCATENATE("Nov ",O341)</f>
        <v>Nov 2025</v>
      </c>
      <c r="B375" s="22">
        <f>ROUND(IF(P352=0,0,IFERROR(((LOOKUP(2,1/(A350:A353=A375),G350:G353))*P352*4.348),B374/P351*P352)),2)</f>
        <v>0</v>
      </c>
      <c r="C375" s="21">
        <f>ROUND(IFERROR((LOOKUP(2,1/(A356=A375),E356)),0)+(IFERROR((LOOKUP(2,1/(A357=A375),E357)),0)),2)</f>
        <v>0</v>
      </c>
      <c r="D375" s="21">
        <f>ROUND(IF(B375=0,0,D364/M343*P352),2)</f>
        <v>0</v>
      </c>
      <c r="E375" s="21">
        <f>ROUND(IF(B375=0,0,E364/N339*P352),2)</f>
        <v>0</v>
      </c>
      <c r="F375" s="22">
        <f>ROUND(IF(P352=0,0,IFERROR(((LOOKUP(2,1/(A350:A353=A375),I350:I353))/N339*P352),F374/P351*P352)),2)</f>
        <v>0</v>
      </c>
      <c r="G375" s="25">
        <f t="shared" si="52"/>
        <v>0</v>
      </c>
      <c r="H375" s="64">
        <f>IF(B375=0,0,IF(AND(H356="ja",((U375)&lt;R381)),ROUND(((R383*R380+((R381/(R381-R380))-(R380/(R381-R380))*R383)*((U375)-R380))*(H364*2))-(((R381/(R381-R380))*((U375)-R380))*H364),2),ROUND(IF(V374&lt;(SUM(R365:R374)),IF((V375)&gt;(SUM(R365:R375)),(((SUM(R365:R375))-(V375-C374))*H364)+((U375-C374)*H364),U375*H364),IF(V375&gt;(SUM(R365:R375)),R375*H364,U375*H364)),2)))</f>
        <v>0</v>
      </c>
      <c r="I375" s="64">
        <f>IF(B375=0,0,IF(AND(H356="ja",((U375)&lt;R381)),ROUND(((R383*R380+((R381/(R381-R380))-(R380/(R381-R380))*R383)*((U375)-R380))*(I364*2))-(((R381/(R381-R380))*((U375)-R380))*I364),2),ROUND(IF(V374&lt;(SUM(S365:S374)),IF((V375)&gt;(SUM(S365:S375)),(((SUM(S365:S375))-(V375-C374))*I364)+((U375-C374)*I364),U375*I364),IF(V375&gt;(SUM(S365:S375)),S375*I364,U375*I364)),2)))</f>
        <v>0</v>
      </c>
      <c r="J375" s="64">
        <f>IF(B375=0,0,IF(AND(H356="ja",((U375)&lt;R381)),ROUND(((R383*R380+((R381/(R381-R380))-(R380/(R381-R380))*R383)*((U375)-R380))*(J364*2))-(((R381/(R381-R380))*((U375)-R380))*J364),2),ROUND(IF(V374&lt;(SUM(S365:S374)),IF((V375)&gt;(SUM(S365:S375)),(((SUM(S365:S375))-(V375-C374))*J364)+((U375-C374)*J364),U375*J364),IF(V375&gt;(SUM(S365:S375)),S375*J364,U375*J364)),2)))</f>
        <v>0</v>
      </c>
      <c r="K375" s="64">
        <f>IF(B375=0,0,IF(AND(H356="ja",((U375)&lt;R381)),ROUND(((R383*R380+((R381/(R381-R380))-(R380/(R381-R380))*R383)*((U375)-R380))*(K364*2))-(((R381/(R381-R380))*((U375)-R380))*K364),2),ROUND(IF(V374&lt;(SUM(R365:R374)),IF((V375)&gt;(SUM(R365:R375)),(((SUM(R365:R375))-(V375-C374))*K364)+((U375-C374)*K364),U375*K364),IF(V375&gt;(SUM(R365:R375)),R375*K364,U375*K364)),2)))</f>
        <v>0</v>
      </c>
      <c r="L375" s="64">
        <f>IF(B375=0,0,IF(AND(H356="ja",((U375-C375)&lt;R381)),ROUND(((R383*R380+((R381/(R381-R380))-(R380/(R381-R380))*R383)*((U375-C375)-R380))*(L364)),2),ROUND(IF(SUM(B365:F374)&lt;(SUM(S365:S374)),IF((SUM(B365:F375))&gt;(SUM(S365:S375)),(((SUM(S365:S375))-(SUM(B365:F375)-C375))*L364)+((SUM(B375:F375)-C375)*L364),(SUM(B375:F375)-C375)*L364),IF(SUM(B365:F375)&gt;(SUM(S365:S375)),S375*L364,SUM(B375:F375)*L364)),2)))</f>
        <v>0</v>
      </c>
      <c r="M375" s="64">
        <f>IF(B375=0,0,IF(AND(H356="ja",((U375-C375)&lt;R381)),ROUND(((R383*R380+((R381/(R381-R380))-(R380/(R381-R380))*R383)*((U375-C375)-R380))*(M364)),2),ROUND(IF(SUM(B365:F374)&lt;(SUM(S365:S374)),IF((SUM(B365:F375))&gt;(SUM(S365:S375)),(((SUM(S365:S375))-(SUM(B365:F375)-C375))*M364)+((SUM(B375:F375)-C375)*M364),(SUM(B375:F375)-C375)*M364),IF(SUM(B365:F375)&gt;(SUM(S365:S375)),S375*M364,SUM(B375:F375)*M364)),2)))</f>
        <v>0</v>
      </c>
      <c r="N375" s="64">
        <f>IF(B375=0,0,IF(AND(H356="ja",((U375)&lt;R381)),ROUND(((R383*R380+((R381/(R381-R380))-(R380/(R381-R380))*R383)*((U375)-R380))*(N364)),2),ROUND(IF(SUM(B365:F374)&lt;(SUM(S365:S374)),IF((SUM(B365:F375))&gt;(SUM(S365:S375)),(((SUM(S365:S375))-(SUM(B365:F375)-C374))*N364)+((SUM(B375:F375)-C374)*N364),SUM(B375:F375)*N364),IF(SUM(B365:F375)&gt;(SUM(S365:S375)),S375*N364,SUM(B375:F375)*N364)),2)))</f>
        <v>0</v>
      </c>
      <c r="O375" s="21">
        <f>ROUND(SUM(B375+C375+F375)*O364,2)</f>
        <v>0</v>
      </c>
      <c r="P375" s="25">
        <f t="shared" si="53"/>
        <v>0</v>
      </c>
      <c r="R375" s="140">
        <f>ROUND(IF(M343="",R359,R359/M343*P352),2)</f>
        <v>5175</v>
      </c>
      <c r="S375" s="140">
        <f>ROUND(IF(M343="",R360,R360/M343*P352),2)</f>
        <v>7450</v>
      </c>
      <c r="U375" s="950">
        <f t="shared" si="54"/>
        <v>0</v>
      </c>
      <c r="V375" s="950">
        <f>SUM(B365:F375)</f>
        <v>0</v>
      </c>
      <c r="X375" s="1"/>
    </row>
    <row r="376" spans="1:24" ht="14.25" customHeight="1" x14ac:dyDescent="0.2">
      <c r="A376" s="76" t="str">
        <f>CONCATENATE("Dez ",O341)</f>
        <v>Dez 2025</v>
      </c>
      <c r="B376" s="22">
        <f>ROUND(IF(P353=0,0,IFERROR(((LOOKUP(2,1/(A350:A353=A376),G350:G353))*P353*4.348),B375/P352*P353)),2)</f>
        <v>0</v>
      </c>
      <c r="C376" s="21">
        <f>ROUND(IFERROR((LOOKUP(2,1/(A356=A376),E356)),0)+IFERROR((LOOKUP(2,1/(A357=A376),E357)),0),2)</f>
        <v>0</v>
      </c>
      <c r="D376" s="21">
        <f>ROUND(IF(B376=0,0,D364/M343*P353),2)</f>
        <v>0</v>
      </c>
      <c r="E376" s="21">
        <f>ROUND(IF(B376=0,0,E364/N339*P353),2)</f>
        <v>0</v>
      </c>
      <c r="F376" s="22">
        <f>ROUND(IF(P353=0,0,IFERROR(((LOOKUP(2,1/(A350:A353=A376),I350:I353))/N339*P353),F375/P352*P353)),2)</f>
        <v>0</v>
      </c>
      <c r="G376" s="25">
        <f t="shared" si="52"/>
        <v>0</v>
      </c>
      <c r="H376" s="64">
        <f>IF(B376=0,0,IF(AND(H356="ja",((U376)&lt;R381)),ROUND(((R383*R380+((R381/(R381-R380))-(R380/(R381-R380))*R383)*((U376)-R380))*(H364*2))-(((R381/(R381-R380))*((U376)-R380))*H364),2),ROUND(IF(V375&lt;(SUM(R365:R375)),IF((V376)&gt;(SUM(R365:R376)),(((SUM(R365:R376))-(V376-C375))*H364)+((U376-C375)*H364),U376*H364),IF(V376&gt;(SUM(R365:R376)),R376*H364,U376*H364)),2)))</f>
        <v>0</v>
      </c>
      <c r="I376" s="64">
        <f>IF(B376=0,0,IF(AND(H356="ja",((U376)&lt;R381)),ROUND(((R383*R380+((R381/(R381-R380))-(R380/(R381-R380))*R383)*((U376)-R380))*(I364*2))-(((R381/(R381-R380))*((U376)-R380))*I364),2),ROUND(IF(V375&lt;(SUM(S365:S375)),IF((V376)&gt;(SUM(S365:S376)),(((SUM(S365:S376))-(V376-C375))*I364)+((U376-C375)*I364),U376*I364),IF(V376&gt;(SUM(S365:S376)),S376*I364,U376*I364)),2)))</f>
        <v>0</v>
      </c>
      <c r="J376" s="64">
        <f>IF(B376=0,0,IF(AND(H356="ja",((U376)&lt;R381)),ROUND(((R383*R380+((R381/(R381-R380))-(R380/(R381-R380))*R383)*((U376)-R380))*(J364*2))-(((R381/(R381-R380))*((U376)-R380))*J364),2),ROUND(IF(V375&lt;(SUM(S365:S375)),IF((V376)&gt;(SUM(S365:S376)),(((SUM(S365:S376))-(V376-C375))*J364)+((U376-C375)*J364),U376*J364),IF(V376&gt;(SUM(S365:S376)),S376*J364,U376*J364)),2)))</f>
        <v>0</v>
      </c>
      <c r="K376" s="64">
        <f>IF(B376=0,0,IF(AND(H356="ja",((U376)&lt;R381)),ROUND(((R383*R380+((R381/(R381-R380))-(R380/(R381-R380))*R383)*((U376)-R380))*(K364*2))-(((R381/(R381-R380))*((U376)-R380))*K364),2),ROUND(IF(V375&lt;(SUM(R365:R375)),IF((V376)&gt;(SUM(R365:R376)),(((SUM(R365:R376))-(V376-C375))*K364)+((U376-C375)*K364),U376*K364),IF(V376&gt;(SUM(R365:R376)),R376*K364,U376*K364)),2)))</f>
        <v>0</v>
      </c>
      <c r="L376" s="64">
        <f>IF(B376=0,0,IF(AND(H356="ja",((U376-C376)&lt;R381)),ROUND(((R383*R380+((R381/(R381-R380))-(R380/(R381-R380))*R383)*((U376-C376)-R380))*(L364)),2),ROUND(IF(SUM(B365:F375)&lt;(SUM(S365:S375)),IF((SUM(B365:F376))&gt;(SUM(S365:S376)),(((SUM(S365:S376))-(SUM(B365:F376)-C376))*L364)+((SUM(B376:F376)-C376)*L364),(SUM(B376:F376)-C376)*L364),IF(SUM(B365:F376)&gt;(SUM(S365:S376)),S376*L364,SUM(B376:F376)*L364)),2)))</f>
        <v>0</v>
      </c>
      <c r="M376" s="64">
        <f>IF(B376=0,0,IF(AND(H356="ja",((U376-C376)&lt;R381)),ROUND(((R383*R380+((R381/(R381-R380))-(R380/(R381-R380))*R383)*((U376-C376)-R380))*(M364)),2),ROUND(IF(SUM(B365:F375)&lt;(SUM(S365:S375)),IF((SUM(B365:F376))&gt;(SUM(S365:S376)),(((SUM(S365:S376))-(SUM(B365:F376)-C376))*M364)+((SUM(B376:F376)-C376)*M364),(SUM(B376:F376)-C376)*M364),IF(SUM(B365:F376)&gt;(SUM(S365:S376)),S376*M364,SUM(B376:F376)*M364)),2)))</f>
        <v>0</v>
      </c>
      <c r="N376" s="64">
        <f>IF(B376=0,0,IF(AND(H356="ja",((U376)&lt;R381)),ROUND(((R383*R380+((R381/(R381-R380))-(R380/(R381-R380))*R383)*((U376)-R380))*(N364)),2),ROUND(IF(SUM(B365:F375)&lt;(SUM(S365:S375)),IF((SUM(B365:F376))&gt;(SUM(S365:S376)),(((SUM(S365:S376))-(SUM(B365:F376)-C375))*N364)+((SUM(B376:F376)-C375)*N364),SUM(B376:F376)*N364),IF(SUM(B365:F376)&gt;(SUM(S365:S376)),S376*N364,SUM(B376:F376)*N364)),2)))</f>
        <v>0</v>
      </c>
      <c r="O376" s="21">
        <f>ROUND(SUM(B376+C376+F376)*O364,2)</f>
        <v>0</v>
      </c>
      <c r="P376" s="25">
        <f t="shared" si="53"/>
        <v>0</v>
      </c>
      <c r="Q376" s="11"/>
      <c r="R376" s="140">
        <f>ROUND(IF(M343="",R359,R359/M343*P353),2)</f>
        <v>5175</v>
      </c>
      <c r="S376" s="140">
        <f>ROUND(IF(M343="",R360,R360/M343*P353),2)</f>
        <v>7450</v>
      </c>
      <c r="U376" s="950">
        <f t="shared" si="54"/>
        <v>0</v>
      </c>
      <c r="V376" s="950">
        <f>SUM(B365:F376)</f>
        <v>0</v>
      </c>
    </row>
    <row r="377" spans="1:24" ht="15" customHeight="1" x14ac:dyDescent="0.2">
      <c r="A377" s="2" t="s">
        <v>1</v>
      </c>
      <c r="B377" s="25">
        <f t="shared" ref="B377:G377" si="55">SUM(B365:B376)</f>
        <v>0</v>
      </c>
      <c r="C377" s="25">
        <f t="shared" si="55"/>
        <v>0</v>
      </c>
      <c r="D377" s="25">
        <f t="shared" si="55"/>
        <v>0</v>
      </c>
      <c r="E377" s="25">
        <f t="shared" si="55"/>
        <v>0</v>
      </c>
      <c r="F377" s="25">
        <f t="shared" si="55"/>
        <v>0</v>
      </c>
      <c r="G377" s="25">
        <f t="shared" si="55"/>
        <v>0</v>
      </c>
      <c r="H377" s="1309">
        <f>SUM(H365:N376)</f>
        <v>0</v>
      </c>
      <c r="I377" s="1310"/>
      <c r="J377" s="1310"/>
      <c r="K377" s="1310"/>
      <c r="L377" s="1310"/>
      <c r="M377" s="1310"/>
      <c r="N377" s="1311"/>
      <c r="O377" s="25">
        <f>SUM(O365:O376)</f>
        <v>0</v>
      </c>
      <c r="P377" s="25">
        <f>SUM(P365:P376)</f>
        <v>0</v>
      </c>
    </row>
    <row r="378" spans="1:24" ht="12" customHeight="1" x14ac:dyDescent="0.2">
      <c r="A378" s="1"/>
      <c r="B378" s="1"/>
      <c r="C378" s="1"/>
      <c r="D378" s="1"/>
      <c r="E378" s="1"/>
      <c r="F378" s="1"/>
      <c r="G378" s="1"/>
      <c r="H378" s="1"/>
      <c r="I378" s="1"/>
      <c r="J378" s="1"/>
      <c r="K378" s="1"/>
      <c r="L378" s="1"/>
      <c r="M378" s="1"/>
      <c r="N378" s="1"/>
      <c r="O378" s="1"/>
      <c r="P378" s="1"/>
    </row>
    <row r="379" spans="1:24" ht="14.25" customHeight="1" x14ac:dyDescent="0.2">
      <c r="A379" s="1"/>
      <c r="B379" s="906"/>
      <c r="C379" s="1"/>
      <c r="D379" s="1"/>
      <c r="E379" s="1"/>
      <c r="F379" s="1"/>
      <c r="G379" s="1"/>
      <c r="H379" s="905"/>
      <c r="I379" s="62"/>
      <c r="J379" s="914" t="s">
        <v>123</v>
      </c>
      <c r="K379" s="1"/>
      <c r="L379" s="900" t="s">
        <v>124</v>
      </c>
      <c r="M379" s="974" t="str">
        <f>IF(IF(G377=0,"",'päd.Personal - Leitung'!$M$43)=0,"",IF(G377=0,"",'päd.Personal - Leitung'!$M$43))</f>
        <v/>
      </c>
      <c r="N379" s="902" t="s">
        <v>125</v>
      </c>
      <c r="O379" s="963" t="str">
        <f>IF(IF(G377=0,"",'päd.Personal - Leitung'!$O$43)=0,"",IF(G377=0,"",'päd.Personal - Leitung'!$O$43))</f>
        <v/>
      </c>
      <c r="P379" s="25">
        <f>ROUND(IF(M379="",0,G377*M379*O379/1000),2)</f>
        <v>0</v>
      </c>
      <c r="Q379" s="937"/>
      <c r="R379" s="938">
        <v>2025</v>
      </c>
      <c r="S379" s="939"/>
    </row>
    <row r="380" spans="1:24" ht="14.25" customHeight="1" x14ac:dyDescent="0.2">
      <c r="A380" s="1"/>
      <c r="B380" s="1"/>
      <c r="C380" s="1"/>
      <c r="D380" s="1"/>
      <c r="E380" s="1"/>
      <c r="F380" s="1"/>
      <c r="G380" s="1"/>
      <c r="H380" s="907"/>
      <c r="I380" s="42"/>
      <c r="J380" s="1"/>
      <c r="K380" s="1"/>
      <c r="L380" s="1"/>
      <c r="M380" s="915" t="s">
        <v>129</v>
      </c>
      <c r="N380" s="80" t="s">
        <v>125</v>
      </c>
      <c r="O380" s="75" t="str">
        <f>IF(IF(G377=0,"",'päd.Personal - Leitung'!$O$44)=0,"",IF(G377=0,"",'päd.Personal - Leitung'!$O$44))</f>
        <v/>
      </c>
      <c r="P380" s="25">
        <f>ROUND(IF(O380="",0,G377*O380/1000),2)</f>
        <v>0</v>
      </c>
      <c r="Q380" s="942" t="s">
        <v>737</v>
      </c>
      <c r="R380" s="141">
        <f>'päd.Personal - Leitung'!$R$44</f>
        <v>556</v>
      </c>
      <c r="S380" s="955">
        <f>'päd.Personal - Leitung'!$S$44</f>
        <v>12.82</v>
      </c>
    </row>
    <row r="381" spans="1:24" ht="14.25" customHeight="1" x14ac:dyDescent="0.2">
      <c r="A381" s="1"/>
      <c r="B381" s="1"/>
      <c r="C381" s="1"/>
      <c r="D381" s="1"/>
      <c r="E381" s="1"/>
      <c r="F381" s="1"/>
      <c r="G381" s="1"/>
      <c r="H381" s="912" t="s">
        <v>126</v>
      </c>
      <c r="I381" s="960" t="s">
        <v>127</v>
      </c>
      <c r="J381" s="975" t="str">
        <f>IF(IF(G377=0,"",'päd.Personal - Leitung'!$J$45)=0,"",IF(G377=0,"",'päd.Personal - Leitung'!$J$45))</f>
        <v/>
      </c>
      <c r="K381" s="902" t="s">
        <v>128</v>
      </c>
      <c r="L381" s="964" t="str">
        <f>IF(IF(G377=0,"",'päd.Personal - Leitung'!$L$45)=0,"",IF(G377=0,"",'päd.Personal - Leitung'!$L$45))</f>
        <v/>
      </c>
      <c r="M381" s="16"/>
      <c r="N381" s="900" t="s">
        <v>132</v>
      </c>
      <c r="O381" s="965" t="str">
        <f>IF(IF(G377=0,"",'päd.Personal - Leitung'!$O$45)=0,"",IF(G377=0,"",'päd.Personal - Leitung'!$O$45))</f>
        <v/>
      </c>
      <c r="P381" s="25">
        <f>ROUND(IF(J381="",0,(J381*L381/O381)/M345*M346),2)</f>
        <v>0</v>
      </c>
      <c r="Q381" s="942" t="s">
        <v>738</v>
      </c>
      <c r="R381" s="140">
        <f>'päd.Personal - Leitung'!$R$45</f>
        <v>2000</v>
      </c>
      <c r="S381" s="939"/>
    </row>
    <row r="382" spans="1:24" ht="14.25" customHeight="1" x14ac:dyDescent="0.2">
      <c r="A382" s="1"/>
      <c r="B382" s="1"/>
      <c r="C382" s="1"/>
      <c r="D382" s="16"/>
      <c r="E382" s="1"/>
      <c r="F382" s="1"/>
      <c r="G382" s="1"/>
      <c r="H382" s="1"/>
      <c r="I382" s="16"/>
      <c r="J382" s="16"/>
      <c r="K382" s="63"/>
      <c r="L382" s="67"/>
      <c r="M382" s="915" t="s">
        <v>130</v>
      </c>
      <c r="N382" s="80" t="s">
        <v>131</v>
      </c>
      <c r="O382" s="904">
        <f>IF(IF(M348="",0,$O$46)=0,0,IF(M348="",0,$O$46))</f>
        <v>0</v>
      </c>
      <c r="P382" s="21">
        <f>ROUND(IF(G377=0,0,O382/M343*M344),2)</f>
        <v>0</v>
      </c>
      <c r="Q382" s="942" t="s">
        <v>740</v>
      </c>
      <c r="R382" s="956">
        <f>'päd.Personal - Leitung'!$R$46</f>
        <v>0.40900000000000003</v>
      </c>
    </row>
    <row r="383" spans="1:24" ht="14.25" customHeight="1" x14ac:dyDescent="0.2">
      <c r="A383" s="16"/>
      <c r="B383" s="16"/>
      <c r="C383" s="1"/>
      <c r="D383" s="1"/>
      <c r="E383" s="1"/>
      <c r="F383" s="1"/>
      <c r="G383" s="1"/>
      <c r="H383" s="1"/>
      <c r="I383" s="905"/>
      <c r="J383" s="961" t="s">
        <v>176</v>
      </c>
      <c r="K383" s="1312" t="str">
        <f>IF($K$47="","",$K$47)</f>
        <v/>
      </c>
      <c r="L383" s="1312"/>
      <c r="M383" s="1312"/>
      <c r="N383" s="80" t="s">
        <v>131</v>
      </c>
      <c r="O383" s="904">
        <f>IF(IF(M348="",0,$O$47)=0,0,IF(M348="",0,$O$47))</f>
        <v>0</v>
      </c>
      <c r="P383" s="21">
        <f>ROUND(IF(G377=0,0,O383/M343*M344),2)</f>
        <v>0</v>
      </c>
      <c r="Q383" s="942" t="s">
        <v>739</v>
      </c>
      <c r="R383" s="940">
        <f>'päd.Personal - Leitung'!$R$47</f>
        <v>0.68459999999999999</v>
      </c>
      <c r="S383" s="957">
        <f>'päd.Personal - Leitung'!$S$47</f>
        <v>0.28000000000000003</v>
      </c>
    </row>
    <row r="384" spans="1:24" ht="14.25" customHeight="1" x14ac:dyDescent="0.2">
      <c r="A384" s="908"/>
      <c r="B384" s="908"/>
      <c r="C384" s="960"/>
      <c r="D384" s="960"/>
      <c r="E384" s="1"/>
      <c r="F384" s="1"/>
      <c r="G384" s="1"/>
      <c r="H384" s="1"/>
      <c r="I384" s="913"/>
      <c r="J384" s="913"/>
      <c r="K384" s="916"/>
      <c r="L384" s="27"/>
      <c r="M384" s="27"/>
      <c r="N384" s="27"/>
      <c r="O384" s="26" t="s">
        <v>0</v>
      </c>
      <c r="P384" s="25">
        <f>P377+SUM(P379:P383)</f>
        <v>0</v>
      </c>
    </row>
  </sheetData>
  <sheetProtection algorithmName="SHA-512" hashValue="7lzbwtbsVqFtl5uqxU2P2rwKn5l5sdKXWt5tnMAJuOqDzuBexbHws54uc1PFa0JV76dqN+YxwUITOyjAI+v/Qg==" saltValue="oPFLPVjy07de4d4hBU/wFQ==" spinCount="100000" sheet="1" objects="1" scenarios="1"/>
  <mergeCells count="480">
    <mergeCell ref="B356:C356"/>
    <mergeCell ref="I356:K356"/>
    <mergeCell ref="A360:A364"/>
    <mergeCell ref="H361:H362"/>
    <mergeCell ref="B357:C357"/>
    <mergeCell ref="I357:K357"/>
    <mergeCell ref="B360:G360"/>
    <mergeCell ref="H360:N360"/>
    <mergeCell ref="P360:P364"/>
    <mergeCell ref="B361:B364"/>
    <mergeCell ref="C361:C364"/>
    <mergeCell ref="D361:D363"/>
    <mergeCell ref="E361:E363"/>
    <mergeCell ref="G361:G364"/>
    <mergeCell ref="F362:F364"/>
    <mergeCell ref="B349:C349"/>
    <mergeCell ref="B350:C350"/>
    <mergeCell ref="B351:C351"/>
    <mergeCell ref="B352:C352"/>
    <mergeCell ref="B353:C353"/>
    <mergeCell ref="A345:C345"/>
    <mergeCell ref="D345:I345"/>
    <mergeCell ref="A346:C346"/>
    <mergeCell ref="D346:I346"/>
    <mergeCell ref="D347:E347"/>
    <mergeCell ref="F347:G347"/>
    <mergeCell ref="H347:I347"/>
    <mergeCell ref="A340:C340"/>
    <mergeCell ref="D340:J340"/>
    <mergeCell ref="A341:J341"/>
    <mergeCell ref="A343:C343"/>
    <mergeCell ref="D343:I343"/>
    <mergeCell ref="A344:C344"/>
    <mergeCell ref="D344:I344"/>
    <mergeCell ref="A337:C337"/>
    <mergeCell ref="D337:N337"/>
    <mergeCell ref="A338:C338"/>
    <mergeCell ref="D338:N338"/>
    <mergeCell ref="A339:C339"/>
    <mergeCell ref="D339:J339"/>
    <mergeCell ref="K339:M339"/>
    <mergeCell ref="A296:C296"/>
    <mergeCell ref="D296:I296"/>
    <mergeCell ref="A297:C297"/>
    <mergeCell ref="D297:I297"/>
    <mergeCell ref="D292:J292"/>
    <mergeCell ref="A293:J293"/>
    <mergeCell ref="B303:C303"/>
    <mergeCell ref="B304:C304"/>
    <mergeCell ref="B305:C305"/>
    <mergeCell ref="A298:C298"/>
    <mergeCell ref="D298:I298"/>
    <mergeCell ref="D299:E299"/>
    <mergeCell ref="F299:G299"/>
    <mergeCell ref="H299:I299"/>
    <mergeCell ref="B301:C301"/>
    <mergeCell ref="B302:C302"/>
    <mergeCell ref="A295:C295"/>
    <mergeCell ref="D295:I295"/>
    <mergeCell ref="B205:C205"/>
    <mergeCell ref="B206:C206"/>
    <mergeCell ref="A241:C241"/>
    <mergeCell ref="D241:N241"/>
    <mergeCell ref="A242:C242"/>
    <mergeCell ref="D242:N242"/>
    <mergeCell ref="D243:J243"/>
    <mergeCell ref="K243:M243"/>
    <mergeCell ref="B208:C208"/>
    <mergeCell ref="B209:C209"/>
    <mergeCell ref="B212:C212"/>
    <mergeCell ref="I212:K212"/>
    <mergeCell ref="B213:C213"/>
    <mergeCell ref="I213:K213"/>
    <mergeCell ref="A216:A220"/>
    <mergeCell ref="B216:G216"/>
    <mergeCell ref="H216:N216"/>
    <mergeCell ref="B217:B220"/>
    <mergeCell ref="C217:C220"/>
    <mergeCell ref="D217:D219"/>
    <mergeCell ref="E217:E219"/>
    <mergeCell ref="G217:G220"/>
    <mergeCell ref="H217:H218"/>
    <mergeCell ref="I217:I218"/>
    <mergeCell ref="D193:N193"/>
    <mergeCell ref="A194:C194"/>
    <mergeCell ref="D194:N194"/>
    <mergeCell ref="A195:C195"/>
    <mergeCell ref="D195:J195"/>
    <mergeCell ref="K195:M195"/>
    <mergeCell ref="D196:J196"/>
    <mergeCell ref="A197:J197"/>
    <mergeCell ref="A202:C202"/>
    <mergeCell ref="A201:C201"/>
    <mergeCell ref="D201:I201"/>
    <mergeCell ref="D202:I202"/>
    <mergeCell ref="B159:C159"/>
    <mergeCell ref="K154:L154"/>
    <mergeCell ref="B160:C160"/>
    <mergeCell ref="B161:C161"/>
    <mergeCell ref="B164:C164"/>
    <mergeCell ref="I164:K164"/>
    <mergeCell ref="A168:A172"/>
    <mergeCell ref="H169:H170"/>
    <mergeCell ref="I169:I170"/>
    <mergeCell ref="J169:J170"/>
    <mergeCell ref="K169:K170"/>
    <mergeCell ref="F170:F172"/>
    <mergeCell ref="B165:C165"/>
    <mergeCell ref="I165:K165"/>
    <mergeCell ref="B168:G168"/>
    <mergeCell ref="H168:N168"/>
    <mergeCell ref="B169:B172"/>
    <mergeCell ref="C169:C172"/>
    <mergeCell ref="D169:D171"/>
    <mergeCell ref="E169:E171"/>
    <mergeCell ref="G169:G172"/>
    <mergeCell ref="L169:L170"/>
    <mergeCell ref="M169:M170"/>
    <mergeCell ref="N169:N170"/>
    <mergeCell ref="D59:E59"/>
    <mergeCell ref="O169:O171"/>
    <mergeCell ref="F107:G107"/>
    <mergeCell ref="H107:I107"/>
    <mergeCell ref="B109:C109"/>
    <mergeCell ref="A103:C103"/>
    <mergeCell ref="D103:I103"/>
    <mergeCell ref="A104:C104"/>
    <mergeCell ref="D104:I104"/>
    <mergeCell ref="A105:C105"/>
    <mergeCell ref="D105:I105"/>
    <mergeCell ref="A151:C151"/>
    <mergeCell ref="D151:I151"/>
    <mergeCell ref="A152:C152"/>
    <mergeCell ref="D152:I152"/>
    <mergeCell ref="B110:C110"/>
    <mergeCell ref="B111:C111"/>
    <mergeCell ref="B112:C112"/>
    <mergeCell ref="B113:C113"/>
    <mergeCell ref="A145:C145"/>
    <mergeCell ref="D145:N145"/>
    <mergeCell ref="A146:C146"/>
    <mergeCell ref="D146:N146"/>
    <mergeCell ref="A147:C147"/>
    <mergeCell ref="D9:I9"/>
    <mergeCell ref="D10:I10"/>
    <mergeCell ref="D11:E11"/>
    <mergeCell ref="F11:G11"/>
    <mergeCell ref="H11:I11"/>
    <mergeCell ref="B13:C13"/>
    <mergeCell ref="A10:C10"/>
    <mergeCell ref="A9:C9"/>
    <mergeCell ref="K9:L9"/>
    <mergeCell ref="K10:L10"/>
    <mergeCell ref="K11:L11"/>
    <mergeCell ref="B14:C14"/>
    <mergeCell ref="B15:C15"/>
    <mergeCell ref="B16:C16"/>
    <mergeCell ref="B17:C17"/>
    <mergeCell ref="D51:J51"/>
    <mergeCell ref="A52:C52"/>
    <mergeCell ref="D52:J52"/>
    <mergeCell ref="D49:N49"/>
    <mergeCell ref="D50:N50"/>
    <mergeCell ref="A49:C49"/>
    <mergeCell ref="B20:C20"/>
    <mergeCell ref="I20:K20"/>
    <mergeCell ref="B21:C21"/>
    <mergeCell ref="I21:K21"/>
    <mergeCell ref="A24:A28"/>
    <mergeCell ref="B24:G24"/>
    <mergeCell ref="H24:N24"/>
    <mergeCell ref="F26:F28"/>
    <mergeCell ref="G25:G28"/>
    <mergeCell ref="A7:C7"/>
    <mergeCell ref="D7:I7"/>
    <mergeCell ref="D8:I8"/>
    <mergeCell ref="A1:C1"/>
    <mergeCell ref="A2:C2"/>
    <mergeCell ref="A3:C3"/>
    <mergeCell ref="A8:C8"/>
    <mergeCell ref="A4:C4"/>
    <mergeCell ref="D1:N1"/>
    <mergeCell ref="D2:N2"/>
    <mergeCell ref="D3:J3"/>
    <mergeCell ref="K3:M3"/>
    <mergeCell ref="D4:J4"/>
    <mergeCell ref="A5:J5"/>
    <mergeCell ref="K6:L6"/>
    <mergeCell ref="K7:L7"/>
    <mergeCell ref="K8:L8"/>
    <mergeCell ref="A291:C291"/>
    <mergeCell ref="A292:C292"/>
    <mergeCell ref="K291:M291"/>
    <mergeCell ref="A289:C289"/>
    <mergeCell ref="D289:N289"/>
    <mergeCell ref="D290:N290"/>
    <mergeCell ref="D291:J291"/>
    <mergeCell ref="A196:C196"/>
    <mergeCell ref="B207:C207"/>
    <mergeCell ref="A250:C250"/>
    <mergeCell ref="A249:C249"/>
    <mergeCell ref="A247:C247"/>
    <mergeCell ref="D247:I247"/>
    <mergeCell ref="A248:C248"/>
    <mergeCell ref="D248:I248"/>
    <mergeCell ref="B255:C255"/>
    <mergeCell ref="B256:C256"/>
    <mergeCell ref="D249:I249"/>
    <mergeCell ref="A243:C243"/>
    <mergeCell ref="A244:C244"/>
    <mergeCell ref="D203:E203"/>
    <mergeCell ref="F203:G203"/>
    <mergeCell ref="H203:I203"/>
    <mergeCell ref="K203:L203"/>
    <mergeCell ref="K59:L59"/>
    <mergeCell ref="B68:C68"/>
    <mergeCell ref="I68:K68"/>
    <mergeCell ref="B69:C69"/>
    <mergeCell ref="K147:M147"/>
    <mergeCell ref="A148:C148"/>
    <mergeCell ref="D148:J148"/>
    <mergeCell ref="A290:C290"/>
    <mergeCell ref="A50:C50"/>
    <mergeCell ref="A51:C51"/>
    <mergeCell ref="K51:M51"/>
    <mergeCell ref="F59:G59"/>
    <mergeCell ref="H59:I59"/>
    <mergeCell ref="B61:C61"/>
    <mergeCell ref="B62:C62"/>
    <mergeCell ref="B63:C63"/>
    <mergeCell ref="B64:C64"/>
    <mergeCell ref="B65:C65"/>
    <mergeCell ref="A106:C106"/>
    <mergeCell ref="D106:I106"/>
    <mergeCell ref="I69:K69"/>
    <mergeCell ref="A72:A76"/>
    <mergeCell ref="B72:G72"/>
    <mergeCell ref="B158:C158"/>
    <mergeCell ref="R26:S26"/>
    <mergeCell ref="R27:S27"/>
    <mergeCell ref="R74:S74"/>
    <mergeCell ref="R75:S75"/>
    <mergeCell ref="R122:S122"/>
    <mergeCell ref="R123:S123"/>
    <mergeCell ref="R170:S170"/>
    <mergeCell ref="R171:S171"/>
    <mergeCell ref="H25:H26"/>
    <mergeCell ref="I25:I26"/>
    <mergeCell ref="J25:J26"/>
    <mergeCell ref="K25:K26"/>
    <mergeCell ref="L25:L26"/>
    <mergeCell ref="M25:M26"/>
    <mergeCell ref="N25:N26"/>
    <mergeCell ref="O25:O27"/>
    <mergeCell ref="H72:N72"/>
    <mergeCell ref="D147:J147"/>
    <mergeCell ref="D153:I153"/>
    <mergeCell ref="D154:I154"/>
    <mergeCell ref="F155:G155"/>
    <mergeCell ref="H155:I155"/>
    <mergeCell ref="K155:L155"/>
    <mergeCell ref="A149:J149"/>
    <mergeCell ref="D155:E155"/>
    <mergeCell ref="K107:L107"/>
    <mergeCell ref="B116:C116"/>
    <mergeCell ref="I116:K116"/>
    <mergeCell ref="B117:C117"/>
    <mergeCell ref="I117:K117"/>
    <mergeCell ref="A120:A124"/>
    <mergeCell ref="B120:G120"/>
    <mergeCell ref="H120:N120"/>
    <mergeCell ref="A153:C153"/>
    <mergeCell ref="A154:C154"/>
    <mergeCell ref="B121:B124"/>
    <mergeCell ref="C121:C124"/>
    <mergeCell ref="D121:D123"/>
    <mergeCell ref="E121:E123"/>
    <mergeCell ref="G121:G124"/>
    <mergeCell ref="H121:H122"/>
    <mergeCell ref="I121:I122"/>
    <mergeCell ref="J121:J122"/>
    <mergeCell ref="K121:K122"/>
    <mergeCell ref="F122:F124"/>
    <mergeCell ref="D107:E107"/>
    <mergeCell ref="B157:C157"/>
    <mergeCell ref="U27:U28"/>
    <mergeCell ref="V27:V28"/>
    <mergeCell ref="H41:N41"/>
    <mergeCell ref="K47:M47"/>
    <mergeCell ref="K54:L54"/>
    <mergeCell ref="K55:L55"/>
    <mergeCell ref="K56:L56"/>
    <mergeCell ref="K57:L57"/>
    <mergeCell ref="K58:L58"/>
    <mergeCell ref="A53:J53"/>
    <mergeCell ref="A55:C55"/>
    <mergeCell ref="D55:I55"/>
    <mergeCell ref="A56:C56"/>
    <mergeCell ref="D56:I56"/>
    <mergeCell ref="A57:C57"/>
    <mergeCell ref="D57:I57"/>
    <mergeCell ref="A58:C58"/>
    <mergeCell ref="D58:I58"/>
    <mergeCell ref="P24:P28"/>
    <mergeCell ref="B25:B28"/>
    <mergeCell ref="C25:C28"/>
    <mergeCell ref="D25:D27"/>
    <mergeCell ref="E25:E27"/>
    <mergeCell ref="B73:B76"/>
    <mergeCell ref="C73:C76"/>
    <mergeCell ref="D73:D75"/>
    <mergeCell ref="E73:E75"/>
    <mergeCell ref="G73:G76"/>
    <mergeCell ref="H73:H74"/>
    <mergeCell ref="I73:I74"/>
    <mergeCell ref="J73:J74"/>
    <mergeCell ref="K73:K74"/>
    <mergeCell ref="F74:F76"/>
    <mergeCell ref="U75:U76"/>
    <mergeCell ref="V75:V76"/>
    <mergeCell ref="H89:N89"/>
    <mergeCell ref="K95:M95"/>
    <mergeCell ref="K102:L102"/>
    <mergeCell ref="K103:L103"/>
    <mergeCell ref="K104:L104"/>
    <mergeCell ref="K105:L105"/>
    <mergeCell ref="K106:L106"/>
    <mergeCell ref="P72:P76"/>
    <mergeCell ref="L73:L74"/>
    <mergeCell ref="M73:M74"/>
    <mergeCell ref="N73:N74"/>
    <mergeCell ref="O73:O75"/>
    <mergeCell ref="A101:J101"/>
    <mergeCell ref="A97:C97"/>
    <mergeCell ref="D97:N97"/>
    <mergeCell ref="A98:C98"/>
    <mergeCell ref="D98:N98"/>
    <mergeCell ref="A99:C99"/>
    <mergeCell ref="D99:J99"/>
    <mergeCell ref="K99:M99"/>
    <mergeCell ref="A100:C100"/>
    <mergeCell ref="D100:J100"/>
    <mergeCell ref="U123:U124"/>
    <mergeCell ref="V123:V124"/>
    <mergeCell ref="H137:N137"/>
    <mergeCell ref="K143:M143"/>
    <mergeCell ref="K150:L150"/>
    <mergeCell ref="K151:L151"/>
    <mergeCell ref="K152:L152"/>
    <mergeCell ref="K153:L153"/>
    <mergeCell ref="P120:P124"/>
    <mergeCell ref="L121:L122"/>
    <mergeCell ref="M121:M122"/>
    <mergeCell ref="N121:N122"/>
    <mergeCell ref="O121:O123"/>
    <mergeCell ref="R218:S218"/>
    <mergeCell ref="R219:S219"/>
    <mergeCell ref="U219:U220"/>
    <mergeCell ref="V219:V220"/>
    <mergeCell ref="H233:N233"/>
    <mergeCell ref="K239:M239"/>
    <mergeCell ref="K246:L246"/>
    <mergeCell ref="U171:U172"/>
    <mergeCell ref="V171:V172"/>
    <mergeCell ref="H185:N185"/>
    <mergeCell ref="K191:M191"/>
    <mergeCell ref="K198:L198"/>
    <mergeCell ref="K199:L199"/>
    <mergeCell ref="K200:L200"/>
    <mergeCell ref="K201:L201"/>
    <mergeCell ref="K202:L202"/>
    <mergeCell ref="D200:I200"/>
    <mergeCell ref="P168:P172"/>
    <mergeCell ref="D244:J244"/>
    <mergeCell ref="A245:J245"/>
    <mergeCell ref="A199:C199"/>
    <mergeCell ref="D199:I199"/>
    <mergeCell ref="A200:C200"/>
    <mergeCell ref="A193:C193"/>
    <mergeCell ref="K247:L247"/>
    <mergeCell ref="K248:L248"/>
    <mergeCell ref="P216:P220"/>
    <mergeCell ref="L217:L218"/>
    <mergeCell ref="M217:M218"/>
    <mergeCell ref="N217:N218"/>
    <mergeCell ref="O217:O219"/>
    <mergeCell ref="B260:C260"/>
    <mergeCell ref="I260:K260"/>
    <mergeCell ref="K217:K218"/>
    <mergeCell ref="F218:F220"/>
    <mergeCell ref="D250:I250"/>
    <mergeCell ref="J217:J218"/>
    <mergeCell ref="B261:C261"/>
    <mergeCell ref="I261:K261"/>
    <mergeCell ref="A264:A268"/>
    <mergeCell ref="B264:G264"/>
    <mergeCell ref="H264:N264"/>
    <mergeCell ref="D251:E251"/>
    <mergeCell ref="F251:G251"/>
    <mergeCell ref="H251:I251"/>
    <mergeCell ref="B253:C253"/>
    <mergeCell ref="B254:C254"/>
    <mergeCell ref="B257:C257"/>
    <mergeCell ref="B265:B268"/>
    <mergeCell ref="C265:C268"/>
    <mergeCell ref="D265:D267"/>
    <mergeCell ref="E265:E267"/>
    <mergeCell ref="G265:G268"/>
    <mergeCell ref="H265:H266"/>
    <mergeCell ref="I265:I266"/>
    <mergeCell ref="J265:J266"/>
    <mergeCell ref="F266:F268"/>
    <mergeCell ref="R266:S266"/>
    <mergeCell ref="R267:S267"/>
    <mergeCell ref="U267:U268"/>
    <mergeCell ref="V267:V268"/>
    <mergeCell ref="H281:N281"/>
    <mergeCell ref="K287:M287"/>
    <mergeCell ref="K294:L294"/>
    <mergeCell ref="K249:L249"/>
    <mergeCell ref="K250:L250"/>
    <mergeCell ref="K251:L251"/>
    <mergeCell ref="K295:L295"/>
    <mergeCell ref="K296:L296"/>
    <mergeCell ref="P264:P268"/>
    <mergeCell ref="L265:L266"/>
    <mergeCell ref="M265:M266"/>
    <mergeCell ref="N265:N266"/>
    <mergeCell ref="O265:O267"/>
    <mergeCell ref="K297:L297"/>
    <mergeCell ref="K298:L298"/>
    <mergeCell ref="K265:K266"/>
    <mergeCell ref="K299:L299"/>
    <mergeCell ref="B308:C308"/>
    <mergeCell ref="I308:K308"/>
    <mergeCell ref="B309:C309"/>
    <mergeCell ref="I309:K309"/>
    <mergeCell ref="A312:A316"/>
    <mergeCell ref="B312:G312"/>
    <mergeCell ref="H312:N312"/>
    <mergeCell ref="B313:B316"/>
    <mergeCell ref="C313:C316"/>
    <mergeCell ref="D313:D315"/>
    <mergeCell ref="E313:E315"/>
    <mergeCell ref="G313:G316"/>
    <mergeCell ref="H313:H314"/>
    <mergeCell ref="I313:I314"/>
    <mergeCell ref="J313:J314"/>
    <mergeCell ref="K313:K314"/>
    <mergeCell ref="L313:L314"/>
    <mergeCell ref="M313:M314"/>
    <mergeCell ref="N313:N314"/>
    <mergeCell ref="F314:F316"/>
    <mergeCell ref="R362:S362"/>
    <mergeCell ref="R363:S363"/>
    <mergeCell ref="R314:S314"/>
    <mergeCell ref="R315:S315"/>
    <mergeCell ref="U315:U316"/>
    <mergeCell ref="V315:V316"/>
    <mergeCell ref="H329:N329"/>
    <mergeCell ref="K335:M335"/>
    <mergeCell ref="K342:L342"/>
    <mergeCell ref="K343:L343"/>
    <mergeCell ref="K344:L344"/>
    <mergeCell ref="P312:P316"/>
    <mergeCell ref="O313:O315"/>
    <mergeCell ref="K345:L345"/>
    <mergeCell ref="K346:L346"/>
    <mergeCell ref="K347:L347"/>
    <mergeCell ref="U363:U364"/>
    <mergeCell ref="V363:V364"/>
    <mergeCell ref="H377:N377"/>
    <mergeCell ref="K383:M383"/>
    <mergeCell ref="I361:I362"/>
    <mergeCell ref="J361:J362"/>
    <mergeCell ref="K361:K362"/>
    <mergeCell ref="L361:L362"/>
    <mergeCell ref="M361:M362"/>
    <mergeCell ref="N361:N362"/>
    <mergeCell ref="O361:O363"/>
  </mergeCells>
  <dataValidations count="1">
    <dataValidation type="list" allowBlank="1" showInputMessage="1" showErrorMessage="1" sqref="A15:A17 A20:A21 A63:A65 A68:A69 A111:A113 A116:A117 A159:A161 A164:A165 A207:A209 A212:A213 A255:A257 A260:A261 A303:A305 A308:A309 A351:A353 A356:A35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Hilfstätigkeiten&amp;R&amp;G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Grundlagen!$P$8:$P$9</xm:f>
          </x14:formula1>
          <xm:sqref>H20 H68 H116 H164 H212 H260 H308 H356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3" tint="0.39997558519241921"/>
  </sheetPr>
  <dimension ref="A1:T288"/>
  <sheetViews>
    <sheetView showGridLines="0" view="pageLayout" zoomScaleNormal="100" workbookViewId="0">
      <selection activeCell="D7" sqref="D7:I7"/>
    </sheetView>
  </sheetViews>
  <sheetFormatPr baseColWidth="10" defaultColWidth="9" defaultRowHeight="14.25" x14ac:dyDescent="0.2"/>
  <cols>
    <col min="1" max="1" width="9.42578125" style="18" customWidth="1"/>
    <col min="2" max="2" width="12.7109375" style="18" customWidth="1"/>
    <col min="3" max="3" width="11.42578125" style="18" customWidth="1"/>
    <col min="4" max="4" width="10.5703125" style="18" customWidth="1"/>
    <col min="5" max="5" width="11.140625" style="18" customWidth="1"/>
    <col min="6" max="6" width="11.42578125" style="18" customWidth="1"/>
    <col min="7" max="7" width="10.140625" style="18" customWidth="1"/>
    <col min="8" max="8" width="11.5703125" style="18" customWidth="1"/>
    <col min="9" max="12" width="11.42578125" style="18" customWidth="1"/>
    <col min="13" max="13" width="10.28515625" style="18" customWidth="1"/>
    <col min="14" max="14" width="11.140625" style="18" customWidth="1"/>
    <col min="15" max="15" width="11.5703125" style="14" customWidth="1"/>
    <col min="16" max="16" width="10.85546875" style="18" customWidth="1"/>
    <col min="17" max="17" width="17.140625" style="18" hidden="1" customWidth="1"/>
    <col min="18" max="19" width="11.42578125" style="18" hidden="1" customWidth="1"/>
    <col min="20" max="23" width="0" style="18" hidden="1" customWidth="1"/>
    <col min="24" max="16384" width="9" style="18"/>
  </cols>
  <sheetData>
    <row r="1" spans="1:19" s="10" customFormat="1" ht="13.5" customHeight="1" x14ac:dyDescent="0.2">
      <c r="A1" s="1321" t="s">
        <v>17</v>
      </c>
      <c r="B1" s="1321"/>
      <c r="C1" s="1321"/>
      <c r="D1" s="1320" t="str">
        <f>IF('päd.Personal - Leitung'!$D$1="","",'päd.Personal - Leitung'!$D$1)</f>
        <v/>
      </c>
      <c r="E1" s="1320"/>
      <c r="F1" s="1320"/>
      <c r="G1" s="1320"/>
      <c r="H1" s="1320"/>
      <c r="I1" s="1320"/>
      <c r="J1" s="1320"/>
      <c r="K1" s="1320"/>
      <c r="L1" s="1320"/>
      <c r="M1" s="1320"/>
      <c r="N1" s="1320"/>
    </row>
    <row r="2" spans="1:19" s="10" customFormat="1" ht="15" customHeight="1" x14ac:dyDescent="0.2">
      <c r="A2" s="1321" t="s">
        <v>16</v>
      </c>
      <c r="B2" s="1321"/>
      <c r="C2" s="1321" t="s">
        <v>14</v>
      </c>
      <c r="D2" s="1320" t="str">
        <f>IF('päd.Personal - Leitung'!$D$2="","",'päd.Personal - Leitung'!$D$2)</f>
        <v/>
      </c>
      <c r="E2" s="1320"/>
      <c r="F2" s="1320"/>
      <c r="G2" s="1320"/>
      <c r="H2" s="1320"/>
      <c r="I2" s="1320"/>
      <c r="J2" s="1320"/>
      <c r="K2" s="1320"/>
      <c r="L2" s="1320"/>
      <c r="M2" s="1320"/>
      <c r="N2" s="1320"/>
    </row>
    <row r="3" spans="1:19" s="10" customFormat="1" ht="15" customHeight="1" x14ac:dyDescent="0.2">
      <c r="A3" s="1321" t="s">
        <v>15</v>
      </c>
      <c r="B3" s="1321"/>
      <c r="C3" s="1321" t="s">
        <v>14</v>
      </c>
      <c r="D3" s="1320" t="str">
        <f>IF('päd.Personal - Leitung'!$D$3="","",'päd.Personal - Leitung'!$D$3)</f>
        <v/>
      </c>
      <c r="E3" s="1320"/>
      <c r="F3" s="1320"/>
      <c r="G3" s="1320"/>
      <c r="H3" s="1320"/>
      <c r="I3" s="1320"/>
      <c r="J3" s="1320"/>
      <c r="K3" s="1321" t="s">
        <v>100</v>
      </c>
      <c r="L3" s="1321"/>
      <c r="M3" s="1321"/>
      <c r="N3" s="38" t="str">
        <f>IF('päd.Personal - Leitung'!$N$3="","",'päd.Personal - Leitung'!$N$3)</f>
        <v/>
      </c>
    </row>
    <row r="4" spans="1:19" s="923" customFormat="1" ht="7.5" customHeight="1" x14ac:dyDescent="0.15">
      <c r="A4" s="1353"/>
      <c r="B4" s="1353"/>
      <c r="C4" s="1353"/>
      <c r="D4" s="1354"/>
      <c r="E4" s="1354"/>
      <c r="F4" s="1354"/>
      <c r="G4" s="1354"/>
      <c r="H4" s="1354"/>
      <c r="I4" s="1354"/>
      <c r="J4" s="1354"/>
      <c r="K4" s="922"/>
      <c r="L4" s="922"/>
      <c r="M4" s="922"/>
      <c r="N4" s="922"/>
      <c r="O4" s="922"/>
      <c r="P4" s="922"/>
    </row>
    <row r="5" spans="1:19" x14ac:dyDescent="0.2">
      <c r="A5" s="1355" t="s">
        <v>161</v>
      </c>
      <c r="B5" s="1355"/>
      <c r="C5" s="1355"/>
      <c r="D5" s="1355"/>
      <c r="E5" s="1355"/>
      <c r="F5" s="1355"/>
      <c r="G5" s="1355"/>
      <c r="H5" s="1355"/>
      <c r="I5" s="1355"/>
      <c r="J5" s="1355"/>
      <c r="K5" s="1355"/>
      <c r="L5" s="1355"/>
      <c r="M5" s="1355"/>
      <c r="N5" s="52"/>
      <c r="O5" s="138">
        <f>'päd.Personal - Leitung'!$O$5</f>
        <v>2025</v>
      </c>
      <c r="P5" s="52" t="s">
        <v>140</v>
      </c>
    </row>
    <row r="6" spans="1:19" s="8" customFormat="1" ht="13.5" customHeight="1" x14ac:dyDescent="0.25">
      <c r="B6" s="29"/>
      <c r="C6" s="29"/>
      <c r="D6" s="3" t="s">
        <v>159</v>
      </c>
      <c r="E6" s="28"/>
      <c r="F6" s="28"/>
      <c r="G6" s="28"/>
      <c r="H6" s="28"/>
      <c r="I6" s="24"/>
      <c r="K6" s="1327" t="s">
        <v>13</v>
      </c>
      <c r="L6" s="1327"/>
      <c r="M6" s="131"/>
      <c r="O6" s="928" t="str">
        <f>A29</f>
        <v>Jan 2025</v>
      </c>
      <c r="P6" s="68">
        <f>IF(M8="","",M8)</f>
        <v>0</v>
      </c>
    </row>
    <row r="7" spans="1:19" s="5" customFormat="1" ht="13.5" customHeight="1" x14ac:dyDescent="0.25">
      <c r="A7" s="1328" t="s">
        <v>754</v>
      </c>
      <c r="B7" s="1328"/>
      <c r="C7" s="1328"/>
      <c r="D7" s="1329"/>
      <c r="E7" s="1329"/>
      <c r="F7" s="1329"/>
      <c r="G7" s="1329"/>
      <c r="H7" s="1329"/>
      <c r="I7" s="1329"/>
      <c r="K7" s="1327" t="s">
        <v>101</v>
      </c>
      <c r="L7" s="1327"/>
      <c r="M7" s="101"/>
      <c r="O7" s="928" t="str">
        <f t="shared" ref="O7:O17" si="0">A30</f>
        <v>Feb 2025</v>
      </c>
      <c r="P7" s="69">
        <f t="shared" ref="P7:P13" si="1">IF(P6="","",P6)</f>
        <v>0</v>
      </c>
    </row>
    <row r="8" spans="1:19" s="1" customFormat="1" ht="13.5" customHeight="1" x14ac:dyDescent="0.2">
      <c r="A8" s="1328" t="s">
        <v>12</v>
      </c>
      <c r="B8" s="1328"/>
      <c r="C8" s="1328"/>
      <c r="D8" s="1345"/>
      <c r="E8" s="1345"/>
      <c r="F8" s="1345"/>
      <c r="G8" s="1345"/>
      <c r="H8" s="1345"/>
      <c r="I8" s="1345"/>
      <c r="K8" s="1327" t="s">
        <v>149</v>
      </c>
      <c r="L8" s="1327"/>
      <c r="M8" s="101">
        <f>IF((M9+M10)&gt;M7,0,M7-M9-M10)</f>
        <v>0</v>
      </c>
      <c r="O8" s="928" t="str">
        <f t="shared" si="0"/>
        <v>Mrz 2025</v>
      </c>
      <c r="P8" s="69">
        <f t="shared" si="1"/>
        <v>0</v>
      </c>
    </row>
    <row r="9" spans="1:19" s="1" customFormat="1" ht="13.5" customHeight="1" x14ac:dyDescent="0.2">
      <c r="A9" s="1328" t="s">
        <v>11</v>
      </c>
      <c r="B9" s="1328"/>
      <c r="C9" s="1328"/>
      <c r="D9" s="1345"/>
      <c r="E9" s="1345"/>
      <c r="F9" s="1345"/>
      <c r="G9" s="1345"/>
      <c r="H9" s="1345"/>
      <c r="I9" s="1345"/>
      <c r="K9" s="1327" t="s">
        <v>150</v>
      </c>
      <c r="L9" s="1327"/>
      <c r="M9" s="101"/>
      <c r="O9" s="928" t="str">
        <f t="shared" si="0"/>
        <v>Apr 2025</v>
      </c>
      <c r="P9" s="69">
        <f t="shared" si="1"/>
        <v>0</v>
      </c>
    </row>
    <row r="10" spans="1:19" s="1" customFormat="1" ht="13.5" customHeight="1" x14ac:dyDescent="0.2">
      <c r="A10" s="1328" t="s">
        <v>18</v>
      </c>
      <c r="B10" s="1328"/>
      <c r="C10" s="1328"/>
      <c r="D10" s="1345"/>
      <c r="E10" s="1345"/>
      <c r="F10" s="1345"/>
      <c r="G10" s="1345"/>
      <c r="H10" s="1345"/>
      <c r="I10" s="1345"/>
      <c r="K10" s="1327" t="s">
        <v>222</v>
      </c>
      <c r="L10" s="1327"/>
      <c r="M10" s="101"/>
      <c r="O10" s="928" t="str">
        <f t="shared" si="0"/>
        <v>Mai 2025</v>
      </c>
      <c r="P10" s="69">
        <f t="shared" si="1"/>
        <v>0</v>
      </c>
    </row>
    <row r="11" spans="1:19" s="1" customFormat="1" ht="13.5" customHeight="1" x14ac:dyDescent="0.2">
      <c r="B11" s="6"/>
      <c r="C11" s="95" t="s">
        <v>147</v>
      </c>
      <c r="D11" s="1324"/>
      <c r="E11" s="1324"/>
      <c r="F11" s="1359" t="s">
        <v>107</v>
      </c>
      <c r="G11" s="1359"/>
      <c r="H11" s="1361"/>
      <c r="I11" s="1361"/>
      <c r="K11" s="1327" t="s">
        <v>94</v>
      </c>
      <c r="L11" s="1327"/>
      <c r="M11" s="15" t="str">
        <f>IF(IF((COUNTIF(B29:B40,"&gt;0"))=0,0,(COUNTIF(B29:B40,"&gt;0")))&gt;Grundlagen!$C$26,Grundlagen!$C$26,IF((COUNTIF(B29:B40,"&gt;0"))=0,"",(COUNTIF(B29:B40,"&gt;0"))))</f>
        <v/>
      </c>
      <c r="O11" s="928" t="str">
        <f t="shared" si="0"/>
        <v>Jun 2025</v>
      </c>
      <c r="P11" s="69">
        <f t="shared" si="1"/>
        <v>0</v>
      </c>
    </row>
    <row r="12" spans="1:19" s="1" customFormat="1" ht="13.5" customHeight="1" x14ac:dyDescent="0.2">
      <c r="F12" s="1359" t="s">
        <v>160</v>
      </c>
      <c r="G12" s="1359"/>
      <c r="H12" s="1361"/>
      <c r="I12" s="1361"/>
      <c r="M12" s="102" t="str">
        <f>IF((SUM(F14:F17))=0,"",IF(P18&gt;M8,M8,IF(M8="","",IF(M11="","",P18))))</f>
        <v/>
      </c>
      <c r="O12" s="928" t="str">
        <f t="shared" si="0"/>
        <v>Jul 2025</v>
      </c>
      <c r="P12" s="69">
        <f t="shared" si="1"/>
        <v>0</v>
      </c>
    </row>
    <row r="13" spans="1:19" s="46" customFormat="1" ht="13.5" customHeight="1" x14ac:dyDescent="0.2">
      <c r="A13" s="54" t="s">
        <v>134</v>
      </c>
      <c r="B13" s="1356" t="s">
        <v>135</v>
      </c>
      <c r="C13" s="1356"/>
      <c r="D13" s="55" t="s">
        <v>136</v>
      </c>
      <c r="E13" s="56" t="s">
        <v>137</v>
      </c>
      <c r="F13" s="57" t="str">
        <f>CONCATENATE("Entg. ",N3," h/Wo")</f>
        <v>Entg.  h/Wo</v>
      </c>
      <c r="G13" s="58" t="s">
        <v>138</v>
      </c>
      <c r="I13" s="58" t="s">
        <v>139</v>
      </c>
      <c r="K13" s="970"/>
      <c r="L13" s="970"/>
      <c r="M13" s="59"/>
      <c r="N13" s="968" t="str">
        <f>IF(A15="","",A15)</f>
        <v/>
      </c>
      <c r="O13" s="928" t="str">
        <f t="shared" si="0"/>
        <v>Aug 2025</v>
      </c>
      <c r="P13" s="69">
        <f t="shared" si="1"/>
        <v>0</v>
      </c>
      <c r="Q13" s="1027"/>
      <c r="R13" s="1025"/>
      <c r="S13" s="1025"/>
    </row>
    <row r="14" spans="1:19" s="46" customFormat="1" ht="13.5" customHeight="1" x14ac:dyDescent="0.25">
      <c r="A14" s="48" t="str">
        <f>A29</f>
        <v>Jan 2025</v>
      </c>
      <c r="B14" s="1357" t="str">
        <f>IF($D$3="","",$D$3)</f>
        <v/>
      </c>
      <c r="C14" s="1358"/>
      <c r="D14" s="132"/>
      <c r="E14" s="132"/>
      <c r="F14" s="71"/>
      <c r="G14" s="50">
        <f>IF(N3="",0,F14/N3/4.348)</f>
        <v>0</v>
      </c>
      <c r="I14" s="51">
        <f>SUM(J14:M14)</f>
        <v>0</v>
      </c>
      <c r="J14" s="70"/>
      <c r="K14" s="70"/>
      <c r="L14" s="70"/>
      <c r="M14" s="70"/>
      <c r="N14" s="983"/>
      <c r="O14" s="928" t="str">
        <f t="shared" si="0"/>
        <v>Sep 2025</v>
      </c>
      <c r="P14" s="69">
        <f t="shared" ref="P14:P17" si="2">IF(P13="","",P13)</f>
        <v>0</v>
      </c>
      <c r="Q14" s="1026"/>
      <c r="R14" s="829"/>
      <c r="S14" s="1028"/>
    </row>
    <row r="15" spans="1:19" s="46" customFormat="1" ht="13.5" customHeight="1" x14ac:dyDescent="0.25">
      <c r="A15" s="49"/>
      <c r="B15" s="1322" t="str">
        <f>IF(A15="","",B14)</f>
        <v/>
      </c>
      <c r="C15" s="1323"/>
      <c r="D15" s="132"/>
      <c r="E15" s="132"/>
      <c r="F15" s="71"/>
      <c r="G15" s="50">
        <f>IF(N3="",0,F15/N3/4.348)</f>
        <v>0</v>
      </c>
      <c r="I15" s="51">
        <f t="shared" ref="I15:I17" si="3">SUM(J15:M15)</f>
        <v>0</v>
      </c>
      <c r="J15" s="70"/>
      <c r="K15" s="70"/>
      <c r="L15" s="70"/>
      <c r="M15" s="70"/>
      <c r="N15" s="983"/>
      <c r="O15" s="928" t="str">
        <f t="shared" si="0"/>
        <v>Okt 2025</v>
      </c>
      <c r="P15" s="69">
        <f t="shared" si="2"/>
        <v>0</v>
      </c>
      <c r="Q15" s="1026"/>
      <c r="R15" s="829"/>
      <c r="S15" s="1028"/>
    </row>
    <row r="16" spans="1:19" s="46" customFormat="1" ht="13.5" customHeight="1" x14ac:dyDescent="0.25">
      <c r="A16" s="49"/>
      <c r="B16" s="1322" t="str">
        <f>IF(A16="","",B15)</f>
        <v/>
      </c>
      <c r="C16" s="1323"/>
      <c r="D16" s="132"/>
      <c r="E16" s="132"/>
      <c r="F16" s="71"/>
      <c r="G16" s="50">
        <f>IF(N3="",0,F16/N3/4.348)</f>
        <v>0</v>
      </c>
      <c r="I16" s="51">
        <f t="shared" si="3"/>
        <v>0</v>
      </c>
      <c r="J16" s="70"/>
      <c r="K16" s="70"/>
      <c r="L16" s="70"/>
      <c r="M16" s="70"/>
      <c r="N16" s="983"/>
      <c r="O16" s="928" t="str">
        <f t="shared" si="0"/>
        <v>Nov 2025</v>
      </c>
      <c r="P16" s="69">
        <f t="shared" si="2"/>
        <v>0</v>
      </c>
      <c r="Q16" s="828"/>
      <c r="R16" s="829"/>
      <c r="S16" s="829"/>
    </row>
    <row r="17" spans="1:20" s="46" customFormat="1" ht="13.5" customHeight="1" x14ac:dyDescent="0.25">
      <c r="A17" s="49"/>
      <c r="B17" s="1322" t="str">
        <f>IF(A17="","",B16)</f>
        <v/>
      </c>
      <c r="C17" s="1323"/>
      <c r="D17" s="132"/>
      <c r="E17" s="132"/>
      <c r="F17" s="71"/>
      <c r="G17" s="50">
        <f>IF(N3="",0,F17/N3/4.348)</f>
        <v>0</v>
      </c>
      <c r="I17" s="51">
        <f t="shared" si="3"/>
        <v>0</v>
      </c>
      <c r="J17" s="70"/>
      <c r="K17" s="70"/>
      <c r="L17" s="70"/>
      <c r="M17" s="70"/>
      <c r="N17" s="983"/>
      <c r="O17" s="928" t="str">
        <f t="shared" si="0"/>
        <v>Dez 2025</v>
      </c>
      <c r="P17" s="69">
        <f t="shared" si="2"/>
        <v>0</v>
      </c>
      <c r="Q17" s="276"/>
      <c r="R17" s="827"/>
      <c r="S17" s="827"/>
    </row>
    <row r="18" spans="1:20" s="46" customFormat="1" ht="13.5" customHeight="1" x14ac:dyDescent="0.25">
      <c r="B18" s="972"/>
      <c r="C18" s="972"/>
      <c r="E18" s="972"/>
      <c r="F18" s="972"/>
      <c r="I18" s="930" t="s">
        <v>730</v>
      </c>
      <c r="J18" s="982"/>
      <c r="K18" s="982"/>
      <c r="L18" s="982"/>
      <c r="M18" s="982"/>
      <c r="N18" s="994"/>
      <c r="O18" s="126" t="s">
        <v>221</v>
      </c>
      <c r="P18" s="127">
        <f>IF(M11="",0,((IF(SUMIF(B29,"&gt;0"),P6,0))+(IF(SUMIF(B30,"&gt;0"),P7,0))+(IF(SUMIF(B31,"&gt;0"),P8,0))+(IF(SUMIF(B32,"&gt;0"),P9,0))+(IF(SUMIF(B33,"&gt;0"),P10,0))+(IF(SUMIF(B34,"&gt;0"),P11,0))+(IF(SUMIF(B35,"&gt;0"),P12,0))+(IF(SUMIF(B36,"&gt;0"),P13,0))+(IF(SUMIF(B37,"&gt;0"),P14,0))+(IF(SUMIF(B38,"&gt;0"),P15,0))+(IF(SUMIF(B39,"&gt;0"),P16,0))+(IF(SUMIF(B40,"&gt;0"),P17,0)))/Grundlagen!$C$26)</f>
        <v>0</v>
      </c>
      <c r="Q18" s="997" t="str">
        <f>CONCATENATE("BBG"," anteilig ",O20)</f>
        <v>BBG anteilig 2025</v>
      </c>
      <c r="R18" s="931" t="s">
        <v>659</v>
      </c>
      <c r="S18" s="931" t="s">
        <v>398</v>
      </c>
      <c r="T18" s="107"/>
    </row>
    <row r="19" spans="1:20" s="46" customFormat="1" ht="13.5" customHeight="1" x14ac:dyDescent="0.2">
      <c r="A19" s="924" t="s">
        <v>732</v>
      </c>
      <c r="D19" s="55" t="s">
        <v>369</v>
      </c>
      <c r="E19" s="56" t="s">
        <v>368</v>
      </c>
      <c r="F19" s="58"/>
      <c r="J19" s="61"/>
      <c r="Q19" s="932" t="s">
        <v>144</v>
      </c>
      <c r="R19" s="140">
        <f>IF(M8=0,R23,IF(M7="",R23,(SUM(R29:R40)/M11)))</f>
        <v>5175</v>
      </c>
      <c r="S19" s="933">
        <f>IF(M8=0,S23,IF(M7="",S23,SUM(R29:R40)))</f>
        <v>0</v>
      </c>
      <c r="T19" s="107"/>
    </row>
    <row r="20" spans="1:20" s="46" customFormat="1" ht="13.5" customHeight="1" x14ac:dyDescent="0.25">
      <c r="A20" s="60"/>
      <c r="B20" s="1314" t="str">
        <f>IF('päd.Personal - Leitung'!$B$20="","",'päd.Personal - Leitung'!$B$20)</f>
        <v>Jahressonderzahlung (JSZ)</v>
      </c>
      <c r="C20" s="1315"/>
      <c r="D20" s="926"/>
      <c r="E20" s="929" t="str">
        <f>IF(A20="","",ROUND((((SUM(B35:B37)+SUM(F35:F37))/3)*D20)/Grundlagen!$C$26*M11,2))</f>
        <v/>
      </c>
      <c r="N20" s="917" t="s">
        <v>736</v>
      </c>
      <c r="O20" s="918">
        <f>P20+1</f>
        <v>2025</v>
      </c>
      <c r="P20" s="918" t="s">
        <v>721</v>
      </c>
      <c r="Q20" s="932" t="s">
        <v>145</v>
      </c>
      <c r="R20" s="140">
        <f>IF(M8=0,R24,IF(M7="",R24,(SUM(S29:S40)/M11)))</f>
        <v>7450</v>
      </c>
      <c r="S20" s="933">
        <f>IF(M8=0,S24,IF(M7="",S24,SUM(S29:S40)))</f>
        <v>0</v>
      </c>
      <c r="T20" s="109"/>
    </row>
    <row r="21" spans="1:20" ht="14.25" customHeight="1" x14ac:dyDescent="0.2">
      <c r="A21" s="60"/>
      <c r="B21" s="1314" t="str">
        <f>IF('päd.Personal - Leitung'!$B$21="","",'päd.Personal - Leitung'!$B$21)</f>
        <v>Leistungsentgelt (LOB)</v>
      </c>
      <c r="C21" s="1315"/>
      <c r="D21" s="926"/>
      <c r="E21" s="929" t="str">
        <f>IF(A21="","",ROUND(((B41+F41)*D21)/Grundlagen!$C$26*M11,2))</f>
        <v/>
      </c>
      <c r="F21" s="1"/>
      <c r="N21" s="139" t="s">
        <v>144</v>
      </c>
      <c r="O21" s="141">
        <f>'päd.Personal - Leitung'!$O$21</f>
        <v>5175</v>
      </c>
      <c r="P21" s="141">
        <f>'päd.Personal - Leitung'!$P$21</f>
        <v>5175</v>
      </c>
      <c r="Q21" s="11"/>
      <c r="R21" s="11"/>
      <c r="S21" s="11"/>
      <c r="T21" s="109"/>
    </row>
    <row r="22" spans="1:20" ht="14.25" customHeight="1" x14ac:dyDescent="0.2">
      <c r="A22" s="1"/>
      <c r="B22" s="1"/>
      <c r="C22" s="925" t="s">
        <v>731</v>
      </c>
      <c r="D22" s="1"/>
      <c r="E22" s="1"/>
      <c r="F22" s="1"/>
      <c r="N22" s="139" t="s">
        <v>145</v>
      </c>
      <c r="O22" s="899">
        <f>'päd.Personal - Leitung'!$O$22</f>
        <v>7450</v>
      </c>
      <c r="P22" s="899">
        <f>'päd.Personal - Leitung'!$P$22</f>
        <v>7450</v>
      </c>
      <c r="Q22" s="997" t="str">
        <f>CONCATENATE("BBG"," ",O20)</f>
        <v>BBG 2025</v>
      </c>
      <c r="R22" s="11"/>
      <c r="S22" s="11"/>
      <c r="T22" s="109"/>
    </row>
    <row r="23" spans="1:20" ht="14.25" customHeight="1" x14ac:dyDescent="0.2">
      <c r="A23" s="53" t="s">
        <v>141</v>
      </c>
      <c r="Q23" s="932" t="s">
        <v>144</v>
      </c>
      <c r="R23" s="141">
        <f>IF($O$21="",0,$O$21)</f>
        <v>5175</v>
      </c>
      <c r="S23" s="933">
        <f>R23*IF(M11="",0,M11)</f>
        <v>0</v>
      </c>
      <c r="T23" s="295"/>
    </row>
    <row r="24" spans="1:20" x14ac:dyDescent="0.2">
      <c r="A24" s="1346"/>
      <c r="B24" s="1348" t="s">
        <v>8</v>
      </c>
      <c r="C24" s="1349"/>
      <c r="D24" s="1349"/>
      <c r="E24" s="1349"/>
      <c r="F24" s="1349"/>
      <c r="G24" s="1350"/>
      <c r="H24" s="1351" t="s">
        <v>113</v>
      </c>
      <c r="I24" s="1352"/>
      <c r="J24" s="1352"/>
      <c r="K24" s="1352"/>
      <c r="L24" s="1352"/>
      <c r="M24" s="1352"/>
      <c r="N24" s="1368" t="s">
        <v>658</v>
      </c>
      <c r="O24" s="30"/>
      <c r="P24" s="1330" t="s">
        <v>0</v>
      </c>
      <c r="Q24" s="932" t="s">
        <v>145</v>
      </c>
      <c r="R24" s="141">
        <f>IF($O$22="",0,$O$22)</f>
        <v>7450</v>
      </c>
      <c r="S24" s="933">
        <f>R24*IF(M11="",0,M11)</f>
        <v>0</v>
      </c>
      <c r="T24" s="830"/>
    </row>
    <row r="25" spans="1:20" x14ac:dyDescent="0.2">
      <c r="A25" s="1347"/>
      <c r="B25" s="1333" t="s">
        <v>111</v>
      </c>
      <c r="C25" s="1335" t="s">
        <v>743</v>
      </c>
      <c r="D25" s="1337" t="s">
        <v>226</v>
      </c>
      <c r="E25" s="1339" t="s">
        <v>133</v>
      </c>
      <c r="F25" s="96" t="s">
        <v>6</v>
      </c>
      <c r="G25" s="1340" t="s">
        <v>5</v>
      </c>
      <c r="H25" s="1339" t="s">
        <v>119</v>
      </c>
      <c r="I25" s="1339" t="s">
        <v>657</v>
      </c>
      <c r="J25" s="1339" t="s">
        <v>4</v>
      </c>
      <c r="K25" s="1339" t="s">
        <v>3</v>
      </c>
      <c r="L25" s="1339" t="s">
        <v>2</v>
      </c>
      <c r="M25" s="1339" t="s">
        <v>95</v>
      </c>
      <c r="N25" s="1369"/>
      <c r="O25" s="1338" t="s">
        <v>109</v>
      </c>
      <c r="P25" s="1331"/>
      <c r="Q25" s="456"/>
      <c r="R25" s="11"/>
      <c r="S25" s="11"/>
      <c r="T25" s="621"/>
    </row>
    <row r="26" spans="1:20" x14ac:dyDescent="0.2">
      <c r="A26" s="1347"/>
      <c r="B26" s="1333"/>
      <c r="C26" s="1335"/>
      <c r="D26" s="1338"/>
      <c r="E26" s="1339"/>
      <c r="F26" s="1343" t="str">
        <f>I18</f>
        <v>Zuschläge / Zulagen / o.ä.:</v>
      </c>
      <c r="G26" s="1340"/>
      <c r="H26" s="1342" t="s">
        <v>117</v>
      </c>
      <c r="I26" s="1339"/>
      <c r="J26" s="1342"/>
      <c r="K26" s="1342"/>
      <c r="L26" s="1342"/>
      <c r="M26" s="1339"/>
      <c r="N26" s="1369"/>
      <c r="O26" s="1338"/>
      <c r="P26" s="1331"/>
      <c r="Q26" s="456"/>
      <c r="R26" s="1306" t="str">
        <f>Q18</f>
        <v>BBG anteilig 2025</v>
      </c>
      <c r="S26" s="1306"/>
      <c r="T26" s="829"/>
    </row>
    <row r="27" spans="1:20" ht="14.25" customHeight="1" x14ac:dyDescent="0.2">
      <c r="A27" s="1347"/>
      <c r="B27" s="1333"/>
      <c r="C27" s="1335"/>
      <c r="D27" s="1338"/>
      <c r="E27" s="1339"/>
      <c r="F27" s="1343"/>
      <c r="G27" s="1340"/>
      <c r="H27" s="39" t="str">
        <f>'päd.Personal - Leitung'!$H$27</f>
        <v>(7,30% + Zusatz)</v>
      </c>
      <c r="I27" s="39" t="s">
        <v>722</v>
      </c>
      <c r="J27" s="39" t="str">
        <f>'päd.Personal - Leitung'!$I$27</f>
        <v xml:space="preserve"> (2024: 9,30%)</v>
      </c>
      <c r="K27" s="39" t="str">
        <f>'päd.Personal - Leitung'!$J$27</f>
        <v>(2024: 1,30%)</v>
      </c>
      <c r="L27" s="39" t="str">
        <f>'päd.Personal - Leitung'!$K$27</f>
        <v>(2024: 1,700%)</v>
      </c>
      <c r="M27" s="1339"/>
      <c r="N27" s="39" t="s">
        <v>747</v>
      </c>
      <c r="O27" s="1338"/>
      <c r="P27" s="1331"/>
      <c r="Q27" s="456"/>
      <c r="R27" s="1307" t="s">
        <v>659</v>
      </c>
      <c r="S27" s="1307"/>
      <c r="T27" s="829"/>
    </row>
    <row r="28" spans="1:20" ht="14.25" customHeight="1" x14ac:dyDescent="0.2">
      <c r="A28" s="1347"/>
      <c r="B28" s="1334"/>
      <c r="C28" s="1336"/>
      <c r="D28" s="45"/>
      <c r="E28" s="45"/>
      <c r="F28" s="1344"/>
      <c r="G28" s="1341"/>
      <c r="H28" s="74"/>
      <c r="I28" s="19"/>
      <c r="J28" s="99">
        <f>'päd.Personal - Leitung'!$I$28</f>
        <v>0</v>
      </c>
      <c r="K28" s="99">
        <f>'päd.Personal - Leitung'!$J$28</f>
        <v>0</v>
      </c>
      <c r="L28" s="40">
        <f>'päd.Personal - Leitung'!$K$28</f>
        <v>0</v>
      </c>
      <c r="M28" s="19"/>
      <c r="N28" s="19"/>
      <c r="O28" s="19"/>
      <c r="P28" s="1332"/>
      <c r="Q28" s="456"/>
      <c r="R28" s="935" t="s">
        <v>144</v>
      </c>
      <c r="S28" s="935" t="s">
        <v>145</v>
      </c>
      <c r="T28" s="829"/>
    </row>
    <row r="29" spans="1:20" x14ac:dyDescent="0.2">
      <c r="A29" s="76" t="str">
        <f>'päd.Personal - Leitung'!$A$29</f>
        <v>Jan 2025</v>
      </c>
      <c r="B29" s="22">
        <f>ROUND(IF(P6=0,0,(LOOKUP(2,1/(A14:A17=A29),G14:G17))*P6*4.348)*50%,2)</f>
        <v>0</v>
      </c>
      <c r="C29" s="21">
        <f>ROUND(IFERROR((LOOKUP(2,1/(A20=A29),E20)),0)+IFERROR((LOOKUP(2,1/(A21=A29),E21)),0),2)</f>
        <v>0</v>
      </c>
      <c r="D29" s="21">
        <f>ROUND(IF(B29=0,0,D28/M7*P6*50%),2)</f>
        <v>0</v>
      </c>
      <c r="E29" s="21">
        <f>ROUND(IF(B29=0,0,E28/N3*P6*50%),2)</f>
        <v>0</v>
      </c>
      <c r="F29" s="22">
        <f>ROUND(IF(P6=0,0,(LOOKUP(2,1/(A14:A17=A29),I14:I17))/N3*P6)*50%,2)</f>
        <v>0</v>
      </c>
      <c r="G29" s="25">
        <f>SUM(B29+C29+E29+F29)</f>
        <v>0</v>
      </c>
      <c r="H29" s="831">
        <f>ROUND(SUM(B29:F29)*H28,2)</f>
        <v>0</v>
      </c>
      <c r="I29" s="64">
        <f>ROUND(IF((SUM(B29:F29)*80%)&gt;((S29)*90%),((((S29)*90%)-((SUM(B29:F29)-C29))*I28)+((SUM(B29:F29)-C29)*I28)*80%),((SUM(B29:F29)-C29)*I28)*80%),2)</f>
        <v>0</v>
      </c>
      <c r="J29" s="831">
        <f>ROUND(SUM(B29:F29)*J28,2)</f>
        <v>0</v>
      </c>
      <c r="K29" s="831">
        <f>ROUND(SUM(B29:F29)*K28,2)</f>
        <v>0</v>
      </c>
      <c r="L29" s="831">
        <f>ROUND(SUM(B29:F29)*L28,2)</f>
        <v>0</v>
      </c>
      <c r="M29" s="831">
        <f>ROUND((SUM(B29:F29)-C29)*M28,2)</f>
        <v>0</v>
      </c>
      <c r="N29" s="21">
        <f>ROUND((B29+E29+F29)*N28,2)</f>
        <v>0</v>
      </c>
      <c r="O29" s="21">
        <f>ROUND(SUM(B29+C29+F29)*O28,2)</f>
        <v>0</v>
      </c>
      <c r="P29" s="25">
        <f>SUM(G29:O29)</f>
        <v>0</v>
      </c>
      <c r="Q29" s="456"/>
      <c r="R29" s="140">
        <f>ROUND(IF(M7="",R23,R23/M7*P6),2)</f>
        <v>5175</v>
      </c>
      <c r="S29" s="140">
        <f>ROUND(IF(M7="",R24,R24/M7*P6),2)</f>
        <v>7450</v>
      </c>
      <c r="T29" s="1"/>
    </row>
    <row r="30" spans="1:20" x14ac:dyDescent="0.2">
      <c r="A30" s="76" t="str">
        <f>'päd.Personal - Leitung'!$A$30</f>
        <v>Feb 2025</v>
      </c>
      <c r="B30" s="22">
        <f>ROUND(IF(P7=0,0,IFERROR((((LOOKUP(2,1/(A14:A17=A30),G14:G17))*P7*4.348)*50%),B29/P6*P7)),2)</f>
        <v>0</v>
      </c>
      <c r="C30" s="21">
        <f>ROUND(IFERROR((LOOKUP(2,1/(A20=A30),E20)),0)+IFERROR((LOOKUP(2,1/(A21=A30),E21)),0),2)</f>
        <v>0</v>
      </c>
      <c r="D30" s="21">
        <f>ROUND(IF(B30=0,0,D28/M7*P7*50%),2)</f>
        <v>0</v>
      </c>
      <c r="E30" s="21">
        <f>ROUND(IF(B30=0,0,E28/N3*P7*50%),2)</f>
        <v>0</v>
      </c>
      <c r="F30" s="22">
        <f>ROUND(IF(P7=0,0,IFERROR((((LOOKUP(2,1/(A14:A17=A30),I14:I17))/N3*P7)*50%),F29/P6*P7)),2)</f>
        <v>0</v>
      </c>
      <c r="G30" s="25">
        <f t="shared" ref="G30" si="4">SUM(B30+C30+E30+F30)</f>
        <v>0</v>
      </c>
      <c r="H30" s="831">
        <f>ROUND(SUM(B30:F30)*H28,2)</f>
        <v>0</v>
      </c>
      <c r="I30" s="64">
        <f>ROUND(IF((SUM(B30:F30)*80%)&gt;((SUM(S26:S30))*90%),((((SUM(S26:S30))*90%)-((SUM(B30:F30)-C30))*I28)+((SUM(B30:F30)-C30)*I28)*80%),((SUM(B30:F30)-C30)*I28)*80%),2)</f>
        <v>0</v>
      </c>
      <c r="J30" s="831">
        <f>ROUND(SUM(B30:F30)*J28,2)</f>
        <v>0</v>
      </c>
      <c r="K30" s="831">
        <f>ROUND(SUM(B30:F30)*K28,2)</f>
        <v>0</v>
      </c>
      <c r="L30" s="831">
        <f>ROUND(SUM(B30:F30)*L28,2)</f>
        <v>0</v>
      </c>
      <c r="M30" s="831">
        <f>ROUND((SUM(B30:F30)-C30)*M28,2)</f>
        <v>0</v>
      </c>
      <c r="N30" s="21">
        <f>ROUND((B30+E30+F30)*N28,2)</f>
        <v>0</v>
      </c>
      <c r="O30" s="21">
        <f>ROUND(SUM(B30+C30+F30)*O28,2)</f>
        <v>0</v>
      </c>
      <c r="P30" s="25">
        <f t="shared" ref="P30" si="5">SUM(G30:O30)</f>
        <v>0</v>
      </c>
      <c r="Q30" s="456"/>
      <c r="R30" s="140">
        <f>ROUND(IF(M7="",R23,R23/M7*P7),2)</f>
        <v>5175</v>
      </c>
      <c r="S30" s="140">
        <f>ROUND(IF(M7="",R24,R24/M7*P7),2)</f>
        <v>7450</v>
      </c>
      <c r="T30" s="1"/>
    </row>
    <row r="31" spans="1:20" x14ac:dyDescent="0.2">
      <c r="A31" s="76" t="str">
        <f>'päd.Personal - Leitung'!$A$31</f>
        <v>Mrz 2025</v>
      </c>
      <c r="B31" s="22">
        <f>ROUND(IF(P8=0,0,IFERROR((((LOOKUP(2,1/(A14:A17=A31),G14:G17))*P8*4.348)*50%),B30/P7*P8)),2)</f>
        <v>0</v>
      </c>
      <c r="C31" s="21">
        <f>ROUND(IFERROR((LOOKUP(2,1/(A20=A31),E20)),0)+IFERROR((LOOKUP(2,1/(A21=A31),E21)),0),2)</f>
        <v>0</v>
      </c>
      <c r="D31" s="21">
        <f>ROUND(IF(B31=0,0,D28/M7*P8*50%),2)</f>
        <v>0</v>
      </c>
      <c r="E31" s="21">
        <f>ROUND(IF(B31=0,0,E28/N3*P8*50%),2)</f>
        <v>0</v>
      </c>
      <c r="F31" s="22">
        <f>ROUND(IF(P8=0,0,IFERROR((((LOOKUP(2,1/(A14:A17=A31),I14:I17))/N3*P8)*50%),F30/P7*P8)),2)</f>
        <v>0</v>
      </c>
      <c r="G31" s="25">
        <f t="shared" ref="G31:G40" si="6">SUM(B31+C31+E31+F31)</f>
        <v>0</v>
      </c>
      <c r="H31" s="831">
        <f>ROUND(SUM(B31:F31)*H28,2)</f>
        <v>0</v>
      </c>
      <c r="I31" s="64">
        <f>ROUND(IF((SUM(B30:F31)*80%)&gt;((SUM(S26:S31))*90%),((((SUM(S26:S31))*90%)-((SUM(B30:F31)-C31))*I28)+((SUM(B31:F31)-C31)*I28)*80%),((SUM(B31:F31)-C31)*I28)*80%),2)</f>
        <v>0</v>
      </c>
      <c r="J31" s="831">
        <f>ROUND(SUM(B31:F31)*J28,2)</f>
        <v>0</v>
      </c>
      <c r="K31" s="831">
        <f>ROUND(SUM(B31:F31)*K28,2)</f>
        <v>0</v>
      </c>
      <c r="L31" s="831">
        <f>ROUND(SUM(B31:F31)*L28,2)</f>
        <v>0</v>
      </c>
      <c r="M31" s="831">
        <f>ROUND((SUM(B31:F31)-C31)*M28,2)</f>
        <v>0</v>
      </c>
      <c r="N31" s="21">
        <f>ROUND((B31+E31+F31)*N28,2)</f>
        <v>0</v>
      </c>
      <c r="O31" s="21">
        <f>ROUND(SUM(B31+C31+F31)*O28,2)</f>
        <v>0</v>
      </c>
      <c r="P31" s="25">
        <f t="shared" ref="P31:P40" si="7">SUM(G31:O31)</f>
        <v>0</v>
      </c>
      <c r="Q31" s="456"/>
      <c r="R31" s="140">
        <f>ROUND(IF(M7="",R23,R23/M7*P8),2)</f>
        <v>5175</v>
      </c>
      <c r="S31" s="140">
        <f>ROUND(IF(M7="",R24,R24/M7*P8),2)</f>
        <v>7450</v>
      </c>
      <c r="T31" s="1"/>
    </row>
    <row r="32" spans="1:20" x14ac:dyDescent="0.2">
      <c r="A32" s="76" t="str">
        <f>'päd.Personal - Leitung'!$A$32</f>
        <v>Apr 2025</v>
      </c>
      <c r="B32" s="22">
        <f>ROUND(IF(P9=0,0,IFERROR((((LOOKUP(2,1/(A14:A17=A32),G14:G17))*P9*4.348)*50%),B31/P8*P9)),2)</f>
        <v>0</v>
      </c>
      <c r="C32" s="21">
        <f>ROUND(IFERROR((LOOKUP(2,1/(A20=A32),E20)),0)+IFERROR((LOOKUP(2,1/(A21=A32),E21)),0),2)</f>
        <v>0</v>
      </c>
      <c r="D32" s="21">
        <f>ROUND(IF(B32=0,0,D28/M7*P9*50%),2)</f>
        <v>0</v>
      </c>
      <c r="E32" s="21">
        <f>ROUND(IF(B32=0,0,E28/N3*P9*50%),2)</f>
        <v>0</v>
      </c>
      <c r="F32" s="22">
        <f>ROUND(IF(P9=0,0,IFERROR((((LOOKUP(2,1/(A14:A17=A32),I14:I17))/N3*P9)*50%),F31/P8*P9)),2)</f>
        <v>0</v>
      </c>
      <c r="G32" s="25">
        <f t="shared" si="6"/>
        <v>0</v>
      </c>
      <c r="H32" s="831">
        <f>ROUND(SUM(B32:F32)*H28,2)</f>
        <v>0</v>
      </c>
      <c r="I32" s="64">
        <f>ROUND(IF((SUM(B30:F32)*80%)&gt;((SUM(S26:S32))*90%),((((SUM(S26:S32))*90%)-((SUM(B30:F32)-C32))*I28)+((SUM(B32:F32)-C32)*I28)*80%),((SUM(B32:F32)-C32)*I28)*80%),2)</f>
        <v>0</v>
      </c>
      <c r="J32" s="831">
        <f>ROUND(SUM(B32:F32)*J28,2)</f>
        <v>0</v>
      </c>
      <c r="K32" s="831">
        <f>ROUND(SUM(B32:F32)*K28,2)</f>
        <v>0</v>
      </c>
      <c r="L32" s="831">
        <f>ROUND(SUM(B32:F32)*L28,2)</f>
        <v>0</v>
      </c>
      <c r="M32" s="831">
        <f>ROUND((SUM(B32:F32)-C32)*M28,2)</f>
        <v>0</v>
      </c>
      <c r="N32" s="21">
        <f>ROUND((B32+E32+F32)*N28,2)</f>
        <v>0</v>
      </c>
      <c r="O32" s="21">
        <f>ROUND(SUM(B32+C32+F32)*O28,2)</f>
        <v>0</v>
      </c>
      <c r="P32" s="25">
        <f t="shared" si="7"/>
        <v>0</v>
      </c>
      <c r="Q32" s="456"/>
      <c r="R32" s="140">
        <f>ROUND(IF(M7="",R23,R23/M7*P9),2)</f>
        <v>5175</v>
      </c>
      <c r="S32" s="140">
        <f>ROUND(IF(M7="",R24,R24/M7*P9),2)</f>
        <v>7450</v>
      </c>
      <c r="T32" s="1"/>
    </row>
    <row r="33" spans="1:20" x14ac:dyDescent="0.2">
      <c r="A33" s="76" t="str">
        <f>'päd.Personal - Leitung'!$A$33</f>
        <v>Mai 2025</v>
      </c>
      <c r="B33" s="22">
        <f>ROUND(IF(P10=0,0,IFERROR((((LOOKUP(2,1/(A14:A17=A33),G14:G17))*P10*4.348)*50%),B32/P9*P10)),2)</f>
        <v>0</v>
      </c>
      <c r="C33" s="21">
        <f>ROUND(IFERROR((LOOKUP(2,1/(A20=A33),E20)),0)+IFERROR((LOOKUP(2,1/(A21=A33),E21)),0),2)</f>
        <v>0</v>
      </c>
      <c r="D33" s="21">
        <f>ROUND(IF(B33=0,0,D28/M7*P10*50%),2)</f>
        <v>0</v>
      </c>
      <c r="E33" s="21">
        <f>ROUND(IF(B33=0,0,E28/N3*P10*50%),2)</f>
        <v>0</v>
      </c>
      <c r="F33" s="22">
        <f>ROUND(IF(P10=0,0,IFERROR((((LOOKUP(2,1/(A14:A17=A33),I14:I17))/N3*P10)*50%),F32/P9*P10)),2)</f>
        <v>0</v>
      </c>
      <c r="G33" s="25">
        <f t="shared" si="6"/>
        <v>0</v>
      </c>
      <c r="H33" s="831">
        <f>ROUND(SUM(B33:F33)*H28,2)</f>
        <v>0</v>
      </c>
      <c r="I33" s="64">
        <f>ROUND(IF((SUM(B30:F33)*80%)&gt;((SUM(S26:S33))*90%),((((SUM(S26:S33))*90%)-((SUM(B30:F33)-C33))*I28)+((SUM(B33:F33)-C33)*I28)*80%),((SUM(B33:F33)-C33)*I28)*80%),2)</f>
        <v>0</v>
      </c>
      <c r="J33" s="831">
        <f>ROUND(SUM(B33:F33)*J28,2)</f>
        <v>0</v>
      </c>
      <c r="K33" s="831">
        <f>ROUND(SUM(B33:F33)*K28,2)</f>
        <v>0</v>
      </c>
      <c r="L33" s="831">
        <f>ROUND(SUM(B33:F33)*L28,2)</f>
        <v>0</v>
      </c>
      <c r="M33" s="831">
        <f>ROUND((SUM(B33:F33)-C33)*M28,2)</f>
        <v>0</v>
      </c>
      <c r="N33" s="21">
        <f>ROUND((B33+E33+F33)*N28,2)</f>
        <v>0</v>
      </c>
      <c r="O33" s="21">
        <f>ROUND(SUM(B33+C33+F33)*O28,2)</f>
        <v>0</v>
      </c>
      <c r="P33" s="25">
        <f t="shared" si="7"/>
        <v>0</v>
      </c>
      <c r="Q33" s="456"/>
      <c r="R33" s="140">
        <f>ROUND(IF(M7="",R23,R23/M7*P10),2)</f>
        <v>5175</v>
      </c>
      <c r="S33" s="140">
        <f>ROUND(IF(M7="",R24,R24/M7*P10),2)</f>
        <v>7450</v>
      </c>
      <c r="T33" s="1"/>
    </row>
    <row r="34" spans="1:20" x14ac:dyDescent="0.2">
      <c r="A34" s="76" t="str">
        <f>'päd.Personal - Leitung'!$A$34</f>
        <v>Jun 2025</v>
      </c>
      <c r="B34" s="22">
        <f>ROUND(IF(P11=0,0,IFERROR((((LOOKUP(2,1/(A14:A17=A34),G14:G17))*P11*4.348)*50%),B33/P10*P11)),2)</f>
        <v>0</v>
      </c>
      <c r="C34" s="21">
        <f>ROUND(IFERROR((LOOKUP(2,1/(A20=A34),E20)),0)+IFERROR((LOOKUP(2,1/(A21=A34),E21)),0),2)</f>
        <v>0</v>
      </c>
      <c r="D34" s="21">
        <f>ROUND(IF(B34=0,0,D28/M7*P11*50%),2)</f>
        <v>0</v>
      </c>
      <c r="E34" s="21">
        <f>ROUND(IF(B34=0,0,E28/N3*P11*50%),2)</f>
        <v>0</v>
      </c>
      <c r="F34" s="22">
        <f>ROUND(IF(P11=0,0,IFERROR((((LOOKUP(2,1/(A14:A17=A34),I14:I17))/N3*P11)*50%),F33/P10*P11)),2)</f>
        <v>0</v>
      </c>
      <c r="G34" s="25">
        <f t="shared" si="6"/>
        <v>0</v>
      </c>
      <c r="H34" s="831">
        <f>ROUND(SUM(B34:F34)*H28,2)</f>
        <v>0</v>
      </c>
      <c r="I34" s="64">
        <f>ROUND(IF((SUM(B30:F34)*80%)&gt;((SUM(S26:S34))*90%),((((SUM(S26:S34))*90%)-((SUM(B30:F34)-C34))*I28)+((SUM(B34:F34)-C34)*I28)*80%),((SUM(B34:F34)-C34)*I28)*80%),2)</f>
        <v>0</v>
      </c>
      <c r="J34" s="831">
        <f>ROUND(SUM(B34:F34)*J28,2)</f>
        <v>0</v>
      </c>
      <c r="K34" s="831">
        <f>ROUND(SUM(B34:F34)*K28,2)</f>
        <v>0</v>
      </c>
      <c r="L34" s="831">
        <f>ROUND(SUM(B34:F34)*L28,2)</f>
        <v>0</v>
      </c>
      <c r="M34" s="831">
        <f>ROUND((SUM(B34:F34)-C34)*M28,2)</f>
        <v>0</v>
      </c>
      <c r="N34" s="21">
        <f>ROUND((B34+E34+F34)*N28,2)</f>
        <v>0</v>
      </c>
      <c r="O34" s="21">
        <f>ROUND(SUM(B34+C34+F34)*O28,2)</f>
        <v>0</v>
      </c>
      <c r="P34" s="25">
        <f t="shared" si="7"/>
        <v>0</v>
      </c>
      <c r="Q34" s="456"/>
      <c r="R34" s="140">
        <f>ROUND(IF(M7="",R23,R23/M7*P11),2)</f>
        <v>5175</v>
      </c>
      <c r="S34" s="140">
        <f>ROUND(IF(M7="",R24,R24/M7*P11),2)</f>
        <v>7450</v>
      </c>
      <c r="T34" s="1"/>
    </row>
    <row r="35" spans="1:20" x14ac:dyDescent="0.2">
      <c r="A35" s="76" t="str">
        <f>'päd.Personal - Leitung'!$A$35</f>
        <v>Jul 2025</v>
      </c>
      <c r="B35" s="22">
        <f>ROUND(IF(P12=0,0,IFERROR((((LOOKUP(2,1/(A14:A17=A35),G14:G17))*P12*4.348)*50%),B34/P11*P12)),2)</f>
        <v>0</v>
      </c>
      <c r="C35" s="21">
        <f>ROUND(IFERROR((LOOKUP(2,1/(A20=A35),E20)),0)+IFERROR((LOOKUP(2,1/(A21=A35),E21)),0),2)</f>
        <v>0</v>
      </c>
      <c r="D35" s="21">
        <f>ROUND(IF(B35=0,0,D28/M7*P12*50%),2)</f>
        <v>0</v>
      </c>
      <c r="E35" s="21">
        <f>ROUND(IF(B35=0,0,E28/N3*P12*50%),2)</f>
        <v>0</v>
      </c>
      <c r="F35" s="22">
        <f>ROUND(IF(P12=0,0,IFERROR((((LOOKUP(2,1/(A14:A17=A35),I14:I17))/N3*P12)*50%),F34/P11*P12)),2)</f>
        <v>0</v>
      </c>
      <c r="G35" s="25">
        <f t="shared" si="6"/>
        <v>0</v>
      </c>
      <c r="H35" s="831">
        <f>ROUND(SUM(B35:F35)*H28,2)</f>
        <v>0</v>
      </c>
      <c r="I35" s="64">
        <f>ROUND(IF((SUM(B30:F35)*80%)&gt;((SUM(S26:S35))*90%),((((SUM(S26:S35))*90%)-((SUM(B30:F35)-C35))*I28)+((SUM(B35:F35)-C35)*I28)*80%),((SUM(B35:F35)-C35)*I28)*80%),2)</f>
        <v>0</v>
      </c>
      <c r="J35" s="831">
        <f>ROUND(SUM(B35:F35)*J28,2)</f>
        <v>0</v>
      </c>
      <c r="K35" s="831">
        <f>ROUND(SUM(B35:F35)*K28,2)</f>
        <v>0</v>
      </c>
      <c r="L35" s="831">
        <f>ROUND(SUM(B35:F35)*L28,2)</f>
        <v>0</v>
      </c>
      <c r="M35" s="831">
        <f>ROUND((SUM(B35:F35)-C35)*M28,2)</f>
        <v>0</v>
      </c>
      <c r="N35" s="21">
        <f>ROUND((B35+E35+F35)*N28,2)</f>
        <v>0</v>
      </c>
      <c r="O35" s="21">
        <f>ROUND(SUM(B35+C35+F35)*O28,2)</f>
        <v>0</v>
      </c>
      <c r="P35" s="25">
        <f t="shared" si="7"/>
        <v>0</v>
      </c>
      <c r="Q35" s="456"/>
      <c r="R35" s="140">
        <f>ROUND(IF(M7="",R23,R23/M7*P12),2)</f>
        <v>5175</v>
      </c>
      <c r="S35" s="140">
        <f>ROUND(IF(M7="",R24,R24/M7*P12),2)</f>
        <v>7450</v>
      </c>
      <c r="T35" s="1"/>
    </row>
    <row r="36" spans="1:20" x14ac:dyDescent="0.2">
      <c r="A36" s="76" t="str">
        <f>'päd.Personal - Leitung'!$A$36</f>
        <v>Aug 2025</v>
      </c>
      <c r="B36" s="22">
        <f>ROUND(IF(P13=0,0,IFERROR((((LOOKUP(2,1/(A14:A17=A36),G14:G17))*P13*4.348)*50%),B35/P12*P13)),2)</f>
        <v>0</v>
      </c>
      <c r="C36" s="21">
        <f>ROUND(IFERROR((LOOKUP(2,1/(A20=A36),E20)),0)+IFERROR((LOOKUP(2,1/(A21=A36),E21)),0),2)</f>
        <v>0</v>
      </c>
      <c r="D36" s="21">
        <f>ROUND(IF(B36=0,0,D28/M7*P13*50%),2)</f>
        <v>0</v>
      </c>
      <c r="E36" s="21">
        <f>ROUND(IF(B36=0,0,E28/N3*P13*50%),2)</f>
        <v>0</v>
      </c>
      <c r="F36" s="22">
        <f>ROUND(IF(P13=0,0,IFERROR((((LOOKUP(2,1/(A14:A17=A36),I14:I17))/N3*P13)*50%),F35/P12*P13)),2)</f>
        <v>0</v>
      </c>
      <c r="G36" s="25">
        <f t="shared" si="6"/>
        <v>0</v>
      </c>
      <c r="H36" s="831">
        <f>ROUND(SUM(B36:F36)*H28,2)</f>
        <v>0</v>
      </c>
      <c r="I36" s="64">
        <f>ROUND(IF((SUM(B30:F36)*80%)&gt;((SUM(S26:S36))*90%),((((SUM(S26:S36))*90%)-((SUM(B30:F36)-C36))*I28)+((SUM(B36:F36)-C36)*I28)*80%),((SUM(B36:F36)-C36)*I28)*80%),2)</f>
        <v>0</v>
      </c>
      <c r="J36" s="831">
        <f>ROUND(SUM(B36:F36)*J28,2)</f>
        <v>0</v>
      </c>
      <c r="K36" s="831">
        <f>ROUND(SUM(B36:F36)*K28,2)</f>
        <v>0</v>
      </c>
      <c r="L36" s="831">
        <f>ROUND(SUM(B36:F36)*L28,2)</f>
        <v>0</v>
      </c>
      <c r="M36" s="831">
        <f>ROUND((SUM(B36:F36)-C36)*M28,2)</f>
        <v>0</v>
      </c>
      <c r="N36" s="21">
        <f>ROUND((B36+E36+F36)*N28,2)</f>
        <v>0</v>
      </c>
      <c r="O36" s="21">
        <f>ROUND(SUM(B36+C36+F36)*O28,2)</f>
        <v>0</v>
      </c>
      <c r="P36" s="25">
        <f t="shared" si="7"/>
        <v>0</v>
      </c>
      <c r="Q36" s="456"/>
      <c r="R36" s="140">
        <f>ROUND(IF(M7="",R23,R23/M7*P13),2)</f>
        <v>5175</v>
      </c>
      <c r="S36" s="140">
        <f>ROUND(IF(M7="",R24,R24/M7*P13),2)</f>
        <v>7450</v>
      </c>
      <c r="T36" s="1"/>
    </row>
    <row r="37" spans="1:20" x14ac:dyDescent="0.2">
      <c r="A37" s="76" t="str">
        <f>'päd.Personal - Leitung'!$A$37</f>
        <v>Sep 2025</v>
      </c>
      <c r="B37" s="22">
        <f>ROUND(IF(P14=0,0,IFERROR((((LOOKUP(2,1/(A14:A17=A37),G14:G17))*P14*4.348)*50%),B36/P13*P14)),2)</f>
        <v>0</v>
      </c>
      <c r="C37" s="21">
        <f>ROUND(IFERROR((LOOKUP(2,1/(A20=A37),E20)),0)+IFERROR((LOOKUP(2,1/(A21=A37),E21)),0),2)</f>
        <v>0</v>
      </c>
      <c r="D37" s="21">
        <f>ROUND(IF(B37=0,0,D28/M7*P14*50%),2)</f>
        <v>0</v>
      </c>
      <c r="E37" s="21">
        <f>ROUND(IF(B37=0,0,E28/N3*P14*50%),2)</f>
        <v>0</v>
      </c>
      <c r="F37" s="22">
        <f>ROUND(IF(P14=0,0,IFERROR((((LOOKUP(2,1/(A14:A17=A37),I14:I17))/N3*P14)*50%),F36/P13*P14)),2)</f>
        <v>0</v>
      </c>
      <c r="G37" s="25">
        <f t="shared" si="6"/>
        <v>0</v>
      </c>
      <c r="H37" s="831">
        <f>ROUND(SUM(B37:F37)*H28,2)</f>
        <v>0</v>
      </c>
      <c r="I37" s="64">
        <f>ROUND(IF((SUM(B30:F37)*80%)&gt;((SUM(S26:S37))*90%),((((SUM(S26:S37))*90%)-((SUM(B30:F37)-C37))*I28)+((SUM(B37:F37)-C37)*I28)*80%),((SUM(B37:F37)-C37)*I28)*80%),2)</f>
        <v>0</v>
      </c>
      <c r="J37" s="831">
        <f>ROUND(SUM(B37:F37)*J28,2)</f>
        <v>0</v>
      </c>
      <c r="K37" s="831">
        <f>ROUND(SUM(B37:F37)*K28,2)</f>
        <v>0</v>
      </c>
      <c r="L37" s="831">
        <f>ROUND(SUM(B37:F37)*L28,2)</f>
        <v>0</v>
      </c>
      <c r="M37" s="831">
        <f>ROUND((SUM(B37:F37)-C37)*M28,2)</f>
        <v>0</v>
      </c>
      <c r="N37" s="21">
        <f>ROUND((B37+E37+F37)*N28,2)</f>
        <v>0</v>
      </c>
      <c r="O37" s="21">
        <f>ROUND(SUM(B37+C37+F37)*O28,2)</f>
        <v>0</v>
      </c>
      <c r="P37" s="25">
        <f t="shared" si="7"/>
        <v>0</v>
      </c>
      <c r="Q37" s="456"/>
      <c r="R37" s="140">
        <f>ROUND(IF(M7="",R23,R23/M7*P14),2)</f>
        <v>5175</v>
      </c>
      <c r="S37" s="140">
        <f>ROUND(IF(M7="",R24,R24/M7*P14),2)</f>
        <v>7450</v>
      </c>
      <c r="T37" s="1"/>
    </row>
    <row r="38" spans="1:20" ht="15" x14ac:dyDescent="0.25">
      <c r="A38" s="76" t="str">
        <f>'päd.Personal - Leitung'!$A$38</f>
        <v>Okt 2025</v>
      </c>
      <c r="B38" s="22">
        <f>ROUND(IF(P15=0,0,IFERROR((((LOOKUP(2,1/(A14:A17=A38),G14:G17))*P15*4.348)*50%),B37/P14*P15)),2)</f>
        <v>0</v>
      </c>
      <c r="C38" s="21">
        <f>ROUND(IFERROR((LOOKUP(2,1/(A20=A38),E20)),0)+IFERROR((LOOKUP(2,1/(A21=A38),E21)),0),2)</f>
        <v>0</v>
      </c>
      <c r="D38" s="21">
        <f>ROUND(IF(B38=0,0,D28/M7*P15*50%),2)</f>
        <v>0</v>
      </c>
      <c r="E38" s="21">
        <f>ROUND(IF(B38=0,0,E28/N3*P15*50%),2)</f>
        <v>0</v>
      </c>
      <c r="F38" s="22">
        <f>ROUND(IF(P15=0,0,IFERROR((((LOOKUP(2,1/(A14:A17=A38),I14:I17))/N3*P15)*50%),F37/P14*P15)),2)</f>
        <v>0</v>
      </c>
      <c r="G38" s="25">
        <f t="shared" si="6"/>
        <v>0</v>
      </c>
      <c r="H38" s="831">
        <f>ROUND(SUM(B38:F38)*H28,2)</f>
        <v>0</v>
      </c>
      <c r="I38" s="64">
        <f>ROUND(IF((SUM(B30:F38)*80%)&gt;((SUM(S26:S38))*90%),((((SUM(S26:S38))*90%)-((SUM(B30:F38)-C38))*I28)+((SUM(B38:F38)-C38)*I28)*80%),((SUM(B38:F38)-C38)*I28)*80%),2)</f>
        <v>0</v>
      </c>
      <c r="J38" s="831">
        <f>ROUND(SUM(B38:F38)*J28,2)</f>
        <v>0</v>
      </c>
      <c r="K38" s="831">
        <f>ROUND(SUM(B38:F38)*K28,2)</f>
        <v>0</v>
      </c>
      <c r="L38" s="831">
        <f>ROUND(SUM(B38:F38)*L28,2)</f>
        <v>0</v>
      </c>
      <c r="M38" s="831">
        <f>ROUND((SUM(B38:F38)-C38)*M28,2)</f>
        <v>0</v>
      </c>
      <c r="N38" s="21">
        <f>ROUND((B38+E38+F38)*N28,2)</f>
        <v>0</v>
      </c>
      <c r="O38" s="21">
        <f>ROUND(SUM(B38+C38+F38)*O28,2)</f>
        <v>0</v>
      </c>
      <c r="P38" s="25">
        <f t="shared" si="7"/>
        <v>0</v>
      </c>
      <c r="Q38" s="936"/>
      <c r="R38" s="140">
        <f>ROUND(IF(M7="",R23,R23/M7*P15),2)</f>
        <v>5175</v>
      </c>
      <c r="S38" s="140">
        <f>ROUND(IF(M7="",R24,R24/M7*P15),2)</f>
        <v>7450</v>
      </c>
      <c r="T38" s="12"/>
    </row>
    <row r="39" spans="1:20" x14ac:dyDescent="0.2">
      <c r="A39" s="76" t="str">
        <f>'päd.Personal - Leitung'!$A$39</f>
        <v>Nov 2025</v>
      </c>
      <c r="B39" s="22">
        <f>ROUND(IF(P16=0,0,IFERROR((((LOOKUP(2,1/(A14:A17=A39),G14:G17))*P16*4.348)*50%),B38/P15*P16)),2)</f>
        <v>0</v>
      </c>
      <c r="C39" s="21">
        <f>ROUND(IFERROR((LOOKUP(2,1/(A20=A39),E20)),0)+(IFERROR((LOOKUP(2,1/(A21=A39),E21)),0)),2)</f>
        <v>0</v>
      </c>
      <c r="D39" s="21">
        <f>ROUND(IF(B39=0,0,D28/M7*P16*50%),2)</f>
        <v>0</v>
      </c>
      <c r="E39" s="21">
        <f>ROUND(IF(B39=0,0,E28/N3*P16*50%),2)</f>
        <v>0</v>
      </c>
      <c r="F39" s="22">
        <f>ROUND(IF(P16=0,0,IFERROR((((LOOKUP(2,1/(A14:A17=A39),I14:I17))/N3*P16)*50%),F38/P15*P16)),2)</f>
        <v>0</v>
      </c>
      <c r="G39" s="25">
        <f t="shared" si="6"/>
        <v>0</v>
      </c>
      <c r="H39" s="831">
        <f>ROUND(SUM(B39:F39)*H28,2)</f>
        <v>0</v>
      </c>
      <c r="I39" s="64">
        <f>ROUND(IF((SUM(B30:F39)*80%)&gt;((SUM(S26:S39))*90%),((((SUM(S26:S39))*90%)-((SUM(B30:F39)-C39))*I28)+((SUM(B39:F39)-C39)*I28)*80%),((SUM(B39:F39)-C39)*I28)*80%),2)</f>
        <v>0</v>
      </c>
      <c r="J39" s="831">
        <f>ROUND(SUM(B39:F39)*J28,2)</f>
        <v>0</v>
      </c>
      <c r="K39" s="831">
        <f>ROUND(SUM(B39:F39)*K28,2)</f>
        <v>0</v>
      </c>
      <c r="L39" s="831">
        <f>ROUND(SUM(B39:F39)*L28,2)</f>
        <v>0</v>
      </c>
      <c r="M39" s="831">
        <f>ROUND((SUM(B39:F39)-C39)*M28,2)</f>
        <v>0</v>
      </c>
      <c r="N39" s="21">
        <f>ROUND((B39+E39+F39)*N28,2)</f>
        <v>0</v>
      </c>
      <c r="O39" s="21">
        <f>ROUND(SUM(B39+C39+F39)*O28,2)</f>
        <v>0</v>
      </c>
      <c r="P39" s="25">
        <f t="shared" si="7"/>
        <v>0</v>
      </c>
      <c r="Q39" s="11"/>
      <c r="R39" s="140">
        <f>ROUND(IF(M7="",R23,R23/M7*P16),2)</f>
        <v>5175</v>
      </c>
      <c r="S39" s="140">
        <f>ROUND(IF(M7="",R24,R24/M7*P16),2)</f>
        <v>7450</v>
      </c>
      <c r="T39" s="11"/>
    </row>
    <row r="40" spans="1:20" x14ac:dyDescent="0.2">
      <c r="A40" s="76" t="str">
        <f>'päd.Personal - Leitung'!$A$40</f>
        <v>Dez 2025</v>
      </c>
      <c r="B40" s="22">
        <f>ROUND(IF(P17=0,0,IFERROR((((LOOKUP(2,1/(A14:A17=A40),G14:G17))*P17*4.348)*50%),B39/P16*P17)),2)</f>
        <v>0</v>
      </c>
      <c r="C40" s="21">
        <f>ROUND(IFERROR((LOOKUP(2,1/(A20=A40),E20)),0)+IFERROR((LOOKUP(2,1/(A21=A40),E21)),0),2)</f>
        <v>0</v>
      </c>
      <c r="D40" s="21">
        <f>ROUND(IF(B40=0,0,D28/M7*P17*50%),2)</f>
        <v>0</v>
      </c>
      <c r="E40" s="21">
        <f>ROUND(IF(B40=0,0,E28/N3*P17*50%),2)</f>
        <v>0</v>
      </c>
      <c r="F40" s="22">
        <f>ROUND(IF(P17=0,0,IFERROR((((LOOKUP(2,1/(A14:A17=A40),I14:I17))/N3*P17)*50%),F39/P16*P17)),2)</f>
        <v>0</v>
      </c>
      <c r="G40" s="25">
        <f t="shared" si="6"/>
        <v>0</v>
      </c>
      <c r="H40" s="831">
        <f>ROUND(SUM(B40:F40)*H28,2)</f>
        <v>0</v>
      </c>
      <c r="I40" s="64">
        <f>ROUND(IF((SUM(B30:F40)*80%)&gt;((SUM(S26:S40))*90%),((((SUM(S26:S40))*90%)-((SUM(B30:F40)-C40))*I28)+((SUM(B40:F40)-C40)*I28)*80%),((SUM(B40:F40)-C40)*I28)*80%),2)</f>
        <v>0</v>
      </c>
      <c r="J40" s="831">
        <f>ROUND(SUM(B40:F40)*J28,2)</f>
        <v>0</v>
      </c>
      <c r="K40" s="831">
        <f>ROUND(SUM(B40:F40)*K28,2)</f>
        <v>0</v>
      </c>
      <c r="L40" s="831">
        <f>ROUND(SUM(B40:F40)*L28,2)</f>
        <v>0</v>
      </c>
      <c r="M40" s="831">
        <f>ROUND((SUM(B40:F40)-C40)*M28,2)</f>
        <v>0</v>
      </c>
      <c r="N40" s="21">
        <f>ROUND((B40+E40+F40)*N28,2)</f>
        <v>0</v>
      </c>
      <c r="O40" s="21">
        <f>ROUND(SUM(B40+C40+F40)*O28,2)</f>
        <v>0</v>
      </c>
      <c r="P40" s="25">
        <f t="shared" si="7"/>
        <v>0</v>
      </c>
      <c r="Q40" s="11"/>
      <c r="R40" s="140">
        <f>ROUND(IF(M7="",R23,R23/M7*P17),2)</f>
        <v>5175</v>
      </c>
      <c r="S40" s="140">
        <f>ROUND(IF(M7="",R24,R24/M7*P17),2)</f>
        <v>7450</v>
      </c>
      <c r="T40" s="1"/>
    </row>
    <row r="41" spans="1:20" x14ac:dyDescent="0.2">
      <c r="A41" s="2" t="s">
        <v>1</v>
      </c>
      <c r="B41" s="25">
        <f t="shared" ref="B41:G41" si="8">SUM(B29:B40)</f>
        <v>0</v>
      </c>
      <c r="C41" s="25">
        <f t="shared" si="8"/>
        <v>0</v>
      </c>
      <c r="D41" s="25">
        <f t="shared" si="8"/>
        <v>0</v>
      </c>
      <c r="E41" s="25">
        <f t="shared" si="8"/>
        <v>0</v>
      </c>
      <c r="F41" s="25">
        <f t="shared" si="8"/>
        <v>0</v>
      </c>
      <c r="G41" s="25">
        <f t="shared" si="8"/>
        <v>0</v>
      </c>
      <c r="H41" s="1309">
        <f>SUM(H29:M40)</f>
        <v>0</v>
      </c>
      <c r="I41" s="1310"/>
      <c r="J41" s="1310"/>
      <c r="K41" s="1310"/>
      <c r="L41" s="1310"/>
      <c r="M41" s="1310"/>
      <c r="N41" s="25">
        <f>SUM(N29:N40)</f>
        <v>0</v>
      </c>
      <c r="O41" s="25">
        <f>SUM(O29:O40)</f>
        <v>0</v>
      </c>
      <c r="P41" s="25">
        <f>SUM(P29:P40)</f>
        <v>0</v>
      </c>
      <c r="Q41" s="1"/>
      <c r="R41" s="1"/>
      <c r="S41" s="1"/>
      <c r="T41" s="1"/>
    </row>
    <row r="42" spans="1:20" x14ac:dyDescent="0.2">
      <c r="Q42" s="1021"/>
      <c r="R42" s="1021"/>
      <c r="S42" s="1021"/>
    </row>
    <row r="43" spans="1:20" s="1" customFormat="1" ht="14.25" customHeight="1" x14ac:dyDescent="0.2">
      <c r="B43" s="906"/>
      <c r="H43" s="905"/>
      <c r="I43" s="62"/>
      <c r="J43" s="914" t="s">
        <v>123</v>
      </c>
      <c r="L43" s="900" t="s">
        <v>124</v>
      </c>
      <c r="M43" s="1032"/>
      <c r="N43" s="902" t="s">
        <v>125</v>
      </c>
      <c r="O43" s="1033"/>
      <c r="P43" s="25">
        <f>ROUND(IF(M43="",0,G41*M43*O43/1000),2)</f>
        <v>0</v>
      </c>
      <c r="Q43" s="1015"/>
      <c r="R43" s="1022"/>
      <c r="S43" s="1016"/>
    </row>
    <row r="44" spans="1:20" s="1" customFormat="1" ht="14.25" customHeight="1" x14ac:dyDescent="0.2">
      <c r="H44" s="907"/>
      <c r="I44" s="42"/>
      <c r="M44" s="915" t="s">
        <v>129</v>
      </c>
      <c r="N44" s="80" t="s">
        <v>125</v>
      </c>
      <c r="O44" s="1034"/>
      <c r="P44" s="25">
        <f>ROUND(IF(O44="",0,G41*O44/1000),2)</f>
        <v>0</v>
      </c>
      <c r="Q44" s="1023"/>
      <c r="R44" s="65"/>
      <c r="S44" s="1017"/>
    </row>
    <row r="45" spans="1:20" s="1" customFormat="1" ht="14.25" customHeight="1" x14ac:dyDescent="0.2">
      <c r="H45" s="996" t="s">
        <v>126</v>
      </c>
      <c r="I45" s="1013" t="s">
        <v>127</v>
      </c>
      <c r="J45" s="1037"/>
      <c r="K45" s="902" t="s">
        <v>128</v>
      </c>
      <c r="L45" s="1036"/>
      <c r="M45" s="16"/>
      <c r="N45" s="900" t="s">
        <v>132</v>
      </c>
      <c r="O45" s="1035"/>
      <c r="P45" s="25">
        <f>ROUND(IF(J45="",0,(J45*L45/O45)/M9*M10),2)</f>
        <v>0</v>
      </c>
      <c r="Q45" s="1023"/>
      <c r="R45" s="66"/>
      <c r="S45" s="1016"/>
    </row>
    <row r="46" spans="1:20" s="1" customFormat="1" ht="14.25" customHeight="1" x14ac:dyDescent="0.2">
      <c r="D46" s="16"/>
      <c r="I46" s="16"/>
      <c r="J46" s="16"/>
      <c r="K46" s="63"/>
      <c r="L46" s="67"/>
      <c r="M46" s="915" t="s">
        <v>130</v>
      </c>
      <c r="N46" s="80" t="s">
        <v>131</v>
      </c>
      <c r="O46" s="904"/>
      <c r="P46" s="21">
        <f>ROUND(IF(G41=0,0,O46/M7*M8),2)</f>
        <v>0</v>
      </c>
      <c r="Q46" s="1023"/>
      <c r="R46" s="1018"/>
      <c r="S46" s="1024"/>
    </row>
    <row r="47" spans="1:20" s="1" customFormat="1" ht="14.25" customHeight="1" x14ac:dyDescent="0.2">
      <c r="A47" s="16"/>
      <c r="B47" s="16"/>
      <c r="I47" s="905"/>
      <c r="J47" s="961" t="s">
        <v>176</v>
      </c>
      <c r="K47" s="1312"/>
      <c r="L47" s="1312"/>
      <c r="M47" s="1312"/>
      <c r="N47" s="80" t="s">
        <v>131</v>
      </c>
      <c r="O47" s="904"/>
      <c r="P47" s="21">
        <f>ROUND(IF(G41=0,0,O47/M7*M8),2)</f>
        <v>0</v>
      </c>
      <c r="Q47" s="1023"/>
      <c r="R47" s="1019"/>
      <c r="S47" s="1020"/>
    </row>
    <row r="48" spans="1:20" s="1" customFormat="1" ht="14.25" customHeight="1" x14ac:dyDescent="0.2">
      <c r="A48" s="908"/>
      <c r="B48" s="908"/>
      <c r="C48" s="1001"/>
      <c r="D48" s="1001"/>
      <c r="I48" s="913"/>
      <c r="J48" s="913"/>
      <c r="K48" s="916"/>
      <c r="L48" s="27"/>
      <c r="M48" s="27"/>
      <c r="N48" s="27"/>
      <c r="O48" s="26" t="s">
        <v>0</v>
      </c>
      <c r="P48" s="25">
        <f>P41+SUM(P43:P47)</f>
        <v>0</v>
      </c>
    </row>
    <row r="49" spans="1:19" s="10" customFormat="1" ht="13.5" customHeight="1" x14ac:dyDescent="0.2">
      <c r="A49" s="1321" t="s">
        <v>17</v>
      </c>
      <c r="B49" s="1321"/>
      <c r="C49" s="1321"/>
      <c r="D49" s="1320" t="str">
        <f>IF('päd.Personal - Leitung'!$D$1="","",'päd.Personal - Leitung'!$D$1)</f>
        <v/>
      </c>
      <c r="E49" s="1320"/>
      <c r="F49" s="1320"/>
      <c r="G49" s="1320"/>
      <c r="H49" s="1320"/>
      <c r="I49" s="1320"/>
      <c r="J49" s="1320"/>
      <c r="K49" s="1320"/>
      <c r="L49" s="1320"/>
      <c r="M49" s="1320"/>
      <c r="N49" s="1320"/>
    </row>
    <row r="50" spans="1:19" s="10" customFormat="1" ht="15" customHeight="1" x14ac:dyDescent="0.2">
      <c r="A50" s="1321" t="s">
        <v>16</v>
      </c>
      <c r="B50" s="1321"/>
      <c r="C50" s="1321" t="s">
        <v>14</v>
      </c>
      <c r="D50" s="1320" t="str">
        <f>IF('päd.Personal - Leitung'!$D$2="","",'päd.Personal - Leitung'!$D$2)</f>
        <v/>
      </c>
      <c r="E50" s="1320"/>
      <c r="F50" s="1320"/>
      <c r="G50" s="1320"/>
      <c r="H50" s="1320"/>
      <c r="I50" s="1320"/>
      <c r="J50" s="1320"/>
      <c r="K50" s="1320"/>
      <c r="L50" s="1320"/>
      <c r="M50" s="1320"/>
      <c r="N50" s="1320"/>
    </row>
    <row r="51" spans="1:19" s="10" customFormat="1" ht="15" customHeight="1" x14ac:dyDescent="0.2">
      <c r="A51" s="1321" t="s">
        <v>15</v>
      </c>
      <c r="B51" s="1321"/>
      <c r="C51" s="1321" t="s">
        <v>14</v>
      </c>
      <c r="D51" s="1320" t="str">
        <f>IF('päd.Personal - Leitung'!$D$3="","",'päd.Personal - Leitung'!$D$3)</f>
        <v/>
      </c>
      <c r="E51" s="1320"/>
      <c r="F51" s="1320"/>
      <c r="G51" s="1320"/>
      <c r="H51" s="1320"/>
      <c r="I51" s="1320"/>
      <c r="J51" s="1320"/>
      <c r="K51" s="1321" t="s">
        <v>100</v>
      </c>
      <c r="L51" s="1321"/>
      <c r="M51" s="1321"/>
      <c r="N51" s="38" t="str">
        <f>IF('päd.Personal - Leitung'!$N$3="","",'päd.Personal - Leitung'!$N$3)</f>
        <v/>
      </c>
    </row>
    <row r="52" spans="1:19" s="923" customFormat="1" ht="7.5" customHeight="1" x14ac:dyDescent="0.15">
      <c r="A52" s="1353"/>
      <c r="B52" s="1353"/>
      <c r="C52" s="1353"/>
      <c r="D52" s="1354"/>
      <c r="E52" s="1354"/>
      <c r="F52" s="1354"/>
      <c r="G52" s="1354"/>
      <c r="H52" s="1354"/>
      <c r="I52" s="1354"/>
      <c r="J52" s="1354"/>
      <c r="K52" s="922"/>
      <c r="L52" s="922"/>
      <c r="M52" s="922"/>
      <c r="N52" s="922"/>
      <c r="O52" s="922"/>
      <c r="P52" s="922"/>
    </row>
    <row r="53" spans="1:19" x14ac:dyDescent="0.2">
      <c r="A53" s="1355" t="s">
        <v>161</v>
      </c>
      <c r="B53" s="1355"/>
      <c r="C53" s="1355"/>
      <c r="D53" s="1355"/>
      <c r="E53" s="1355"/>
      <c r="F53" s="1355"/>
      <c r="G53" s="1355"/>
      <c r="H53" s="1355"/>
      <c r="I53" s="1355"/>
      <c r="J53" s="1355"/>
      <c r="K53" s="1355"/>
      <c r="L53" s="1355"/>
      <c r="M53" s="1355"/>
      <c r="N53" s="52"/>
      <c r="O53" s="138">
        <f>'päd.Personal - Leitung'!$O$5</f>
        <v>2025</v>
      </c>
      <c r="P53" s="52" t="s">
        <v>140</v>
      </c>
    </row>
    <row r="54" spans="1:19" s="8" customFormat="1" ht="13.5" customHeight="1" x14ac:dyDescent="0.25">
      <c r="B54" s="29"/>
      <c r="C54" s="29"/>
      <c r="D54" s="3" t="s">
        <v>162</v>
      </c>
      <c r="E54" s="28"/>
      <c r="F54" s="28"/>
      <c r="G54" s="28"/>
      <c r="H54" s="28"/>
      <c r="I54" s="24"/>
      <c r="K54" s="1327" t="s">
        <v>13</v>
      </c>
      <c r="L54" s="1327"/>
      <c r="M54" s="131"/>
      <c r="O54" s="928" t="str">
        <f>A77</f>
        <v>Jan 2025</v>
      </c>
      <c r="P54" s="68">
        <f>IF(M56="","",M56)</f>
        <v>0</v>
      </c>
    </row>
    <row r="55" spans="1:19" s="5" customFormat="1" ht="13.5" customHeight="1" x14ac:dyDescent="0.25">
      <c r="A55" s="1328" t="s">
        <v>754</v>
      </c>
      <c r="B55" s="1328"/>
      <c r="C55" s="1328"/>
      <c r="D55" s="1329"/>
      <c r="E55" s="1329"/>
      <c r="F55" s="1329"/>
      <c r="G55" s="1329"/>
      <c r="H55" s="1329"/>
      <c r="I55" s="1329"/>
      <c r="K55" s="1327" t="s">
        <v>101</v>
      </c>
      <c r="L55" s="1327"/>
      <c r="M55" s="101"/>
      <c r="O55" s="928" t="str">
        <f t="shared" ref="O55:O65" si="9">A78</f>
        <v>Feb 2025</v>
      </c>
      <c r="P55" s="69">
        <f t="shared" ref="P55:P61" si="10">IF(P54="","",P54)</f>
        <v>0</v>
      </c>
    </row>
    <row r="56" spans="1:19" s="1" customFormat="1" ht="13.5" customHeight="1" x14ac:dyDescent="0.2">
      <c r="A56" s="1328" t="s">
        <v>12</v>
      </c>
      <c r="B56" s="1328"/>
      <c r="C56" s="1328"/>
      <c r="D56" s="1345"/>
      <c r="E56" s="1345"/>
      <c r="F56" s="1345"/>
      <c r="G56" s="1345"/>
      <c r="H56" s="1345"/>
      <c r="I56" s="1345"/>
      <c r="K56" s="1327" t="s">
        <v>149</v>
      </c>
      <c r="L56" s="1327"/>
      <c r="M56" s="101">
        <f>IF((M57+M58)&gt;M55,0,M55-M57-M58)</f>
        <v>0</v>
      </c>
      <c r="O56" s="928" t="str">
        <f t="shared" si="9"/>
        <v>Mrz 2025</v>
      </c>
      <c r="P56" s="69">
        <f t="shared" si="10"/>
        <v>0</v>
      </c>
    </row>
    <row r="57" spans="1:19" s="1" customFormat="1" ht="13.5" customHeight="1" x14ac:dyDescent="0.2">
      <c r="A57" s="1328" t="s">
        <v>11</v>
      </c>
      <c r="B57" s="1328"/>
      <c r="C57" s="1328"/>
      <c r="D57" s="1345"/>
      <c r="E57" s="1345"/>
      <c r="F57" s="1345"/>
      <c r="G57" s="1345"/>
      <c r="H57" s="1345"/>
      <c r="I57" s="1345"/>
      <c r="K57" s="1327" t="s">
        <v>150</v>
      </c>
      <c r="L57" s="1327"/>
      <c r="M57" s="101"/>
      <c r="O57" s="928" t="str">
        <f t="shared" si="9"/>
        <v>Apr 2025</v>
      </c>
      <c r="P57" s="69">
        <f t="shared" si="10"/>
        <v>0</v>
      </c>
    </row>
    <row r="58" spans="1:19" s="1" customFormat="1" ht="13.5" customHeight="1" x14ac:dyDescent="0.2">
      <c r="A58" s="1328" t="s">
        <v>18</v>
      </c>
      <c r="B58" s="1328"/>
      <c r="C58" s="1328"/>
      <c r="D58" s="1345"/>
      <c r="E58" s="1345"/>
      <c r="F58" s="1345"/>
      <c r="G58" s="1345"/>
      <c r="H58" s="1345"/>
      <c r="I58" s="1345"/>
      <c r="K58" s="1327" t="s">
        <v>222</v>
      </c>
      <c r="L58" s="1327"/>
      <c r="M58" s="101"/>
      <c r="O58" s="928" t="str">
        <f t="shared" si="9"/>
        <v>Mai 2025</v>
      </c>
      <c r="P58" s="69">
        <f t="shared" si="10"/>
        <v>0</v>
      </c>
    </row>
    <row r="59" spans="1:19" s="1" customFormat="1" ht="13.5" customHeight="1" x14ac:dyDescent="0.2">
      <c r="B59" s="6"/>
      <c r="C59" s="998" t="s">
        <v>147</v>
      </c>
      <c r="D59" s="1324"/>
      <c r="E59" s="1324"/>
      <c r="F59" s="1359" t="s">
        <v>107</v>
      </c>
      <c r="G59" s="1359"/>
      <c r="H59" s="1361"/>
      <c r="I59" s="1361"/>
      <c r="K59" s="1327" t="s">
        <v>94</v>
      </c>
      <c r="L59" s="1327"/>
      <c r="M59" s="15" t="str">
        <f>IF(IF((COUNTIF(B77:B88,"&gt;0"))=0,0,(COUNTIF(B77:B88,"&gt;0")))&gt;Grundlagen!$C$26,Grundlagen!$C$26,IF((COUNTIF(B77:B88,"&gt;0"))=0,"",(COUNTIF(B77:B88,"&gt;0"))))</f>
        <v/>
      </c>
      <c r="O59" s="928" t="str">
        <f t="shared" si="9"/>
        <v>Jun 2025</v>
      </c>
      <c r="P59" s="69">
        <f t="shared" si="10"/>
        <v>0</v>
      </c>
    </row>
    <row r="60" spans="1:19" s="1" customFormat="1" ht="13.5" customHeight="1" x14ac:dyDescent="0.2">
      <c r="F60" s="1359" t="s">
        <v>160</v>
      </c>
      <c r="G60" s="1359"/>
      <c r="H60" s="1361"/>
      <c r="I60" s="1361"/>
      <c r="M60" s="102" t="str">
        <f>IF((SUM(F62:F65))=0,"",IF(P66&gt;M56,M56,IF(M56="","",IF(M59="","",P66))))</f>
        <v/>
      </c>
      <c r="O60" s="928" t="str">
        <f t="shared" si="9"/>
        <v>Jul 2025</v>
      </c>
      <c r="P60" s="69">
        <f t="shared" si="10"/>
        <v>0</v>
      </c>
    </row>
    <row r="61" spans="1:19" s="46" customFormat="1" ht="13.5" customHeight="1" x14ac:dyDescent="0.2">
      <c r="A61" s="54" t="s">
        <v>134</v>
      </c>
      <c r="B61" s="1356" t="s">
        <v>135</v>
      </c>
      <c r="C61" s="1356"/>
      <c r="D61" s="55" t="s">
        <v>136</v>
      </c>
      <c r="E61" s="56" t="s">
        <v>137</v>
      </c>
      <c r="F61" s="57" t="str">
        <f>CONCATENATE("Entg. ",N51," h/Wo")</f>
        <v>Entg.  h/Wo</v>
      </c>
      <c r="G61" s="58" t="s">
        <v>138</v>
      </c>
      <c r="I61" s="58" t="s">
        <v>139</v>
      </c>
      <c r="K61" s="970"/>
      <c r="L61" s="970"/>
      <c r="M61" s="59"/>
      <c r="N61" s="968" t="str">
        <f>IF(A63="","",A63)</f>
        <v/>
      </c>
      <c r="O61" s="928" t="str">
        <f t="shared" si="9"/>
        <v>Aug 2025</v>
      </c>
      <c r="P61" s="69">
        <f t="shared" si="10"/>
        <v>0</v>
      </c>
      <c r="Q61" s="1027"/>
      <c r="R61" s="1025"/>
      <c r="S61" s="1025"/>
    </row>
    <row r="62" spans="1:19" s="46" customFormat="1" ht="13.5" customHeight="1" x14ac:dyDescent="0.25">
      <c r="A62" s="48" t="str">
        <f>A77</f>
        <v>Jan 2025</v>
      </c>
      <c r="B62" s="1357" t="str">
        <f>IF($D$3="","",$D$3)</f>
        <v/>
      </c>
      <c r="C62" s="1358"/>
      <c r="D62" s="132"/>
      <c r="E62" s="132"/>
      <c r="F62" s="71"/>
      <c r="G62" s="50">
        <f>IF(N51="",0,F62/N51/4.348)</f>
        <v>0</v>
      </c>
      <c r="I62" s="51">
        <f>SUM(J62:M62)</f>
        <v>0</v>
      </c>
      <c r="J62" s="70"/>
      <c r="K62" s="70"/>
      <c r="L62" s="70"/>
      <c r="M62" s="70"/>
      <c r="N62" s="983"/>
      <c r="O62" s="928" t="str">
        <f t="shared" si="9"/>
        <v>Sep 2025</v>
      </c>
      <c r="P62" s="69">
        <f t="shared" ref="P62:P65" si="11">IF(P61="","",P61)</f>
        <v>0</v>
      </c>
      <c r="Q62" s="1026"/>
      <c r="R62" s="829"/>
      <c r="S62" s="1028"/>
    </row>
    <row r="63" spans="1:19" s="46" customFormat="1" ht="13.5" customHeight="1" x14ac:dyDescent="0.25">
      <c r="A63" s="49"/>
      <c r="B63" s="1322" t="str">
        <f>IF(A63="","",B62)</f>
        <v/>
      </c>
      <c r="C63" s="1323"/>
      <c r="D63" s="132"/>
      <c r="E63" s="132"/>
      <c r="F63" s="71"/>
      <c r="G63" s="50">
        <f>IF(N51="",0,F63/N51/4.348)</f>
        <v>0</v>
      </c>
      <c r="I63" s="51">
        <f t="shared" ref="I63:I65" si="12">SUM(J63:M63)</f>
        <v>0</v>
      </c>
      <c r="J63" s="70"/>
      <c r="K63" s="70"/>
      <c r="L63" s="70"/>
      <c r="M63" s="70"/>
      <c r="N63" s="983"/>
      <c r="O63" s="928" t="str">
        <f t="shared" si="9"/>
        <v>Okt 2025</v>
      </c>
      <c r="P63" s="69">
        <f t="shared" si="11"/>
        <v>0</v>
      </c>
      <c r="Q63" s="1026"/>
      <c r="R63" s="829"/>
      <c r="S63" s="1028"/>
    </row>
    <row r="64" spans="1:19" s="46" customFormat="1" ht="13.5" customHeight="1" x14ac:dyDescent="0.25">
      <c r="A64" s="49"/>
      <c r="B64" s="1322" t="str">
        <f>IF(A64="","",B63)</f>
        <v/>
      </c>
      <c r="C64" s="1323"/>
      <c r="D64" s="132"/>
      <c r="E64" s="132"/>
      <c r="F64" s="71"/>
      <c r="G64" s="50">
        <f>IF(N51="",0,F64/N51/4.348)</f>
        <v>0</v>
      </c>
      <c r="I64" s="51">
        <f t="shared" si="12"/>
        <v>0</v>
      </c>
      <c r="J64" s="70"/>
      <c r="K64" s="70"/>
      <c r="L64" s="70"/>
      <c r="M64" s="70"/>
      <c r="N64" s="983"/>
      <c r="O64" s="928" t="str">
        <f t="shared" si="9"/>
        <v>Nov 2025</v>
      </c>
      <c r="P64" s="69">
        <f t="shared" si="11"/>
        <v>0</v>
      </c>
      <c r="Q64" s="828"/>
      <c r="R64" s="829"/>
      <c r="S64" s="829"/>
    </row>
    <row r="65" spans="1:20" s="46" customFormat="1" ht="13.5" customHeight="1" x14ac:dyDescent="0.25">
      <c r="A65" s="49"/>
      <c r="B65" s="1322" t="str">
        <f>IF(A65="","",B64)</f>
        <v/>
      </c>
      <c r="C65" s="1323"/>
      <c r="D65" s="132"/>
      <c r="E65" s="132"/>
      <c r="F65" s="71"/>
      <c r="G65" s="50">
        <f>IF(N51="",0,F65/N51/4.348)</f>
        <v>0</v>
      </c>
      <c r="I65" s="51">
        <f t="shared" si="12"/>
        <v>0</v>
      </c>
      <c r="J65" s="70"/>
      <c r="K65" s="70"/>
      <c r="L65" s="70"/>
      <c r="M65" s="70"/>
      <c r="N65" s="983"/>
      <c r="O65" s="928" t="str">
        <f t="shared" si="9"/>
        <v>Dez 2025</v>
      </c>
      <c r="P65" s="69">
        <f t="shared" si="11"/>
        <v>0</v>
      </c>
      <c r="Q65" s="276"/>
      <c r="R65" s="827"/>
      <c r="S65" s="827"/>
    </row>
    <row r="66" spans="1:20" s="46" customFormat="1" ht="13.5" customHeight="1" x14ac:dyDescent="0.25">
      <c r="B66" s="972"/>
      <c r="C66" s="972"/>
      <c r="E66" s="972"/>
      <c r="F66" s="972"/>
      <c r="I66" s="930" t="s">
        <v>730</v>
      </c>
      <c r="J66" s="982"/>
      <c r="K66" s="982"/>
      <c r="L66" s="982"/>
      <c r="M66" s="982"/>
      <c r="N66" s="994"/>
      <c r="O66" s="126" t="s">
        <v>221</v>
      </c>
      <c r="P66" s="127">
        <f>IF(M59="",0,((IF(SUMIF(B77,"&gt;0"),P54,0))+(IF(SUMIF(B78,"&gt;0"),P55,0))+(IF(SUMIF(B79,"&gt;0"),P56,0))+(IF(SUMIF(B80,"&gt;0"),P57,0))+(IF(SUMIF(B81,"&gt;0"),P58,0))+(IF(SUMIF(B82,"&gt;0"),P59,0))+(IF(SUMIF(B83,"&gt;0"),P60,0))+(IF(SUMIF(B84,"&gt;0"),P61,0))+(IF(SUMIF(B85,"&gt;0"),P62,0))+(IF(SUMIF(B86,"&gt;0"),P63,0))+(IF(SUMIF(B87,"&gt;0"),P64,0))+(IF(SUMIF(B88,"&gt;0"),P65,0)))/Grundlagen!$C$26)</f>
        <v>0</v>
      </c>
      <c r="Q66" s="997" t="str">
        <f>CONCATENATE("BBG"," anteilig ",O68)</f>
        <v>BBG anteilig 2025</v>
      </c>
      <c r="R66" s="931" t="s">
        <v>659</v>
      </c>
      <c r="S66" s="931" t="s">
        <v>398</v>
      </c>
      <c r="T66" s="107"/>
    </row>
    <row r="67" spans="1:20" s="46" customFormat="1" ht="13.5" customHeight="1" x14ac:dyDescent="0.2">
      <c r="A67" s="924" t="s">
        <v>732</v>
      </c>
      <c r="D67" s="55" t="s">
        <v>369</v>
      </c>
      <c r="E67" s="56" t="s">
        <v>368</v>
      </c>
      <c r="F67" s="58"/>
      <c r="J67" s="61"/>
      <c r="Q67" s="932" t="s">
        <v>144</v>
      </c>
      <c r="R67" s="140">
        <f>IF(M56=0,R71,IF(M55="",R71,(SUM(R77:R88)/M59)))</f>
        <v>5175</v>
      </c>
      <c r="S67" s="933">
        <f>IF(M56=0,S71,IF(M55="",S71,SUM(R77:R88)))</f>
        <v>0</v>
      </c>
      <c r="T67" s="107"/>
    </row>
    <row r="68" spans="1:20" s="46" customFormat="1" ht="13.5" customHeight="1" x14ac:dyDescent="0.25">
      <c r="A68" s="60"/>
      <c r="B68" s="1314" t="str">
        <f>IF($B$20="","",$B$20)</f>
        <v>Jahressonderzahlung (JSZ)</v>
      </c>
      <c r="C68" s="1315"/>
      <c r="D68" s="926"/>
      <c r="E68" s="929" t="str">
        <f>IF(A68="","",ROUND((((SUM(B83:B85)+SUM(F83:F85))/3)*D68)/Grundlagen!$C$26*M59,2))</f>
        <v/>
      </c>
      <c r="N68" s="917" t="s">
        <v>736</v>
      </c>
      <c r="O68" s="918">
        <f>P68+1</f>
        <v>2025</v>
      </c>
      <c r="P68" s="918" t="s">
        <v>721</v>
      </c>
      <c r="Q68" s="932" t="s">
        <v>145</v>
      </c>
      <c r="R68" s="140">
        <f>IF(M56=0,R72,IF(M55="",R72,(SUM(S77:S88)/M59)))</f>
        <v>7450</v>
      </c>
      <c r="S68" s="933">
        <f>IF(M56=0,S72,IF(M55="",S72,SUM(S77:S88)))</f>
        <v>0</v>
      </c>
      <c r="T68" s="109"/>
    </row>
    <row r="69" spans="1:20" ht="14.25" customHeight="1" x14ac:dyDescent="0.2">
      <c r="A69" s="60"/>
      <c r="B69" s="1314" t="str">
        <f>IF($B$21="","",$B$21)</f>
        <v>Leistungsentgelt (LOB)</v>
      </c>
      <c r="C69" s="1315"/>
      <c r="D69" s="926"/>
      <c r="E69" s="929" t="str">
        <f>IF(A69="","",ROUND(((B89+F89)*D69)/Grundlagen!$C$26*M59,2))</f>
        <v/>
      </c>
      <c r="F69" s="1"/>
      <c r="N69" s="139" t="s">
        <v>144</v>
      </c>
      <c r="O69" s="141">
        <f>'päd.Personal - Leitung'!$O$21</f>
        <v>5175</v>
      </c>
      <c r="P69" s="141">
        <f>'päd.Personal - Leitung'!$P$21</f>
        <v>5175</v>
      </c>
      <c r="Q69" s="11"/>
      <c r="R69" s="11"/>
      <c r="S69" s="11"/>
      <c r="T69" s="109"/>
    </row>
    <row r="70" spans="1:20" ht="14.25" customHeight="1" x14ac:dyDescent="0.2">
      <c r="A70" s="1"/>
      <c r="B70" s="1"/>
      <c r="C70" s="925" t="s">
        <v>731</v>
      </c>
      <c r="D70" s="1"/>
      <c r="E70" s="1"/>
      <c r="F70" s="1"/>
      <c r="N70" s="139" t="s">
        <v>145</v>
      </c>
      <c r="O70" s="899">
        <f>'päd.Personal - Leitung'!$O$22</f>
        <v>7450</v>
      </c>
      <c r="P70" s="899">
        <f>'päd.Personal - Leitung'!$P$22</f>
        <v>7450</v>
      </c>
      <c r="Q70" s="997" t="str">
        <f>CONCATENATE("BBG"," ",O68)</f>
        <v>BBG 2025</v>
      </c>
      <c r="R70" s="11"/>
      <c r="S70" s="11"/>
      <c r="T70" s="109"/>
    </row>
    <row r="71" spans="1:20" ht="14.25" customHeight="1" x14ac:dyDescent="0.2">
      <c r="A71" s="53" t="s">
        <v>141</v>
      </c>
      <c r="Q71" s="932" t="s">
        <v>144</v>
      </c>
      <c r="R71" s="141">
        <f>IF($O$21="",0,$O$21)</f>
        <v>5175</v>
      </c>
      <c r="S71" s="933">
        <f>R71*IF(M59="",0,M59)</f>
        <v>0</v>
      </c>
      <c r="T71" s="295"/>
    </row>
    <row r="72" spans="1:20" x14ac:dyDescent="0.2">
      <c r="A72" s="1346"/>
      <c r="B72" s="1348" t="s">
        <v>8</v>
      </c>
      <c r="C72" s="1349"/>
      <c r="D72" s="1349"/>
      <c r="E72" s="1349"/>
      <c r="F72" s="1349"/>
      <c r="G72" s="1350"/>
      <c r="H72" s="1351" t="s">
        <v>113</v>
      </c>
      <c r="I72" s="1352"/>
      <c r="J72" s="1352"/>
      <c r="K72" s="1352"/>
      <c r="L72" s="1352"/>
      <c r="M72" s="1352"/>
      <c r="N72" s="1368" t="s">
        <v>658</v>
      </c>
      <c r="O72" s="30"/>
      <c r="P72" s="1330" t="s">
        <v>0</v>
      </c>
      <c r="Q72" s="932" t="s">
        <v>145</v>
      </c>
      <c r="R72" s="141">
        <f>IF($O$22="",0,$O$22)</f>
        <v>7450</v>
      </c>
      <c r="S72" s="933">
        <f>R72*IF(M59="",0,M59)</f>
        <v>0</v>
      </c>
      <c r="T72" s="830"/>
    </row>
    <row r="73" spans="1:20" x14ac:dyDescent="0.2">
      <c r="A73" s="1347"/>
      <c r="B73" s="1333" t="s">
        <v>111</v>
      </c>
      <c r="C73" s="1335" t="s">
        <v>743</v>
      </c>
      <c r="D73" s="1337" t="s">
        <v>226</v>
      </c>
      <c r="E73" s="1339" t="s">
        <v>133</v>
      </c>
      <c r="F73" s="1002" t="s">
        <v>6</v>
      </c>
      <c r="G73" s="1340" t="s">
        <v>5</v>
      </c>
      <c r="H73" s="1339" t="s">
        <v>119</v>
      </c>
      <c r="I73" s="1339" t="s">
        <v>657</v>
      </c>
      <c r="J73" s="1339" t="s">
        <v>4</v>
      </c>
      <c r="K73" s="1339" t="s">
        <v>3</v>
      </c>
      <c r="L73" s="1339" t="s">
        <v>2</v>
      </c>
      <c r="M73" s="1339" t="s">
        <v>95</v>
      </c>
      <c r="N73" s="1369"/>
      <c r="O73" s="1338" t="s">
        <v>109</v>
      </c>
      <c r="P73" s="1331"/>
      <c r="Q73" s="456"/>
      <c r="R73" s="11"/>
      <c r="S73" s="11"/>
      <c r="T73" s="621"/>
    </row>
    <row r="74" spans="1:20" x14ac:dyDescent="0.2">
      <c r="A74" s="1347"/>
      <c r="B74" s="1333"/>
      <c r="C74" s="1335"/>
      <c r="D74" s="1338"/>
      <c r="E74" s="1339"/>
      <c r="F74" s="1343" t="str">
        <f>I66</f>
        <v>Zuschläge / Zulagen / o.ä.:</v>
      </c>
      <c r="G74" s="1340"/>
      <c r="H74" s="1342" t="s">
        <v>117</v>
      </c>
      <c r="I74" s="1339"/>
      <c r="J74" s="1342"/>
      <c r="K74" s="1342"/>
      <c r="L74" s="1342"/>
      <c r="M74" s="1339"/>
      <c r="N74" s="1369"/>
      <c r="O74" s="1338"/>
      <c r="P74" s="1331"/>
      <c r="Q74" s="456"/>
      <c r="R74" s="1306" t="str">
        <f>Q66</f>
        <v>BBG anteilig 2025</v>
      </c>
      <c r="S74" s="1306"/>
      <c r="T74" s="829"/>
    </row>
    <row r="75" spans="1:20" ht="14.25" customHeight="1" x14ac:dyDescent="0.2">
      <c r="A75" s="1347"/>
      <c r="B75" s="1333"/>
      <c r="C75" s="1335"/>
      <c r="D75" s="1338"/>
      <c r="E75" s="1339"/>
      <c r="F75" s="1343"/>
      <c r="G75" s="1340"/>
      <c r="H75" s="39" t="str">
        <f>'päd.Personal - Leitung'!$H$27</f>
        <v>(7,30% + Zusatz)</v>
      </c>
      <c r="I75" s="39" t="str">
        <f>$I$27</f>
        <v xml:space="preserve"> (2024: 18,60%)</v>
      </c>
      <c r="J75" s="39" t="str">
        <f>'päd.Personal - Leitung'!$I$27</f>
        <v xml:space="preserve"> (2024: 9,30%)</v>
      </c>
      <c r="K75" s="39" t="str">
        <f>'päd.Personal - Leitung'!$J$27</f>
        <v>(2024: 1,30%)</v>
      </c>
      <c r="L75" s="39" t="str">
        <f>'päd.Personal - Leitung'!$K$27</f>
        <v>(2024: 1,700%)</v>
      </c>
      <c r="M75" s="1339"/>
      <c r="N75" s="39" t="str">
        <f>$N$27</f>
        <v xml:space="preserve"> (2024: 20%)</v>
      </c>
      <c r="O75" s="1338"/>
      <c r="P75" s="1331"/>
      <c r="Q75" s="456"/>
      <c r="R75" s="1307" t="s">
        <v>659</v>
      </c>
      <c r="S75" s="1307"/>
      <c r="T75" s="829"/>
    </row>
    <row r="76" spans="1:20" ht="14.25" customHeight="1" x14ac:dyDescent="0.2">
      <c r="A76" s="1347"/>
      <c r="B76" s="1334"/>
      <c r="C76" s="1336"/>
      <c r="D76" s="45"/>
      <c r="E76" s="45"/>
      <c r="F76" s="1344"/>
      <c r="G76" s="1341"/>
      <c r="H76" s="74"/>
      <c r="I76" s="19"/>
      <c r="J76" s="99">
        <f>'päd.Personal - Leitung'!$I$28</f>
        <v>0</v>
      </c>
      <c r="K76" s="99">
        <f>'päd.Personal - Leitung'!$J$28</f>
        <v>0</v>
      </c>
      <c r="L76" s="40">
        <f>'päd.Personal - Leitung'!$K$28</f>
        <v>0</v>
      </c>
      <c r="M76" s="19"/>
      <c r="N76" s="19"/>
      <c r="O76" s="19"/>
      <c r="P76" s="1332"/>
      <c r="Q76" s="456"/>
      <c r="R76" s="935" t="s">
        <v>144</v>
      </c>
      <c r="S76" s="935" t="s">
        <v>145</v>
      </c>
      <c r="T76" s="829"/>
    </row>
    <row r="77" spans="1:20" x14ac:dyDescent="0.2">
      <c r="A77" s="76" t="str">
        <f>'päd.Personal - Leitung'!$A$29</f>
        <v>Jan 2025</v>
      </c>
      <c r="B77" s="22">
        <f>ROUND(IF(P54=0,0,(LOOKUP(2,1/(A62:A65=A77),G62:G65))*P54*4.348)*50%,2)</f>
        <v>0</v>
      </c>
      <c r="C77" s="21">
        <f>ROUND(IFERROR((LOOKUP(2,1/(A68=A77),E68)),0)+IFERROR((LOOKUP(2,1/(A69=A77),E69)),0),2)</f>
        <v>0</v>
      </c>
      <c r="D77" s="21">
        <f>ROUND(IF(B77=0,0,D76/M55*P54*50%),2)</f>
        <v>0</v>
      </c>
      <c r="E77" s="21">
        <f>ROUND(IF(B77=0,0,E76/N51*P54*50%),2)</f>
        <v>0</v>
      </c>
      <c r="F77" s="22">
        <f>ROUND(IF(P54=0,0,(LOOKUP(2,1/(A62:A65=A77),I62:I65))/N51*P54)*50%,2)</f>
        <v>0</v>
      </c>
      <c r="G77" s="25">
        <f>SUM(B77+C77+E77+F77)</f>
        <v>0</v>
      </c>
      <c r="H77" s="831">
        <f>ROUND(SUM(B77:F77)*H76,2)</f>
        <v>0</v>
      </c>
      <c r="I77" s="64">
        <f>ROUND(IF((SUM(B77:F77)*80%)&gt;((S77)*90%),((((S77)*90%)-((SUM(B77:F77)-C77))*I76)+((SUM(B77:F77)-C77)*I76)*80%),((SUM(B77:F77)-C77)*I76)*80%),2)</f>
        <v>0</v>
      </c>
      <c r="J77" s="831">
        <f>ROUND(SUM(B77:F77)*J76,2)</f>
        <v>0</v>
      </c>
      <c r="K77" s="831">
        <f>ROUND(SUM(B77:F77)*K76,2)</f>
        <v>0</v>
      </c>
      <c r="L77" s="831">
        <f>ROUND(SUM(B77:F77)*L76,2)</f>
        <v>0</v>
      </c>
      <c r="M77" s="831">
        <f>ROUND((SUM(B77:F77)-C77)*M76,2)</f>
        <v>0</v>
      </c>
      <c r="N77" s="21">
        <f>ROUND((B77+E77+F77)*N76,2)</f>
        <v>0</v>
      </c>
      <c r="O77" s="21">
        <f>ROUND(SUM(B77+C77+F77)*O76,2)</f>
        <v>0</v>
      </c>
      <c r="P77" s="25">
        <f>SUM(G77:O77)</f>
        <v>0</v>
      </c>
      <c r="Q77" s="456"/>
      <c r="R77" s="140">
        <f>ROUND(IF(M55="",R71,R71/M55*P54),2)</f>
        <v>5175</v>
      </c>
      <c r="S77" s="140">
        <f>ROUND(IF(M55="",R72,R72/M55*P54),2)</f>
        <v>7450</v>
      </c>
      <c r="T77" s="1"/>
    </row>
    <row r="78" spans="1:20" x14ac:dyDescent="0.2">
      <c r="A78" s="76" t="str">
        <f>'päd.Personal - Leitung'!$A$30</f>
        <v>Feb 2025</v>
      </c>
      <c r="B78" s="22">
        <f>ROUND(IF(P55=0,0,IFERROR((((LOOKUP(2,1/(A62:A65=A78),G62:G65))*P55*4.348)*50%),B77/P54*P55)),2)</f>
        <v>0</v>
      </c>
      <c r="C78" s="21">
        <f>ROUND(IFERROR((LOOKUP(2,1/(A68=A78),E68)),0)+IFERROR((LOOKUP(2,1/(A69=A78),E69)),0),2)</f>
        <v>0</v>
      </c>
      <c r="D78" s="21">
        <f>ROUND(IF(B78=0,0,D76/M55*P55*50%),2)</f>
        <v>0</v>
      </c>
      <c r="E78" s="21">
        <f>ROUND(IF(B78=0,0,E76/N51*P55*50%),2)</f>
        <v>0</v>
      </c>
      <c r="F78" s="22">
        <f>ROUND(IF(P55=0,0,IFERROR((((LOOKUP(2,1/(A62:A65=A78),I62:I65))/N51*P55)*50%),F77/P54*P55)),2)</f>
        <v>0</v>
      </c>
      <c r="G78" s="25">
        <f t="shared" ref="G78:G88" si="13">SUM(B78+C78+E78+F78)</f>
        <v>0</v>
      </c>
      <c r="H78" s="831">
        <f>ROUND(SUM(B78:F78)*H76,2)</f>
        <v>0</v>
      </c>
      <c r="I78" s="64">
        <f>ROUND(IF((SUM(B78:F78)*80%)&gt;((SUM(S74:S78))*90%),((((SUM(S74:S78))*90%)-((SUM(B78:F78)-C78))*I76)+((SUM(B78:F78)-C78)*I76)*80%),((SUM(B78:F78)-C78)*I76)*80%),2)</f>
        <v>0</v>
      </c>
      <c r="J78" s="831">
        <f>ROUND(SUM(B78:F78)*J76,2)</f>
        <v>0</v>
      </c>
      <c r="K78" s="831">
        <f>ROUND(SUM(B78:F78)*K76,2)</f>
        <v>0</v>
      </c>
      <c r="L78" s="831">
        <f>ROUND(SUM(B78:F78)*L76,2)</f>
        <v>0</v>
      </c>
      <c r="M78" s="831">
        <f>ROUND((SUM(B78:F78)-C78)*M76,2)</f>
        <v>0</v>
      </c>
      <c r="N78" s="21">
        <f>ROUND((B78+E78+F78)*N76,2)</f>
        <v>0</v>
      </c>
      <c r="O78" s="21">
        <f>ROUND(SUM(B78+C78+F78)*O76,2)</f>
        <v>0</v>
      </c>
      <c r="P78" s="25">
        <f t="shared" ref="P78" si="14">SUM(G78:O78)</f>
        <v>0</v>
      </c>
      <c r="Q78" s="456"/>
      <c r="R78" s="140">
        <f>ROUND(IF(M55="",R71,R71/M55*P55),2)</f>
        <v>5175</v>
      </c>
      <c r="S78" s="140">
        <f>ROUND(IF(M55="",R72,R72/M55*P55),2)</f>
        <v>7450</v>
      </c>
      <c r="T78" s="1"/>
    </row>
    <row r="79" spans="1:20" x14ac:dyDescent="0.2">
      <c r="A79" s="76" t="str">
        <f>'päd.Personal - Leitung'!$A$31</f>
        <v>Mrz 2025</v>
      </c>
      <c r="B79" s="22">
        <f>ROUND(IF(P56=0,0,IFERROR((((LOOKUP(2,1/(A62:A65=A79),G62:G65))*P56*4.348)*50%),B78/P55*P56)),2)</f>
        <v>0</v>
      </c>
      <c r="C79" s="21">
        <f>ROUND(IFERROR((LOOKUP(2,1/(A68=A79),E68)),0)+IFERROR((LOOKUP(2,1/(A69=A79),E69)),0),2)</f>
        <v>0</v>
      </c>
      <c r="D79" s="21">
        <f>ROUND(IF(B79=0,0,D76/M55*P56*50%),2)</f>
        <v>0</v>
      </c>
      <c r="E79" s="21">
        <f>ROUND(IF(B79=0,0,E76/N51*P56*50%),2)</f>
        <v>0</v>
      </c>
      <c r="F79" s="22">
        <f>ROUND(IF(P56=0,0,IFERROR((((LOOKUP(2,1/(A62:A65=A79),I62:I65))/N51*P56)*50%),F78/P55*P56)),2)</f>
        <v>0</v>
      </c>
      <c r="G79" s="25">
        <f t="shared" si="13"/>
        <v>0</v>
      </c>
      <c r="H79" s="831">
        <f>ROUND(SUM(B79:F79)*H76,2)</f>
        <v>0</v>
      </c>
      <c r="I79" s="64">
        <f>ROUND(IF((SUM(B78:F79)*80%)&gt;((SUM(S74:S79))*90%),((((SUM(S74:S79))*90%)-((SUM(B78:F79)-C79))*I76)+((SUM(B79:F79)-C79)*I76)*80%),((SUM(B79:F79)-C79)*I76)*80%),2)</f>
        <v>0</v>
      </c>
      <c r="J79" s="831">
        <f>ROUND(SUM(B79:F79)*J76,2)</f>
        <v>0</v>
      </c>
      <c r="K79" s="831">
        <f>ROUND(SUM(B79:F79)*K76,2)</f>
        <v>0</v>
      </c>
      <c r="L79" s="831">
        <f>ROUND(SUM(B79:F79)*L76,2)</f>
        <v>0</v>
      </c>
      <c r="M79" s="831">
        <f>ROUND((SUM(B79:F79)-C79)*M76,2)</f>
        <v>0</v>
      </c>
      <c r="N79" s="21">
        <f>ROUND((B79+E79+F79)*N76,2)</f>
        <v>0</v>
      </c>
      <c r="O79" s="21">
        <f>ROUND(SUM(B79+C79+F79)*O76,2)</f>
        <v>0</v>
      </c>
      <c r="P79" s="25">
        <f t="shared" ref="P79:P88" si="15">SUM(G79:O79)</f>
        <v>0</v>
      </c>
      <c r="Q79" s="456"/>
      <c r="R79" s="140">
        <f>ROUND(IF(M55="",R71,R71/M55*P56),2)</f>
        <v>5175</v>
      </c>
      <c r="S79" s="140">
        <f>ROUND(IF(M55="",R72,R72/M55*P56),2)</f>
        <v>7450</v>
      </c>
      <c r="T79" s="1"/>
    </row>
    <row r="80" spans="1:20" x14ac:dyDescent="0.2">
      <c r="A80" s="76" t="str">
        <f>'päd.Personal - Leitung'!$A$32</f>
        <v>Apr 2025</v>
      </c>
      <c r="B80" s="22">
        <f>ROUND(IF(P57=0,0,IFERROR((((LOOKUP(2,1/(A62:A65=A80),G62:G65))*P57*4.348)*50%),B79/P56*P57)),2)</f>
        <v>0</v>
      </c>
      <c r="C80" s="21">
        <f>ROUND(IFERROR((LOOKUP(2,1/(A68=A80),E68)),0)+IFERROR((LOOKUP(2,1/(A69=A80),E69)),0),2)</f>
        <v>0</v>
      </c>
      <c r="D80" s="21">
        <f>ROUND(IF(B80=0,0,D76/M55*P57*50%),2)</f>
        <v>0</v>
      </c>
      <c r="E80" s="21">
        <f>ROUND(IF(B80=0,0,E76/N51*P57*50%),2)</f>
        <v>0</v>
      </c>
      <c r="F80" s="22">
        <f>ROUND(IF(P57=0,0,IFERROR((((LOOKUP(2,1/(A62:A65=A80),I62:I65))/N51*P57)*50%),F79/P56*P57)),2)</f>
        <v>0</v>
      </c>
      <c r="G80" s="25">
        <f t="shared" si="13"/>
        <v>0</v>
      </c>
      <c r="H80" s="831">
        <f>ROUND(SUM(B80:F80)*H76,2)</f>
        <v>0</v>
      </c>
      <c r="I80" s="64">
        <f>ROUND(IF((SUM(B78:F80)*80%)&gt;((SUM(S74:S80))*90%),((((SUM(S74:S80))*90%)-((SUM(B78:F80)-C80))*I76)+((SUM(B80:F80)-C80)*I76)*80%),((SUM(B80:F80)-C80)*I76)*80%),2)</f>
        <v>0</v>
      </c>
      <c r="J80" s="831">
        <f>ROUND(SUM(B80:F80)*J76,2)</f>
        <v>0</v>
      </c>
      <c r="K80" s="831">
        <f>ROUND(SUM(B80:F80)*K76,2)</f>
        <v>0</v>
      </c>
      <c r="L80" s="831">
        <f>ROUND(SUM(B80:F80)*L76,2)</f>
        <v>0</v>
      </c>
      <c r="M80" s="831">
        <f>ROUND((SUM(B80:F80)-C80)*M76,2)</f>
        <v>0</v>
      </c>
      <c r="N80" s="21">
        <f>ROUND((B80+E80+F80)*N76,2)</f>
        <v>0</v>
      </c>
      <c r="O80" s="21">
        <f>ROUND(SUM(B80+C80+F80)*O76,2)</f>
        <v>0</v>
      </c>
      <c r="P80" s="25">
        <f t="shared" si="15"/>
        <v>0</v>
      </c>
      <c r="Q80" s="456"/>
      <c r="R80" s="140">
        <f>ROUND(IF(M55="",R71,R71/M55*P57),2)</f>
        <v>5175</v>
      </c>
      <c r="S80" s="140">
        <f>ROUND(IF(M55="",R72,R72/M55*P57),2)</f>
        <v>7450</v>
      </c>
      <c r="T80" s="1"/>
    </row>
    <row r="81" spans="1:20" x14ac:dyDescent="0.2">
      <c r="A81" s="76" t="str">
        <f>'päd.Personal - Leitung'!$A$33</f>
        <v>Mai 2025</v>
      </c>
      <c r="B81" s="22">
        <f>ROUND(IF(P58=0,0,IFERROR((((LOOKUP(2,1/(A62:A65=A81),G62:G65))*P58*4.348)*50%),B80/P57*P58)),2)</f>
        <v>0</v>
      </c>
      <c r="C81" s="21">
        <f>ROUND(IFERROR((LOOKUP(2,1/(A68=A81),E68)),0)+IFERROR((LOOKUP(2,1/(A69=A81),E69)),0),2)</f>
        <v>0</v>
      </c>
      <c r="D81" s="21">
        <f>ROUND(IF(B81=0,0,D76/M55*P58*50%),2)</f>
        <v>0</v>
      </c>
      <c r="E81" s="21">
        <f>ROUND(IF(B81=0,0,E76/N51*P58*50%),2)</f>
        <v>0</v>
      </c>
      <c r="F81" s="22">
        <f>ROUND(IF(P58=0,0,IFERROR((((LOOKUP(2,1/(A62:A65=A81),I62:I65))/N51*P58)*50%),F80/P57*P58)),2)</f>
        <v>0</v>
      </c>
      <c r="G81" s="25">
        <f t="shared" si="13"/>
        <v>0</v>
      </c>
      <c r="H81" s="831">
        <f>ROUND(SUM(B81:F81)*H76,2)</f>
        <v>0</v>
      </c>
      <c r="I81" s="64">
        <f>ROUND(IF((SUM(B78:F81)*80%)&gt;((SUM(S74:S81))*90%),((((SUM(S74:S81))*90%)-((SUM(B78:F81)-C81))*I76)+((SUM(B81:F81)-C81)*I76)*80%),((SUM(B81:F81)-C81)*I76)*80%),2)</f>
        <v>0</v>
      </c>
      <c r="J81" s="831">
        <f>ROUND(SUM(B81:F81)*J76,2)</f>
        <v>0</v>
      </c>
      <c r="K81" s="831">
        <f>ROUND(SUM(B81:F81)*K76,2)</f>
        <v>0</v>
      </c>
      <c r="L81" s="831">
        <f>ROUND(SUM(B81:F81)*L76,2)</f>
        <v>0</v>
      </c>
      <c r="M81" s="831">
        <f>ROUND((SUM(B81:F81)-C81)*M76,2)</f>
        <v>0</v>
      </c>
      <c r="N81" s="21">
        <f>ROUND((B81+E81+F81)*N76,2)</f>
        <v>0</v>
      </c>
      <c r="O81" s="21">
        <f>ROUND(SUM(B81+C81+F81)*O76,2)</f>
        <v>0</v>
      </c>
      <c r="P81" s="25">
        <f t="shared" si="15"/>
        <v>0</v>
      </c>
      <c r="Q81" s="456"/>
      <c r="R81" s="140">
        <f>ROUND(IF(M55="",R71,R71/M55*P58),2)</f>
        <v>5175</v>
      </c>
      <c r="S81" s="140">
        <f>ROUND(IF(M55="",R72,R72/M55*P58),2)</f>
        <v>7450</v>
      </c>
      <c r="T81" s="1"/>
    </row>
    <row r="82" spans="1:20" x14ac:dyDescent="0.2">
      <c r="A82" s="76" t="str">
        <f>'päd.Personal - Leitung'!$A$34</f>
        <v>Jun 2025</v>
      </c>
      <c r="B82" s="22">
        <f>ROUND(IF(P59=0,0,IFERROR((((LOOKUP(2,1/(A62:A65=A82),G62:G65))*P59*4.348)*50%),B81/P58*P59)),2)</f>
        <v>0</v>
      </c>
      <c r="C82" s="21">
        <f>ROUND(IFERROR((LOOKUP(2,1/(A68=A82),E68)),0)+IFERROR((LOOKUP(2,1/(A69=A82),E69)),0),2)</f>
        <v>0</v>
      </c>
      <c r="D82" s="21">
        <f>ROUND(IF(B82=0,0,D76/M55*P59*50%),2)</f>
        <v>0</v>
      </c>
      <c r="E82" s="21">
        <f>ROUND(IF(B82=0,0,E76/N51*P59*50%),2)</f>
        <v>0</v>
      </c>
      <c r="F82" s="22">
        <f>ROUND(IF(P59=0,0,IFERROR((((LOOKUP(2,1/(A62:A65=A82),I62:I65))/N51*P59)*50%),F81/P58*P59)),2)</f>
        <v>0</v>
      </c>
      <c r="G82" s="25">
        <f t="shared" si="13"/>
        <v>0</v>
      </c>
      <c r="H82" s="831">
        <f>ROUND(SUM(B82:F82)*H76,2)</f>
        <v>0</v>
      </c>
      <c r="I82" s="64">
        <f>ROUND(IF((SUM(B78:F82)*80%)&gt;((SUM(S74:S82))*90%),((((SUM(S74:S82))*90%)-((SUM(B78:F82)-C82))*I76)+((SUM(B82:F82)-C82)*I76)*80%),((SUM(B82:F82)-C82)*I76)*80%),2)</f>
        <v>0</v>
      </c>
      <c r="J82" s="831">
        <f>ROUND(SUM(B82:F82)*J76,2)</f>
        <v>0</v>
      </c>
      <c r="K82" s="831">
        <f>ROUND(SUM(B82:F82)*K76,2)</f>
        <v>0</v>
      </c>
      <c r="L82" s="831">
        <f>ROUND(SUM(B82:F82)*L76,2)</f>
        <v>0</v>
      </c>
      <c r="M82" s="831">
        <f>ROUND((SUM(B82:F82)-C82)*M76,2)</f>
        <v>0</v>
      </c>
      <c r="N82" s="21">
        <f>ROUND((B82+E82+F82)*N76,2)</f>
        <v>0</v>
      </c>
      <c r="O82" s="21">
        <f>ROUND(SUM(B82+C82+F82)*O76,2)</f>
        <v>0</v>
      </c>
      <c r="P82" s="25">
        <f t="shared" si="15"/>
        <v>0</v>
      </c>
      <c r="Q82" s="456"/>
      <c r="R82" s="140">
        <f>ROUND(IF(M55="",R71,R71/M55*P59),2)</f>
        <v>5175</v>
      </c>
      <c r="S82" s="140">
        <f>ROUND(IF(M55="",R72,R72/M55*P59),2)</f>
        <v>7450</v>
      </c>
      <c r="T82" s="1"/>
    </row>
    <row r="83" spans="1:20" x14ac:dyDescent="0.2">
      <c r="A83" s="76" t="str">
        <f>'päd.Personal - Leitung'!$A$35</f>
        <v>Jul 2025</v>
      </c>
      <c r="B83" s="22">
        <f>ROUND(IF(P60=0,0,IFERROR((((LOOKUP(2,1/(A62:A65=A83),G62:G65))*P60*4.348)*50%),B82/P59*P60)),2)</f>
        <v>0</v>
      </c>
      <c r="C83" s="21">
        <f>ROUND(IFERROR((LOOKUP(2,1/(A68=A83),E68)),0)+IFERROR((LOOKUP(2,1/(A69=A83),E69)),0),2)</f>
        <v>0</v>
      </c>
      <c r="D83" s="21">
        <f>ROUND(IF(B83=0,0,D76/M55*P60*50%),2)</f>
        <v>0</v>
      </c>
      <c r="E83" s="21">
        <f>ROUND(IF(B83=0,0,E76/N51*P60*50%),2)</f>
        <v>0</v>
      </c>
      <c r="F83" s="22">
        <f>ROUND(IF(P60=0,0,IFERROR((((LOOKUP(2,1/(A62:A65=A83),I62:I65))/N51*P60)*50%),F82/P59*P60)),2)</f>
        <v>0</v>
      </c>
      <c r="G83" s="25">
        <f t="shared" si="13"/>
        <v>0</v>
      </c>
      <c r="H83" s="831">
        <f>ROUND(SUM(B83:F83)*H76,2)</f>
        <v>0</v>
      </c>
      <c r="I83" s="64">
        <f>ROUND(IF((SUM(B78:F83)*80%)&gt;((SUM(S74:S83))*90%),((((SUM(S74:S83))*90%)-((SUM(B78:F83)-C83))*I76)+((SUM(B83:F83)-C83)*I76)*80%),((SUM(B83:F83)-C83)*I76)*80%),2)</f>
        <v>0</v>
      </c>
      <c r="J83" s="831">
        <f>ROUND(SUM(B83:F83)*J76,2)</f>
        <v>0</v>
      </c>
      <c r="K83" s="831">
        <f>ROUND(SUM(B83:F83)*K76,2)</f>
        <v>0</v>
      </c>
      <c r="L83" s="831">
        <f>ROUND(SUM(B83:F83)*L76,2)</f>
        <v>0</v>
      </c>
      <c r="M83" s="831">
        <f>ROUND((SUM(B83:F83)-C83)*M76,2)</f>
        <v>0</v>
      </c>
      <c r="N83" s="21">
        <f>ROUND((B83+E83+F83)*N76,2)</f>
        <v>0</v>
      </c>
      <c r="O83" s="21">
        <f>ROUND(SUM(B83+C83+F83)*O76,2)</f>
        <v>0</v>
      </c>
      <c r="P83" s="25">
        <f t="shared" si="15"/>
        <v>0</v>
      </c>
      <c r="Q83" s="456"/>
      <c r="R83" s="140">
        <f>ROUND(IF(M55="",R71,R71/M55*P60),2)</f>
        <v>5175</v>
      </c>
      <c r="S83" s="140">
        <f>ROUND(IF(M55="",R72,R72/M55*P60),2)</f>
        <v>7450</v>
      </c>
      <c r="T83" s="1"/>
    </row>
    <row r="84" spans="1:20" x14ac:dyDescent="0.2">
      <c r="A84" s="76" t="str">
        <f>'päd.Personal - Leitung'!$A$36</f>
        <v>Aug 2025</v>
      </c>
      <c r="B84" s="22">
        <f>ROUND(IF(P61=0,0,IFERROR((((LOOKUP(2,1/(A62:A65=A84),G62:G65))*P61*4.348)*50%),B83/P60*P61)),2)</f>
        <v>0</v>
      </c>
      <c r="C84" s="21">
        <f>ROUND(IFERROR((LOOKUP(2,1/(A68=A84),E68)),0)+IFERROR((LOOKUP(2,1/(A69=A84),E69)),0),2)</f>
        <v>0</v>
      </c>
      <c r="D84" s="21">
        <f>ROUND(IF(B84=0,0,D76/M55*P61*50%),2)</f>
        <v>0</v>
      </c>
      <c r="E84" s="21">
        <f>ROUND(IF(B84=0,0,E76/N51*P61*50%),2)</f>
        <v>0</v>
      </c>
      <c r="F84" s="22">
        <f>ROUND(IF(P61=0,0,IFERROR((((LOOKUP(2,1/(A62:A65=A84),I62:I65))/N51*P61)*50%),F83/P60*P61)),2)</f>
        <v>0</v>
      </c>
      <c r="G84" s="25">
        <f t="shared" si="13"/>
        <v>0</v>
      </c>
      <c r="H84" s="831">
        <f>ROUND(SUM(B84:F84)*H76,2)</f>
        <v>0</v>
      </c>
      <c r="I84" s="64">
        <f>ROUND(IF((SUM(B78:F84)*80%)&gt;((SUM(S74:S84))*90%),((((SUM(S74:S84))*90%)-((SUM(B78:F84)-C84))*I76)+((SUM(B84:F84)-C84)*I76)*80%),((SUM(B84:F84)-C84)*I76)*80%),2)</f>
        <v>0</v>
      </c>
      <c r="J84" s="831">
        <f>ROUND(SUM(B84:F84)*J76,2)</f>
        <v>0</v>
      </c>
      <c r="K84" s="831">
        <f>ROUND(SUM(B84:F84)*K76,2)</f>
        <v>0</v>
      </c>
      <c r="L84" s="831">
        <f>ROUND(SUM(B84:F84)*L76,2)</f>
        <v>0</v>
      </c>
      <c r="M84" s="831">
        <f>ROUND((SUM(B84:F84)-C84)*M76,2)</f>
        <v>0</v>
      </c>
      <c r="N84" s="21">
        <f>ROUND((B84+E84+F84)*N76,2)</f>
        <v>0</v>
      </c>
      <c r="O84" s="21">
        <f>ROUND(SUM(B84+C84+F84)*O76,2)</f>
        <v>0</v>
      </c>
      <c r="P84" s="25">
        <f t="shared" si="15"/>
        <v>0</v>
      </c>
      <c r="Q84" s="456"/>
      <c r="R84" s="140">
        <f>ROUND(IF(M55="",R71,R71/M55*P61),2)</f>
        <v>5175</v>
      </c>
      <c r="S84" s="140">
        <f>ROUND(IF(M55="",R72,R72/M55*P61),2)</f>
        <v>7450</v>
      </c>
      <c r="T84" s="1"/>
    </row>
    <row r="85" spans="1:20" x14ac:dyDescent="0.2">
      <c r="A85" s="76" t="str">
        <f>'päd.Personal - Leitung'!$A$37</f>
        <v>Sep 2025</v>
      </c>
      <c r="B85" s="22">
        <f>ROUND(IF(P62=0,0,IFERROR((((LOOKUP(2,1/(A62:A65=A85),G62:G65))*P62*4.348)*50%),B84/P61*P62)),2)</f>
        <v>0</v>
      </c>
      <c r="C85" s="21">
        <f>ROUND(IFERROR((LOOKUP(2,1/(A68=A85),E68)),0)+IFERROR((LOOKUP(2,1/(A69=A85),E69)),0),2)</f>
        <v>0</v>
      </c>
      <c r="D85" s="21">
        <f>ROUND(IF(B85=0,0,D76/M55*P62*50%),2)</f>
        <v>0</v>
      </c>
      <c r="E85" s="21">
        <f>ROUND(IF(B85=0,0,E76/N51*P62*50%),2)</f>
        <v>0</v>
      </c>
      <c r="F85" s="22">
        <f>ROUND(IF(P62=0,0,IFERROR((((LOOKUP(2,1/(A62:A65=A85),I62:I65))/N51*P62)*50%),F84/P61*P62)),2)</f>
        <v>0</v>
      </c>
      <c r="G85" s="25">
        <f t="shared" si="13"/>
        <v>0</v>
      </c>
      <c r="H85" s="831">
        <f>ROUND(SUM(B85:F85)*H76,2)</f>
        <v>0</v>
      </c>
      <c r="I85" s="64">
        <f>ROUND(IF((SUM(B78:F85)*80%)&gt;((SUM(S74:S85))*90%),((((SUM(S74:S85))*90%)-((SUM(B78:F85)-C85))*I76)+((SUM(B85:F85)-C85)*I76)*80%),((SUM(B85:F85)-C85)*I76)*80%),2)</f>
        <v>0</v>
      </c>
      <c r="J85" s="831">
        <f>ROUND(SUM(B85:F85)*J76,2)</f>
        <v>0</v>
      </c>
      <c r="K85" s="831">
        <f>ROUND(SUM(B85:F85)*K76,2)</f>
        <v>0</v>
      </c>
      <c r="L85" s="831">
        <f>ROUND(SUM(B85:F85)*L76,2)</f>
        <v>0</v>
      </c>
      <c r="M85" s="831">
        <f>ROUND((SUM(B85:F85)-C85)*M76,2)</f>
        <v>0</v>
      </c>
      <c r="N85" s="21">
        <f>ROUND((B85+E85+F85)*N76,2)</f>
        <v>0</v>
      </c>
      <c r="O85" s="21">
        <f>ROUND(SUM(B85+C85+F85)*O76,2)</f>
        <v>0</v>
      </c>
      <c r="P85" s="25">
        <f t="shared" si="15"/>
        <v>0</v>
      </c>
      <c r="Q85" s="456"/>
      <c r="R85" s="140">
        <f>ROUND(IF(M55="",R71,R71/M55*P62),2)</f>
        <v>5175</v>
      </c>
      <c r="S85" s="140">
        <f>ROUND(IF(M55="",R72,R72/M55*P62),2)</f>
        <v>7450</v>
      </c>
      <c r="T85" s="1"/>
    </row>
    <row r="86" spans="1:20" ht="15" x14ac:dyDescent="0.25">
      <c r="A86" s="76" t="str">
        <f>'päd.Personal - Leitung'!$A$38</f>
        <v>Okt 2025</v>
      </c>
      <c r="B86" s="22">
        <f>ROUND(IF(P63=0,0,IFERROR((((LOOKUP(2,1/(A62:A65=A86),G62:G65))*P63*4.348)*50%),B85/P62*P63)),2)</f>
        <v>0</v>
      </c>
      <c r="C86" s="21">
        <f>ROUND(IFERROR((LOOKUP(2,1/(A68=A86),E68)),0)+IFERROR((LOOKUP(2,1/(A69=A86),E69)),0),2)</f>
        <v>0</v>
      </c>
      <c r="D86" s="21">
        <f>ROUND(IF(B86=0,0,D76/M55*P63*50%),2)</f>
        <v>0</v>
      </c>
      <c r="E86" s="21">
        <f>ROUND(IF(B86=0,0,E76/N51*P63*50%),2)</f>
        <v>0</v>
      </c>
      <c r="F86" s="22">
        <f>ROUND(IF(P63=0,0,IFERROR((((LOOKUP(2,1/(A62:A65=A86),I62:I65))/N51*P63)*50%),F85/P62*P63)),2)</f>
        <v>0</v>
      </c>
      <c r="G86" s="25">
        <f t="shared" si="13"/>
        <v>0</v>
      </c>
      <c r="H86" s="831">
        <f>ROUND(SUM(B86:F86)*H76,2)</f>
        <v>0</v>
      </c>
      <c r="I86" s="64">
        <f>ROUND(IF((SUM(B78:F86)*80%)&gt;((SUM(S74:S86))*90%),((((SUM(S74:S86))*90%)-((SUM(B78:F86)-C86))*I76)+((SUM(B86:F86)-C86)*I76)*80%),((SUM(B86:F86)-C86)*I76)*80%),2)</f>
        <v>0</v>
      </c>
      <c r="J86" s="831">
        <f>ROUND(SUM(B86:F86)*J76,2)</f>
        <v>0</v>
      </c>
      <c r="K86" s="831">
        <f>ROUND(SUM(B86:F86)*K76,2)</f>
        <v>0</v>
      </c>
      <c r="L86" s="831">
        <f>ROUND(SUM(B86:F86)*L76,2)</f>
        <v>0</v>
      </c>
      <c r="M86" s="831">
        <f>ROUND((SUM(B86:F86)-C86)*M76,2)</f>
        <v>0</v>
      </c>
      <c r="N86" s="21">
        <f>ROUND((B86+E86+F86)*N76,2)</f>
        <v>0</v>
      </c>
      <c r="O86" s="21">
        <f>ROUND(SUM(B86+C86+F86)*O76,2)</f>
        <v>0</v>
      </c>
      <c r="P86" s="25">
        <f t="shared" si="15"/>
        <v>0</v>
      </c>
      <c r="Q86" s="936"/>
      <c r="R86" s="140">
        <f>ROUND(IF(M55="",R71,R71/M55*P63),2)</f>
        <v>5175</v>
      </c>
      <c r="S86" s="140">
        <f>ROUND(IF(M55="",R72,R72/M55*P63),2)</f>
        <v>7450</v>
      </c>
      <c r="T86" s="12"/>
    </row>
    <row r="87" spans="1:20" x14ac:dyDescent="0.2">
      <c r="A87" s="76" t="str">
        <f>'päd.Personal - Leitung'!$A$39</f>
        <v>Nov 2025</v>
      </c>
      <c r="B87" s="22">
        <f>ROUND(IF(P64=0,0,IFERROR((((LOOKUP(2,1/(A62:A65=A87),G62:G65))*P64*4.348)*50%),B86/P63*P64)),2)</f>
        <v>0</v>
      </c>
      <c r="C87" s="21">
        <f>ROUND(IFERROR((LOOKUP(2,1/(A68=A87),E68)),0)+(IFERROR((LOOKUP(2,1/(A69=A87),E69)),0)),2)</f>
        <v>0</v>
      </c>
      <c r="D87" s="21">
        <f>ROUND(IF(B87=0,0,D76/M55*P64*50%),2)</f>
        <v>0</v>
      </c>
      <c r="E87" s="21">
        <f>ROUND(IF(B87=0,0,E76/N51*P64*50%),2)</f>
        <v>0</v>
      </c>
      <c r="F87" s="22">
        <f>ROUND(IF(P64=0,0,IFERROR((((LOOKUP(2,1/(A62:A65=A87),I62:I65))/N51*P64)*50%),F86/P63*P64)),2)</f>
        <v>0</v>
      </c>
      <c r="G87" s="25">
        <f t="shared" si="13"/>
        <v>0</v>
      </c>
      <c r="H87" s="831">
        <f>ROUND(SUM(B87:F87)*H76,2)</f>
        <v>0</v>
      </c>
      <c r="I87" s="64">
        <f>ROUND(IF((SUM(B78:F87)*80%)&gt;((SUM(S74:S87))*90%),((((SUM(S74:S87))*90%)-((SUM(B78:F87)-C87))*I76)+((SUM(B87:F87)-C87)*I76)*80%),((SUM(B87:F87)-C87)*I76)*80%),2)</f>
        <v>0</v>
      </c>
      <c r="J87" s="831">
        <f>ROUND(SUM(B87:F87)*J76,2)</f>
        <v>0</v>
      </c>
      <c r="K87" s="831">
        <f>ROUND(SUM(B87:F87)*K76,2)</f>
        <v>0</v>
      </c>
      <c r="L87" s="831">
        <f>ROUND(SUM(B87:F87)*L76,2)</f>
        <v>0</v>
      </c>
      <c r="M87" s="831">
        <f>ROUND((SUM(B87:F87)-C87)*M76,2)</f>
        <v>0</v>
      </c>
      <c r="N87" s="21">
        <f>ROUND((B87+E87+F87)*N76,2)</f>
        <v>0</v>
      </c>
      <c r="O87" s="21">
        <f>ROUND(SUM(B87+C87+F87)*O76,2)</f>
        <v>0</v>
      </c>
      <c r="P87" s="25">
        <f t="shared" si="15"/>
        <v>0</v>
      </c>
      <c r="Q87" s="11"/>
      <c r="R87" s="140">
        <f>ROUND(IF(M55="",R71,R71/M55*P64),2)</f>
        <v>5175</v>
      </c>
      <c r="S87" s="140">
        <f>ROUND(IF(M55="",R72,R72/M55*P64),2)</f>
        <v>7450</v>
      </c>
      <c r="T87" s="11"/>
    </row>
    <row r="88" spans="1:20" x14ac:dyDescent="0.2">
      <c r="A88" s="76" t="str">
        <f>'päd.Personal - Leitung'!$A$40</f>
        <v>Dez 2025</v>
      </c>
      <c r="B88" s="22">
        <f>ROUND(IF(P65=0,0,IFERROR((((LOOKUP(2,1/(A62:A65=A88),G62:G65))*P65*4.348)*50%),B87/P64*P65)),2)</f>
        <v>0</v>
      </c>
      <c r="C88" s="21">
        <f>ROUND(IFERROR((LOOKUP(2,1/(A68=A88),E68)),0)+IFERROR((LOOKUP(2,1/(A69=A88),E69)),0),2)</f>
        <v>0</v>
      </c>
      <c r="D88" s="21">
        <f>ROUND(IF(B88=0,0,D76/M55*P65*50%),2)</f>
        <v>0</v>
      </c>
      <c r="E88" s="21">
        <f>ROUND(IF(B88=0,0,E76/N51*P65*50%),2)</f>
        <v>0</v>
      </c>
      <c r="F88" s="22">
        <f>ROUND(IF(P65=0,0,IFERROR((((LOOKUP(2,1/(A62:A65=A88),I62:I65))/N51*P65)*50%),F87/P64*P65)),2)</f>
        <v>0</v>
      </c>
      <c r="G88" s="25">
        <f t="shared" si="13"/>
        <v>0</v>
      </c>
      <c r="H88" s="831">
        <f>ROUND(SUM(B88:F88)*H76,2)</f>
        <v>0</v>
      </c>
      <c r="I88" s="64">
        <f>ROUND(IF((SUM(B78:F88)*80%)&gt;((SUM(S74:S88))*90%),((((SUM(S74:S88))*90%)-((SUM(B78:F88)-C88))*I76)+((SUM(B88:F88)-C88)*I76)*80%),((SUM(B88:F88)-C88)*I76)*80%),2)</f>
        <v>0</v>
      </c>
      <c r="J88" s="831">
        <f>ROUND(SUM(B88:F88)*J76,2)</f>
        <v>0</v>
      </c>
      <c r="K88" s="831">
        <f>ROUND(SUM(B88:F88)*K76,2)</f>
        <v>0</v>
      </c>
      <c r="L88" s="831">
        <f>ROUND(SUM(B88:F88)*L76,2)</f>
        <v>0</v>
      </c>
      <c r="M88" s="831">
        <f>ROUND((SUM(B88:F88)-C88)*M76,2)</f>
        <v>0</v>
      </c>
      <c r="N88" s="21">
        <f>ROUND((B88+E88+F88)*N76,2)</f>
        <v>0</v>
      </c>
      <c r="O88" s="21">
        <f>ROUND(SUM(B88+C88+F88)*O76,2)</f>
        <v>0</v>
      </c>
      <c r="P88" s="25">
        <f t="shared" si="15"/>
        <v>0</v>
      </c>
      <c r="Q88" s="11"/>
      <c r="R88" s="140">
        <f>ROUND(IF(M55="",R71,R71/M55*P65),2)</f>
        <v>5175</v>
      </c>
      <c r="S88" s="140">
        <f>ROUND(IF(M55="",R72,R72/M55*P65),2)</f>
        <v>7450</v>
      </c>
      <c r="T88" s="1"/>
    </row>
    <row r="89" spans="1:20" x14ac:dyDescent="0.2">
      <c r="A89" s="2" t="s">
        <v>1</v>
      </c>
      <c r="B89" s="25">
        <f t="shared" ref="B89:G89" si="16">SUM(B77:B88)</f>
        <v>0</v>
      </c>
      <c r="C89" s="25">
        <f t="shared" si="16"/>
        <v>0</v>
      </c>
      <c r="D89" s="25">
        <f t="shared" si="16"/>
        <v>0</v>
      </c>
      <c r="E89" s="25">
        <f t="shared" si="16"/>
        <v>0</v>
      </c>
      <c r="F89" s="25">
        <f t="shared" si="16"/>
        <v>0</v>
      </c>
      <c r="G89" s="25">
        <f t="shared" si="16"/>
        <v>0</v>
      </c>
      <c r="H89" s="1309">
        <f>SUM(H77:M88)</f>
        <v>0</v>
      </c>
      <c r="I89" s="1310"/>
      <c r="J89" s="1310"/>
      <c r="K89" s="1310"/>
      <c r="L89" s="1310"/>
      <c r="M89" s="1310"/>
      <c r="N89" s="25">
        <f>SUM(N77:N88)</f>
        <v>0</v>
      </c>
      <c r="O89" s="25">
        <f>SUM(O77:O88)</f>
        <v>0</v>
      </c>
      <c r="P89" s="25">
        <f>SUM(P77:P88)</f>
        <v>0</v>
      </c>
      <c r="Q89" s="1"/>
      <c r="R89" s="1"/>
      <c r="S89" s="1"/>
      <c r="T89" s="1"/>
    </row>
    <row r="90" spans="1:20" x14ac:dyDescent="0.2">
      <c r="Q90" s="1021"/>
      <c r="R90" s="1021"/>
      <c r="S90" s="1021"/>
    </row>
    <row r="91" spans="1:20" s="1" customFormat="1" ht="14.25" customHeight="1" x14ac:dyDescent="0.2">
      <c r="B91" s="906"/>
      <c r="H91" s="905"/>
      <c r="I91" s="62"/>
      <c r="J91" s="914" t="s">
        <v>123</v>
      </c>
      <c r="L91" s="900" t="s">
        <v>124</v>
      </c>
      <c r="M91" s="974" t="str">
        <f>IF(IF(G89=0,"",$M$43)=0,"",IF(G89=0,"",$M$43))</f>
        <v/>
      </c>
      <c r="N91" s="902" t="s">
        <v>125</v>
      </c>
      <c r="O91" s="963" t="str">
        <f>IF(IF(G89=0,"",$O$43)=0,"",IF(G89=0,"",$O$43))</f>
        <v/>
      </c>
      <c r="P91" s="25">
        <f>ROUND(IF(M91="",0,G89*M91*O91/1000),2)</f>
        <v>0</v>
      </c>
      <c r="Q91" s="1015"/>
      <c r="R91" s="1022"/>
      <c r="S91" s="1016"/>
    </row>
    <row r="92" spans="1:20" s="1" customFormat="1" ht="14.25" customHeight="1" x14ac:dyDescent="0.2">
      <c r="H92" s="907"/>
      <c r="I92" s="42"/>
      <c r="M92" s="915" t="s">
        <v>129</v>
      </c>
      <c r="N92" s="80" t="s">
        <v>125</v>
      </c>
      <c r="O92" s="75" t="str">
        <f>IF(IF(G89=0,"",$O$44)=0,"",IF(G89=0,"",$O$44))</f>
        <v/>
      </c>
      <c r="P92" s="25">
        <f>ROUND(IF(O92="",0,G89*O92/1000),2)</f>
        <v>0</v>
      </c>
      <c r="Q92" s="1023"/>
      <c r="R92" s="65"/>
      <c r="S92" s="1017"/>
    </row>
    <row r="93" spans="1:20" s="1" customFormat="1" ht="14.25" customHeight="1" x14ac:dyDescent="0.2">
      <c r="H93" s="996" t="s">
        <v>126</v>
      </c>
      <c r="I93" s="1013" t="s">
        <v>127</v>
      </c>
      <c r="J93" s="975" t="str">
        <f>IF(IF(G89=0,"",$J$45)=0,"",IF(G89=0,"",$J$45))</f>
        <v/>
      </c>
      <c r="K93" s="902" t="s">
        <v>128</v>
      </c>
      <c r="L93" s="964" t="str">
        <f>IF(IF(G89=0,"",$L$45)=0,"",IF(G89=0,"",$L$45))</f>
        <v/>
      </c>
      <c r="M93" s="16"/>
      <c r="N93" s="900" t="s">
        <v>132</v>
      </c>
      <c r="O93" s="965" t="str">
        <f>IF(IF(G89=0,"",$O$45)=0,"",IF(G89=0,"",$O$45))</f>
        <v/>
      </c>
      <c r="P93" s="25">
        <f>ROUND(IF(J93="",0,(J93*L93/O93)/M57*M58),2)</f>
        <v>0</v>
      </c>
      <c r="Q93" s="1023"/>
      <c r="R93" s="66"/>
      <c r="S93" s="1016"/>
    </row>
    <row r="94" spans="1:20" s="1" customFormat="1" ht="14.25" customHeight="1" x14ac:dyDescent="0.2">
      <c r="D94" s="16"/>
      <c r="I94" s="16"/>
      <c r="J94" s="16"/>
      <c r="K94" s="63"/>
      <c r="L94" s="67"/>
      <c r="M94" s="915" t="s">
        <v>130</v>
      </c>
      <c r="N94" s="80" t="s">
        <v>131</v>
      </c>
      <c r="O94" s="904">
        <f>IF(IF(G89=0,0,$O$46)=0,0,IF(G89=0,0,$O$46))</f>
        <v>0</v>
      </c>
      <c r="P94" s="21">
        <f>ROUND(IF(G89=0,0,O94/M55*M56),2)</f>
        <v>0</v>
      </c>
      <c r="Q94" s="1023"/>
      <c r="R94" s="1018"/>
      <c r="S94" s="1024"/>
    </row>
    <row r="95" spans="1:20" s="1" customFormat="1" ht="14.25" customHeight="1" x14ac:dyDescent="0.2">
      <c r="A95" s="16"/>
      <c r="B95" s="16"/>
      <c r="I95" s="905"/>
      <c r="J95" s="961" t="s">
        <v>176</v>
      </c>
      <c r="K95" s="1312" t="str">
        <f>IF($K$47="","",$K$47)</f>
        <v/>
      </c>
      <c r="L95" s="1312"/>
      <c r="M95" s="1312"/>
      <c r="N95" s="80" t="s">
        <v>131</v>
      </c>
      <c r="O95" s="904">
        <f>IF(IF(G89=0,0,$O$47)=0,0,IF(G89=0,0,$O$47))</f>
        <v>0</v>
      </c>
      <c r="P95" s="21">
        <f>ROUND(IF(G89=0,0,O95/M55*M56),2)</f>
        <v>0</v>
      </c>
      <c r="Q95" s="1023"/>
      <c r="R95" s="1019"/>
      <c r="S95" s="1020"/>
    </row>
    <row r="96" spans="1:20" s="1" customFormat="1" ht="14.25" customHeight="1" x14ac:dyDescent="0.2">
      <c r="A96" s="908"/>
      <c r="B96" s="908"/>
      <c r="C96" s="1001"/>
      <c r="D96" s="1001"/>
      <c r="I96" s="913"/>
      <c r="J96" s="913"/>
      <c r="K96" s="916"/>
      <c r="L96" s="27"/>
      <c r="M96" s="27"/>
      <c r="N96" s="27"/>
      <c r="O96" s="26" t="s">
        <v>0</v>
      </c>
      <c r="P96" s="25">
        <f>P89+SUM(P91:P95)</f>
        <v>0</v>
      </c>
    </row>
    <row r="97" spans="1:19" s="10" customFormat="1" ht="13.5" customHeight="1" x14ac:dyDescent="0.2">
      <c r="A97" s="1321" t="s">
        <v>17</v>
      </c>
      <c r="B97" s="1321"/>
      <c r="C97" s="1321"/>
      <c r="D97" s="1320" t="str">
        <f>IF('päd.Personal - Leitung'!$D$1="","",'päd.Personal - Leitung'!$D$1)</f>
        <v/>
      </c>
      <c r="E97" s="1320"/>
      <c r="F97" s="1320"/>
      <c r="G97" s="1320"/>
      <c r="H97" s="1320"/>
      <c r="I97" s="1320"/>
      <c r="J97" s="1320"/>
      <c r="K97" s="1320"/>
      <c r="L97" s="1320"/>
      <c r="M97" s="1320"/>
      <c r="N97" s="1320"/>
    </row>
    <row r="98" spans="1:19" s="10" customFormat="1" ht="15" customHeight="1" x14ac:dyDescent="0.2">
      <c r="A98" s="1321" t="s">
        <v>16</v>
      </c>
      <c r="B98" s="1321"/>
      <c r="C98" s="1321" t="s">
        <v>14</v>
      </c>
      <c r="D98" s="1320" t="str">
        <f>IF('päd.Personal - Leitung'!$D$2="","",'päd.Personal - Leitung'!$D$2)</f>
        <v/>
      </c>
      <c r="E98" s="1320"/>
      <c r="F98" s="1320"/>
      <c r="G98" s="1320"/>
      <c r="H98" s="1320"/>
      <c r="I98" s="1320"/>
      <c r="J98" s="1320"/>
      <c r="K98" s="1320"/>
      <c r="L98" s="1320"/>
      <c r="M98" s="1320"/>
      <c r="N98" s="1320"/>
    </row>
    <row r="99" spans="1:19" s="10" customFormat="1" ht="15" customHeight="1" x14ac:dyDescent="0.2">
      <c r="A99" s="1321" t="s">
        <v>15</v>
      </c>
      <c r="B99" s="1321"/>
      <c r="C99" s="1321" t="s">
        <v>14</v>
      </c>
      <c r="D99" s="1320" t="str">
        <f>IF('päd.Personal - Leitung'!$D$3="","",'päd.Personal - Leitung'!$D$3)</f>
        <v/>
      </c>
      <c r="E99" s="1320"/>
      <c r="F99" s="1320"/>
      <c r="G99" s="1320"/>
      <c r="H99" s="1320"/>
      <c r="I99" s="1320"/>
      <c r="J99" s="1320"/>
      <c r="K99" s="1321" t="s">
        <v>100</v>
      </c>
      <c r="L99" s="1321"/>
      <c r="M99" s="1321"/>
      <c r="N99" s="38" t="str">
        <f>IF('päd.Personal - Leitung'!$N$3="","",'päd.Personal - Leitung'!$N$3)</f>
        <v/>
      </c>
    </row>
    <row r="100" spans="1:19" s="923" customFormat="1" ht="7.5" customHeight="1" x14ac:dyDescent="0.15">
      <c r="A100" s="1353"/>
      <c r="B100" s="1353"/>
      <c r="C100" s="1353"/>
      <c r="D100" s="1354"/>
      <c r="E100" s="1354"/>
      <c r="F100" s="1354"/>
      <c r="G100" s="1354"/>
      <c r="H100" s="1354"/>
      <c r="I100" s="1354"/>
      <c r="J100" s="1354"/>
      <c r="K100" s="922"/>
      <c r="L100" s="922"/>
      <c r="M100" s="922"/>
      <c r="N100" s="922"/>
      <c r="O100" s="922"/>
      <c r="P100" s="922"/>
    </row>
    <row r="101" spans="1:19" x14ac:dyDescent="0.2">
      <c r="A101" s="1355" t="s">
        <v>161</v>
      </c>
      <c r="B101" s="1355"/>
      <c r="C101" s="1355"/>
      <c r="D101" s="1355"/>
      <c r="E101" s="1355"/>
      <c r="F101" s="1355"/>
      <c r="G101" s="1355"/>
      <c r="H101" s="1355"/>
      <c r="I101" s="1355"/>
      <c r="J101" s="1355"/>
      <c r="K101" s="1355"/>
      <c r="L101" s="1355"/>
      <c r="M101" s="1355"/>
      <c r="N101" s="52"/>
      <c r="O101" s="138">
        <f>'päd.Personal - Leitung'!$O$5</f>
        <v>2025</v>
      </c>
      <c r="P101" s="52" t="s">
        <v>140</v>
      </c>
    </row>
    <row r="102" spans="1:19" s="8" customFormat="1" ht="13.5" customHeight="1" x14ac:dyDescent="0.25">
      <c r="B102" s="29"/>
      <c r="C102" s="29"/>
      <c r="D102" s="3" t="s">
        <v>163</v>
      </c>
      <c r="E102" s="28"/>
      <c r="F102" s="28"/>
      <c r="G102" s="28"/>
      <c r="H102" s="28"/>
      <c r="I102" s="24"/>
      <c r="K102" s="1327" t="s">
        <v>13</v>
      </c>
      <c r="L102" s="1327"/>
      <c r="M102" s="131"/>
      <c r="O102" s="928" t="str">
        <f>A125</f>
        <v>Jan 2025</v>
      </c>
      <c r="P102" s="68">
        <f>IF(M104="","",M104)</f>
        <v>0</v>
      </c>
    </row>
    <row r="103" spans="1:19" s="5" customFormat="1" ht="13.5" customHeight="1" x14ac:dyDescent="0.25">
      <c r="A103" s="1328" t="s">
        <v>754</v>
      </c>
      <c r="B103" s="1328"/>
      <c r="C103" s="1328"/>
      <c r="D103" s="1329"/>
      <c r="E103" s="1329"/>
      <c r="F103" s="1329"/>
      <c r="G103" s="1329"/>
      <c r="H103" s="1329"/>
      <c r="I103" s="1329"/>
      <c r="K103" s="1327" t="s">
        <v>101</v>
      </c>
      <c r="L103" s="1327"/>
      <c r="M103" s="101"/>
      <c r="O103" s="928" t="str">
        <f t="shared" ref="O103:O113" si="17">A126</f>
        <v>Feb 2025</v>
      </c>
      <c r="P103" s="69">
        <f t="shared" ref="P103:P109" si="18">IF(P102="","",P102)</f>
        <v>0</v>
      </c>
    </row>
    <row r="104" spans="1:19" s="1" customFormat="1" ht="13.5" customHeight="1" x14ac:dyDescent="0.2">
      <c r="A104" s="1328" t="s">
        <v>12</v>
      </c>
      <c r="B104" s="1328"/>
      <c r="C104" s="1328"/>
      <c r="D104" s="1345"/>
      <c r="E104" s="1345"/>
      <c r="F104" s="1345"/>
      <c r="G104" s="1345"/>
      <c r="H104" s="1345"/>
      <c r="I104" s="1345"/>
      <c r="K104" s="1327" t="s">
        <v>149</v>
      </c>
      <c r="L104" s="1327"/>
      <c r="M104" s="101">
        <f>IF((M105+M106)&gt;M103,0,M103-M105-M106)</f>
        <v>0</v>
      </c>
      <c r="O104" s="928" t="str">
        <f t="shared" si="17"/>
        <v>Mrz 2025</v>
      </c>
      <c r="P104" s="69">
        <f t="shared" si="18"/>
        <v>0</v>
      </c>
    </row>
    <row r="105" spans="1:19" s="1" customFormat="1" ht="13.5" customHeight="1" x14ac:dyDescent="0.2">
      <c r="A105" s="1328" t="s">
        <v>11</v>
      </c>
      <c r="B105" s="1328"/>
      <c r="C105" s="1328"/>
      <c r="D105" s="1345"/>
      <c r="E105" s="1345"/>
      <c r="F105" s="1345"/>
      <c r="G105" s="1345"/>
      <c r="H105" s="1345"/>
      <c r="I105" s="1345"/>
      <c r="K105" s="1327" t="s">
        <v>150</v>
      </c>
      <c r="L105" s="1327"/>
      <c r="M105" s="101"/>
      <c r="O105" s="928" t="str">
        <f t="shared" si="17"/>
        <v>Apr 2025</v>
      </c>
      <c r="P105" s="69">
        <f t="shared" si="18"/>
        <v>0</v>
      </c>
    </row>
    <row r="106" spans="1:19" s="1" customFormat="1" ht="13.5" customHeight="1" x14ac:dyDescent="0.2">
      <c r="A106" s="1328" t="s">
        <v>18</v>
      </c>
      <c r="B106" s="1328"/>
      <c r="C106" s="1328"/>
      <c r="D106" s="1345"/>
      <c r="E106" s="1345"/>
      <c r="F106" s="1345"/>
      <c r="G106" s="1345"/>
      <c r="H106" s="1345"/>
      <c r="I106" s="1345"/>
      <c r="K106" s="1327" t="s">
        <v>222</v>
      </c>
      <c r="L106" s="1327"/>
      <c r="M106" s="101"/>
      <c r="O106" s="928" t="str">
        <f t="shared" si="17"/>
        <v>Mai 2025</v>
      </c>
      <c r="P106" s="69">
        <f t="shared" si="18"/>
        <v>0</v>
      </c>
    </row>
    <row r="107" spans="1:19" s="1" customFormat="1" ht="13.5" customHeight="1" x14ac:dyDescent="0.2">
      <c r="B107" s="6"/>
      <c r="C107" s="998" t="s">
        <v>147</v>
      </c>
      <c r="D107" s="1324"/>
      <c r="E107" s="1324"/>
      <c r="F107" s="1359" t="s">
        <v>107</v>
      </c>
      <c r="G107" s="1359"/>
      <c r="H107" s="1361"/>
      <c r="I107" s="1361"/>
      <c r="K107" s="1327" t="s">
        <v>94</v>
      </c>
      <c r="L107" s="1327"/>
      <c r="M107" s="15" t="str">
        <f>IF(IF((COUNTIF(B125:B136,"&gt;0"))=0,0,(COUNTIF(B125:B136,"&gt;0")))&gt;Grundlagen!$C$26,Grundlagen!$C$26,IF((COUNTIF(B125:B136,"&gt;0"))=0,"",(COUNTIF(B125:B136,"&gt;0"))))</f>
        <v/>
      </c>
      <c r="O107" s="928" t="str">
        <f t="shared" si="17"/>
        <v>Jun 2025</v>
      </c>
      <c r="P107" s="69">
        <f t="shared" si="18"/>
        <v>0</v>
      </c>
    </row>
    <row r="108" spans="1:19" s="1" customFormat="1" ht="13.5" customHeight="1" x14ac:dyDescent="0.2">
      <c r="F108" s="1359" t="s">
        <v>160</v>
      </c>
      <c r="G108" s="1359"/>
      <c r="H108" s="1361"/>
      <c r="I108" s="1361"/>
      <c r="M108" s="102" t="str">
        <f>IF((SUM(F110:F113))=0,"",IF(P114&gt;M104,M104,IF(M104="","",IF(M107="","",P114))))</f>
        <v/>
      </c>
      <c r="O108" s="928" t="str">
        <f t="shared" si="17"/>
        <v>Jul 2025</v>
      </c>
      <c r="P108" s="69">
        <f t="shared" si="18"/>
        <v>0</v>
      </c>
    </row>
    <row r="109" spans="1:19" s="46" customFormat="1" ht="13.5" customHeight="1" x14ac:dyDescent="0.2">
      <c r="A109" s="54" t="s">
        <v>134</v>
      </c>
      <c r="B109" s="1356" t="s">
        <v>135</v>
      </c>
      <c r="C109" s="1356"/>
      <c r="D109" s="55" t="s">
        <v>136</v>
      </c>
      <c r="E109" s="56" t="s">
        <v>137</v>
      </c>
      <c r="F109" s="57" t="str">
        <f>CONCATENATE("Entg. ",N99," h/Wo")</f>
        <v>Entg.  h/Wo</v>
      </c>
      <c r="G109" s="58" t="s">
        <v>138</v>
      </c>
      <c r="I109" s="58" t="s">
        <v>139</v>
      </c>
      <c r="K109" s="970"/>
      <c r="L109" s="970"/>
      <c r="M109" s="59"/>
      <c r="N109" s="968" t="str">
        <f>IF(A111="","",A111)</f>
        <v/>
      </c>
      <c r="O109" s="928" t="str">
        <f t="shared" si="17"/>
        <v>Aug 2025</v>
      </c>
      <c r="P109" s="69">
        <f t="shared" si="18"/>
        <v>0</v>
      </c>
      <c r="Q109" s="1027"/>
      <c r="R109" s="1025"/>
      <c r="S109" s="1025"/>
    </row>
    <row r="110" spans="1:19" s="46" customFormat="1" ht="13.5" customHeight="1" x14ac:dyDescent="0.25">
      <c r="A110" s="48" t="str">
        <f>A125</f>
        <v>Jan 2025</v>
      </c>
      <c r="B110" s="1357" t="str">
        <f>IF($D$3="","",$D$3)</f>
        <v/>
      </c>
      <c r="C110" s="1358"/>
      <c r="D110" s="132"/>
      <c r="E110" s="132"/>
      <c r="F110" s="71"/>
      <c r="G110" s="50">
        <f>IF(N99="",0,F110/N99/4.348)</f>
        <v>0</v>
      </c>
      <c r="I110" s="51">
        <f>SUM(J110:M110)</f>
        <v>0</v>
      </c>
      <c r="J110" s="70"/>
      <c r="K110" s="70"/>
      <c r="L110" s="70"/>
      <c r="M110" s="70"/>
      <c r="N110" s="983"/>
      <c r="O110" s="928" t="str">
        <f t="shared" si="17"/>
        <v>Sep 2025</v>
      </c>
      <c r="P110" s="69">
        <f t="shared" ref="P110:P113" si="19">IF(P109="","",P109)</f>
        <v>0</v>
      </c>
      <c r="Q110" s="1026"/>
      <c r="R110" s="829"/>
      <c r="S110" s="1028"/>
    </row>
    <row r="111" spans="1:19" s="46" customFormat="1" ht="13.5" customHeight="1" x14ac:dyDescent="0.25">
      <c r="A111" s="49"/>
      <c r="B111" s="1322" t="str">
        <f>IF(A111="","",B110)</f>
        <v/>
      </c>
      <c r="C111" s="1323"/>
      <c r="D111" s="132"/>
      <c r="E111" s="132"/>
      <c r="F111" s="71"/>
      <c r="G111" s="50">
        <f>IF(N99="",0,F111/N99/4.348)</f>
        <v>0</v>
      </c>
      <c r="I111" s="51">
        <f t="shared" ref="I111:I113" si="20">SUM(J111:M111)</f>
        <v>0</v>
      </c>
      <c r="J111" s="70"/>
      <c r="K111" s="70"/>
      <c r="L111" s="70"/>
      <c r="M111" s="70"/>
      <c r="N111" s="983"/>
      <c r="O111" s="928" t="str">
        <f t="shared" si="17"/>
        <v>Okt 2025</v>
      </c>
      <c r="P111" s="69">
        <f t="shared" si="19"/>
        <v>0</v>
      </c>
      <c r="Q111" s="1026"/>
      <c r="R111" s="829"/>
      <c r="S111" s="1028"/>
    </row>
    <row r="112" spans="1:19" s="46" customFormat="1" ht="13.5" customHeight="1" x14ac:dyDescent="0.25">
      <c r="A112" s="49"/>
      <c r="B112" s="1322" t="str">
        <f>IF(A112="","",B111)</f>
        <v/>
      </c>
      <c r="C112" s="1323"/>
      <c r="D112" s="132"/>
      <c r="E112" s="132"/>
      <c r="F112" s="71"/>
      <c r="G112" s="50">
        <f>IF(N99="",0,F112/N99/4.348)</f>
        <v>0</v>
      </c>
      <c r="I112" s="51">
        <f t="shared" si="20"/>
        <v>0</v>
      </c>
      <c r="J112" s="70"/>
      <c r="K112" s="70"/>
      <c r="L112" s="70"/>
      <c r="M112" s="70"/>
      <c r="N112" s="983"/>
      <c r="O112" s="928" t="str">
        <f t="shared" si="17"/>
        <v>Nov 2025</v>
      </c>
      <c r="P112" s="69">
        <f t="shared" si="19"/>
        <v>0</v>
      </c>
      <c r="Q112" s="828"/>
      <c r="R112" s="829"/>
      <c r="S112" s="829"/>
    </row>
    <row r="113" spans="1:20" s="46" customFormat="1" ht="13.5" customHeight="1" x14ac:dyDescent="0.25">
      <c r="A113" s="49"/>
      <c r="B113" s="1322" t="str">
        <f>IF(A113="","",B112)</f>
        <v/>
      </c>
      <c r="C113" s="1323"/>
      <c r="D113" s="132"/>
      <c r="E113" s="132"/>
      <c r="F113" s="71"/>
      <c r="G113" s="50">
        <f>IF(N99="",0,F113/N99/4.348)</f>
        <v>0</v>
      </c>
      <c r="I113" s="51">
        <f t="shared" si="20"/>
        <v>0</v>
      </c>
      <c r="J113" s="70"/>
      <c r="K113" s="70"/>
      <c r="L113" s="70"/>
      <c r="M113" s="70"/>
      <c r="N113" s="983"/>
      <c r="O113" s="928" t="str">
        <f t="shared" si="17"/>
        <v>Dez 2025</v>
      </c>
      <c r="P113" s="69">
        <f t="shared" si="19"/>
        <v>0</v>
      </c>
      <c r="Q113" s="276"/>
      <c r="R113" s="827"/>
      <c r="S113" s="827"/>
    </row>
    <row r="114" spans="1:20" s="46" customFormat="1" ht="13.5" customHeight="1" x14ac:dyDescent="0.25">
      <c r="B114" s="972"/>
      <c r="C114" s="972"/>
      <c r="E114" s="972"/>
      <c r="F114" s="972"/>
      <c r="I114" s="930" t="s">
        <v>730</v>
      </c>
      <c r="J114" s="982"/>
      <c r="K114" s="982"/>
      <c r="L114" s="982"/>
      <c r="M114" s="982"/>
      <c r="N114" s="994"/>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c r="Q114" s="997" t="str">
        <f>CONCATENATE("BBG"," anteilig ",O116)</f>
        <v>BBG anteilig 2025</v>
      </c>
      <c r="R114" s="931" t="s">
        <v>659</v>
      </c>
      <c r="S114" s="931" t="s">
        <v>398</v>
      </c>
      <c r="T114" s="107"/>
    </row>
    <row r="115" spans="1:20" s="46" customFormat="1" ht="13.5" customHeight="1" x14ac:dyDescent="0.2">
      <c r="A115" s="924" t="s">
        <v>732</v>
      </c>
      <c r="D115" s="55" t="s">
        <v>369</v>
      </c>
      <c r="E115" s="56" t="s">
        <v>368</v>
      </c>
      <c r="F115" s="58"/>
      <c r="J115" s="61"/>
      <c r="Q115" s="932" t="s">
        <v>144</v>
      </c>
      <c r="R115" s="140">
        <f>IF(M104=0,R119,IF(M103="",R119,(SUM(R125:R136)/M107)))</f>
        <v>5175</v>
      </c>
      <c r="S115" s="933">
        <f>IF(M104=0,S119,IF(M103="",S119,SUM(R125:R136)))</f>
        <v>0</v>
      </c>
      <c r="T115" s="107"/>
    </row>
    <row r="116" spans="1:20" s="46" customFormat="1" ht="13.5" customHeight="1" x14ac:dyDescent="0.25">
      <c r="A116" s="60"/>
      <c r="B116" s="1314" t="str">
        <f>IF($B$20="","",$B$20)</f>
        <v>Jahressonderzahlung (JSZ)</v>
      </c>
      <c r="C116" s="1315"/>
      <c r="D116" s="926"/>
      <c r="E116" s="929" t="str">
        <f>IF(A116="","",ROUND((((SUM(B131:B133)+SUM(F131:F133))/3)*D116)/Grundlagen!$C$26*M107,2))</f>
        <v/>
      </c>
      <c r="N116" s="917" t="s">
        <v>736</v>
      </c>
      <c r="O116" s="918">
        <f>P116+1</f>
        <v>2025</v>
      </c>
      <c r="P116" s="918" t="s">
        <v>721</v>
      </c>
      <c r="Q116" s="932" t="s">
        <v>145</v>
      </c>
      <c r="R116" s="140">
        <f>IF(M104=0,R120,IF(M103="",R120,(SUM(S125:S136)/M107)))</f>
        <v>7450</v>
      </c>
      <c r="S116" s="933">
        <f>IF(M104=0,S120,IF(M103="",S120,SUM(S125:S136)))</f>
        <v>0</v>
      </c>
      <c r="T116" s="109"/>
    </row>
    <row r="117" spans="1:20" ht="14.25" customHeight="1" x14ac:dyDescent="0.2">
      <c r="A117" s="60"/>
      <c r="B117" s="1314" t="str">
        <f>IF($B$21="","",$B$21)</f>
        <v>Leistungsentgelt (LOB)</v>
      </c>
      <c r="C117" s="1315"/>
      <c r="D117" s="926"/>
      <c r="E117" s="929" t="str">
        <f>IF(A117="","",ROUND(((B137+F137)*D117)/Grundlagen!$C$26*M107,2))</f>
        <v/>
      </c>
      <c r="F117" s="1"/>
      <c r="N117" s="139" t="s">
        <v>144</v>
      </c>
      <c r="O117" s="141">
        <f>'päd.Personal - Leitung'!$O$21</f>
        <v>5175</v>
      </c>
      <c r="P117" s="141">
        <f>'päd.Personal - Leitung'!$P$21</f>
        <v>5175</v>
      </c>
      <c r="Q117" s="11"/>
      <c r="R117" s="11"/>
      <c r="S117" s="11"/>
      <c r="T117" s="109"/>
    </row>
    <row r="118" spans="1:20" ht="14.25" customHeight="1" x14ac:dyDescent="0.2">
      <c r="A118" s="1"/>
      <c r="B118" s="1"/>
      <c r="C118" s="925" t="s">
        <v>731</v>
      </c>
      <c r="D118" s="1"/>
      <c r="E118" s="1"/>
      <c r="F118" s="1"/>
      <c r="N118" s="139" t="s">
        <v>145</v>
      </c>
      <c r="O118" s="899">
        <f>'päd.Personal - Leitung'!$O$22</f>
        <v>7450</v>
      </c>
      <c r="P118" s="899">
        <f>'päd.Personal - Leitung'!$P$22</f>
        <v>7450</v>
      </c>
      <c r="Q118" s="997" t="str">
        <f>CONCATENATE("BBG"," ",O116)</f>
        <v>BBG 2025</v>
      </c>
      <c r="R118" s="11"/>
      <c r="S118" s="11"/>
      <c r="T118" s="109"/>
    </row>
    <row r="119" spans="1:20" ht="14.25" customHeight="1" x14ac:dyDescent="0.2">
      <c r="A119" s="53" t="s">
        <v>141</v>
      </c>
      <c r="Q119" s="932" t="s">
        <v>144</v>
      </c>
      <c r="R119" s="141">
        <f>IF($O$21="",0,$O$21)</f>
        <v>5175</v>
      </c>
      <c r="S119" s="933">
        <f>R119*IF(M107="",0,M107)</f>
        <v>0</v>
      </c>
      <c r="T119" s="295"/>
    </row>
    <row r="120" spans="1:20" x14ac:dyDescent="0.2">
      <c r="A120" s="1346"/>
      <c r="B120" s="1348" t="s">
        <v>8</v>
      </c>
      <c r="C120" s="1349"/>
      <c r="D120" s="1349"/>
      <c r="E120" s="1349"/>
      <c r="F120" s="1349"/>
      <c r="G120" s="1350"/>
      <c r="H120" s="1351" t="s">
        <v>113</v>
      </c>
      <c r="I120" s="1352"/>
      <c r="J120" s="1352"/>
      <c r="K120" s="1352"/>
      <c r="L120" s="1352"/>
      <c r="M120" s="1352"/>
      <c r="N120" s="1368" t="s">
        <v>658</v>
      </c>
      <c r="O120" s="30"/>
      <c r="P120" s="1330" t="s">
        <v>0</v>
      </c>
      <c r="Q120" s="932" t="s">
        <v>145</v>
      </c>
      <c r="R120" s="141">
        <f>IF($O$22="",0,$O$22)</f>
        <v>7450</v>
      </c>
      <c r="S120" s="933">
        <f>R120*IF(M107="",0,M107)</f>
        <v>0</v>
      </c>
      <c r="T120" s="830"/>
    </row>
    <row r="121" spans="1:20" x14ac:dyDescent="0.2">
      <c r="A121" s="1347"/>
      <c r="B121" s="1333" t="s">
        <v>111</v>
      </c>
      <c r="C121" s="1335" t="s">
        <v>743</v>
      </c>
      <c r="D121" s="1337" t="s">
        <v>226</v>
      </c>
      <c r="E121" s="1339" t="s">
        <v>133</v>
      </c>
      <c r="F121" s="1002" t="s">
        <v>6</v>
      </c>
      <c r="G121" s="1340" t="s">
        <v>5</v>
      </c>
      <c r="H121" s="1339" t="s">
        <v>119</v>
      </c>
      <c r="I121" s="1339" t="s">
        <v>657</v>
      </c>
      <c r="J121" s="1339" t="s">
        <v>4</v>
      </c>
      <c r="K121" s="1339" t="s">
        <v>3</v>
      </c>
      <c r="L121" s="1339" t="s">
        <v>2</v>
      </c>
      <c r="M121" s="1339" t="s">
        <v>95</v>
      </c>
      <c r="N121" s="1369"/>
      <c r="O121" s="1338" t="s">
        <v>109</v>
      </c>
      <c r="P121" s="1331"/>
      <c r="Q121" s="456"/>
      <c r="R121" s="11"/>
      <c r="S121" s="11"/>
      <c r="T121" s="621"/>
    </row>
    <row r="122" spans="1:20" x14ac:dyDescent="0.2">
      <c r="A122" s="1347"/>
      <c r="B122" s="1333"/>
      <c r="C122" s="1335"/>
      <c r="D122" s="1338"/>
      <c r="E122" s="1339"/>
      <c r="F122" s="1343" t="str">
        <f>I114</f>
        <v>Zuschläge / Zulagen / o.ä.:</v>
      </c>
      <c r="G122" s="1340"/>
      <c r="H122" s="1342" t="s">
        <v>117</v>
      </c>
      <c r="I122" s="1339"/>
      <c r="J122" s="1342"/>
      <c r="K122" s="1342"/>
      <c r="L122" s="1342"/>
      <c r="M122" s="1339"/>
      <c r="N122" s="1369"/>
      <c r="O122" s="1338"/>
      <c r="P122" s="1331"/>
      <c r="Q122" s="456"/>
      <c r="R122" s="1306" t="str">
        <f>Q114</f>
        <v>BBG anteilig 2025</v>
      </c>
      <c r="S122" s="1306"/>
      <c r="T122" s="829"/>
    </row>
    <row r="123" spans="1:20" ht="14.25" customHeight="1" x14ac:dyDescent="0.2">
      <c r="A123" s="1347"/>
      <c r="B123" s="1333"/>
      <c r="C123" s="1335"/>
      <c r="D123" s="1338"/>
      <c r="E123" s="1339"/>
      <c r="F123" s="1343"/>
      <c r="G123" s="1340"/>
      <c r="H123" s="39" t="str">
        <f>'päd.Personal - Leitung'!$H$27</f>
        <v>(7,30% + Zusatz)</v>
      </c>
      <c r="I123" s="39" t="str">
        <f>$I$27</f>
        <v xml:space="preserve"> (2024: 18,60%)</v>
      </c>
      <c r="J123" s="39" t="str">
        <f>'päd.Personal - Leitung'!$I$27</f>
        <v xml:space="preserve"> (2024: 9,30%)</v>
      </c>
      <c r="K123" s="39" t="str">
        <f>'päd.Personal - Leitung'!$J$27</f>
        <v>(2024: 1,30%)</v>
      </c>
      <c r="L123" s="39" t="str">
        <f>'päd.Personal - Leitung'!$K$27</f>
        <v>(2024: 1,700%)</v>
      </c>
      <c r="M123" s="1339"/>
      <c r="N123" s="39" t="str">
        <f>$N$27</f>
        <v xml:space="preserve"> (2024: 20%)</v>
      </c>
      <c r="O123" s="1338"/>
      <c r="P123" s="1331"/>
      <c r="Q123" s="456"/>
      <c r="R123" s="1307" t="s">
        <v>659</v>
      </c>
      <c r="S123" s="1307"/>
      <c r="T123" s="829"/>
    </row>
    <row r="124" spans="1:20" ht="14.25" customHeight="1" x14ac:dyDescent="0.2">
      <c r="A124" s="1347"/>
      <c r="B124" s="1334"/>
      <c r="C124" s="1336"/>
      <c r="D124" s="45"/>
      <c r="E124" s="45"/>
      <c r="F124" s="1344"/>
      <c r="G124" s="1341"/>
      <c r="H124" s="74"/>
      <c r="I124" s="19"/>
      <c r="J124" s="99">
        <f>'päd.Personal - Leitung'!$I$28</f>
        <v>0</v>
      </c>
      <c r="K124" s="99">
        <f>'päd.Personal - Leitung'!$J$28</f>
        <v>0</v>
      </c>
      <c r="L124" s="40">
        <f>'päd.Personal - Leitung'!$K$28</f>
        <v>0</v>
      </c>
      <c r="M124" s="19"/>
      <c r="N124" s="19"/>
      <c r="O124" s="19"/>
      <c r="P124" s="1332"/>
      <c r="Q124" s="456"/>
      <c r="R124" s="935" t="s">
        <v>144</v>
      </c>
      <c r="S124" s="935" t="s">
        <v>145</v>
      </c>
      <c r="T124" s="829"/>
    </row>
    <row r="125" spans="1:20" x14ac:dyDescent="0.2">
      <c r="A125" s="76" t="str">
        <f>'päd.Personal - Leitung'!$A$29</f>
        <v>Jan 2025</v>
      </c>
      <c r="B125" s="22">
        <f>ROUND(IF(P102=0,0,(LOOKUP(2,1/(A110:A113=A125),G110:G113))*P102*4.348)*50%,2)</f>
        <v>0</v>
      </c>
      <c r="C125" s="21">
        <f>ROUND(IFERROR((LOOKUP(2,1/(A116=A125),E116)),0)+IFERROR((LOOKUP(2,1/(A117=A125),E117)),0),2)</f>
        <v>0</v>
      </c>
      <c r="D125" s="21">
        <f>ROUND(IF(B125=0,0,D124/M103*P102*50%),2)</f>
        <v>0</v>
      </c>
      <c r="E125" s="21">
        <f>ROUND(IF(B125=0,0,E124/N99*P102*50%),2)</f>
        <v>0</v>
      </c>
      <c r="F125" s="22">
        <f>ROUND(IF(P102=0,0,(LOOKUP(2,1/(A110:A113=A125),I110:I113))/N99*P102)*50%,2)</f>
        <v>0</v>
      </c>
      <c r="G125" s="25">
        <f>SUM(B125+C125+E125+F125)</f>
        <v>0</v>
      </c>
      <c r="H125" s="831">
        <f>ROUND(SUM(B125:F125)*H124,2)</f>
        <v>0</v>
      </c>
      <c r="I125" s="64">
        <f>ROUND(IF((SUM(B125:F125)*80%)&gt;((S125)*90%),((((S125)*90%)-((SUM(B125:F125)-C125))*I124)+((SUM(B125:F125)-C125)*I124)*80%),((SUM(B125:F125)-C125)*I124)*80%),2)</f>
        <v>0</v>
      </c>
      <c r="J125" s="831">
        <f>ROUND(SUM(B125:F125)*J124,2)</f>
        <v>0</v>
      </c>
      <c r="K125" s="831">
        <f>ROUND(SUM(B125:F125)*K124,2)</f>
        <v>0</v>
      </c>
      <c r="L125" s="831">
        <f>ROUND(SUM(B125:F125)*L124,2)</f>
        <v>0</v>
      </c>
      <c r="M125" s="831">
        <f>ROUND((SUM(B125:F125)-C125)*M124,2)</f>
        <v>0</v>
      </c>
      <c r="N125" s="21">
        <f>ROUND((B125+E125+F125)*N124,2)</f>
        <v>0</v>
      </c>
      <c r="O125" s="21">
        <f>ROUND(SUM(B125+C125+F125)*O124,2)</f>
        <v>0</v>
      </c>
      <c r="P125" s="25">
        <f>SUM(G125:O125)</f>
        <v>0</v>
      </c>
      <c r="Q125" s="456"/>
      <c r="R125" s="140">
        <f>ROUND(IF(M103="",R119,R119/M103*P102),2)</f>
        <v>5175</v>
      </c>
      <c r="S125" s="140">
        <f>ROUND(IF(M103="",R120,R120/M103*P102),2)</f>
        <v>7450</v>
      </c>
      <c r="T125" s="1"/>
    </row>
    <row r="126" spans="1:20" x14ac:dyDescent="0.2">
      <c r="A126" s="76" t="str">
        <f>'päd.Personal - Leitung'!$A$30</f>
        <v>Feb 2025</v>
      </c>
      <c r="B126" s="22">
        <f>ROUND(IF(P103=0,0,IFERROR((((LOOKUP(2,1/(A110:A113=A126),G110:G113))*P103*4.348)*50%),B125/P102*P103)),2)</f>
        <v>0</v>
      </c>
      <c r="C126" s="21">
        <f>ROUND(IFERROR((LOOKUP(2,1/(A116=A126),E116)),0)+IFERROR((LOOKUP(2,1/(A117=A126),E117)),0),2)</f>
        <v>0</v>
      </c>
      <c r="D126" s="21">
        <f>ROUND(IF(B126=0,0,D124/M103*P103*50%),2)</f>
        <v>0</v>
      </c>
      <c r="E126" s="21">
        <f>ROUND(IF(B126=0,0,E124/N99*P103*50%),2)</f>
        <v>0</v>
      </c>
      <c r="F126" s="22">
        <f>ROUND(IF(P103=0,0,IFERROR((((LOOKUP(2,1/(A110:A113=A126),I110:I113))/N99*P103)*50%),F125/P102*P103)),2)</f>
        <v>0</v>
      </c>
      <c r="G126" s="25">
        <f t="shared" ref="G126:G136" si="21">SUM(B126+C126+E126+F126)</f>
        <v>0</v>
      </c>
      <c r="H126" s="831">
        <f>ROUND(SUM(B126:F126)*H124,2)</f>
        <v>0</v>
      </c>
      <c r="I126" s="64">
        <f>ROUND(IF((SUM(B126:F126)*80%)&gt;((SUM(S122:S126))*90%),((((SUM(S122:S126))*90%)-((SUM(B126:F126)-C126))*I124)+((SUM(B126:F126)-C126)*I124)*80%),((SUM(B126:F126)-C126)*I124)*80%),2)</f>
        <v>0</v>
      </c>
      <c r="J126" s="831">
        <f>ROUND(SUM(B126:F126)*J124,2)</f>
        <v>0</v>
      </c>
      <c r="K126" s="831">
        <f>ROUND(SUM(B126:F126)*K124,2)</f>
        <v>0</v>
      </c>
      <c r="L126" s="831">
        <f>ROUND(SUM(B126:F126)*L124,2)</f>
        <v>0</v>
      </c>
      <c r="M126" s="831">
        <f>ROUND((SUM(B126:F126)-C126)*M124,2)</f>
        <v>0</v>
      </c>
      <c r="N126" s="21">
        <f>ROUND((B126+E126+F126)*N124,2)</f>
        <v>0</v>
      </c>
      <c r="O126" s="21">
        <f>ROUND(SUM(B126+C126+F126)*O124,2)</f>
        <v>0</v>
      </c>
      <c r="P126" s="25">
        <f t="shared" ref="P126" si="22">SUM(G126:O126)</f>
        <v>0</v>
      </c>
      <c r="Q126" s="456"/>
      <c r="R126" s="140">
        <f>ROUND(IF(M103="",R119,R119/M103*P103),2)</f>
        <v>5175</v>
      </c>
      <c r="S126" s="140">
        <f>ROUND(IF(M103="",R120,R120/M103*P103),2)</f>
        <v>7450</v>
      </c>
      <c r="T126" s="1"/>
    </row>
    <row r="127" spans="1:20" x14ac:dyDescent="0.2">
      <c r="A127" s="76" t="str">
        <f>'päd.Personal - Leitung'!$A$31</f>
        <v>Mrz 2025</v>
      </c>
      <c r="B127" s="22">
        <f>ROUND(IF(P104=0,0,IFERROR((((LOOKUP(2,1/(A110:A113=A127),G110:G113))*P104*4.348)*50%),B126/P103*P104)),2)</f>
        <v>0</v>
      </c>
      <c r="C127" s="21">
        <f>ROUND(IFERROR((LOOKUP(2,1/(A116=A127),E116)),0)+IFERROR((LOOKUP(2,1/(A117=A127),E117)),0),2)</f>
        <v>0</v>
      </c>
      <c r="D127" s="21">
        <f>ROUND(IF(B127=0,0,D124/M103*P104*50%),2)</f>
        <v>0</v>
      </c>
      <c r="E127" s="21">
        <f>ROUND(IF(B127=0,0,E124/N99*P104*50%),2)</f>
        <v>0</v>
      </c>
      <c r="F127" s="22">
        <f>ROUND(IF(P104=0,0,IFERROR((((LOOKUP(2,1/(A110:A113=A127),I110:I113))/N99*P104)*50%),F126/P103*P104)),2)</f>
        <v>0</v>
      </c>
      <c r="G127" s="25">
        <f t="shared" si="21"/>
        <v>0</v>
      </c>
      <c r="H127" s="831">
        <f>ROUND(SUM(B127:F127)*H124,2)</f>
        <v>0</v>
      </c>
      <c r="I127" s="64">
        <f>ROUND(IF((SUM(B126:F127)*80%)&gt;((SUM(S122:S127))*90%),((((SUM(S122:S127))*90%)-((SUM(B126:F127)-C127))*I124)+((SUM(B127:F127)-C127)*I124)*80%),((SUM(B127:F127)-C127)*I124)*80%),2)</f>
        <v>0</v>
      </c>
      <c r="J127" s="831">
        <f>ROUND(SUM(B127:F127)*J124,2)</f>
        <v>0</v>
      </c>
      <c r="K127" s="831">
        <f>ROUND(SUM(B127:F127)*K124,2)</f>
        <v>0</v>
      </c>
      <c r="L127" s="831">
        <f>ROUND(SUM(B127:F127)*L124,2)</f>
        <v>0</v>
      </c>
      <c r="M127" s="831">
        <f>ROUND((SUM(B127:F127)-C127)*M124,2)</f>
        <v>0</v>
      </c>
      <c r="N127" s="21">
        <f>ROUND((B127+E127+F127)*N124,2)</f>
        <v>0</v>
      </c>
      <c r="O127" s="21">
        <f>ROUND(SUM(B127+C127+F127)*O124,2)</f>
        <v>0</v>
      </c>
      <c r="P127" s="25">
        <f t="shared" ref="P127:P136" si="23">SUM(G127:O127)</f>
        <v>0</v>
      </c>
      <c r="Q127" s="456"/>
      <c r="R127" s="140">
        <f>ROUND(IF(M103="",R119,R119/M103*P104),2)</f>
        <v>5175</v>
      </c>
      <c r="S127" s="140">
        <f>ROUND(IF(M103="",R120,R120/M103*P104),2)</f>
        <v>7450</v>
      </c>
      <c r="T127" s="1"/>
    </row>
    <row r="128" spans="1:20" x14ac:dyDescent="0.2">
      <c r="A128" s="76" t="str">
        <f>'päd.Personal - Leitung'!$A$32</f>
        <v>Apr 2025</v>
      </c>
      <c r="B128" s="22">
        <f>ROUND(IF(P105=0,0,IFERROR((((LOOKUP(2,1/(A110:A113=A128),G110:G113))*P105*4.348)*50%),B127/P104*P105)),2)</f>
        <v>0</v>
      </c>
      <c r="C128" s="21">
        <f>ROUND(IFERROR((LOOKUP(2,1/(A116=A128),E116)),0)+IFERROR((LOOKUP(2,1/(A117=A128),E117)),0),2)</f>
        <v>0</v>
      </c>
      <c r="D128" s="21">
        <f>ROUND(IF(B128=0,0,D124/M103*P105*50%),2)</f>
        <v>0</v>
      </c>
      <c r="E128" s="21">
        <f>ROUND(IF(B128=0,0,E124/N99*P105*50%),2)</f>
        <v>0</v>
      </c>
      <c r="F128" s="22">
        <f>ROUND(IF(P105=0,0,IFERROR((((LOOKUP(2,1/(A110:A113=A128),I110:I113))/N99*P105)*50%),F127/P104*P105)),2)</f>
        <v>0</v>
      </c>
      <c r="G128" s="25">
        <f t="shared" si="21"/>
        <v>0</v>
      </c>
      <c r="H128" s="831">
        <f>ROUND(SUM(B128:F128)*H124,2)</f>
        <v>0</v>
      </c>
      <c r="I128" s="64">
        <f>ROUND(IF((SUM(B126:F128)*80%)&gt;((SUM(S122:S128))*90%),((((SUM(S122:S128))*90%)-((SUM(B126:F128)-C128))*I124)+((SUM(B128:F128)-C128)*I124)*80%),((SUM(B128:F128)-C128)*I124)*80%),2)</f>
        <v>0</v>
      </c>
      <c r="J128" s="831">
        <f>ROUND(SUM(B128:F128)*J124,2)</f>
        <v>0</v>
      </c>
      <c r="K128" s="831">
        <f>ROUND(SUM(B128:F128)*K124,2)</f>
        <v>0</v>
      </c>
      <c r="L128" s="831">
        <f>ROUND(SUM(B128:F128)*L124,2)</f>
        <v>0</v>
      </c>
      <c r="M128" s="831">
        <f>ROUND((SUM(B128:F128)-C128)*M124,2)</f>
        <v>0</v>
      </c>
      <c r="N128" s="21">
        <f>ROUND((B128+E128+F128)*N124,2)</f>
        <v>0</v>
      </c>
      <c r="O128" s="21">
        <f>ROUND(SUM(B128+C128+F128)*O124,2)</f>
        <v>0</v>
      </c>
      <c r="P128" s="25">
        <f t="shared" si="23"/>
        <v>0</v>
      </c>
      <c r="Q128" s="456"/>
      <c r="R128" s="140">
        <f>ROUND(IF(M103="",R119,R119/M103*P105),2)</f>
        <v>5175</v>
      </c>
      <c r="S128" s="140">
        <f>ROUND(IF(M103="",R120,R120/M103*P105),2)</f>
        <v>7450</v>
      </c>
      <c r="T128" s="1"/>
    </row>
    <row r="129" spans="1:20" x14ac:dyDescent="0.2">
      <c r="A129" s="76" t="str">
        <f>'päd.Personal - Leitung'!$A$33</f>
        <v>Mai 2025</v>
      </c>
      <c r="B129" s="22">
        <f>ROUND(IF(P106=0,0,IFERROR((((LOOKUP(2,1/(A110:A113=A129),G110:G113))*P106*4.348)*50%),B128/P105*P106)),2)</f>
        <v>0</v>
      </c>
      <c r="C129" s="21">
        <f>ROUND(IFERROR((LOOKUP(2,1/(A116=A129),E116)),0)+IFERROR((LOOKUP(2,1/(A117=A129),E117)),0),2)</f>
        <v>0</v>
      </c>
      <c r="D129" s="21">
        <f>ROUND(IF(B129=0,0,D124/M103*P106*50%),2)</f>
        <v>0</v>
      </c>
      <c r="E129" s="21">
        <f>ROUND(IF(B129=0,0,E124/N99*P106*50%),2)</f>
        <v>0</v>
      </c>
      <c r="F129" s="22">
        <f>ROUND(IF(P106=0,0,IFERROR((((LOOKUP(2,1/(A110:A113=A129),I110:I113))/N99*P106)*50%),F128/P105*P106)),2)</f>
        <v>0</v>
      </c>
      <c r="G129" s="25">
        <f t="shared" si="21"/>
        <v>0</v>
      </c>
      <c r="H129" s="831">
        <f>ROUND(SUM(B129:F129)*H124,2)</f>
        <v>0</v>
      </c>
      <c r="I129" s="64">
        <f>ROUND(IF((SUM(B126:F129)*80%)&gt;((SUM(S122:S129))*90%),((((SUM(S122:S129))*90%)-((SUM(B126:F129)-C129))*I124)+((SUM(B129:F129)-C129)*I124)*80%),((SUM(B129:F129)-C129)*I124)*80%),2)</f>
        <v>0</v>
      </c>
      <c r="J129" s="831">
        <f>ROUND(SUM(B129:F129)*J124,2)</f>
        <v>0</v>
      </c>
      <c r="K129" s="831">
        <f>ROUND(SUM(B129:F129)*K124,2)</f>
        <v>0</v>
      </c>
      <c r="L129" s="831">
        <f>ROUND(SUM(B129:F129)*L124,2)</f>
        <v>0</v>
      </c>
      <c r="M129" s="831">
        <f>ROUND((SUM(B129:F129)-C129)*M124,2)</f>
        <v>0</v>
      </c>
      <c r="N129" s="21">
        <f>ROUND((B129+E129+F129)*N124,2)</f>
        <v>0</v>
      </c>
      <c r="O129" s="21">
        <f>ROUND(SUM(B129+C129+F129)*O124,2)</f>
        <v>0</v>
      </c>
      <c r="P129" s="25">
        <f t="shared" si="23"/>
        <v>0</v>
      </c>
      <c r="Q129" s="456"/>
      <c r="R129" s="140">
        <f>ROUND(IF(M103="",R119,R119/M103*P106),2)</f>
        <v>5175</v>
      </c>
      <c r="S129" s="140">
        <f>ROUND(IF(M103="",R120,R120/M103*P106),2)</f>
        <v>7450</v>
      </c>
      <c r="T129" s="1"/>
    </row>
    <row r="130" spans="1:20" x14ac:dyDescent="0.2">
      <c r="A130" s="76" t="str">
        <f>'päd.Personal - Leitung'!$A$34</f>
        <v>Jun 2025</v>
      </c>
      <c r="B130" s="22">
        <f>ROUND(IF(P107=0,0,IFERROR((((LOOKUP(2,1/(A110:A113=A130),G110:G113))*P107*4.348)*50%),B129/P106*P107)),2)</f>
        <v>0</v>
      </c>
      <c r="C130" s="21">
        <f>ROUND(IFERROR((LOOKUP(2,1/(A116=A130),E116)),0)+IFERROR((LOOKUP(2,1/(A117=A130),E117)),0),2)</f>
        <v>0</v>
      </c>
      <c r="D130" s="21">
        <f>ROUND(IF(B130=0,0,D124/M103*P107*50%),2)</f>
        <v>0</v>
      </c>
      <c r="E130" s="21">
        <f>ROUND(IF(B130=0,0,E124/N99*P107*50%),2)</f>
        <v>0</v>
      </c>
      <c r="F130" s="22">
        <f>ROUND(IF(P107=0,0,IFERROR((((LOOKUP(2,1/(A110:A113=A130),I110:I113))/N99*P107)*50%),F129/P106*P107)),2)</f>
        <v>0</v>
      </c>
      <c r="G130" s="25">
        <f t="shared" si="21"/>
        <v>0</v>
      </c>
      <c r="H130" s="831">
        <f>ROUND(SUM(B130:F130)*H124,2)</f>
        <v>0</v>
      </c>
      <c r="I130" s="64">
        <f>ROUND(IF((SUM(B126:F130)*80%)&gt;((SUM(S122:S130))*90%),((((SUM(S122:S130))*90%)-((SUM(B126:F130)-C130))*I124)+((SUM(B130:F130)-C130)*I124)*80%),((SUM(B130:F130)-C130)*I124)*80%),2)</f>
        <v>0</v>
      </c>
      <c r="J130" s="831">
        <f>ROUND(SUM(B130:F130)*J124,2)</f>
        <v>0</v>
      </c>
      <c r="K130" s="831">
        <f>ROUND(SUM(B130:F130)*K124,2)</f>
        <v>0</v>
      </c>
      <c r="L130" s="831">
        <f>ROUND(SUM(B130:F130)*L124,2)</f>
        <v>0</v>
      </c>
      <c r="M130" s="831">
        <f>ROUND((SUM(B130:F130)-C130)*M124,2)</f>
        <v>0</v>
      </c>
      <c r="N130" s="21">
        <f>ROUND((B130+E130+F130)*N124,2)</f>
        <v>0</v>
      </c>
      <c r="O130" s="21">
        <f>ROUND(SUM(B130+C130+F130)*O124,2)</f>
        <v>0</v>
      </c>
      <c r="P130" s="25">
        <f t="shared" si="23"/>
        <v>0</v>
      </c>
      <c r="Q130" s="456"/>
      <c r="R130" s="140">
        <f>ROUND(IF(M103="",R119,R119/M103*P107),2)</f>
        <v>5175</v>
      </c>
      <c r="S130" s="140">
        <f>ROUND(IF(M103="",R120,R120/M103*P107),2)</f>
        <v>7450</v>
      </c>
      <c r="T130" s="1"/>
    </row>
    <row r="131" spans="1:20" x14ac:dyDescent="0.2">
      <c r="A131" s="76" t="str">
        <f>'päd.Personal - Leitung'!$A$35</f>
        <v>Jul 2025</v>
      </c>
      <c r="B131" s="22">
        <f>ROUND(IF(P108=0,0,IFERROR((((LOOKUP(2,1/(A110:A113=A131),G110:G113))*P108*4.348)*50%),B130/P107*P108)),2)</f>
        <v>0</v>
      </c>
      <c r="C131" s="21">
        <f>ROUND(IFERROR((LOOKUP(2,1/(A116=A131),E116)),0)+IFERROR((LOOKUP(2,1/(A117=A131),E117)),0),2)</f>
        <v>0</v>
      </c>
      <c r="D131" s="21">
        <f>ROUND(IF(B131=0,0,D124/M103*P108*50%),2)</f>
        <v>0</v>
      </c>
      <c r="E131" s="21">
        <f>ROUND(IF(B131=0,0,E124/N99*P108*50%),2)</f>
        <v>0</v>
      </c>
      <c r="F131" s="22">
        <f>ROUND(IF(P108=0,0,IFERROR((((LOOKUP(2,1/(A110:A113=A131),I110:I113))/N99*P108)*50%),F130/P107*P108)),2)</f>
        <v>0</v>
      </c>
      <c r="G131" s="25">
        <f t="shared" si="21"/>
        <v>0</v>
      </c>
      <c r="H131" s="831">
        <f>ROUND(SUM(B131:F131)*H124,2)</f>
        <v>0</v>
      </c>
      <c r="I131" s="64">
        <f>ROUND(IF((SUM(B126:F131)*80%)&gt;((SUM(S122:S131))*90%),((((SUM(S122:S131))*90%)-((SUM(B126:F131)-C131))*I124)+((SUM(B131:F131)-C131)*I124)*80%),((SUM(B131:F131)-C131)*I124)*80%),2)</f>
        <v>0</v>
      </c>
      <c r="J131" s="831">
        <f>ROUND(SUM(B131:F131)*J124,2)</f>
        <v>0</v>
      </c>
      <c r="K131" s="831">
        <f>ROUND(SUM(B131:F131)*K124,2)</f>
        <v>0</v>
      </c>
      <c r="L131" s="831">
        <f>ROUND(SUM(B131:F131)*L124,2)</f>
        <v>0</v>
      </c>
      <c r="M131" s="831">
        <f>ROUND((SUM(B131:F131)-C131)*M124,2)</f>
        <v>0</v>
      </c>
      <c r="N131" s="21">
        <f>ROUND((B131+E131+F131)*N124,2)</f>
        <v>0</v>
      </c>
      <c r="O131" s="21">
        <f>ROUND(SUM(B131+C131+F131)*O124,2)</f>
        <v>0</v>
      </c>
      <c r="P131" s="25">
        <f t="shared" si="23"/>
        <v>0</v>
      </c>
      <c r="Q131" s="456"/>
      <c r="R131" s="140">
        <f>ROUND(IF(M103="",R119,R119/M103*P108),2)</f>
        <v>5175</v>
      </c>
      <c r="S131" s="140">
        <f>ROUND(IF(M103="",R120,R120/M103*P108),2)</f>
        <v>7450</v>
      </c>
      <c r="T131" s="1"/>
    </row>
    <row r="132" spans="1:20" x14ac:dyDescent="0.2">
      <c r="A132" s="76" t="str">
        <f>'päd.Personal - Leitung'!$A$36</f>
        <v>Aug 2025</v>
      </c>
      <c r="B132" s="22">
        <f>ROUND(IF(P109=0,0,IFERROR((((LOOKUP(2,1/(A110:A113=A132),G110:G113))*P109*4.348)*50%),B131/P108*P109)),2)</f>
        <v>0</v>
      </c>
      <c r="C132" s="21">
        <f>ROUND(IFERROR((LOOKUP(2,1/(A116=A132),E116)),0)+IFERROR((LOOKUP(2,1/(A117=A132),E117)),0),2)</f>
        <v>0</v>
      </c>
      <c r="D132" s="21">
        <f>ROUND(IF(B132=0,0,D124/M103*P109*50%),2)</f>
        <v>0</v>
      </c>
      <c r="E132" s="21">
        <f>ROUND(IF(B132=0,0,E124/N99*P109*50%),2)</f>
        <v>0</v>
      </c>
      <c r="F132" s="22">
        <f>ROUND(IF(P109=0,0,IFERROR((((LOOKUP(2,1/(A110:A113=A132),I110:I113))/N99*P109)*50%),F131/P108*P109)),2)</f>
        <v>0</v>
      </c>
      <c r="G132" s="25">
        <f t="shared" si="21"/>
        <v>0</v>
      </c>
      <c r="H132" s="831">
        <f>ROUND(SUM(B132:F132)*H124,2)</f>
        <v>0</v>
      </c>
      <c r="I132" s="64">
        <f>ROUND(IF((SUM(B126:F132)*80%)&gt;((SUM(S122:S132))*90%),((((SUM(S122:S132))*90%)-((SUM(B126:F132)-C132))*I124)+((SUM(B132:F132)-C132)*I124)*80%),((SUM(B132:F132)-C132)*I124)*80%),2)</f>
        <v>0</v>
      </c>
      <c r="J132" s="831">
        <f>ROUND(SUM(B132:F132)*J124,2)</f>
        <v>0</v>
      </c>
      <c r="K132" s="831">
        <f>ROUND(SUM(B132:F132)*K124,2)</f>
        <v>0</v>
      </c>
      <c r="L132" s="831">
        <f>ROUND(SUM(B132:F132)*L124,2)</f>
        <v>0</v>
      </c>
      <c r="M132" s="831">
        <f>ROUND((SUM(B132:F132)-C132)*M124,2)</f>
        <v>0</v>
      </c>
      <c r="N132" s="21">
        <f>ROUND((B132+E132+F132)*N124,2)</f>
        <v>0</v>
      </c>
      <c r="O132" s="21">
        <f>ROUND(SUM(B132+C132+F132)*O124,2)</f>
        <v>0</v>
      </c>
      <c r="P132" s="25">
        <f t="shared" si="23"/>
        <v>0</v>
      </c>
      <c r="Q132" s="456"/>
      <c r="R132" s="140">
        <f>ROUND(IF(M103="",R119,R119/M103*P109),2)</f>
        <v>5175</v>
      </c>
      <c r="S132" s="140">
        <f>ROUND(IF(M103="",R120,R120/M103*P109),2)</f>
        <v>7450</v>
      </c>
      <c r="T132" s="1"/>
    </row>
    <row r="133" spans="1:20" x14ac:dyDescent="0.2">
      <c r="A133" s="76" t="str">
        <f>'päd.Personal - Leitung'!$A$37</f>
        <v>Sep 2025</v>
      </c>
      <c r="B133" s="22">
        <f>ROUND(IF(P110=0,0,IFERROR((((LOOKUP(2,1/(A110:A113=A133),G110:G113))*P110*4.348)*50%),B132/P109*P110)),2)</f>
        <v>0</v>
      </c>
      <c r="C133" s="21">
        <f>ROUND(IFERROR((LOOKUP(2,1/(A116=A133),E116)),0)+IFERROR((LOOKUP(2,1/(A117=A133),E117)),0),2)</f>
        <v>0</v>
      </c>
      <c r="D133" s="21">
        <f>ROUND(IF(B133=0,0,D124/M103*P110*50%),2)</f>
        <v>0</v>
      </c>
      <c r="E133" s="21">
        <f>ROUND(IF(B133=0,0,E124/N99*P110*50%),2)</f>
        <v>0</v>
      </c>
      <c r="F133" s="22">
        <f>ROUND(IF(P110=0,0,IFERROR((((LOOKUP(2,1/(A110:A113=A133),I110:I113))/N99*P110)*50%),F132/P109*P110)),2)</f>
        <v>0</v>
      </c>
      <c r="G133" s="25">
        <f t="shared" si="21"/>
        <v>0</v>
      </c>
      <c r="H133" s="831">
        <f>ROUND(SUM(B133:F133)*H124,2)</f>
        <v>0</v>
      </c>
      <c r="I133" s="64">
        <f>ROUND(IF((SUM(B126:F133)*80%)&gt;((SUM(S122:S133))*90%),((((SUM(S122:S133))*90%)-((SUM(B126:F133)-C133))*I124)+((SUM(B133:F133)-C133)*I124)*80%),((SUM(B133:F133)-C133)*I124)*80%),2)</f>
        <v>0</v>
      </c>
      <c r="J133" s="831">
        <f>ROUND(SUM(B133:F133)*J124,2)</f>
        <v>0</v>
      </c>
      <c r="K133" s="831">
        <f>ROUND(SUM(B133:F133)*K124,2)</f>
        <v>0</v>
      </c>
      <c r="L133" s="831">
        <f>ROUND(SUM(B133:F133)*L124,2)</f>
        <v>0</v>
      </c>
      <c r="M133" s="831">
        <f>ROUND((SUM(B133:F133)-C133)*M124,2)</f>
        <v>0</v>
      </c>
      <c r="N133" s="21">
        <f>ROUND((B133+E133+F133)*N124,2)</f>
        <v>0</v>
      </c>
      <c r="O133" s="21">
        <f>ROUND(SUM(B133+C133+F133)*O124,2)</f>
        <v>0</v>
      </c>
      <c r="P133" s="25">
        <f t="shared" si="23"/>
        <v>0</v>
      </c>
      <c r="Q133" s="456"/>
      <c r="R133" s="140">
        <f>ROUND(IF(M103="",R119,R119/M103*P110),2)</f>
        <v>5175</v>
      </c>
      <c r="S133" s="140">
        <f>ROUND(IF(M103="",R120,R120/M103*P110),2)</f>
        <v>7450</v>
      </c>
      <c r="T133" s="1"/>
    </row>
    <row r="134" spans="1:20" ht="15" x14ac:dyDescent="0.25">
      <c r="A134" s="76" t="str">
        <f>'päd.Personal - Leitung'!$A$38</f>
        <v>Okt 2025</v>
      </c>
      <c r="B134" s="22">
        <f>ROUND(IF(P111=0,0,IFERROR((((LOOKUP(2,1/(A110:A113=A134),G110:G113))*P111*4.348)*50%),B133/P110*P111)),2)</f>
        <v>0</v>
      </c>
      <c r="C134" s="21">
        <f>ROUND(IFERROR((LOOKUP(2,1/(A116=A134),E116)),0)+IFERROR((LOOKUP(2,1/(A117=A134),E117)),0),2)</f>
        <v>0</v>
      </c>
      <c r="D134" s="21">
        <f>ROUND(IF(B134=0,0,D124/M103*P111*50%),2)</f>
        <v>0</v>
      </c>
      <c r="E134" s="21">
        <f>ROUND(IF(B134=0,0,E124/N99*P111*50%),2)</f>
        <v>0</v>
      </c>
      <c r="F134" s="22">
        <f>ROUND(IF(P111=0,0,IFERROR((((LOOKUP(2,1/(A110:A113=A134),I110:I113))/N99*P111)*50%),F133/P110*P111)),2)</f>
        <v>0</v>
      </c>
      <c r="G134" s="25">
        <f t="shared" si="21"/>
        <v>0</v>
      </c>
      <c r="H134" s="831">
        <f>ROUND(SUM(B134:F134)*H124,2)</f>
        <v>0</v>
      </c>
      <c r="I134" s="64">
        <f>ROUND(IF((SUM(B126:F134)*80%)&gt;((SUM(S122:S134))*90%),((((SUM(S122:S134))*90%)-((SUM(B126:F134)-C134))*I124)+((SUM(B134:F134)-C134)*I124)*80%),((SUM(B134:F134)-C134)*I124)*80%),2)</f>
        <v>0</v>
      </c>
      <c r="J134" s="831">
        <f>ROUND(SUM(B134:F134)*J124,2)</f>
        <v>0</v>
      </c>
      <c r="K134" s="831">
        <f>ROUND(SUM(B134:F134)*K124,2)</f>
        <v>0</v>
      </c>
      <c r="L134" s="831">
        <f>ROUND(SUM(B134:F134)*L124,2)</f>
        <v>0</v>
      </c>
      <c r="M134" s="831">
        <f>ROUND((SUM(B134:F134)-C134)*M124,2)</f>
        <v>0</v>
      </c>
      <c r="N134" s="21">
        <f>ROUND((B134+E134+F134)*N124,2)</f>
        <v>0</v>
      </c>
      <c r="O134" s="21">
        <f>ROUND(SUM(B134+C134+F134)*O124,2)</f>
        <v>0</v>
      </c>
      <c r="P134" s="25">
        <f t="shared" si="23"/>
        <v>0</v>
      </c>
      <c r="Q134" s="936"/>
      <c r="R134" s="140">
        <f>ROUND(IF(M103="",R119,R119/M103*P111),2)</f>
        <v>5175</v>
      </c>
      <c r="S134" s="140">
        <f>ROUND(IF(M103="",R120,R120/M103*P111),2)</f>
        <v>7450</v>
      </c>
      <c r="T134" s="12"/>
    </row>
    <row r="135" spans="1:20" x14ac:dyDescent="0.2">
      <c r="A135" s="76" t="str">
        <f>'päd.Personal - Leitung'!$A$39</f>
        <v>Nov 2025</v>
      </c>
      <c r="B135" s="22">
        <f>ROUND(IF(P112=0,0,IFERROR((((LOOKUP(2,1/(A110:A113=A135),G110:G113))*P112*4.348)*50%),B134/P111*P112)),2)</f>
        <v>0</v>
      </c>
      <c r="C135" s="21">
        <f>ROUND(IFERROR((LOOKUP(2,1/(A116=A135),E116)),0)+(IFERROR((LOOKUP(2,1/(A117=A135),E117)),0)),2)</f>
        <v>0</v>
      </c>
      <c r="D135" s="21">
        <f>ROUND(IF(B135=0,0,D124/M103*P112*50%),2)</f>
        <v>0</v>
      </c>
      <c r="E135" s="21">
        <f>ROUND(IF(B135=0,0,E124/N99*P112*50%),2)</f>
        <v>0</v>
      </c>
      <c r="F135" s="22">
        <f>ROUND(IF(P112=0,0,IFERROR((((LOOKUP(2,1/(A110:A113=A135),I110:I113))/N99*P112)*50%),F134/P111*P112)),2)</f>
        <v>0</v>
      </c>
      <c r="G135" s="25">
        <f t="shared" si="21"/>
        <v>0</v>
      </c>
      <c r="H135" s="831">
        <f>ROUND(SUM(B135:F135)*H124,2)</f>
        <v>0</v>
      </c>
      <c r="I135" s="64">
        <f>ROUND(IF((SUM(B126:F135)*80%)&gt;((SUM(S122:S135))*90%),((((SUM(S122:S135))*90%)-((SUM(B126:F135)-C135))*I124)+((SUM(B135:F135)-C135)*I124)*80%),((SUM(B135:F135)-C135)*I124)*80%),2)</f>
        <v>0</v>
      </c>
      <c r="J135" s="831">
        <f>ROUND(SUM(B135:F135)*J124,2)</f>
        <v>0</v>
      </c>
      <c r="K135" s="831">
        <f>ROUND(SUM(B135:F135)*K124,2)</f>
        <v>0</v>
      </c>
      <c r="L135" s="831">
        <f>ROUND(SUM(B135:F135)*L124,2)</f>
        <v>0</v>
      </c>
      <c r="M135" s="831">
        <f>ROUND((SUM(B135:F135)-C135)*M124,2)</f>
        <v>0</v>
      </c>
      <c r="N135" s="21">
        <f>ROUND((B135+E135+F135)*N124,2)</f>
        <v>0</v>
      </c>
      <c r="O135" s="21">
        <f>ROUND(SUM(B135+C135+F135)*O124,2)</f>
        <v>0</v>
      </c>
      <c r="P135" s="25">
        <f t="shared" si="23"/>
        <v>0</v>
      </c>
      <c r="Q135" s="11"/>
      <c r="R135" s="140">
        <f>ROUND(IF(M103="",R119,R119/M103*P112),2)</f>
        <v>5175</v>
      </c>
      <c r="S135" s="140">
        <f>ROUND(IF(M103="",R120,R120/M103*P112),2)</f>
        <v>7450</v>
      </c>
      <c r="T135" s="11"/>
    </row>
    <row r="136" spans="1:20" x14ac:dyDescent="0.2">
      <c r="A136" s="76" t="str">
        <f>'päd.Personal - Leitung'!$A$40</f>
        <v>Dez 2025</v>
      </c>
      <c r="B136" s="22">
        <f>ROUND(IF(P113=0,0,IFERROR((((LOOKUP(2,1/(A110:A113=A136),G110:G113))*P113*4.348)*50%),B135/P112*P113)),2)</f>
        <v>0</v>
      </c>
      <c r="C136" s="21">
        <f>ROUND(IFERROR((LOOKUP(2,1/(A116=A136),E116)),0)+IFERROR((LOOKUP(2,1/(A117=A136),E117)),0),2)</f>
        <v>0</v>
      </c>
      <c r="D136" s="21">
        <f>ROUND(IF(B136=0,0,D124/M103*P113*50%),2)</f>
        <v>0</v>
      </c>
      <c r="E136" s="21">
        <f>ROUND(IF(B136=0,0,E124/N99*P113*50%),2)</f>
        <v>0</v>
      </c>
      <c r="F136" s="22">
        <f>ROUND(IF(P113=0,0,IFERROR((((LOOKUP(2,1/(A110:A113=A136),I110:I113))/N99*P113)*50%),F135/P112*P113)),2)</f>
        <v>0</v>
      </c>
      <c r="G136" s="25">
        <f t="shared" si="21"/>
        <v>0</v>
      </c>
      <c r="H136" s="831">
        <f>ROUND(SUM(B136:F136)*H124,2)</f>
        <v>0</v>
      </c>
      <c r="I136" s="64">
        <f>ROUND(IF((SUM(B126:F136)*80%)&gt;((SUM(S122:S136))*90%),((((SUM(S122:S136))*90%)-((SUM(B126:F136)-C136))*I124)+((SUM(B136:F136)-C136)*I124)*80%),((SUM(B136:F136)-C136)*I124)*80%),2)</f>
        <v>0</v>
      </c>
      <c r="J136" s="831">
        <f>ROUND(SUM(B136:F136)*J124,2)</f>
        <v>0</v>
      </c>
      <c r="K136" s="831">
        <f>ROUND(SUM(B136:F136)*K124,2)</f>
        <v>0</v>
      </c>
      <c r="L136" s="831">
        <f>ROUND(SUM(B136:F136)*L124,2)</f>
        <v>0</v>
      </c>
      <c r="M136" s="831">
        <f>ROUND((SUM(B136:F136)-C136)*M124,2)</f>
        <v>0</v>
      </c>
      <c r="N136" s="21">
        <f>ROUND((B136+E136+F136)*N124,2)</f>
        <v>0</v>
      </c>
      <c r="O136" s="21">
        <f>ROUND(SUM(B136+C136+F136)*O124,2)</f>
        <v>0</v>
      </c>
      <c r="P136" s="25">
        <f t="shared" si="23"/>
        <v>0</v>
      </c>
      <c r="Q136" s="11"/>
      <c r="R136" s="140">
        <f>ROUND(IF(M103="",R119,R119/M103*P113),2)</f>
        <v>5175</v>
      </c>
      <c r="S136" s="140">
        <f>ROUND(IF(M103="",R120,R120/M103*P113),2)</f>
        <v>7450</v>
      </c>
      <c r="T136" s="1"/>
    </row>
    <row r="137" spans="1:20" x14ac:dyDescent="0.2">
      <c r="A137" s="2" t="s">
        <v>1</v>
      </c>
      <c r="B137" s="25">
        <f t="shared" ref="B137:G137" si="24">SUM(B125:B136)</f>
        <v>0</v>
      </c>
      <c r="C137" s="25">
        <f t="shared" si="24"/>
        <v>0</v>
      </c>
      <c r="D137" s="25">
        <f t="shared" si="24"/>
        <v>0</v>
      </c>
      <c r="E137" s="25">
        <f t="shared" si="24"/>
        <v>0</v>
      </c>
      <c r="F137" s="25">
        <f t="shared" si="24"/>
        <v>0</v>
      </c>
      <c r="G137" s="25">
        <f t="shared" si="24"/>
        <v>0</v>
      </c>
      <c r="H137" s="1309">
        <f>SUM(H125:M136)</f>
        <v>0</v>
      </c>
      <c r="I137" s="1310"/>
      <c r="J137" s="1310"/>
      <c r="K137" s="1310"/>
      <c r="L137" s="1310"/>
      <c r="M137" s="1310"/>
      <c r="N137" s="25">
        <f>SUM(N125:N136)</f>
        <v>0</v>
      </c>
      <c r="O137" s="25">
        <f>SUM(O125:O136)</f>
        <v>0</v>
      </c>
      <c r="P137" s="25">
        <f>SUM(P125:P136)</f>
        <v>0</v>
      </c>
      <c r="Q137" s="1"/>
      <c r="R137" s="1"/>
      <c r="S137" s="1"/>
      <c r="T137" s="1"/>
    </row>
    <row r="138" spans="1:20" x14ac:dyDescent="0.2">
      <c r="Q138" s="1021"/>
      <c r="R138" s="1021"/>
      <c r="S138" s="1021"/>
    </row>
    <row r="139" spans="1:20" s="1" customFormat="1" ht="14.25" customHeight="1" x14ac:dyDescent="0.2">
      <c r="B139" s="906"/>
      <c r="H139" s="905"/>
      <c r="I139" s="62"/>
      <c r="J139" s="914" t="s">
        <v>123</v>
      </c>
      <c r="L139" s="900" t="s">
        <v>124</v>
      </c>
      <c r="M139" s="974" t="str">
        <f>IF(IF(G137=0,"",$M$43)=0,"",IF(G137=0,"",$M$43))</f>
        <v/>
      </c>
      <c r="N139" s="902" t="s">
        <v>125</v>
      </c>
      <c r="O139" s="963" t="str">
        <f>IF(IF(G137=0,"",$O$43)=0,"",IF(G137=0,"",$O$43))</f>
        <v/>
      </c>
      <c r="P139" s="25">
        <f>ROUND(IF(M139="",0,G137*M139*O139/1000),2)</f>
        <v>0</v>
      </c>
      <c r="Q139" s="1015"/>
      <c r="R139" s="1022"/>
      <c r="S139" s="1016"/>
    </row>
    <row r="140" spans="1:20" s="1" customFormat="1" ht="14.25" customHeight="1" x14ac:dyDescent="0.2">
      <c r="H140" s="907"/>
      <c r="I140" s="42"/>
      <c r="M140" s="915" t="s">
        <v>129</v>
      </c>
      <c r="N140" s="80" t="s">
        <v>125</v>
      </c>
      <c r="O140" s="75" t="str">
        <f>IF(IF(G137=0,"",$O$44)=0,"",IF(G137=0,"",$O$44))</f>
        <v/>
      </c>
      <c r="P140" s="25">
        <f>ROUND(IF(O140="",0,G137*O140/1000),2)</f>
        <v>0</v>
      </c>
      <c r="Q140" s="1023"/>
      <c r="R140" s="65"/>
      <c r="S140" s="1017"/>
    </row>
    <row r="141" spans="1:20" s="1" customFormat="1" ht="14.25" customHeight="1" x14ac:dyDescent="0.2">
      <c r="H141" s="996" t="s">
        <v>126</v>
      </c>
      <c r="I141" s="1013" t="s">
        <v>127</v>
      </c>
      <c r="J141" s="975" t="str">
        <f>IF(IF(G137=0,"",$J$45)=0,"",IF(G137=0,"",$J$45))</f>
        <v/>
      </c>
      <c r="K141" s="902" t="s">
        <v>128</v>
      </c>
      <c r="L141" s="964" t="str">
        <f>IF(IF(G137=0,"",$L$45)=0,"",IF(G137=0,"",$L$45))</f>
        <v/>
      </c>
      <c r="M141" s="16"/>
      <c r="N141" s="900" t="s">
        <v>132</v>
      </c>
      <c r="O141" s="965" t="str">
        <f>IF(IF(G137=0,"",$O$45)=0,"",IF(G137=0,"",$O$45))</f>
        <v/>
      </c>
      <c r="P141" s="25">
        <f>ROUND(IF(J141="",0,(J141*L141/O141)/M105*M106),2)</f>
        <v>0</v>
      </c>
      <c r="Q141" s="1023"/>
      <c r="R141" s="66"/>
      <c r="S141" s="1016"/>
    </row>
    <row r="142" spans="1:20" s="1" customFormat="1" ht="14.25" customHeight="1" x14ac:dyDescent="0.2">
      <c r="D142" s="16"/>
      <c r="I142" s="16"/>
      <c r="J142" s="16"/>
      <c r="K142" s="63"/>
      <c r="L142" s="67"/>
      <c r="M142" s="915" t="s">
        <v>130</v>
      </c>
      <c r="N142" s="80" t="s">
        <v>131</v>
      </c>
      <c r="O142" s="904">
        <f>IF(IF(G137=0,0,$O$46)=0,0,IF(G137=0,0,$O$46))</f>
        <v>0</v>
      </c>
      <c r="P142" s="21">
        <f>ROUND(IF(G137=0,0,O142/M103*M104),2)</f>
        <v>0</v>
      </c>
      <c r="Q142" s="1023"/>
      <c r="R142" s="1018"/>
      <c r="S142" s="1024"/>
    </row>
    <row r="143" spans="1:20" s="1" customFormat="1" ht="14.25" customHeight="1" x14ac:dyDescent="0.2">
      <c r="A143" s="16"/>
      <c r="B143" s="16"/>
      <c r="I143" s="905"/>
      <c r="J143" s="961" t="s">
        <v>176</v>
      </c>
      <c r="K143" s="1312" t="str">
        <f>IF($K$47="","",$K$47)</f>
        <v/>
      </c>
      <c r="L143" s="1312"/>
      <c r="M143" s="1312"/>
      <c r="N143" s="80" t="s">
        <v>131</v>
      </c>
      <c r="O143" s="904">
        <f>IF(IF(G137=0,0,$O$47)=0,0,IF(G137=0,0,$O$47))</f>
        <v>0</v>
      </c>
      <c r="P143" s="21">
        <f>ROUND(IF(G137=0,0,O143/M103*M104),2)</f>
        <v>0</v>
      </c>
      <c r="Q143" s="1023"/>
      <c r="R143" s="1019"/>
      <c r="S143" s="1020"/>
    </row>
    <row r="144" spans="1:20" s="1" customFormat="1" ht="14.25" customHeight="1" x14ac:dyDescent="0.2">
      <c r="A144" s="908"/>
      <c r="B144" s="908"/>
      <c r="C144" s="1001"/>
      <c r="D144" s="1001"/>
      <c r="I144" s="913"/>
      <c r="J144" s="913"/>
      <c r="K144" s="916"/>
      <c r="L144" s="27"/>
      <c r="M144" s="27"/>
      <c r="N144" s="27"/>
      <c r="O144" s="26" t="s">
        <v>0</v>
      </c>
      <c r="P144" s="25">
        <f>P137+SUM(P139:P143)</f>
        <v>0</v>
      </c>
    </row>
    <row r="145" spans="1:19" s="10" customFormat="1" ht="13.5" customHeight="1" x14ac:dyDescent="0.2">
      <c r="A145" s="1321" t="s">
        <v>17</v>
      </c>
      <c r="B145" s="1321"/>
      <c r="C145" s="1321"/>
      <c r="D145" s="1320" t="str">
        <f>IF('päd.Personal - Leitung'!$D$1="","",'päd.Personal - Leitung'!$D$1)</f>
        <v/>
      </c>
      <c r="E145" s="1320"/>
      <c r="F145" s="1320"/>
      <c r="G145" s="1320"/>
      <c r="H145" s="1320"/>
      <c r="I145" s="1320"/>
      <c r="J145" s="1320"/>
      <c r="K145" s="1320"/>
      <c r="L145" s="1320"/>
      <c r="M145" s="1320"/>
      <c r="N145" s="1320"/>
    </row>
    <row r="146" spans="1:19" s="10" customFormat="1" ht="15" customHeight="1" x14ac:dyDescent="0.2">
      <c r="A146" s="1321" t="s">
        <v>16</v>
      </c>
      <c r="B146" s="1321"/>
      <c r="C146" s="1321" t="s">
        <v>14</v>
      </c>
      <c r="D146" s="1320" t="str">
        <f>IF('päd.Personal - Leitung'!$D$2="","",'päd.Personal - Leitung'!$D$2)</f>
        <v/>
      </c>
      <c r="E146" s="1320"/>
      <c r="F146" s="1320"/>
      <c r="G146" s="1320"/>
      <c r="H146" s="1320"/>
      <c r="I146" s="1320"/>
      <c r="J146" s="1320"/>
      <c r="K146" s="1320"/>
      <c r="L146" s="1320"/>
      <c r="M146" s="1320"/>
      <c r="N146" s="1320"/>
    </row>
    <row r="147" spans="1:19" s="10" customFormat="1" ht="15" customHeight="1" x14ac:dyDescent="0.2">
      <c r="A147" s="1321" t="s">
        <v>15</v>
      </c>
      <c r="B147" s="1321"/>
      <c r="C147" s="1321" t="s">
        <v>14</v>
      </c>
      <c r="D147" s="1320" t="str">
        <f>IF('päd.Personal - Leitung'!$D$3="","",'päd.Personal - Leitung'!$D$3)</f>
        <v/>
      </c>
      <c r="E147" s="1320"/>
      <c r="F147" s="1320"/>
      <c r="G147" s="1320"/>
      <c r="H147" s="1320"/>
      <c r="I147" s="1320"/>
      <c r="J147" s="1320"/>
      <c r="K147" s="1321" t="s">
        <v>100</v>
      </c>
      <c r="L147" s="1321"/>
      <c r="M147" s="1321"/>
      <c r="N147" s="38" t="str">
        <f>IF('päd.Personal - Leitung'!$N$3="","",'päd.Personal - Leitung'!$N$3)</f>
        <v/>
      </c>
    </row>
    <row r="148" spans="1:19" s="923" customFormat="1" ht="7.5" customHeight="1" x14ac:dyDescent="0.15">
      <c r="A148" s="1353"/>
      <c r="B148" s="1353"/>
      <c r="C148" s="1353"/>
      <c r="D148" s="1354"/>
      <c r="E148" s="1354"/>
      <c r="F148" s="1354"/>
      <c r="G148" s="1354"/>
      <c r="H148" s="1354"/>
      <c r="I148" s="1354"/>
      <c r="J148" s="1354"/>
      <c r="K148" s="922"/>
      <c r="L148" s="922"/>
      <c r="M148" s="922"/>
      <c r="N148" s="922"/>
      <c r="O148" s="922"/>
      <c r="P148" s="922"/>
    </row>
    <row r="149" spans="1:19" x14ac:dyDescent="0.2">
      <c r="A149" s="1355" t="s">
        <v>191</v>
      </c>
      <c r="B149" s="1355"/>
      <c r="C149" s="1355"/>
      <c r="D149" s="1355"/>
      <c r="E149" s="1355"/>
      <c r="F149" s="1355"/>
      <c r="G149" s="1355"/>
      <c r="H149" s="1355"/>
      <c r="I149" s="1355"/>
      <c r="J149" s="1355"/>
      <c r="K149" s="1355"/>
      <c r="L149" s="1355"/>
      <c r="M149" s="1355"/>
      <c r="N149" s="52"/>
      <c r="O149" s="138">
        <f>'päd.Personal - Leitung'!$O$5</f>
        <v>2025</v>
      </c>
      <c r="P149" s="52" t="s">
        <v>140</v>
      </c>
    </row>
    <row r="150" spans="1:19" s="8" customFormat="1" ht="13.5" customHeight="1" x14ac:dyDescent="0.25">
      <c r="B150" s="29"/>
      <c r="C150" s="29"/>
      <c r="D150" s="3" t="s">
        <v>164</v>
      </c>
      <c r="E150" s="28"/>
      <c r="F150" s="28"/>
      <c r="G150" s="28"/>
      <c r="H150" s="28"/>
      <c r="I150" s="24"/>
      <c r="K150" s="1327" t="s">
        <v>13</v>
      </c>
      <c r="L150" s="1327"/>
      <c r="M150" s="131"/>
      <c r="O150" s="928" t="str">
        <f>A173</f>
        <v>Jan 2025</v>
      </c>
      <c r="P150" s="68">
        <f>IF(M152="","",M152)</f>
        <v>0</v>
      </c>
    </row>
    <row r="151" spans="1:19" s="5" customFormat="1" ht="13.5" customHeight="1" x14ac:dyDescent="0.25">
      <c r="A151" s="1328" t="s">
        <v>754</v>
      </c>
      <c r="B151" s="1328"/>
      <c r="C151" s="1328"/>
      <c r="D151" s="1329"/>
      <c r="E151" s="1329"/>
      <c r="F151" s="1329"/>
      <c r="G151" s="1329"/>
      <c r="H151" s="1329"/>
      <c r="I151" s="1329"/>
      <c r="K151" s="1327" t="s">
        <v>101</v>
      </c>
      <c r="L151" s="1327"/>
      <c r="M151" s="101"/>
      <c r="O151" s="928" t="str">
        <f t="shared" ref="O151:O161" si="25">A174</f>
        <v>Feb 2025</v>
      </c>
      <c r="P151" s="69">
        <f t="shared" ref="P151:P157" si="26">IF(P150="","",P150)</f>
        <v>0</v>
      </c>
    </row>
    <row r="152" spans="1:19" s="1" customFormat="1" ht="13.5" customHeight="1" x14ac:dyDescent="0.2">
      <c r="A152" s="1328" t="s">
        <v>12</v>
      </c>
      <c r="B152" s="1328"/>
      <c r="C152" s="1328"/>
      <c r="D152" s="1345"/>
      <c r="E152" s="1345"/>
      <c r="F152" s="1345"/>
      <c r="G152" s="1345"/>
      <c r="H152" s="1345"/>
      <c r="I152" s="1345"/>
      <c r="K152" s="1327" t="s">
        <v>149</v>
      </c>
      <c r="L152" s="1327"/>
      <c r="M152" s="101">
        <f>IF((M153+M154)&gt;M151,0,M151-M153-M154)</f>
        <v>0</v>
      </c>
      <c r="O152" s="928" t="str">
        <f t="shared" si="25"/>
        <v>Mrz 2025</v>
      </c>
      <c r="P152" s="69">
        <f t="shared" si="26"/>
        <v>0</v>
      </c>
    </row>
    <row r="153" spans="1:19" s="1" customFormat="1" ht="13.5" customHeight="1" x14ac:dyDescent="0.2">
      <c r="A153" s="1328" t="s">
        <v>11</v>
      </c>
      <c r="B153" s="1328"/>
      <c r="C153" s="1328"/>
      <c r="D153" s="1345"/>
      <c r="E153" s="1345"/>
      <c r="F153" s="1345"/>
      <c r="G153" s="1345"/>
      <c r="H153" s="1345"/>
      <c r="I153" s="1345"/>
      <c r="K153" s="1327" t="s">
        <v>150</v>
      </c>
      <c r="L153" s="1327"/>
      <c r="M153" s="101"/>
      <c r="O153" s="928" t="str">
        <f t="shared" si="25"/>
        <v>Apr 2025</v>
      </c>
      <c r="P153" s="69">
        <f t="shared" si="26"/>
        <v>0</v>
      </c>
    </row>
    <row r="154" spans="1:19" s="1" customFormat="1" ht="13.5" customHeight="1" x14ac:dyDescent="0.2">
      <c r="A154" s="1328" t="s">
        <v>18</v>
      </c>
      <c r="B154" s="1328"/>
      <c r="C154" s="1328"/>
      <c r="D154" s="1345"/>
      <c r="E154" s="1345"/>
      <c r="F154" s="1345"/>
      <c r="G154" s="1345"/>
      <c r="H154" s="1345"/>
      <c r="I154" s="1345"/>
      <c r="K154" s="1327" t="s">
        <v>222</v>
      </c>
      <c r="L154" s="1327"/>
      <c r="M154" s="101"/>
      <c r="O154" s="928" t="str">
        <f t="shared" si="25"/>
        <v>Mai 2025</v>
      </c>
      <c r="P154" s="69">
        <f t="shared" si="26"/>
        <v>0</v>
      </c>
    </row>
    <row r="155" spans="1:19" s="1" customFormat="1" ht="13.5" customHeight="1" x14ac:dyDescent="0.2">
      <c r="B155" s="6"/>
      <c r="C155" s="998" t="s">
        <v>147</v>
      </c>
      <c r="D155" s="1324"/>
      <c r="E155" s="1324"/>
      <c r="F155" s="1359" t="s">
        <v>108</v>
      </c>
      <c r="G155" s="1359"/>
      <c r="H155" s="1361"/>
      <c r="I155" s="1361"/>
      <c r="K155" s="1327" t="s">
        <v>94</v>
      </c>
      <c r="L155" s="1327"/>
      <c r="M155" s="15" t="str">
        <f>IF(IF((COUNTIF(B173:B184,"&gt;0"))=0,0,(COUNTIF(B173:B184,"&gt;0")))&gt;Grundlagen!$C$26,Grundlagen!$C$26,IF((COUNTIF(B173:B184,"&gt;0"))=0,"",(COUNTIF(B173:B184,"&gt;0"))))</f>
        <v/>
      </c>
      <c r="O155" s="928" t="str">
        <f t="shared" si="25"/>
        <v>Jun 2025</v>
      </c>
      <c r="P155" s="69">
        <f t="shared" si="26"/>
        <v>0</v>
      </c>
    </row>
    <row r="156" spans="1:19" s="1" customFormat="1" ht="13.5" customHeight="1" x14ac:dyDescent="0.2">
      <c r="F156" s="1359" t="s">
        <v>213</v>
      </c>
      <c r="G156" s="1359"/>
      <c r="H156" s="1361"/>
      <c r="I156" s="1361"/>
      <c r="M156" s="102" t="str">
        <f>IF((SUM(F158:F161))=0,"",IF(P162&gt;M152,M152,IF(M152="","",IF(M155="","",P162))))</f>
        <v/>
      </c>
      <c r="O156" s="928" t="str">
        <f t="shared" si="25"/>
        <v>Jul 2025</v>
      </c>
      <c r="P156" s="69">
        <f t="shared" si="26"/>
        <v>0</v>
      </c>
    </row>
    <row r="157" spans="1:19" s="46" customFormat="1" ht="13.5" customHeight="1" x14ac:dyDescent="0.2">
      <c r="A157" s="54" t="s">
        <v>134</v>
      </c>
      <c r="B157" s="1356" t="s">
        <v>135</v>
      </c>
      <c r="C157" s="1356"/>
      <c r="D157" s="55" t="s">
        <v>136</v>
      </c>
      <c r="E157" s="56" t="s">
        <v>137</v>
      </c>
      <c r="F157" s="57" t="str">
        <f>CONCATENATE("Entg. ",N147," h/Wo")</f>
        <v>Entg.  h/Wo</v>
      </c>
      <c r="G157" s="58" t="s">
        <v>138</v>
      </c>
      <c r="I157" s="58" t="s">
        <v>139</v>
      </c>
      <c r="K157" s="970"/>
      <c r="L157" s="970"/>
      <c r="M157" s="59"/>
      <c r="N157" s="968" t="str">
        <f>IF(A159="","",A159)</f>
        <v/>
      </c>
      <c r="O157" s="928" t="str">
        <f t="shared" si="25"/>
        <v>Aug 2025</v>
      </c>
      <c r="P157" s="69">
        <f t="shared" si="26"/>
        <v>0</v>
      </c>
      <c r="Q157" s="1027"/>
      <c r="R157" s="1025"/>
      <c r="S157" s="1025"/>
    </row>
    <row r="158" spans="1:19" s="46" customFormat="1" ht="13.5" customHeight="1" x14ac:dyDescent="0.25">
      <c r="A158" s="48" t="str">
        <f>A173</f>
        <v>Jan 2025</v>
      </c>
      <c r="B158" s="1357" t="str">
        <f>IF($D$3="","",$D$3)</f>
        <v/>
      </c>
      <c r="C158" s="1358"/>
      <c r="D158" s="132"/>
      <c r="E158" s="132"/>
      <c r="F158" s="71"/>
      <c r="G158" s="50">
        <f>IF(N147="",0,F158/N147/4.348)</f>
        <v>0</v>
      </c>
      <c r="I158" s="51">
        <f>SUM(J158:M158)</f>
        <v>0</v>
      </c>
      <c r="J158" s="70"/>
      <c r="K158" s="70"/>
      <c r="L158" s="70"/>
      <c r="M158" s="70"/>
      <c r="N158" s="983"/>
      <c r="O158" s="928" t="str">
        <f t="shared" si="25"/>
        <v>Sep 2025</v>
      </c>
      <c r="P158" s="69">
        <f t="shared" ref="P158:P161" si="27">IF(P157="","",P157)</f>
        <v>0</v>
      </c>
      <c r="Q158" s="1026"/>
      <c r="R158" s="829"/>
      <c r="S158" s="1028"/>
    </row>
    <row r="159" spans="1:19" s="46" customFormat="1" ht="13.5" customHeight="1" x14ac:dyDescent="0.25">
      <c r="A159" s="49"/>
      <c r="B159" s="1322" t="str">
        <f>IF(A159="","",B158)</f>
        <v/>
      </c>
      <c r="C159" s="1323"/>
      <c r="D159" s="132"/>
      <c r="E159" s="132"/>
      <c r="F159" s="71"/>
      <c r="G159" s="50">
        <f>IF(N147="",0,F159/N147/4.348)</f>
        <v>0</v>
      </c>
      <c r="I159" s="51">
        <f t="shared" ref="I159:I161" si="28">SUM(J159:M159)</f>
        <v>0</v>
      </c>
      <c r="J159" s="70"/>
      <c r="K159" s="70"/>
      <c r="L159" s="70"/>
      <c r="M159" s="70"/>
      <c r="N159" s="983"/>
      <c r="O159" s="928" t="str">
        <f t="shared" si="25"/>
        <v>Okt 2025</v>
      </c>
      <c r="P159" s="69">
        <f t="shared" si="27"/>
        <v>0</v>
      </c>
      <c r="Q159" s="1026"/>
      <c r="R159" s="829"/>
      <c r="S159" s="1028"/>
    </row>
    <row r="160" spans="1:19" s="46" customFormat="1" ht="13.5" customHeight="1" x14ac:dyDescent="0.25">
      <c r="A160" s="49"/>
      <c r="B160" s="1322" t="str">
        <f>IF(A160="","",B159)</f>
        <v/>
      </c>
      <c r="C160" s="1323"/>
      <c r="D160" s="132"/>
      <c r="E160" s="132"/>
      <c r="F160" s="71"/>
      <c r="G160" s="50">
        <f>IF(N147="",0,F160/N147/4.348)</f>
        <v>0</v>
      </c>
      <c r="I160" s="51">
        <f t="shared" si="28"/>
        <v>0</v>
      </c>
      <c r="J160" s="70"/>
      <c r="K160" s="70"/>
      <c r="L160" s="70"/>
      <c r="M160" s="70"/>
      <c r="N160" s="983"/>
      <c r="O160" s="928" t="str">
        <f t="shared" si="25"/>
        <v>Nov 2025</v>
      </c>
      <c r="P160" s="69">
        <f t="shared" si="27"/>
        <v>0</v>
      </c>
      <c r="Q160" s="828"/>
      <c r="R160" s="829"/>
      <c r="S160" s="829"/>
    </row>
    <row r="161" spans="1:20" s="46" customFormat="1" ht="13.5" customHeight="1" x14ac:dyDescent="0.25">
      <c r="A161" s="49"/>
      <c r="B161" s="1322" t="str">
        <f>IF(A161="","",B160)</f>
        <v/>
      </c>
      <c r="C161" s="1323"/>
      <c r="D161" s="132"/>
      <c r="E161" s="132"/>
      <c r="F161" s="71"/>
      <c r="G161" s="50">
        <f>IF(N147="",0,F161/N147/4.348)</f>
        <v>0</v>
      </c>
      <c r="I161" s="51">
        <f t="shared" si="28"/>
        <v>0</v>
      </c>
      <c r="J161" s="70"/>
      <c r="K161" s="70"/>
      <c r="L161" s="70"/>
      <c r="M161" s="70"/>
      <c r="N161" s="983"/>
      <c r="O161" s="928" t="str">
        <f t="shared" si="25"/>
        <v>Dez 2025</v>
      </c>
      <c r="P161" s="69">
        <f t="shared" si="27"/>
        <v>0</v>
      </c>
      <c r="Q161" s="276"/>
      <c r="R161" s="827"/>
      <c r="S161" s="827"/>
    </row>
    <row r="162" spans="1:20" s="46" customFormat="1" ht="13.5" customHeight="1" x14ac:dyDescent="0.25">
      <c r="B162" s="972"/>
      <c r="C162" s="972"/>
      <c r="E162" s="972"/>
      <c r="F162" s="972"/>
      <c r="I162" s="930" t="s">
        <v>730</v>
      </c>
      <c r="J162" s="982"/>
      <c r="K162" s="982"/>
      <c r="L162" s="982"/>
      <c r="M162" s="982"/>
      <c r="N162" s="994"/>
      <c r="O162" s="126" t="s">
        <v>221</v>
      </c>
      <c r="P162" s="127">
        <f>IF(M155="",0,((IF(SUMIF(B173,"&gt;0"),P150,0))+(IF(SUMIF(B174,"&gt;0"),P151,0))+(IF(SUMIF(B175,"&gt;0"),P152,0))+(IF(SUMIF(B176,"&gt;0"),P153,0))+(IF(SUMIF(B177,"&gt;0"),P154,0))+(IF(SUMIF(B178,"&gt;0"),P155,0))+(IF(SUMIF(B179,"&gt;0"),P156,0))+(IF(SUMIF(B180,"&gt;0"),P157,0))+(IF(SUMIF(B181,"&gt;0"),P158,0))+(IF(SUMIF(B182,"&gt;0"),P159,0))+(IF(SUMIF(B183,"&gt;0"),P160,0))+(IF(SUMIF(B184,"&gt;0"),P161,0)))/Grundlagen!$C$26)</f>
        <v>0</v>
      </c>
      <c r="Q162" s="997" t="str">
        <f>CONCATENATE("BBG"," anteilig ",O164)</f>
        <v>BBG anteilig 2025</v>
      </c>
      <c r="R162" s="931" t="s">
        <v>659</v>
      </c>
      <c r="S162" s="931" t="s">
        <v>398</v>
      </c>
      <c r="T162" s="107"/>
    </row>
    <row r="163" spans="1:20" s="46" customFormat="1" ht="13.5" customHeight="1" x14ac:dyDescent="0.2">
      <c r="A163" s="924" t="s">
        <v>732</v>
      </c>
      <c r="D163" s="55" t="s">
        <v>369</v>
      </c>
      <c r="E163" s="56" t="s">
        <v>368</v>
      </c>
      <c r="F163" s="58"/>
      <c r="J163" s="61"/>
      <c r="Q163" s="932" t="s">
        <v>144</v>
      </c>
      <c r="R163" s="140">
        <f>IF(M152=0,R167,IF(M151="",R167,(SUM(R173:R184)/M155)))</f>
        <v>5175</v>
      </c>
      <c r="S163" s="933">
        <f>IF(M152=0,S167,IF(M151="",S167,SUM(R173:R184)))</f>
        <v>0</v>
      </c>
      <c r="T163" s="107"/>
    </row>
    <row r="164" spans="1:20" s="46" customFormat="1" ht="13.5" customHeight="1" x14ac:dyDescent="0.25">
      <c r="A164" s="60"/>
      <c r="B164" s="1314" t="str">
        <f>IF($B$20="","",$B$20)</f>
        <v>Jahressonderzahlung (JSZ)</v>
      </c>
      <c r="C164" s="1315"/>
      <c r="D164" s="926"/>
      <c r="E164" s="929" t="str">
        <f>IF(A164="","",ROUND((((SUM(B179:B181)+SUM(F179:F181))/3)*D164)/Grundlagen!$C$26*M155,2))</f>
        <v/>
      </c>
      <c r="N164" s="917" t="s">
        <v>736</v>
      </c>
      <c r="O164" s="918">
        <f>P164+1</f>
        <v>2025</v>
      </c>
      <c r="P164" s="918" t="s">
        <v>721</v>
      </c>
      <c r="Q164" s="932" t="s">
        <v>145</v>
      </c>
      <c r="R164" s="140">
        <f>IF(M152=0,R168,IF(M151="",R168,(SUM(S173:S184)/M155)))</f>
        <v>7450</v>
      </c>
      <c r="S164" s="933">
        <f>IF(M152=0,S168,IF(M151="",S168,SUM(S173:S184)))</f>
        <v>0</v>
      </c>
      <c r="T164" s="109"/>
    </row>
    <row r="165" spans="1:20" ht="14.25" customHeight="1" x14ac:dyDescent="0.2">
      <c r="A165" s="60"/>
      <c r="B165" s="1314" t="str">
        <f>IF($B$21="","",$B$21)</f>
        <v>Leistungsentgelt (LOB)</v>
      </c>
      <c r="C165" s="1315"/>
      <c r="D165" s="926"/>
      <c r="E165" s="929" t="str">
        <f>IF(A165="","",ROUND(((B185+F185)*D165)/Grundlagen!$C$26*M155,2))</f>
        <v/>
      </c>
      <c r="F165" s="1"/>
      <c r="N165" s="139" t="s">
        <v>144</v>
      </c>
      <c r="O165" s="141">
        <f>'päd.Personal - Leitung'!$O$21</f>
        <v>5175</v>
      </c>
      <c r="P165" s="141">
        <f>'päd.Personal - Leitung'!$P$21</f>
        <v>5175</v>
      </c>
      <c r="Q165" s="11"/>
      <c r="R165" s="11"/>
      <c r="S165" s="11"/>
      <c r="T165" s="109"/>
    </row>
    <row r="166" spans="1:20" ht="14.25" customHeight="1" x14ac:dyDescent="0.2">
      <c r="A166" s="1"/>
      <c r="B166" s="1"/>
      <c r="C166" s="925" t="s">
        <v>731</v>
      </c>
      <c r="D166" s="1"/>
      <c r="E166" s="1"/>
      <c r="F166" s="1"/>
      <c r="N166" s="139" t="s">
        <v>145</v>
      </c>
      <c r="O166" s="899">
        <f>'päd.Personal - Leitung'!$O$22</f>
        <v>7450</v>
      </c>
      <c r="P166" s="899">
        <f>'päd.Personal - Leitung'!$P$22</f>
        <v>7450</v>
      </c>
      <c r="Q166" s="997" t="str">
        <f>CONCATENATE("BBG"," ",O164)</f>
        <v>BBG 2025</v>
      </c>
      <c r="R166" s="11"/>
      <c r="S166" s="11"/>
      <c r="T166" s="109"/>
    </row>
    <row r="167" spans="1:20" ht="14.25" customHeight="1" x14ac:dyDescent="0.2">
      <c r="A167" s="53" t="s">
        <v>141</v>
      </c>
      <c r="O167" s="18"/>
      <c r="Q167" s="932" t="s">
        <v>144</v>
      </c>
      <c r="R167" s="141">
        <f>IF($O$21="",0,$O$21)</f>
        <v>5175</v>
      </c>
      <c r="S167" s="933">
        <f>R167*IF(M155="",0,M155)</f>
        <v>0</v>
      </c>
    </row>
    <row r="168" spans="1:20" ht="14.25" customHeight="1" x14ac:dyDescent="0.2">
      <c r="A168" s="1346"/>
      <c r="B168" s="1348" t="s">
        <v>8</v>
      </c>
      <c r="C168" s="1349"/>
      <c r="D168" s="1349"/>
      <c r="E168" s="1349"/>
      <c r="F168" s="1349"/>
      <c r="G168" s="1350"/>
      <c r="H168" s="1351" t="s">
        <v>113</v>
      </c>
      <c r="I168" s="1352"/>
      <c r="J168" s="1352"/>
      <c r="K168" s="1352"/>
      <c r="L168" s="1352"/>
      <c r="M168" s="1352"/>
      <c r="N168" s="1368" t="s">
        <v>658</v>
      </c>
      <c r="O168" s="30"/>
      <c r="P168" s="1330" t="s">
        <v>0</v>
      </c>
      <c r="Q168" s="932" t="s">
        <v>145</v>
      </c>
      <c r="R168" s="141">
        <f>IF($O$22="",0,$O$22)</f>
        <v>7450</v>
      </c>
      <c r="S168" s="933">
        <f>R168*IF(M155="",0,M155)</f>
        <v>0</v>
      </c>
    </row>
    <row r="169" spans="1:20" ht="14.25" customHeight="1" x14ac:dyDescent="0.2">
      <c r="A169" s="1347"/>
      <c r="B169" s="1333" t="s">
        <v>111</v>
      </c>
      <c r="C169" s="1335" t="s">
        <v>743</v>
      </c>
      <c r="D169" s="1337" t="s">
        <v>226</v>
      </c>
      <c r="E169" s="1339" t="s">
        <v>133</v>
      </c>
      <c r="F169" s="1002" t="s">
        <v>6</v>
      </c>
      <c r="G169" s="1340" t="s">
        <v>5</v>
      </c>
      <c r="H169" s="1339" t="s">
        <v>119</v>
      </c>
      <c r="I169" s="1339" t="s">
        <v>657</v>
      </c>
      <c r="J169" s="1339" t="s">
        <v>4</v>
      </c>
      <c r="K169" s="1339" t="s">
        <v>3</v>
      </c>
      <c r="L169" s="1339" t="s">
        <v>2</v>
      </c>
      <c r="M169" s="1339" t="s">
        <v>95</v>
      </c>
      <c r="N169" s="1369"/>
      <c r="O169" s="1338" t="s">
        <v>109</v>
      </c>
      <c r="P169" s="1331"/>
      <c r="Q169" s="456"/>
      <c r="R169" s="11"/>
      <c r="S169" s="11"/>
    </row>
    <row r="170" spans="1:20" ht="14.25" customHeight="1" x14ac:dyDescent="0.2">
      <c r="A170" s="1347"/>
      <c r="B170" s="1333"/>
      <c r="C170" s="1335"/>
      <c r="D170" s="1338"/>
      <c r="E170" s="1339"/>
      <c r="F170" s="1343" t="str">
        <f>I162</f>
        <v>Zuschläge / Zulagen / o.ä.:</v>
      </c>
      <c r="G170" s="1340"/>
      <c r="H170" s="1342" t="s">
        <v>117</v>
      </c>
      <c r="I170" s="1339"/>
      <c r="J170" s="1342"/>
      <c r="K170" s="1342"/>
      <c r="L170" s="1342"/>
      <c r="M170" s="1339"/>
      <c r="N170" s="1369"/>
      <c r="O170" s="1338"/>
      <c r="P170" s="1331"/>
      <c r="Q170" s="456"/>
      <c r="R170" s="1306" t="str">
        <f>Q162</f>
        <v>BBG anteilig 2025</v>
      </c>
      <c r="S170" s="1306"/>
    </row>
    <row r="171" spans="1:20" x14ac:dyDescent="0.2">
      <c r="A171" s="1347"/>
      <c r="B171" s="1333"/>
      <c r="C171" s="1335"/>
      <c r="D171" s="1338"/>
      <c r="E171" s="1339"/>
      <c r="F171" s="1343"/>
      <c r="G171" s="1340"/>
      <c r="H171" s="39" t="str">
        <f>'päd.Personal - Leitung'!$H$27</f>
        <v>(7,30% + Zusatz)</v>
      </c>
      <c r="I171" s="39" t="str">
        <f>$I$27</f>
        <v xml:space="preserve"> (2024: 18,60%)</v>
      </c>
      <c r="J171" s="39" t="str">
        <f>'päd.Personal - Leitung'!$I$27</f>
        <v xml:space="preserve"> (2024: 9,30%)</v>
      </c>
      <c r="K171" s="39" t="str">
        <f>'päd.Personal - Leitung'!$J$27</f>
        <v>(2024: 1,30%)</v>
      </c>
      <c r="L171" s="39" t="str">
        <f>'päd.Personal - Leitung'!$K$27</f>
        <v>(2024: 1,700%)</v>
      </c>
      <c r="M171" s="1339"/>
      <c r="N171" s="39" t="str">
        <f>$N$27</f>
        <v xml:space="preserve"> (2024: 20%)</v>
      </c>
      <c r="O171" s="1338"/>
      <c r="P171" s="1331"/>
      <c r="Q171" s="456"/>
      <c r="R171" s="1307" t="s">
        <v>659</v>
      </c>
      <c r="S171" s="1307"/>
    </row>
    <row r="172" spans="1:20" x14ac:dyDescent="0.2">
      <c r="A172" s="1347"/>
      <c r="B172" s="1334"/>
      <c r="C172" s="1336"/>
      <c r="D172" s="45"/>
      <c r="E172" s="45"/>
      <c r="F172" s="1344"/>
      <c r="G172" s="1341"/>
      <c r="H172" s="74"/>
      <c r="I172" s="19"/>
      <c r="J172" s="99">
        <f>'päd.Personal - Leitung'!$I$28</f>
        <v>0</v>
      </c>
      <c r="K172" s="99">
        <f>'päd.Personal - Leitung'!$J$28</f>
        <v>0</v>
      </c>
      <c r="L172" s="40">
        <f>'päd.Personal - Leitung'!$K$28</f>
        <v>0</v>
      </c>
      <c r="M172" s="19"/>
      <c r="N172" s="19"/>
      <c r="O172" s="19"/>
      <c r="P172" s="1332"/>
      <c r="Q172" s="456"/>
      <c r="R172" s="935" t="s">
        <v>144</v>
      </c>
      <c r="S172" s="935" t="s">
        <v>145</v>
      </c>
    </row>
    <row r="173" spans="1:20" x14ac:dyDescent="0.2">
      <c r="A173" s="76" t="str">
        <f>'päd.Personal - Leitung'!$A$29</f>
        <v>Jan 2025</v>
      </c>
      <c r="B173" s="22">
        <f>ROUND(IF(P150=0,0,(LOOKUP(2,1/(A158:A161=A173),G158:G161))*P150*4.348)*50%,2)</f>
        <v>0</v>
      </c>
      <c r="C173" s="21">
        <f>ROUND(IFERROR((LOOKUP(2,1/(A164=A173),E164)),0)+IFERROR((LOOKUP(2,1/(A165=A173),E165)),0),2)</f>
        <v>0</v>
      </c>
      <c r="D173" s="21">
        <f>ROUND(IF(B173=0,0,D172/M151*P150*50%),2)</f>
        <v>0</v>
      </c>
      <c r="E173" s="21">
        <f>ROUND(IF(B173=0,0,E172/N147*P150*50%),2)</f>
        <v>0</v>
      </c>
      <c r="F173" s="22">
        <f>ROUND(IF(P150=0,0,(LOOKUP(2,1/(A158:A161=A173),I158:I161))/N147*P150)*50%,2)</f>
        <v>0</v>
      </c>
      <c r="G173" s="25">
        <f>SUM(B173+C173+E173+F173)</f>
        <v>0</v>
      </c>
      <c r="H173" s="831">
        <f>ROUND(SUM(B173:F173)*H172,2)</f>
        <v>0</v>
      </c>
      <c r="I173" s="64">
        <f>ROUND(IF((SUM(B173:F173)*80%)&gt;((S173)*90%),((((S173)*90%)-((SUM(B173:F173)-C173))*I172)+((SUM(B173:F173)-C173)*I172)*80%),((SUM(B173:F173)-C173)*I172)*80%),2)</f>
        <v>0</v>
      </c>
      <c r="J173" s="831">
        <f>ROUND(SUM(B173:F173)*J172,2)</f>
        <v>0</v>
      </c>
      <c r="K173" s="831">
        <f>ROUND(SUM(B173:F173)*K172,2)</f>
        <v>0</v>
      </c>
      <c r="L173" s="831">
        <f>ROUND(SUM(B173:F173)*L172,2)</f>
        <v>0</v>
      </c>
      <c r="M173" s="831">
        <f>ROUND((SUM(B173:F173)-C173)*M172,2)</f>
        <v>0</v>
      </c>
      <c r="N173" s="21">
        <f>ROUND((B173+E173+F173)*N172,2)</f>
        <v>0</v>
      </c>
      <c r="O173" s="21">
        <f>ROUND(SUM(B173+C173+F173)*O172,2)</f>
        <v>0</v>
      </c>
      <c r="P173" s="25">
        <f>SUM(G173:O173)</f>
        <v>0</v>
      </c>
      <c r="Q173" s="456"/>
      <c r="R173" s="140">
        <f>ROUND(IF(M151="",R167,R167/M151*P150),2)</f>
        <v>5175</v>
      </c>
      <c r="S173" s="140">
        <f>ROUND(IF(M151="",R168,R168/M151*P150),2)</f>
        <v>7450</v>
      </c>
    </row>
    <row r="174" spans="1:20" x14ac:dyDescent="0.2">
      <c r="A174" s="76" t="str">
        <f>'päd.Personal - Leitung'!$A$30</f>
        <v>Feb 2025</v>
      </c>
      <c r="B174" s="22">
        <f>ROUND(IF(P151=0,0,IFERROR((((LOOKUP(2,1/(A158:A161=A174),G158:G161))*P151*4.348)*50%),B173/P150*P151)),2)</f>
        <v>0</v>
      </c>
      <c r="C174" s="21">
        <f>ROUND(IFERROR((LOOKUP(2,1/(A164=A174),E164)),0)+IFERROR((LOOKUP(2,1/(A165=A174),E165)),0),2)</f>
        <v>0</v>
      </c>
      <c r="D174" s="21">
        <f>ROUND(IF(B174=0,0,D172/M151*P151*50%),2)</f>
        <v>0</v>
      </c>
      <c r="E174" s="21">
        <f>ROUND(IF(B174=0,0,E172/N147*P151*50%),2)</f>
        <v>0</v>
      </c>
      <c r="F174" s="22">
        <f>ROUND(IF(P151=0,0,IFERROR((((LOOKUP(2,1/(A158:A161=A174),I158:I161))/N147*P151)*50%),F173/P150*P151)),2)</f>
        <v>0</v>
      </c>
      <c r="G174" s="25">
        <f t="shared" ref="G174:G184" si="29">SUM(B174+C174+E174+F174)</f>
        <v>0</v>
      </c>
      <c r="H174" s="831">
        <f>ROUND(SUM(B174:F174)*H172,2)</f>
        <v>0</v>
      </c>
      <c r="I174" s="64">
        <f>ROUND(IF((SUM(B174:F174)*80%)&gt;((SUM(S170:S174))*90%),((((SUM(S170:S174))*90%)-((SUM(B174:F174)-C174))*I172)+((SUM(B174:F174)-C174)*I172)*80%),((SUM(B174:F174)-C174)*I172)*80%),2)</f>
        <v>0</v>
      </c>
      <c r="J174" s="831">
        <f>ROUND(SUM(B174:F174)*J172,2)</f>
        <v>0</v>
      </c>
      <c r="K174" s="831">
        <f>ROUND(SUM(B174:F174)*K172,2)</f>
        <v>0</v>
      </c>
      <c r="L174" s="831">
        <f>ROUND(SUM(B174:F174)*L172,2)</f>
        <v>0</v>
      </c>
      <c r="M174" s="831">
        <f>ROUND((SUM(B174:F174)-C174)*M172,2)</f>
        <v>0</v>
      </c>
      <c r="N174" s="21">
        <f>ROUND((B174+E174+F174)*N172,2)</f>
        <v>0</v>
      </c>
      <c r="O174" s="21">
        <f>ROUND(SUM(B174+C174+F174)*O172,2)</f>
        <v>0</v>
      </c>
      <c r="P174" s="25">
        <f t="shared" ref="P174" si="30">SUM(G174:O174)</f>
        <v>0</v>
      </c>
      <c r="Q174" s="456"/>
      <c r="R174" s="140">
        <f>ROUND(IF(M151="",R167,R167/M151*P151),2)</f>
        <v>5175</v>
      </c>
      <c r="S174" s="140">
        <f>ROUND(IF(M151="",R168,R168/M151*P151),2)</f>
        <v>7450</v>
      </c>
    </row>
    <row r="175" spans="1:20" x14ac:dyDescent="0.2">
      <c r="A175" s="76" t="str">
        <f>'päd.Personal - Leitung'!$A$31</f>
        <v>Mrz 2025</v>
      </c>
      <c r="B175" s="22">
        <f>ROUND(IF(P152=0,0,IFERROR((((LOOKUP(2,1/(A158:A161=A175),G158:G161))*P152*4.348)*50%),B174/P151*P152)),2)</f>
        <v>0</v>
      </c>
      <c r="C175" s="21">
        <f>ROUND(IFERROR((LOOKUP(2,1/(A164=A175),E164)),0)+IFERROR((LOOKUP(2,1/(A165=A175),E165)),0),2)</f>
        <v>0</v>
      </c>
      <c r="D175" s="21">
        <f>ROUND(IF(B175=0,0,D172/M151*P152*50%),2)</f>
        <v>0</v>
      </c>
      <c r="E175" s="21">
        <f>ROUND(IF(B175=0,0,E172/N147*P152*50%),2)</f>
        <v>0</v>
      </c>
      <c r="F175" s="22">
        <f>ROUND(IF(P152=0,0,IFERROR((((LOOKUP(2,1/(A158:A161=A175),I158:I161))/N147*P152)*50%),F174/P151*P152)),2)</f>
        <v>0</v>
      </c>
      <c r="G175" s="25">
        <f t="shared" si="29"/>
        <v>0</v>
      </c>
      <c r="H175" s="831">
        <f>ROUND(SUM(B175:F175)*H172,2)</f>
        <v>0</v>
      </c>
      <c r="I175" s="64">
        <f>ROUND(IF((SUM(B174:F175)*80%)&gt;((SUM(S170:S175))*90%),((((SUM(S170:S175))*90%)-((SUM(B174:F175)-C175))*I172)+((SUM(B175:F175)-C175)*I172)*80%),((SUM(B175:F175)-C175)*I172)*80%),2)</f>
        <v>0</v>
      </c>
      <c r="J175" s="831">
        <f>ROUND(SUM(B175:F175)*J172,2)</f>
        <v>0</v>
      </c>
      <c r="K175" s="831">
        <f>ROUND(SUM(B175:F175)*K172,2)</f>
        <v>0</v>
      </c>
      <c r="L175" s="831">
        <f>ROUND(SUM(B175:F175)*L172,2)</f>
        <v>0</v>
      </c>
      <c r="M175" s="831">
        <f>ROUND((SUM(B175:F175)-C175)*M172,2)</f>
        <v>0</v>
      </c>
      <c r="N175" s="21">
        <f>ROUND((B175+E175+F175)*N172,2)</f>
        <v>0</v>
      </c>
      <c r="O175" s="21">
        <f>ROUND(SUM(B175+C175+F175)*O172,2)</f>
        <v>0</v>
      </c>
      <c r="P175" s="25">
        <f t="shared" ref="P175:P184" si="31">SUM(G175:O175)</f>
        <v>0</v>
      </c>
      <c r="Q175" s="456"/>
      <c r="R175" s="140">
        <f>ROUND(IF(M151="",R167,R167/M151*P152),2)</f>
        <v>5175</v>
      </c>
      <c r="S175" s="140">
        <f>ROUND(IF(M151="",R168,R168/M151*P152),2)</f>
        <v>7450</v>
      </c>
    </row>
    <row r="176" spans="1:20" x14ac:dyDescent="0.2">
      <c r="A176" s="76" t="str">
        <f>'päd.Personal - Leitung'!$A$32</f>
        <v>Apr 2025</v>
      </c>
      <c r="B176" s="22">
        <f>ROUND(IF(P153=0,0,IFERROR((((LOOKUP(2,1/(A158:A161=A176),G158:G161))*P153*4.348)*50%),B175/P152*P153)),2)</f>
        <v>0</v>
      </c>
      <c r="C176" s="21">
        <f>ROUND(IFERROR((LOOKUP(2,1/(A164=A176),E164)),0)+IFERROR((LOOKUP(2,1/(A165=A176),E165)),0),2)</f>
        <v>0</v>
      </c>
      <c r="D176" s="21">
        <f>ROUND(IF(B176=0,0,D172/M151*P153*50%),2)</f>
        <v>0</v>
      </c>
      <c r="E176" s="21">
        <f>ROUND(IF(B176=0,0,E172/N147*P153*50%),2)</f>
        <v>0</v>
      </c>
      <c r="F176" s="22">
        <f>ROUND(IF(P153=0,0,IFERROR((((LOOKUP(2,1/(A158:A161=A176),I158:I161))/N147*P153)*50%),F175/P152*P153)),2)</f>
        <v>0</v>
      </c>
      <c r="G176" s="25">
        <f t="shared" si="29"/>
        <v>0</v>
      </c>
      <c r="H176" s="831">
        <f>ROUND(SUM(B176:F176)*H172,2)</f>
        <v>0</v>
      </c>
      <c r="I176" s="64">
        <f>ROUND(IF((SUM(B174:F176)*80%)&gt;((SUM(S170:S176))*90%),((((SUM(S170:S176))*90%)-((SUM(B174:F176)-C176))*I172)+((SUM(B176:F176)-C176)*I172)*80%),((SUM(B176:F176)-C176)*I172)*80%),2)</f>
        <v>0</v>
      </c>
      <c r="J176" s="831">
        <f>ROUND(SUM(B176:F176)*J172,2)</f>
        <v>0</v>
      </c>
      <c r="K176" s="831">
        <f>ROUND(SUM(B176:F176)*K172,2)</f>
        <v>0</v>
      </c>
      <c r="L176" s="831">
        <f>ROUND(SUM(B176:F176)*L172,2)</f>
        <v>0</v>
      </c>
      <c r="M176" s="831">
        <f>ROUND((SUM(B176:F176)-C176)*M172,2)</f>
        <v>0</v>
      </c>
      <c r="N176" s="21">
        <f>ROUND((B176+E176+F176)*N172,2)</f>
        <v>0</v>
      </c>
      <c r="O176" s="21">
        <f>ROUND(SUM(B176+C176+F176)*O172,2)</f>
        <v>0</v>
      </c>
      <c r="P176" s="25">
        <f t="shared" si="31"/>
        <v>0</v>
      </c>
      <c r="Q176" s="456"/>
      <c r="R176" s="140">
        <f>ROUND(IF(M151="",R167,R167/M151*P153),2)</f>
        <v>5175</v>
      </c>
      <c r="S176" s="140">
        <f>ROUND(IF(M151="",R168,R168/M151*P153),2)</f>
        <v>7450</v>
      </c>
    </row>
    <row r="177" spans="1:19" x14ac:dyDescent="0.2">
      <c r="A177" s="76" t="str">
        <f>'päd.Personal - Leitung'!$A$33</f>
        <v>Mai 2025</v>
      </c>
      <c r="B177" s="22">
        <f>ROUND(IF(P154=0,0,IFERROR((((LOOKUP(2,1/(A158:A161=A177),G158:G161))*P154*4.348)*50%),B176/P153*P154)),2)</f>
        <v>0</v>
      </c>
      <c r="C177" s="21">
        <f>ROUND(IFERROR((LOOKUP(2,1/(A164=A177),E164)),0)+IFERROR((LOOKUP(2,1/(A165=A177),E165)),0),2)</f>
        <v>0</v>
      </c>
      <c r="D177" s="21">
        <f>ROUND(IF(B177=0,0,D172/M151*P154*50%),2)</f>
        <v>0</v>
      </c>
      <c r="E177" s="21">
        <f>ROUND(IF(B177=0,0,E172/N147*P154*50%),2)</f>
        <v>0</v>
      </c>
      <c r="F177" s="22">
        <f>ROUND(IF(P154=0,0,IFERROR((((LOOKUP(2,1/(A158:A161=A177),I158:I161))/N147*P154)*50%),F176/P153*P154)),2)</f>
        <v>0</v>
      </c>
      <c r="G177" s="25">
        <f t="shared" si="29"/>
        <v>0</v>
      </c>
      <c r="H177" s="831">
        <f>ROUND(SUM(B177:F177)*H172,2)</f>
        <v>0</v>
      </c>
      <c r="I177" s="64">
        <f>ROUND(IF((SUM(B174:F177)*80%)&gt;((SUM(S170:S177))*90%),((((SUM(S170:S177))*90%)-((SUM(B174:F177)-C177))*I172)+((SUM(B177:F177)-C177)*I172)*80%),((SUM(B177:F177)-C177)*I172)*80%),2)</f>
        <v>0</v>
      </c>
      <c r="J177" s="831">
        <f>ROUND(SUM(B177:F177)*J172,2)</f>
        <v>0</v>
      </c>
      <c r="K177" s="831">
        <f>ROUND(SUM(B177:F177)*K172,2)</f>
        <v>0</v>
      </c>
      <c r="L177" s="831">
        <f>ROUND(SUM(B177:F177)*L172,2)</f>
        <v>0</v>
      </c>
      <c r="M177" s="831">
        <f>ROUND((SUM(B177:F177)-C177)*M172,2)</f>
        <v>0</v>
      </c>
      <c r="N177" s="21">
        <f>ROUND((B177+E177+F177)*N172,2)</f>
        <v>0</v>
      </c>
      <c r="O177" s="21">
        <f>ROUND(SUM(B177+C177+F177)*O172,2)</f>
        <v>0</v>
      </c>
      <c r="P177" s="25">
        <f t="shared" si="31"/>
        <v>0</v>
      </c>
      <c r="Q177" s="456"/>
      <c r="R177" s="140">
        <f>ROUND(IF(M151="",R167,R167/M151*P154),2)</f>
        <v>5175</v>
      </c>
      <c r="S177" s="140">
        <f>ROUND(IF(M151="",R168,R168/M151*P154),2)</f>
        <v>7450</v>
      </c>
    </row>
    <row r="178" spans="1:19" x14ac:dyDescent="0.2">
      <c r="A178" s="76" t="str">
        <f>'päd.Personal - Leitung'!$A$34</f>
        <v>Jun 2025</v>
      </c>
      <c r="B178" s="22">
        <f>ROUND(IF(P155=0,0,IFERROR((((LOOKUP(2,1/(A158:A161=A178),G158:G161))*P155*4.348)*50%),B177/P154*P155)),2)</f>
        <v>0</v>
      </c>
      <c r="C178" s="21">
        <f>ROUND(IFERROR((LOOKUP(2,1/(A164=A178),E164)),0)+IFERROR((LOOKUP(2,1/(A165=A178),E165)),0),2)</f>
        <v>0</v>
      </c>
      <c r="D178" s="21">
        <f>ROUND(IF(B178=0,0,D172/M151*P155*50%),2)</f>
        <v>0</v>
      </c>
      <c r="E178" s="21">
        <f>ROUND(IF(B178=0,0,E172/N147*P155*50%),2)</f>
        <v>0</v>
      </c>
      <c r="F178" s="22">
        <f>ROUND(IF(P155=0,0,IFERROR((((LOOKUP(2,1/(A158:A161=A178),I158:I161))/N147*P155)*50%),F177/P154*P155)),2)</f>
        <v>0</v>
      </c>
      <c r="G178" s="25">
        <f t="shared" si="29"/>
        <v>0</v>
      </c>
      <c r="H178" s="831">
        <f>ROUND(SUM(B178:F178)*H172,2)</f>
        <v>0</v>
      </c>
      <c r="I178" s="64">
        <f>ROUND(IF((SUM(B174:F178)*80%)&gt;((SUM(S170:S178))*90%),((((SUM(S170:S178))*90%)-((SUM(B174:F178)-C178))*I172)+((SUM(B178:F178)-C178)*I172)*80%),((SUM(B178:F178)-C178)*I172)*80%),2)</f>
        <v>0</v>
      </c>
      <c r="J178" s="831">
        <f>ROUND(SUM(B178:F178)*J172,2)</f>
        <v>0</v>
      </c>
      <c r="K178" s="831">
        <f>ROUND(SUM(B178:F178)*K172,2)</f>
        <v>0</v>
      </c>
      <c r="L178" s="831">
        <f>ROUND(SUM(B178:F178)*L172,2)</f>
        <v>0</v>
      </c>
      <c r="M178" s="831">
        <f>ROUND((SUM(B178:F178)-C178)*M172,2)</f>
        <v>0</v>
      </c>
      <c r="N178" s="21">
        <f>ROUND((B178+E178+F178)*N172,2)</f>
        <v>0</v>
      </c>
      <c r="O178" s="21">
        <f>ROUND(SUM(B178+C178+F178)*O172,2)</f>
        <v>0</v>
      </c>
      <c r="P178" s="25">
        <f t="shared" si="31"/>
        <v>0</v>
      </c>
      <c r="Q178" s="456"/>
      <c r="R178" s="140">
        <f>ROUND(IF(M151="",R167,R167/M151*P155),2)</f>
        <v>5175</v>
      </c>
      <c r="S178" s="140">
        <f>ROUND(IF(M151="",R168,R168/M151*P155),2)</f>
        <v>7450</v>
      </c>
    </row>
    <row r="179" spans="1:19" x14ac:dyDescent="0.2">
      <c r="A179" s="76" t="str">
        <f>'päd.Personal - Leitung'!$A$35</f>
        <v>Jul 2025</v>
      </c>
      <c r="B179" s="22">
        <f>ROUND(IF(P156=0,0,IFERROR((((LOOKUP(2,1/(A158:A161=A179),G158:G161))*P156*4.348)*50%),B178/P155*P156)),2)</f>
        <v>0</v>
      </c>
      <c r="C179" s="21">
        <f>ROUND(IFERROR((LOOKUP(2,1/(A164=A179),E164)),0)+IFERROR((LOOKUP(2,1/(A165=A179),E165)),0),2)</f>
        <v>0</v>
      </c>
      <c r="D179" s="21">
        <f>ROUND(IF(B179=0,0,D172/M151*P156*50%),2)</f>
        <v>0</v>
      </c>
      <c r="E179" s="21">
        <f>ROUND(IF(B179=0,0,E172/N147*P156*50%),2)</f>
        <v>0</v>
      </c>
      <c r="F179" s="22">
        <f>ROUND(IF(P156=0,0,IFERROR((((LOOKUP(2,1/(A158:A161=A179),I158:I161))/N147*P156)*50%),F178/P155*P156)),2)</f>
        <v>0</v>
      </c>
      <c r="G179" s="25">
        <f t="shared" si="29"/>
        <v>0</v>
      </c>
      <c r="H179" s="831">
        <f>ROUND(SUM(B179:F179)*H172,2)</f>
        <v>0</v>
      </c>
      <c r="I179" s="64">
        <f>ROUND(IF((SUM(B174:F179)*80%)&gt;((SUM(S170:S179))*90%),((((SUM(S170:S179))*90%)-((SUM(B174:F179)-C179))*I172)+((SUM(B179:F179)-C179)*I172)*80%),((SUM(B179:F179)-C179)*I172)*80%),2)</f>
        <v>0</v>
      </c>
      <c r="J179" s="831">
        <f>ROUND(SUM(B179:F179)*J172,2)</f>
        <v>0</v>
      </c>
      <c r="K179" s="831">
        <f>ROUND(SUM(B179:F179)*K172,2)</f>
        <v>0</v>
      </c>
      <c r="L179" s="831">
        <f>ROUND(SUM(B179:F179)*L172,2)</f>
        <v>0</v>
      </c>
      <c r="M179" s="831">
        <f>ROUND((SUM(B179:F179)-C179)*M172,2)</f>
        <v>0</v>
      </c>
      <c r="N179" s="21">
        <f>ROUND((B179+E179+F179)*N172,2)</f>
        <v>0</v>
      </c>
      <c r="O179" s="21">
        <f>ROUND(SUM(B179+C179+F179)*O172,2)</f>
        <v>0</v>
      </c>
      <c r="P179" s="25">
        <f t="shared" si="31"/>
        <v>0</v>
      </c>
      <c r="Q179" s="456"/>
      <c r="R179" s="140">
        <f>ROUND(IF(M151="",R167,R167/M151*P156),2)</f>
        <v>5175</v>
      </c>
      <c r="S179" s="140">
        <f>ROUND(IF(M151="",R168,R168/M151*P156),2)</f>
        <v>7450</v>
      </c>
    </row>
    <row r="180" spans="1:19" x14ac:dyDescent="0.2">
      <c r="A180" s="76" t="str">
        <f>'päd.Personal - Leitung'!$A$36</f>
        <v>Aug 2025</v>
      </c>
      <c r="B180" s="22">
        <f>ROUND(IF(P157=0,0,IFERROR((((LOOKUP(2,1/(A158:A161=A180),G158:G161))*P157*4.348)*50%),B179/P156*P157)),2)</f>
        <v>0</v>
      </c>
      <c r="C180" s="21">
        <f>ROUND(IFERROR((LOOKUP(2,1/(A164=A180),E164)),0)+IFERROR((LOOKUP(2,1/(A165=A180),E165)),0),2)</f>
        <v>0</v>
      </c>
      <c r="D180" s="21">
        <f>ROUND(IF(B180=0,0,D172/M151*P157*50%),2)</f>
        <v>0</v>
      </c>
      <c r="E180" s="21">
        <f>ROUND(IF(B180=0,0,E172/N147*P157*50%),2)</f>
        <v>0</v>
      </c>
      <c r="F180" s="22">
        <f>ROUND(IF(P157=0,0,IFERROR((((LOOKUP(2,1/(A158:A161=A180),I158:I161))/N147*P157)*50%),F179/P156*P157)),2)</f>
        <v>0</v>
      </c>
      <c r="G180" s="25">
        <f t="shared" si="29"/>
        <v>0</v>
      </c>
      <c r="H180" s="831">
        <f>ROUND(SUM(B180:F180)*H172,2)</f>
        <v>0</v>
      </c>
      <c r="I180" s="64">
        <f>ROUND(IF((SUM(B174:F180)*80%)&gt;((SUM(S170:S180))*90%),((((SUM(S170:S180))*90%)-((SUM(B174:F180)-C180))*I172)+((SUM(B180:F180)-C180)*I172)*80%),((SUM(B180:F180)-C180)*I172)*80%),2)</f>
        <v>0</v>
      </c>
      <c r="J180" s="831">
        <f>ROUND(SUM(B180:F180)*J172,2)</f>
        <v>0</v>
      </c>
      <c r="K180" s="831">
        <f>ROUND(SUM(B180:F180)*K172,2)</f>
        <v>0</v>
      </c>
      <c r="L180" s="831">
        <f>ROUND(SUM(B180:F180)*L172,2)</f>
        <v>0</v>
      </c>
      <c r="M180" s="831">
        <f>ROUND((SUM(B180:F180)-C180)*M172,2)</f>
        <v>0</v>
      </c>
      <c r="N180" s="21">
        <f>ROUND((B180+E180+F180)*N172,2)</f>
        <v>0</v>
      </c>
      <c r="O180" s="21">
        <f>ROUND(SUM(B180+C180+F180)*O172,2)</f>
        <v>0</v>
      </c>
      <c r="P180" s="25">
        <f t="shared" si="31"/>
        <v>0</v>
      </c>
      <c r="Q180" s="456"/>
      <c r="R180" s="140">
        <f>ROUND(IF(M151="",R167,R167/M151*P157),2)</f>
        <v>5175</v>
      </c>
      <c r="S180" s="140">
        <f>ROUND(IF(M151="",R168,R168/M151*P157),2)</f>
        <v>7450</v>
      </c>
    </row>
    <row r="181" spans="1:19" x14ac:dyDescent="0.2">
      <c r="A181" s="76" t="str">
        <f>'päd.Personal - Leitung'!$A$37</f>
        <v>Sep 2025</v>
      </c>
      <c r="B181" s="22">
        <f>ROUND(IF(P158=0,0,IFERROR((((LOOKUP(2,1/(A158:A161=A181),G158:G161))*P158*4.348)*50%),B180/P157*P158)),2)</f>
        <v>0</v>
      </c>
      <c r="C181" s="21">
        <f>ROUND(IFERROR((LOOKUP(2,1/(A164=A181),E164)),0)+IFERROR((LOOKUP(2,1/(A165=A181),E165)),0),2)</f>
        <v>0</v>
      </c>
      <c r="D181" s="21">
        <f>ROUND(IF(B181=0,0,D172/M151*P158*50%),2)</f>
        <v>0</v>
      </c>
      <c r="E181" s="21">
        <f>ROUND(IF(B181=0,0,E172/N147*P158*50%),2)</f>
        <v>0</v>
      </c>
      <c r="F181" s="22">
        <f>ROUND(IF(P158=0,0,IFERROR((((LOOKUP(2,1/(A158:A161=A181),I158:I161))/N147*P158)*50%),F180/P157*P158)),2)</f>
        <v>0</v>
      </c>
      <c r="G181" s="25">
        <f t="shared" si="29"/>
        <v>0</v>
      </c>
      <c r="H181" s="831">
        <f>ROUND(SUM(B181:F181)*H172,2)</f>
        <v>0</v>
      </c>
      <c r="I181" s="64">
        <f>ROUND(IF((SUM(B174:F181)*80%)&gt;((SUM(S170:S181))*90%),((((SUM(S170:S181))*90%)-((SUM(B174:F181)-C181))*I172)+((SUM(B181:F181)-C181)*I172)*80%),((SUM(B181:F181)-C181)*I172)*80%),2)</f>
        <v>0</v>
      </c>
      <c r="J181" s="831">
        <f>ROUND(SUM(B181:F181)*J172,2)</f>
        <v>0</v>
      </c>
      <c r="K181" s="831">
        <f>ROUND(SUM(B181:F181)*K172,2)</f>
        <v>0</v>
      </c>
      <c r="L181" s="831">
        <f>ROUND(SUM(B181:F181)*L172,2)</f>
        <v>0</v>
      </c>
      <c r="M181" s="831">
        <f>ROUND((SUM(B181:F181)-C181)*M172,2)</f>
        <v>0</v>
      </c>
      <c r="N181" s="21">
        <f>ROUND((B181+E181+F181)*N172,2)</f>
        <v>0</v>
      </c>
      <c r="O181" s="21">
        <f>ROUND(SUM(B181+C181+F181)*O172,2)</f>
        <v>0</v>
      </c>
      <c r="P181" s="25">
        <f t="shared" si="31"/>
        <v>0</v>
      </c>
      <c r="Q181" s="456"/>
      <c r="R181" s="140">
        <f>ROUND(IF(M151="",R167,R167/M151*P158),2)</f>
        <v>5175</v>
      </c>
      <c r="S181" s="140">
        <f>ROUND(IF(M151="",R168,R168/M151*P158),2)</f>
        <v>7450</v>
      </c>
    </row>
    <row r="182" spans="1:19" x14ac:dyDescent="0.2">
      <c r="A182" s="76" t="str">
        <f>'päd.Personal - Leitung'!$A$38</f>
        <v>Okt 2025</v>
      </c>
      <c r="B182" s="22">
        <f>ROUND(IF(P159=0,0,IFERROR((((LOOKUP(2,1/(A158:A161=A182),G158:G161))*P159*4.348)*50%),B181/P158*P159)),2)</f>
        <v>0</v>
      </c>
      <c r="C182" s="21">
        <f>ROUND(IFERROR((LOOKUP(2,1/(A164=A182),E164)),0)+IFERROR((LOOKUP(2,1/(A165=A182),E165)),0),2)</f>
        <v>0</v>
      </c>
      <c r="D182" s="21">
        <f>ROUND(IF(B182=0,0,D172/M151*P159*50%),2)</f>
        <v>0</v>
      </c>
      <c r="E182" s="21">
        <f>ROUND(IF(B182=0,0,E172/N147*P159*50%),2)</f>
        <v>0</v>
      </c>
      <c r="F182" s="22">
        <f>ROUND(IF(P159=0,0,IFERROR((((LOOKUP(2,1/(A158:A161=A182),I158:I161))/N147*P159)*50%),F181/P158*P159)),2)</f>
        <v>0</v>
      </c>
      <c r="G182" s="25">
        <f t="shared" si="29"/>
        <v>0</v>
      </c>
      <c r="H182" s="831">
        <f>ROUND(SUM(B182:F182)*H172,2)</f>
        <v>0</v>
      </c>
      <c r="I182" s="64">
        <f>ROUND(IF((SUM(B174:F182)*80%)&gt;((SUM(S170:S182))*90%),((((SUM(S170:S182))*90%)-((SUM(B174:F182)-C182))*I172)+((SUM(B182:F182)-C182)*I172)*80%),((SUM(B182:F182)-C182)*I172)*80%),2)</f>
        <v>0</v>
      </c>
      <c r="J182" s="831">
        <f>ROUND(SUM(B182:F182)*J172,2)</f>
        <v>0</v>
      </c>
      <c r="K182" s="831">
        <f>ROUND(SUM(B182:F182)*K172,2)</f>
        <v>0</v>
      </c>
      <c r="L182" s="831">
        <f>ROUND(SUM(B182:F182)*L172,2)</f>
        <v>0</v>
      </c>
      <c r="M182" s="831">
        <f>ROUND((SUM(B182:F182)-C182)*M172,2)</f>
        <v>0</v>
      </c>
      <c r="N182" s="21">
        <f>ROUND((B182+E182+F182)*N172,2)</f>
        <v>0</v>
      </c>
      <c r="O182" s="21">
        <f>ROUND(SUM(B182+C182+F182)*O172,2)</f>
        <v>0</v>
      </c>
      <c r="P182" s="25">
        <f t="shared" si="31"/>
        <v>0</v>
      </c>
      <c r="Q182" s="936"/>
      <c r="R182" s="140">
        <f>ROUND(IF(M151="",R167,R167/M151*P159),2)</f>
        <v>5175</v>
      </c>
      <c r="S182" s="140">
        <f>ROUND(IF(M151="",R168,R168/M151*P159),2)</f>
        <v>7450</v>
      </c>
    </row>
    <row r="183" spans="1:19" x14ac:dyDescent="0.2">
      <c r="A183" s="76" t="str">
        <f>'päd.Personal - Leitung'!$A$39</f>
        <v>Nov 2025</v>
      </c>
      <c r="B183" s="22">
        <f>ROUND(IF(P160=0,0,IFERROR((((LOOKUP(2,1/(A158:A161=A183),G158:G161))*P160*4.348)*50%),B182/P159*P160)),2)</f>
        <v>0</v>
      </c>
      <c r="C183" s="21">
        <f>ROUND(IFERROR((LOOKUP(2,1/(A164=A183),E164)),0)+(IFERROR((LOOKUP(2,1/(A165=A183),E165)),0)),2)</f>
        <v>0</v>
      </c>
      <c r="D183" s="21">
        <f>ROUND(IF(B183=0,0,D172/M151*P160*50%),2)</f>
        <v>0</v>
      </c>
      <c r="E183" s="21">
        <f>ROUND(IF(B183=0,0,E172/N147*P160*50%),2)</f>
        <v>0</v>
      </c>
      <c r="F183" s="22">
        <f>ROUND(IF(P160=0,0,IFERROR((((LOOKUP(2,1/(A158:A161=A183),I158:I161))/N147*P160)*50%),F182/P159*P160)),2)</f>
        <v>0</v>
      </c>
      <c r="G183" s="25">
        <f t="shared" si="29"/>
        <v>0</v>
      </c>
      <c r="H183" s="831">
        <f>ROUND(SUM(B183:F183)*H172,2)</f>
        <v>0</v>
      </c>
      <c r="I183" s="64">
        <f>ROUND(IF((SUM(B174:F183)*80%)&gt;((SUM(S170:S183))*90%),((((SUM(S170:S183))*90%)-((SUM(B174:F183)-C183))*I172)+((SUM(B183:F183)-C183)*I172)*80%),((SUM(B183:F183)-C183)*I172)*80%),2)</f>
        <v>0</v>
      </c>
      <c r="J183" s="831">
        <f>ROUND(SUM(B183:F183)*J172,2)</f>
        <v>0</v>
      </c>
      <c r="K183" s="831">
        <f>ROUND(SUM(B183:F183)*K172,2)</f>
        <v>0</v>
      </c>
      <c r="L183" s="831">
        <f>ROUND(SUM(B183:F183)*L172,2)</f>
        <v>0</v>
      </c>
      <c r="M183" s="831">
        <f>ROUND((SUM(B183:F183)-C183)*M172,2)</f>
        <v>0</v>
      </c>
      <c r="N183" s="21">
        <f>ROUND((B183+E183+F183)*N172,2)</f>
        <v>0</v>
      </c>
      <c r="O183" s="21">
        <f>ROUND(SUM(B183+C183+F183)*O172,2)</f>
        <v>0</v>
      </c>
      <c r="P183" s="25">
        <f t="shared" si="31"/>
        <v>0</v>
      </c>
      <c r="Q183" s="11"/>
      <c r="R183" s="140">
        <f>ROUND(IF(M151="",R167,R167/M151*P160),2)</f>
        <v>5175</v>
      </c>
      <c r="S183" s="140">
        <f>ROUND(IF(M151="",R168,R168/M151*P160),2)</f>
        <v>7450</v>
      </c>
    </row>
    <row r="184" spans="1:19" x14ac:dyDescent="0.2">
      <c r="A184" s="76" t="str">
        <f>'päd.Personal - Leitung'!$A$40</f>
        <v>Dez 2025</v>
      </c>
      <c r="B184" s="22">
        <f>ROUND(IF(P161=0,0,IFERROR((((LOOKUP(2,1/(A158:A161=A184),G158:G161))*P161*4.348)*50%),B183/P160*P161)),2)</f>
        <v>0</v>
      </c>
      <c r="C184" s="21">
        <f>ROUND(IFERROR((LOOKUP(2,1/(A164=A184),E164)),0)+IFERROR((LOOKUP(2,1/(A165=A184),E165)),0),2)</f>
        <v>0</v>
      </c>
      <c r="D184" s="21">
        <f>ROUND(IF(B184=0,0,D172/M151*P161*50%),2)</f>
        <v>0</v>
      </c>
      <c r="E184" s="21">
        <f>ROUND(IF(B184=0,0,E172/N147*P161*50%),2)</f>
        <v>0</v>
      </c>
      <c r="F184" s="22">
        <f>ROUND(IF(P161=0,0,IFERROR((((LOOKUP(2,1/(A158:A161=A184),I158:I161))/N147*P161)*50%),F183/P160*P161)),2)</f>
        <v>0</v>
      </c>
      <c r="G184" s="25">
        <f t="shared" si="29"/>
        <v>0</v>
      </c>
      <c r="H184" s="831">
        <f>ROUND(SUM(B184:F184)*H172,2)</f>
        <v>0</v>
      </c>
      <c r="I184" s="64">
        <f>ROUND(IF((SUM(B174:F184)*80%)&gt;((SUM(S170:S184))*90%),((((SUM(S170:S184))*90%)-((SUM(B174:F184)-C184))*I172)+((SUM(B184:F184)-C184)*I172)*80%),((SUM(B184:F184)-C184)*I172)*80%),2)</f>
        <v>0</v>
      </c>
      <c r="J184" s="831">
        <f>ROUND(SUM(B184:F184)*J172,2)</f>
        <v>0</v>
      </c>
      <c r="K184" s="831">
        <f>ROUND(SUM(B184:F184)*K172,2)</f>
        <v>0</v>
      </c>
      <c r="L184" s="831">
        <f>ROUND(SUM(B184:F184)*L172,2)</f>
        <v>0</v>
      </c>
      <c r="M184" s="831">
        <f>ROUND((SUM(B184:F184)-C184)*M172,2)</f>
        <v>0</v>
      </c>
      <c r="N184" s="21">
        <f>ROUND((B184+E184+F184)*N172,2)</f>
        <v>0</v>
      </c>
      <c r="O184" s="21">
        <f>ROUND(SUM(B184+C184+F184)*O172,2)</f>
        <v>0</v>
      </c>
      <c r="P184" s="25">
        <f t="shared" si="31"/>
        <v>0</v>
      </c>
      <c r="Q184" s="11"/>
      <c r="R184" s="140">
        <f>ROUND(IF(M151="",R167,R167/M151*P161),2)</f>
        <v>5175</v>
      </c>
      <c r="S184" s="140">
        <f>ROUND(IF(M151="",R168,R168/M151*P161),2)</f>
        <v>7450</v>
      </c>
    </row>
    <row r="185" spans="1:19" x14ac:dyDescent="0.2">
      <c r="A185" s="2" t="s">
        <v>1</v>
      </c>
      <c r="B185" s="25">
        <f t="shared" ref="B185:G185" si="32">SUM(B173:B184)</f>
        <v>0</v>
      </c>
      <c r="C185" s="25">
        <f t="shared" si="32"/>
        <v>0</v>
      </c>
      <c r="D185" s="25">
        <f t="shared" si="32"/>
        <v>0</v>
      </c>
      <c r="E185" s="25">
        <f t="shared" si="32"/>
        <v>0</v>
      </c>
      <c r="F185" s="25">
        <f t="shared" si="32"/>
        <v>0</v>
      </c>
      <c r="G185" s="25">
        <f t="shared" si="32"/>
        <v>0</v>
      </c>
      <c r="H185" s="1309">
        <f>SUM(H173:M184)</f>
        <v>0</v>
      </c>
      <c r="I185" s="1310"/>
      <c r="J185" s="1310"/>
      <c r="K185" s="1310"/>
      <c r="L185" s="1310"/>
      <c r="M185" s="1310"/>
      <c r="N185" s="25">
        <f>SUM(N173:N184)</f>
        <v>0</v>
      </c>
      <c r="O185" s="25">
        <f>SUM(O173:O184)</f>
        <v>0</v>
      </c>
      <c r="P185" s="25">
        <f>SUM(P173:P184)</f>
        <v>0</v>
      </c>
    </row>
    <row r="186" spans="1:19" x14ac:dyDescent="0.2">
      <c r="Q186" s="1021"/>
      <c r="R186" s="1021"/>
      <c r="S186" s="1021"/>
    </row>
    <row r="187" spans="1:19" s="1" customFormat="1" ht="14.25" customHeight="1" x14ac:dyDescent="0.2">
      <c r="B187" s="906"/>
      <c r="H187" s="905"/>
      <c r="I187" s="62"/>
      <c r="J187" s="914" t="s">
        <v>123</v>
      </c>
      <c r="L187" s="900" t="s">
        <v>124</v>
      </c>
      <c r="M187" s="974" t="str">
        <f>IF(IF(G185=0,"",$M$43)=0,"",IF(G185=0,"",$M$43))</f>
        <v/>
      </c>
      <c r="N187" s="902" t="s">
        <v>125</v>
      </c>
      <c r="O187" s="963" t="str">
        <f>IF(IF(G185=0,"",$O$43)=0,"",IF(G185=0,"",$O$43))</f>
        <v/>
      </c>
      <c r="P187" s="25">
        <f>ROUND(IF(M187="",0,G185*M187*O187/1000),2)</f>
        <v>0</v>
      </c>
      <c r="Q187" s="1015"/>
      <c r="R187" s="1022"/>
      <c r="S187" s="1016"/>
    </row>
    <row r="188" spans="1:19" s="1" customFormat="1" ht="14.25" customHeight="1" x14ac:dyDescent="0.2">
      <c r="H188" s="907"/>
      <c r="I188" s="42"/>
      <c r="M188" s="915" t="s">
        <v>129</v>
      </c>
      <c r="N188" s="80" t="s">
        <v>125</v>
      </c>
      <c r="O188" s="75" t="str">
        <f>IF(IF(G185=0,"",$O$44)=0,"",IF(G185=0,"",$O$44))</f>
        <v/>
      </c>
      <c r="P188" s="25">
        <f>ROUND(IF(O188="",0,G185*O188/1000),2)</f>
        <v>0</v>
      </c>
      <c r="Q188" s="1023"/>
      <c r="R188" s="65"/>
      <c r="S188" s="1017"/>
    </row>
    <row r="189" spans="1:19" s="1" customFormat="1" ht="14.25" customHeight="1" x14ac:dyDescent="0.2">
      <c r="H189" s="996" t="s">
        <v>126</v>
      </c>
      <c r="I189" s="1013" t="s">
        <v>127</v>
      </c>
      <c r="J189" s="975" t="str">
        <f>IF(IF(G185=0,"",$J$45)=0,"",IF(G185=0,"",$J$45))</f>
        <v/>
      </c>
      <c r="K189" s="902" t="s">
        <v>128</v>
      </c>
      <c r="L189" s="964" t="str">
        <f>IF(IF(G185=0,"",$L$45)=0,"",IF(G185=0,"",$L$45))</f>
        <v/>
      </c>
      <c r="M189" s="16"/>
      <c r="N189" s="900" t="s">
        <v>132</v>
      </c>
      <c r="O189" s="965" t="str">
        <f>IF(IF(G185=0,"",$O$45)=0,"",IF(G185=0,"",$O$45))</f>
        <v/>
      </c>
      <c r="P189" s="25">
        <f>ROUND(IF(J189="",0,(J189*L189/O189)/M153*M154),2)</f>
        <v>0</v>
      </c>
      <c r="Q189" s="1023"/>
      <c r="R189" s="66"/>
      <c r="S189" s="1016"/>
    </row>
    <row r="190" spans="1:19" s="1" customFormat="1" ht="14.25" customHeight="1" x14ac:dyDescent="0.2">
      <c r="D190" s="16"/>
      <c r="I190" s="16"/>
      <c r="J190" s="16"/>
      <c r="K190" s="63"/>
      <c r="L190" s="67"/>
      <c r="M190" s="915" t="s">
        <v>130</v>
      </c>
      <c r="N190" s="80" t="s">
        <v>131</v>
      </c>
      <c r="O190" s="904">
        <f>IF(IF(G185=0,0,$O$46)=0,0,IF(G185=0,0,$O$46))</f>
        <v>0</v>
      </c>
      <c r="P190" s="21">
        <f>ROUND(IF(G185=0,0,O190/M151*M152),2)</f>
        <v>0</v>
      </c>
      <c r="Q190" s="1023"/>
      <c r="R190" s="1018"/>
      <c r="S190" s="1024"/>
    </row>
    <row r="191" spans="1:19" s="1" customFormat="1" ht="14.25" customHeight="1" x14ac:dyDescent="0.2">
      <c r="A191" s="16"/>
      <c r="B191" s="16"/>
      <c r="I191" s="905"/>
      <c r="J191" s="961" t="s">
        <v>176</v>
      </c>
      <c r="K191" s="1312" t="str">
        <f>IF($K$47="","",$K$47)</f>
        <v/>
      </c>
      <c r="L191" s="1312"/>
      <c r="M191" s="1312"/>
      <c r="N191" s="80" t="s">
        <v>131</v>
      </c>
      <c r="O191" s="904">
        <f>IF(IF(G185=0,0,$O$47)=0,0,IF(G185=0,0,$O$47))</f>
        <v>0</v>
      </c>
      <c r="P191" s="21">
        <f>ROUND(IF(G185=0,0,O191/M151*M152),2)</f>
        <v>0</v>
      </c>
      <c r="Q191" s="1023"/>
      <c r="R191" s="1019"/>
      <c r="S191" s="1020"/>
    </row>
    <row r="192" spans="1:19" s="1" customFormat="1" ht="14.25" customHeight="1" x14ac:dyDescent="0.2">
      <c r="A192" s="908"/>
      <c r="B192" s="908"/>
      <c r="C192" s="1001"/>
      <c r="D192" s="1001"/>
      <c r="I192" s="913"/>
      <c r="J192" s="913"/>
      <c r="K192" s="916"/>
      <c r="L192" s="27"/>
      <c r="M192" s="27"/>
      <c r="N192" s="27"/>
      <c r="O192" s="26" t="s">
        <v>0</v>
      </c>
      <c r="P192" s="25">
        <f>P185+SUM(P187:P191)</f>
        <v>0</v>
      </c>
    </row>
    <row r="193" spans="1:19" s="10" customFormat="1" ht="13.5" customHeight="1" x14ac:dyDescent="0.2">
      <c r="A193" s="1321" t="s">
        <v>17</v>
      </c>
      <c r="B193" s="1321"/>
      <c r="C193" s="1321"/>
      <c r="D193" s="1320" t="str">
        <f>IF('päd.Personal - Leitung'!$D$1="","",'päd.Personal - Leitung'!$D$1)</f>
        <v/>
      </c>
      <c r="E193" s="1320"/>
      <c r="F193" s="1320"/>
      <c r="G193" s="1320"/>
      <c r="H193" s="1320"/>
      <c r="I193" s="1320"/>
      <c r="J193" s="1320"/>
      <c r="K193" s="1320"/>
      <c r="L193" s="1320"/>
      <c r="M193" s="1320"/>
      <c r="N193" s="1320"/>
    </row>
    <row r="194" spans="1:19" s="10" customFormat="1" ht="15" customHeight="1" x14ac:dyDescent="0.2">
      <c r="A194" s="1321" t="s">
        <v>16</v>
      </c>
      <c r="B194" s="1321"/>
      <c r="C194" s="1321" t="s">
        <v>14</v>
      </c>
      <c r="D194" s="1320" t="str">
        <f>IF('päd.Personal - Leitung'!$D$2="","",'päd.Personal - Leitung'!$D$2)</f>
        <v/>
      </c>
      <c r="E194" s="1320"/>
      <c r="F194" s="1320"/>
      <c r="G194" s="1320"/>
      <c r="H194" s="1320"/>
      <c r="I194" s="1320"/>
      <c r="J194" s="1320"/>
      <c r="K194" s="1320"/>
      <c r="L194" s="1320"/>
      <c r="M194" s="1320"/>
      <c r="N194" s="1320"/>
    </row>
    <row r="195" spans="1:19" s="10" customFormat="1" ht="15" customHeight="1" x14ac:dyDescent="0.2">
      <c r="A195" s="1321" t="s">
        <v>15</v>
      </c>
      <c r="B195" s="1321"/>
      <c r="C195" s="1321" t="s">
        <v>14</v>
      </c>
      <c r="D195" s="1320" t="str">
        <f>IF('päd.Personal - Leitung'!$D$3="","",'päd.Personal - Leitung'!$D$3)</f>
        <v/>
      </c>
      <c r="E195" s="1320"/>
      <c r="F195" s="1320"/>
      <c r="G195" s="1320"/>
      <c r="H195" s="1320"/>
      <c r="I195" s="1320"/>
      <c r="J195" s="1320"/>
      <c r="K195" s="1321" t="s">
        <v>100</v>
      </c>
      <c r="L195" s="1321"/>
      <c r="M195" s="1321"/>
      <c r="N195" s="38" t="str">
        <f>IF('päd.Personal - Leitung'!$N$3="","",'päd.Personal - Leitung'!$N$3)</f>
        <v/>
      </c>
    </row>
    <row r="196" spans="1:19" s="923" customFormat="1" ht="7.5" customHeight="1" x14ac:dyDescent="0.15">
      <c r="A196" s="1353"/>
      <c r="B196" s="1353"/>
      <c r="C196" s="1353"/>
      <c r="D196" s="1354"/>
      <c r="E196" s="1354"/>
      <c r="F196" s="1354"/>
      <c r="G196" s="1354"/>
      <c r="H196" s="1354"/>
      <c r="I196" s="1354"/>
      <c r="J196" s="1354"/>
      <c r="K196" s="922"/>
      <c r="L196" s="922"/>
      <c r="M196" s="922"/>
      <c r="N196" s="922"/>
      <c r="O196" s="922"/>
      <c r="P196" s="922"/>
    </row>
    <row r="197" spans="1:19" x14ac:dyDescent="0.2">
      <c r="A197" s="1355" t="s">
        <v>191</v>
      </c>
      <c r="B197" s="1355"/>
      <c r="C197" s="1355"/>
      <c r="D197" s="1355"/>
      <c r="E197" s="1355"/>
      <c r="F197" s="1355"/>
      <c r="G197" s="1355"/>
      <c r="H197" s="1355"/>
      <c r="I197" s="1355"/>
      <c r="J197" s="1355"/>
      <c r="K197" s="1355"/>
      <c r="L197" s="1355"/>
      <c r="M197" s="1355"/>
      <c r="N197" s="52"/>
      <c r="O197" s="138">
        <f>'päd.Personal - Leitung'!$O$5</f>
        <v>2025</v>
      </c>
      <c r="P197" s="52" t="s">
        <v>140</v>
      </c>
    </row>
    <row r="198" spans="1:19" s="8" customFormat="1" ht="13.5" customHeight="1" x14ac:dyDescent="0.25">
      <c r="B198" s="29"/>
      <c r="C198" s="29"/>
      <c r="D198" s="3" t="s">
        <v>165</v>
      </c>
      <c r="E198" s="28"/>
      <c r="F198" s="28"/>
      <c r="G198" s="28"/>
      <c r="H198" s="28"/>
      <c r="I198" s="24"/>
      <c r="K198" s="1327" t="s">
        <v>13</v>
      </c>
      <c r="L198" s="1327"/>
      <c r="M198" s="131"/>
      <c r="O198" s="928" t="str">
        <f>A221</f>
        <v>Jan 2025</v>
      </c>
      <c r="P198" s="68">
        <f>IF(M200="","",M200)</f>
        <v>0</v>
      </c>
    </row>
    <row r="199" spans="1:19" s="5" customFormat="1" ht="13.5" customHeight="1" x14ac:dyDescent="0.25">
      <c r="A199" s="1328" t="s">
        <v>754</v>
      </c>
      <c r="B199" s="1328"/>
      <c r="C199" s="1328"/>
      <c r="D199" s="1329"/>
      <c r="E199" s="1329"/>
      <c r="F199" s="1329"/>
      <c r="G199" s="1329"/>
      <c r="H199" s="1329"/>
      <c r="I199" s="1329"/>
      <c r="K199" s="1327" t="s">
        <v>101</v>
      </c>
      <c r="L199" s="1327"/>
      <c r="M199" s="101"/>
      <c r="O199" s="928" t="str">
        <f t="shared" ref="O199:O209" si="33">A222</f>
        <v>Feb 2025</v>
      </c>
      <c r="P199" s="69">
        <f t="shared" ref="P199:P205" si="34">IF(P198="","",P198)</f>
        <v>0</v>
      </c>
    </row>
    <row r="200" spans="1:19" s="1" customFormat="1" ht="13.5" customHeight="1" x14ac:dyDescent="0.2">
      <c r="A200" s="1328" t="s">
        <v>12</v>
      </c>
      <c r="B200" s="1328"/>
      <c r="C200" s="1328"/>
      <c r="D200" s="1345"/>
      <c r="E200" s="1345"/>
      <c r="F200" s="1345"/>
      <c r="G200" s="1345"/>
      <c r="H200" s="1345"/>
      <c r="I200" s="1345"/>
      <c r="K200" s="1327" t="s">
        <v>149</v>
      </c>
      <c r="L200" s="1327"/>
      <c r="M200" s="101">
        <f>IF((M201+M202)&gt;M199,0,M199-M201-M202)</f>
        <v>0</v>
      </c>
      <c r="O200" s="928" t="str">
        <f t="shared" si="33"/>
        <v>Mrz 2025</v>
      </c>
      <c r="P200" s="69">
        <f t="shared" si="34"/>
        <v>0</v>
      </c>
    </row>
    <row r="201" spans="1:19" s="1" customFormat="1" ht="13.5" customHeight="1" x14ac:dyDescent="0.2">
      <c r="A201" s="1328" t="s">
        <v>11</v>
      </c>
      <c r="B201" s="1328"/>
      <c r="C201" s="1328"/>
      <c r="D201" s="1345"/>
      <c r="E201" s="1345"/>
      <c r="F201" s="1345"/>
      <c r="G201" s="1345"/>
      <c r="H201" s="1345"/>
      <c r="I201" s="1345"/>
      <c r="K201" s="1327" t="s">
        <v>150</v>
      </c>
      <c r="L201" s="1327"/>
      <c r="M201" s="101"/>
      <c r="O201" s="928" t="str">
        <f t="shared" si="33"/>
        <v>Apr 2025</v>
      </c>
      <c r="P201" s="69">
        <f t="shared" si="34"/>
        <v>0</v>
      </c>
    </row>
    <row r="202" spans="1:19" s="1" customFormat="1" ht="13.5" customHeight="1" x14ac:dyDescent="0.2">
      <c r="A202" s="1328" t="s">
        <v>18</v>
      </c>
      <c r="B202" s="1328"/>
      <c r="C202" s="1328"/>
      <c r="D202" s="1345"/>
      <c r="E202" s="1345"/>
      <c r="F202" s="1345"/>
      <c r="G202" s="1345"/>
      <c r="H202" s="1345"/>
      <c r="I202" s="1345"/>
      <c r="K202" s="1327" t="s">
        <v>222</v>
      </c>
      <c r="L202" s="1327"/>
      <c r="M202" s="101"/>
      <c r="O202" s="928" t="str">
        <f t="shared" si="33"/>
        <v>Mai 2025</v>
      </c>
      <c r="P202" s="69">
        <f t="shared" si="34"/>
        <v>0</v>
      </c>
    </row>
    <row r="203" spans="1:19" s="1" customFormat="1" ht="13.5" customHeight="1" x14ac:dyDescent="0.2">
      <c r="B203" s="6"/>
      <c r="C203" s="998" t="s">
        <v>147</v>
      </c>
      <c r="D203" s="1324"/>
      <c r="E203" s="1324"/>
      <c r="F203" s="1359" t="s">
        <v>108</v>
      </c>
      <c r="G203" s="1359"/>
      <c r="H203" s="1361"/>
      <c r="I203" s="1361"/>
      <c r="K203" s="1327" t="s">
        <v>94</v>
      </c>
      <c r="L203" s="1327"/>
      <c r="M203" s="15" t="str">
        <f>IF(IF((COUNTIF(B221:B232,"&gt;0"))=0,0,(COUNTIF(B221:B232,"&gt;0")))&gt;Grundlagen!$C$26,Grundlagen!$C$26,IF((COUNTIF(B221:B232,"&gt;0"))=0,"",(COUNTIF(B221:B232,"&gt;0"))))</f>
        <v/>
      </c>
      <c r="O203" s="928" t="str">
        <f t="shared" si="33"/>
        <v>Jun 2025</v>
      </c>
      <c r="P203" s="69">
        <f t="shared" si="34"/>
        <v>0</v>
      </c>
    </row>
    <row r="204" spans="1:19" s="1" customFormat="1" ht="13.5" customHeight="1" x14ac:dyDescent="0.2">
      <c r="F204" s="1359" t="s">
        <v>213</v>
      </c>
      <c r="G204" s="1359"/>
      <c r="H204" s="1361"/>
      <c r="I204" s="1361"/>
      <c r="M204" s="102" t="str">
        <f>IF((SUM(F206:F209))=0,"",IF(P210&gt;M200,M200,IF(M200="","",IF(M203="","",P210))))</f>
        <v/>
      </c>
      <c r="O204" s="928" t="str">
        <f t="shared" si="33"/>
        <v>Jul 2025</v>
      </c>
      <c r="P204" s="69">
        <f t="shared" si="34"/>
        <v>0</v>
      </c>
    </row>
    <row r="205" spans="1:19" s="46" customFormat="1" ht="13.5" customHeight="1" x14ac:dyDescent="0.2">
      <c r="A205" s="54" t="s">
        <v>134</v>
      </c>
      <c r="B205" s="1356" t="s">
        <v>135</v>
      </c>
      <c r="C205" s="1356"/>
      <c r="D205" s="55" t="s">
        <v>136</v>
      </c>
      <c r="E205" s="56" t="s">
        <v>137</v>
      </c>
      <c r="F205" s="57" t="str">
        <f>CONCATENATE("Entg. ",N195," h/Wo")</f>
        <v>Entg.  h/Wo</v>
      </c>
      <c r="G205" s="58" t="s">
        <v>138</v>
      </c>
      <c r="I205" s="58" t="s">
        <v>139</v>
      </c>
      <c r="K205" s="970"/>
      <c r="L205" s="970"/>
      <c r="M205" s="59"/>
      <c r="N205" s="968" t="str">
        <f>IF(A207="","",A207)</f>
        <v/>
      </c>
      <c r="O205" s="928" t="str">
        <f t="shared" si="33"/>
        <v>Aug 2025</v>
      </c>
      <c r="P205" s="69">
        <f t="shared" si="34"/>
        <v>0</v>
      </c>
      <c r="Q205" s="1027"/>
      <c r="R205" s="1025"/>
      <c r="S205" s="1025"/>
    </row>
    <row r="206" spans="1:19" s="46" customFormat="1" ht="13.5" customHeight="1" x14ac:dyDescent="0.25">
      <c r="A206" s="48" t="str">
        <f>A221</f>
        <v>Jan 2025</v>
      </c>
      <c r="B206" s="1357" t="str">
        <f>IF($D$3="","",$D$3)</f>
        <v/>
      </c>
      <c r="C206" s="1358"/>
      <c r="D206" s="132"/>
      <c r="E206" s="132"/>
      <c r="F206" s="71"/>
      <c r="G206" s="50">
        <f>IF(N195="",0,F206/N195/4.348)</f>
        <v>0</v>
      </c>
      <c r="I206" s="51">
        <f>SUM(J206:M206)</f>
        <v>0</v>
      </c>
      <c r="J206" s="70"/>
      <c r="K206" s="70"/>
      <c r="L206" s="70"/>
      <c r="M206" s="70"/>
      <c r="N206" s="983"/>
      <c r="O206" s="928" t="str">
        <f t="shared" si="33"/>
        <v>Sep 2025</v>
      </c>
      <c r="P206" s="69">
        <f t="shared" ref="P206:P209" si="35">IF(P205="","",P205)</f>
        <v>0</v>
      </c>
      <c r="Q206" s="1026"/>
      <c r="R206" s="829"/>
      <c r="S206" s="1028"/>
    </row>
    <row r="207" spans="1:19" s="46" customFormat="1" ht="13.5" customHeight="1" x14ac:dyDescent="0.25">
      <c r="A207" s="49"/>
      <c r="B207" s="1322" t="str">
        <f>IF(A207="","",B206)</f>
        <v/>
      </c>
      <c r="C207" s="1323"/>
      <c r="D207" s="132"/>
      <c r="E207" s="132"/>
      <c r="F207" s="71"/>
      <c r="G207" s="50">
        <f>IF(N195="",0,F207/N195/4.348)</f>
        <v>0</v>
      </c>
      <c r="I207" s="51">
        <f t="shared" ref="I207:I209" si="36">SUM(J207:M207)</f>
        <v>0</v>
      </c>
      <c r="J207" s="70"/>
      <c r="K207" s="70"/>
      <c r="L207" s="70"/>
      <c r="M207" s="70"/>
      <c r="N207" s="983"/>
      <c r="O207" s="928" t="str">
        <f t="shared" si="33"/>
        <v>Okt 2025</v>
      </c>
      <c r="P207" s="69">
        <f t="shared" si="35"/>
        <v>0</v>
      </c>
      <c r="Q207" s="1026"/>
      <c r="R207" s="829"/>
      <c r="S207" s="1028"/>
    </row>
    <row r="208" spans="1:19" s="46" customFormat="1" ht="13.5" customHeight="1" x14ac:dyDescent="0.25">
      <c r="A208" s="49"/>
      <c r="B208" s="1322" t="str">
        <f>IF(A208="","",B207)</f>
        <v/>
      </c>
      <c r="C208" s="1323"/>
      <c r="D208" s="132"/>
      <c r="E208" s="132"/>
      <c r="F208" s="71"/>
      <c r="G208" s="50">
        <f>IF(N195="",0,F208/N195/4.348)</f>
        <v>0</v>
      </c>
      <c r="I208" s="51">
        <f t="shared" si="36"/>
        <v>0</v>
      </c>
      <c r="J208" s="70"/>
      <c r="K208" s="70"/>
      <c r="L208" s="70"/>
      <c r="M208" s="70"/>
      <c r="N208" s="983"/>
      <c r="O208" s="928" t="str">
        <f t="shared" si="33"/>
        <v>Nov 2025</v>
      </c>
      <c r="P208" s="69">
        <f t="shared" si="35"/>
        <v>0</v>
      </c>
      <c r="Q208" s="828"/>
      <c r="R208" s="829"/>
      <c r="S208" s="829"/>
    </row>
    <row r="209" spans="1:20" s="46" customFormat="1" ht="13.5" customHeight="1" x14ac:dyDescent="0.25">
      <c r="A209" s="49"/>
      <c r="B209" s="1322" t="str">
        <f>IF(A209="","",B208)</f>
        <v/>
      </c>
      <c r="C209" s="1323"/>
      <c r="D209" s="132"/>
      <c r="E209" s="132"/>
      <c r="F209" s="71"/>
      <c r="G209" s="50">
        <f>IF(N195="",0,F209/N195/4.348)</f>
        <v>0</v>
      </c>
      <c r="I209" s="51">
        <f t="shared" si="36"/>
        <v>0</v>
      </c>
      <c r="J209" s="70"/>
      <c r="K209" s="70"/>
      <c r="L209" s="70"/>
      <c r="M209" s="70"/>
      <c r="N209" s="983"/>
      <c r="O209" s="928" t="str">
        <f t="shared" si="33"/>
        <v>Dez 2025</v>
      </c>
      <c r="P209" s="69">
        <f t="shared" si="35"/>
        <v>0</v>
      </c>
      <c r="Q209" s="276"/>
      <c r="R209" s="827"/>
      <c r="S209" s="827"/>
    </row>
    <row r="210" spans="1:20" s="46" customFormat="1" ht="13.5" customHeight="1" x14ac:dyDescent="0.25">
      <c r="B210" s="972"/>
      <c r="C210" s="972"/>
      <c r="E210" s="972"/>
      <c r="F210" s="972"/>
      <c r="I210" s="930" t="s">
        <v>730</v>
      </c>
      <c r="J210" s="982"/>
      <c r="K210" s="982"/>
      <c r="L210" s="982"/>
      <c r="M210" s="982"/>
      <c r="N210" s="994"/>
      <c r="O210" s="126" t="s">
        <v>221</v>
      </c>
      <c r="P210" s="127">
        <f>IF(M203="",0,((IF(SUMIF(B221,"&gt;0"),P198,0))+(IF(SUMIF(B222,"&gt;0"),P199,0))+(IF(SUMIF(B223,"&gt;0"),P200,0))+(IF(SUMIF(B224,"&gt;0"),P201,0))+(IF(SUMIF(B225,"&gt;0"),P202,0))+(IF(SUMIF(B226,"&gt;0"),P203,0))+(IF(SUMIF(B227,"&gt;0"),P204,0))+(IF(SUMIF(B228,"&gt;0"),P205,0))+(IF(SUMIF(B229,"&gt;0"),P206,0))+(IF(SUMIF(B230,"&gt;0"),P207,0))+(IF(SUMIF(B231,"&gt;0"),P208,0))+(IF(SUMIF(B232,"&gt;0"),P209,0)))/Grundlagen!$C$26)</f>
        <v>0</v>
      </c>
      <c r="Q210" s="997" t="str">
        <f>CONCATENATE("BBG"," anteilig ",O212)</f>
        <v>BBG anteilig 2025</v>
      </c>
      <c r="R210" s="931" t="s">
        <v>659</v>
      </c>
      <c r="S210" s="931" t="s">
        <v>398</v>
      </c>
      <c r="T210" s="107"/>
    </row>
    <row r="211" spans="1:20" s="46" customFormat="1" ht="13.5" customHeight="1" x14ac:dyDescent="0.2">
      <c r="A211" s="924" t="s">
        <v>732</v>
      </c>
      <c r="D211" s="55" t="s">
        <v>369</v>
      </c>
      <c r="E211" s="56" t="s">
        <v>368</v>
      </c>
      <c r="F211" s="58"/>
      <c r="J211" s="61"/>
      <c r="Q211" s="932" t="s">
        <v>144</v>
      </c>
      <c r="R211" s="140">
        <f>IF(M200=0,R215,IF(M199="",R215,(SUM(R221:R232)/M203)))</f>
        <v>5175</v>
      </c>
      <c r="S211" s="933">
        <f>IF(M200=0,S215,IF(M199="",S215,SUM(R221:R232)))</f>
        <v>0</v>
      </c>
      <c r="T211" s="107"/>
    </row>
    <row r="212" spans="1:20" s="46" customFormat="1" ht="13.5" customHeight="1" x14ac:dyDescent="0.25">
      <c r="A212" s="60"/>
      <c r="B212" s="1314" t="str">
        <f>IF($B$20="","",$B$20)</f>
        <v>Jahressonderzahlung (JSZ)</v>
      </c>
      <c r="C212" s="1315"/>
      <c r="D212" s="926"/>
      <c r="E212" s="929" t="str">
        <f>IF(A212="","",ROUND((((SUM(B227:B229)+SUM(F227:F229))/3)*D212)/Grundlagen!$C$26*M203,2))</f>
        <v/>
      </c>
      <c r="N212" s="917" t="s">
        <v>736</v>
      </c>
      <c r="O212" s="918">
        <f>P212+1</f>
        <v>2025</v>
      </c>
      <c r="P212" s="918" t="s">
        <v>721</v>
      </c>
      <c r="Q212" s="932" t="s">
        <v>145</v>
      </c>
      <c r="R212" s="140">
        <f>IF(M200=0,R216,IF(M199="",R216,(SUM(S221:S232)/M203)))</f>
        <v>7450</v>
      </c>
      <c r="S212" s="933">
        <f>IF(M200=0,S216,IF(M199="",S216,SUM(S221:S232)))</f>
        <v>0</v>
      </c>
      <c r="T212" s="109"/>
    </row>
    <row r="213" spans="1:20" ht="14.25" customHeight="1" x14ac:dyDescent="0.2">
      <c r="A213" s="60"/>
      <c r="B213" s="1314" t="str">
        <f>IF($B$21="","",$B$21)</f>
        <v>Leistungsentgelt (LOB)</v>
      </c>
      <c r="C213" s="1315"/>
      <c r="D213" s="926"/>
      <c r="E213" s="929" t="str">
        <f>IF(A213="","",ROUND(((B233+F233)*D213)/Grundlagen!$C$26*M203,2))</f>
        <v/>
      </c>
      <c r="F213" s="1"/>
      <c r="N213" s="139" t="s">
        <v>144</v>
      </c>
      <c r="O213" s="141">
        <f>'päd.Personal - Leitung'!$O$21</f>
        <v>5175</v>
      </c>
      <c r="P213" s="141">
        <f>'päd.Personal - Leitung'!$P$21</f>
        <v>5175</v>
      </c>
      <c r="Q213" s="11"/>
      <c r="R213" s="11"/>
      <c r="S213" s="11"/>
      <c r="T213" s="109"/>
    </row>
    <row r="214" spans="1:20" ht="14.25" customHeight="1" x14ac:dyDescent="0.2">
      <c r="A214" s="1"/>
      <c r="B214" s="1"/>
      <c r="C214" s="925" t="s">
        <v>731</v>
      </c>
      <c r="D214" s="1"/>
      <c r="E214" s="1"/>
      <c r="F214" s="1"/>
      <c r="N214" s="139" t="s">
        <v>145</v>
      </c>
      <c r="O214" s="899">
        <f>'päd.Personal - Leitung'!$O$22</f>
        <v>7450</v>
      </c>
      <c r="P214" s="899">
        <f>'päd.Personal - Leitung'!$P$22</f>
        <v>7450</v>
      </c>
      <c r="Q214" s="997" t="str">
        <f>CONCATENATE("BBG"," ",O212)</f>
        <v>BBG 2025</v>
      </c>
      <c r="R214" s="11"/>
      <c r="S214" s="11"/>
      <c r="T214" s="109"/>
    </row>
    <row r="215" spans="1:20" ht="14.25" customHeight="1" x14ac:dyDescent="0.2">
      <c r="A215" s="53" t="s">
        <v>141</v>
      </c>
      <c r="O215" s="18"/>
      <c r="Q215" s="932" t="s">
        <v>144</v>
      </c>
      <c r="R215" s="141">
        <f>IF($O$21="",0,$O$21)</f>
        <v>5175</v>
      </c>
      <c r="S215" s="933">
        <f>R215*IF(M203="",0,M203)</f>
        <v>0</v>
      </c>
    </row>
    <row r="216" spans="1:20" ht="14.25" customHeight="1" x14ac:dyDescent="0.2">
      <c r="A216" s="1346"/>
      <c r="B216" s="1348" t="s">
        <v>8</v>
      </c>
      <c r="C216" s="1349"/>
      <c r="D216" s="1349"/>
      <c r="E216" s="1349"/>
      <c r="F216" s="1349"/>
      <c r="G216" s="1350"/>
      <c r="H216" s="1351" t="s">
        <v>113</v>
      </c>
      <c r="I216" s="1352"/>
      <c r="J216" s="1352"/>
      <c r="K216" s="1352"/>
      <c r="L216" s="1352"/>
      <c r="M216" s="1352"/>
      <c r="N216" s="1368" t="s">
        <v>658</v>
      </c>
      <c r="O216" s="30"/>
      <c r="P216" s="1330" t="s">
        <v>0</v>
      </c>
      <c r="Q216" s="932" t="s">
        <v>145</v>
      </c>
      <c r="R216" s="141">
        <f>IF($O$22="",0,$O$22)</f>
        <v>7450</v>
      </c>
      <c r="S216" s="933">
        <f>R216*IF(M203="",0,M203)</f>
        <v>0</v>
      </c>
    </row>
    <row r="217" spans="1:20" ht="14.25" customHeight="1" x14ac:dyDescent="0.2">
      <c r="A217" s="1347"/>
      <c r="B217" s="1333" t="s">
        <v>111</v>
      </c>
      <c r="C217" s="1335" t="s">
        <v>743</v>
      </c>
      <c r="D217" s="1337" t="s">
        <v>226</v>
      </c>
      <c r="E217" s="1339" t="s">
        <v>133</v>
      </c>
      <c r="F217" s="1002" t="s">
        <v>6</v>
      </c>
      <c r="G217" s="1340" t="s">
        <v>5</v>
      </c>
      <c r="H217" s="1339" t="s">
        <v>119</v>
      </c>
      <c r="I217" s="1339" t="s">
        <v>657</v>
      </c>
      <c r="J217" s="1339" t="s">
        <v>4</v>
      </c>
      <c r="K217" s="1339" t="s">
        <v>3</v>
      </c>
      <c r="L217" s="1339" t="s">
        <v>2</v>
      </c>
      <c r="M217" s="1339" t="s">
        <v>95</v>
      </c>
      <c r="N217" s="1369"/>
      <c r="O217" s="1338" t="s">
        <v>109</v>
      </c>
      <c r="P217" s="1331"/>
      <c r="Q217" s="456"/>
      <c r="R217" s="11"/>
      <c r="S217" s="11"/>
    </row>
    <row r="218" spans="1:20" ht="14.25" customHeight="1" x14ac:dyDescent="0.2">
      <c r="A218" s="1347"/>
      <c r="B218" s="1333"/>
      <c r="C218" s="1335"/>
      <c r="D218" s="1338"/>
      <c r="E218" s="1339"/>
      <c r="F218" s="1343" t="str">
        <f>I210</f>
        <v>Zuschläge / Zulagen / o.ä.:</v>
      </c>
      <c r="G218" s="1340"/>
      <c r="H218" s="1342" t="s">
        <v>117</v>
      </c>
      <c r="I218" s="1339"/>
      <c r="J218" s="1342"/>
      <c r="K218" s="1342"/>
      <c r="L218" s="1342"/>
      <c r="M218" s="1339"/>
      <c r="N218" s="1369"/>
      <c r="O218" s="1338"/>
      <c r="P218" s="1331"/>
      <c r="Q218" s="456"/>
      <c r="R218" s="1306" t="str">
        <f>Q210</f>
        <v>BBG anteilig 2025</v>
      </c>
      <c r="S218" s="1306"/>
    </row>
    <row r="219" spans="1:20" x14ac:dyDescent="0.2">
      <c r="A219" s="1347"/>
      <c r="B219" s="1333"/>
      <c r="C219" s="1335"/>
      <c r="D219" s="1338"/>
      <c r="E219" s="1339"/>
      <c r="F219" s="1343"/>
      <c r="G219" s="1340"/>
      <c r="H219" s="39" t="str">
        <f>'päd.Personal - Leitung'!$H$27</f>
        <v>(7,30% + Zusatz)</v>
      </c>
      <c r="I219" s="39" t="str">
        <f>$I$27</f>
        <v xml:space="preserve"> (2024: 18,60%)</v>
      </c>
      <c r="J219" s="39" t="str">
        <f>'päd.Personal - Leitung'!$I$27</f>
        <v xml:space="preserve"> (2024: 9,30%)</v>
      </c>
      <c r="K219" s="39" t="str">
        <f>'päd.Personal - Leitung'!$J$27</f>
        <v>(2024: 1,30%)</v>
      </c>
      <c r="L219" s="39" t="str">
        <f>'päd.Personal - Leitung'!$K$27</f>
        <v>(2024: 1,700%)</v>
      </c>
      <c r="M219" s="1339"/>
      <c r="N219" s="39" t="str">
        <f>$N$27</f>
        <v xml:space="preserve"> (2024: 20%)</v>
      </c>
      <c r="O219" s="1338"/>
      <c r="P219" s="1331"/>
      <c r="Q219" s="456"/>
      <c r="R219" s="1307" t="s">
        <v>659</v>
      </c>
      <c r="S219" s="1307"/>
    </row>
    <row r="220" spans="1:20" x14ac:dyDescent="0.2">
      <c r="A220" s="1347"/>
      <c r="B220" s="1334"/>
      <c r="C220" s="1336"/>
      <c r="D220" s="45"/>
      <c r="E220" s="45"/>
      <c r="F220" s="1344"/>
      <c r="G220" s="1341"/>
      <c r="H220" s="74"/>
      <c r="I220" s="19"/>
      <c r="J220" s="99">
        <f>'päd.Personal - Leitung'!$I$28</f>
        <v>0</v>
      </c>
      <c r="K220" s="99">
        <f>'päd.Personal - Leitung'!$J$28</f>
        <v>0</v>
      </c>
      <c r="L220" s="40">
        <f>'päd.Personal - Leitung'!$K$28</f>
        <v>0</v>
      </c>
      <c r="M220" s="19"/>
      <c r="N220" s="19"/>
      <c r="O220" s="19"/>
      <c r="P220" s="1332"/>
      <c r="Q220" s="456"/>
      <c r="R220" s="935" t="s">
        <v>144</v>
      </c>
      <c r="S220" s="935" t="s">
        <v>145</v>
      </c>
    </row>
    <row r="221" spans="1:20" x14ac:dyDescent="0.2">
      <c r="A221" s="76" t="str">
        <f>'päd.Personal - Leitung'!$A$29</f>
        <v>Jan 2025</v>
      </c>
      <c r="B221" s="22">
        <f>ROUND(IF(P198=0,0,(LOOKUP(2,1/(A206:A209=A221),G206:G209))*P198*4.348)*50%,2)</f>
        <v>0</v>
      </c>
      <c r="C221" s="21">
        <f>ROUND(IFERROR((LOOKUP(2,1/(A212=A221),E212)),0)+IFERROR((LOOKUP(2,1/(A213=A221),E213)),0),2)</f>
        <v>0</v>
      </c>
      <c r="D221" s="21">
        <f>ROUND(IF(B221=0,0,D220/M199*P198*50%),2)</f>
        <v>0</v>
      </c>
      <c r="E221" s="21">
        <f>ROUND(IF(B221=0,0,E220/N195*P198*50%),2)</f>
        <v>0</v>
      </c>
      <c r="F221" s="22">
        <f>ROUND(IF(P198=0,0,(LOOKUP(2,1/(A206:A209=A221),I206:I209))/N195*P198)*50%,2)</f>
        <v>0</v>
      </c>
      <c r="G221" s="25">
        <f>SUM(B221+C221+E221+F221)</f>
        <v>0</v>
      </c>
      <c r="H221" s="831">
        <f>ROUND(SUM(B221:F221)*H220,2)</f>
        <v>0</v>
      </c>
      <c r="I221" s="64">
        <f>ROUND(IF((SUM(B221:F221)*80%)&gt;((S221)*90%),((((S221)*90%)-((SUM(B221:F221)-C221))*I220)+((SUM(B221:F221)-C221)*I220)*80%),((SUM(B221:F221)-C221)*I220)*80%),2)</f>
        <v>0</v>
      </c>
      <c r="J221" s="831">
        <f>ROUND(SUM(B221:F221)*J220,2)</f>
        <v>0</v>
      </c>
      <c r="K221" s="831">
        <f>ROUND(SUM(B221:F221)*K220,2)</f>
        <v>0</v>
      </c>
      <c r="L221" s="831">
        <f>ROUND(SUM(B221:F221)*L220,2)</f>
        <v>0</v>
      </c>
      <c r="M221" s="831">
        <f>ROUND((SUM(B221:F221)-C221)*M220,2)</f>
        <v>0</v>
      </c>
      <c r="N221" s="21">
        <f>ROUND((B221+E221+F221)*N220,2)</f>
        <v>0</v>
      </c>
      <c r="O221" s="21">
        <f>ROUND(SUM(B221+C221+F221)*O220,2)</f>
        <v>0</v>
      </c>
      <c r="P221" s="25">
        <f>SUM(G221:O221)</f>
        <v>0</v>
      </c>
      <c r="Q221" s="456"/>
      <c r="R221" s="140">
        <f>ROUND(IF(M199="",R215,R215/M199*P198),2)</f>
        <v>5175</v>
      </c>
      <c r="S221" s="140">
        <f>ROUND(IF(M199="",R216,R216/M199*P198),2)</f>
        <v>7450</v>
      </c>
    </row>
    <row r="222" spans="1:20" x14ac:dyDescent="0.2">
      <c r="A222" s="76" t="str">
        <f>'päd.Personal - Leitung'!$A$30</f>
        <v>Feb 2025</v>
      </c>
      <c r="B222" s="22">
        <f>ROUND(IF(P199=0,0,IFERROR((((LOOKUP(2,1/(A206:A209=A222),G206:G209))*P199*4.348)*50%),B221/P198*P199)),2)</f>
        <v>0</v>
      </c>
      <c r="C222" s="21">
        <f>ROUND(IFERROR((LOOKUP(2,1/(A212=A222),E212)),0)+IFERROR((LOOKUP(2,1/(A213=A222),E213)),0),2)</f>
        <v>0</v>
      </c>
      <c r="D222" s="21">
        <f>ROUND(IF(B222=0,0,D220/M199*P199*50%),2)</f>
        <v>0</v>
      </c>
      <c r="E222" s="21">
        <f>ROUND(IF(B222=0,0,E220/N195*P199*50%),2)</f>
        <v>0</v>
      </c>
      <c r="F222" s="22">
        <f>ROUND(IF(P199=0,0,IFERROR((((LOOKUP(2,1/(A206:A209=A222),I206:I209))/N195*P199)*50%),F221/P198*P199)),2)</f>
        <v>0</v>
      </c>
      <c r="G222" s="25">
        <f t="shared" ref="G222:G232" si="37">SUM(B222+C222+E222+F222)</f>
        <v>0</v>
      </c>
      <c r="H222" s="831">
        <f>ROUND(SUM(B222:F222)*H220,2)</f>
        <v>0</v>
      </c>
      <c r="I222" s="64">
        <f>ROUND(IF((SUM(B222:F222)*80%)&gt;((SUM(S218:S222))*90%),((((SUM(S218:S222))*90%)-((SUM(B222:F222)-C222))*I220)+((SUM(B222:F222)-C222)*I220)*80%),((SUM(B222:F222)-C222)*I220)*80%),2)</f>
        <v>0</v>
      </c>
      <c r="J222" s="831">
        <f>ROUND(SUM(B222:F222)*J220,2)</f>
        <v>0</v>
      </c>
      <c r="K222" s="831">
        <f>ROUND(SUM(B222:F222)*K220,2)</f>
        <v>0</v>
      </c>
      <c r="L222" s="831">
        <f>ROUND(SUM(B222:F222)*L220,2)</f>
        <v>0</v>
      </c>
      <c r="M222" s="831">
        <f>ROUND((SUM(B222:F222)-C222)*M220,2)</f>
        <v>0</v>
      </c>
      <c r="N222" s="21">
        <f>ROUND((B222+E222+F222)*N220,2)</f>
        <v>0</v>
      </c>
      <c r="O222" s="21">
        <f>ROUND(SUM(B222+C222+F222)*O220,2)</f>
        <v>0</v>
      </c>
      <c r="P222" s="25">
        <f t="shared" ref="P222" si="38">SUM(G222:O222)</f>
        <v>0</v>
      </c>
      <c r="Q222" s="456"/>
      <c r="R222" s="140">
        <f>ROUND(IF(M199="",R215,R215/M199*P199),2)</f>
        <v>5175</v>
      </c>
      <c r="S222" s="140">
        <f>ROUND(IF(M199="",R216,R216/M199*P199),2)</f>
        <v>7450</v>
      </c>
    </row>
    <row r="223" spans="1:20" x14ac:dyDescent="0.2">
      <c r="A223" s="76" t="str">
        <f>'päd.Personal - Leitung'!$A$31</f>
        <v>Mrz 2025</v>
      </c>
      <c r="B223" s="22">
        <f>ROUND(IF(P200=0,0,IFERROR((((LOOKUP(2,1/(A206:A209=A223),G206:G209))*P200*4.348)*50%),B222/P199*P200)),2)</f>
        <v>0</v>
      </c>
      <c r="C223" s="21">
        <f>ROUND(IFERROR((LOOKUP(2,1/(A212=A223),E212)),0)+IFERROR((LOOKUP(2,1/(A213=A223),E213)),0),2)</f>
        <v>0</v>
      </c>
      <c r="D223" s="21">
        <f>ROUND(IF(B223=0,0,D220/M199*P200*50%),2)</f>
        <v>0</v>
      </c>
      <c r="E223" s="21">
        <f>ROUND(IF(B223=0,0,E220/N195*P200*50%),2)</f>
        <v>0</v>
      </c>
      <c r="F223" s="22">
        <f>ROUND(IF(P200=0,0,IFERROR((((LOOKUP(2,1/(A206:A209=A223),I206:I209))/N195*P200)*50%),F222/P199*P200)),2)</f>
        <v>0</v>
      </c>
      <c r="G223" s="25">
        <f t="shared" si="37"/>
        <v>0</v>
      </c>
      <c r="H223" s="831">
        <f>ROUND(SUM(B223:F223)*H220,2)</f>
        <v>0</v>
      </c>
      <c r="I223" s="64">
        <f>ROUND(IF((SUM(B222:F223)*80%)&gt;((SUM(S218:S223))*90%),((((SUM(S218:S223))*90%)-((SUM(B222:F223)-C223))*I220)+((SUM(B223:F223)-C223)*I220)*80%),((SUM(B223:F223)-C223)*I220)*80%),2)</f>
        <v>0</v>
      </c>
      <c r="J223" s="831">
        <f>ROUND(SUM(B223:F223)*J220,2)</f>
        <v>0</v>
      </c>
      <c r="K223" s="831">
        <f>ROUND(SUM(B223:F223)*K220,2)</f>
        <v>0</v>
      </c>
      <c r="L223" s="831">
        <f>ROUND(SUM(B223:F223)*L220,2)</f>
        <v>0</v>
      </c>
      <c r="M223" s="831">
        <f>ROUND((SUM(B223:F223)-C223)*M220,2)</f>
        <v>0</v>
      </c>
      <c r="N223" s="21">
        <f>ROUND((B223+E223+F223)*N220,2)</f>
        <v>0</v>
      </c>
      <c r="O223" s="21">
        <f>ROUND(SUM(B223+C223+F223)*O220,2)</f>
        <v>0</v>
      </c>
      <c r="P223" s="25">
        <f t="shared" ref="P223:P232" si="39">SUM(G223:O223)</f>
        <v>0</v>
      </c>
      <c r="Q223" s="456"/>
      <c r="R223" s="140">
        <f>ROUND(IF(M199="",R215,R215/M199*P200),2)</f>
        <v>5175</v>
      </c>
      <c r="S223" s="140">
        <f>ROUND(IF(M199="",R216,R216/M199*P200),2)</f>
        <v>7450</v>
      </c>
    </row>
    <row r="224" spans="1:20" x14ac:dyDescent="0.2">
      <c r="A224" s="76" t="str">
        <f>'päd.Personal - Leitung'!$A$32</f>
        <v>Apr 2025</v>
      </c>
      <c r="B224" s="22">
        <f>ROUND(IF(P201=0,0,IFERROR((((LOOKUP(2,1/(A206:A209=A224),G206:G209))*P201*4.348)*50%),B223/P200*P201)),2)</f>
        <v>0</v>
      </c>
      <c r="C224" s="21">
        <f>ROUND(IFERROR((LOOKUP(2,1/(A212=A224),E212)),0)+IFERROR((LOOKUP(2,1/(A213=A224),E213)),0),2)</f>
        <v>0</v>
      </c>
      <c r="D224" s="21">
        <f>ROUND(IF(B224=0,0,D220/M199*P201*50%),2)</f>
        <v>0</v>
      </c>
      <c r="E224" s="21">
        <f>ROUND(IF(B224=0,0,E220/N195*P201*50%),2)</f>
        <v>0</v>
      </c>
      <c r="F224" s="22">
        <f>ROUND(IF(P201=0,0,IFERROR((((LOOKUP(2,1/(A206:A209=A224),I206:I209))/N195*P201)*50%),F223/P200*P201)),2)</f>
        <v>0</v>
      </c>
      <c r="G224" s="25">
        <f t="shared" si="37"/>
        <v>0</v>
      </c>
      <c r="H224" s="831">
        <f>ROUND(SUM(B224:F224)*H220,2)</f>
        <v>0</v>
      </c>
      <c r="I224" s="64">
        <f>ROUND(IF((SUM(B222:F224)*80%)&gt;((SUM(S218:S224))*90%),((((SUM(S218:S224))*90%)-((SUM(B222:F224)-C224))*I220)+((SUM(B224:F224)-C224)*I220)*80%),((SUM(B224:F224)-C224)*I220)*80%),2)</f>
        <v>0</v>
      </c>
      <c r="J224" s="831">
        <f>ROUND(SUM(B224:F224)*J220,2)</f>
        <v>0</v>
      </c>
      <c r="K224" s="831">
        <f>ROUND(SUM(B224:F224)*K220,2)</f>
        <v>0</v>
      </c>
      <c r="L224" s="831">
        <f>ROUND(SUM(B224:F224)*L220,2)</f>
        <v>0</v>
      </c>
      <c r="M224" s="831">
        <f>ROUND((SUM(B224:F224)-C224)*M220,2)</f>
        <v>0</v>
      </c>
      <c r="N224" s="21">
        <f>ROUND((B224+E224+F224)*N220,2)</f>
        <v>0</v>
      </c>
      <c r="O224" s="21">
        <f>ROUND(SUM(B224+C224+F224)*O220,2)</f>
        <v>0</v>
      </c>
      <c r="P224" s="25">
        <f t="shared" si="39"/>
        <v>0</v>
      </c>
      <c r="Q224" s="456"/>
      <c r="R224" s="140">
        <f>ROUND(IF(M199="",R215,R215/M199*P201),2)</f>
        <v>5175</v>
      </c>
      <c r="S224" s="140">
        <f>ROUND(IF(M199="",R216,R216/M199*P201),2)</f>
        <v>7450</v>
      </c>
    </row>
    <row r="225" spans="1:19" x14ac:dyDescent="0.2">
      <c r="A225" s="76" t="str">
        <f>'päd.Personal - Leitung'!$A$33</f>
        <v>Mai 2025</v>
      </c>
      <c r="B225" s="22">
        <f>ROUND(IF(P202=0,0,IFERROR((((LOOKUP(2,1/(A206:A209=A225),G206:G209))*P202*4.348)*50%),B224/P201*P202)),2)</f>
        <v>0</v>
      </c>
      <c r="C225" s="21">
        <f>ROUND(IFERROR((LOOKUP(2,1/(A212=A225),E212)),0)+IFERROR((LOOKUP(2,1/(A213=A225),E213)),0),2)</f>
        <v>0</v>
      </c>
      <c r="D225" s="21">
        <f>ROUND(IF(B225=0,0,D220/M199*P202*50%),2)</f>
        <v>0</v>
      </c>
      <c r="E225" s="21">
        <f>ROUND(IF(B225=0,0,E220/N195*P202*50%),2)</f>
        <v>0</v>
      </c>
      <c r="F225" s="22">
        <f>ROUND(IF(P202=0,0,IFERROR((((LOOKUP(2,1/(A206:A209=A225),I206:I209))/N195*P202)*50%),F224/P201*P202)),2)</f>
        <v>0</v>
      </c>
      <c r="G225" s="25">
        <f t="shared" si="37"/>
        <v>0</v>
      </c>
      <c r="H225" s="831">
        <f>ROUND(SUM(B225:F225)*H220,2)</f>
        <v>0</v>
      </c>
      <c r="I225" s="64">
        <f>ROUND(IF((SUM(B222:F225)*80%)&gt;((SUM(S218:S225))*90%),((((SUM(S218:S225))*90%)-((SUM(B222:F225)-C225))*I220)+((SUM(B225:F225)-C225)*I220)*80%),((SUM(B225:F225)-C225)*I220)*80%),2)</f>
        <v>0</v>
      </c>
      <c r="J225" s="831">
        <f>ROUND(SUM(B225:F225)*J220,2)</f>
        <v>0</v>
      </c>
      <c r="K225" s="831">
        <f>ROUND(SUM(B225:F225)*K220,2)</f>
        <v>0</v>
      </c>
      <c r="L225" s="831">
        <f>ROUND(SUM(B225:F225)*L220,2)</f>
        <v>0</v>
      </c>
      <c r="M225" s="831">
        <f>ROUND((SUM(B225:F225)-C225)*M220,2)</f>
        <v>0</v>
      </c>
      <c r="N225" s="21">
        <f>ROUND((B225+E225+F225)*N220,2)</f>
        <v>0</v>
      </c>
      <c r="O225" s="21">
        <f>ROUND(SUM(B225+C225+F225)*O220,2)</f>
        <v>0</v>
      </c>
      <c r="P225" s="25">
        <f t="shared" si="39"/>
        <v>0</v>
      </c>
      <c r="Q225" s="456"/>
      <c r="R225" s="140">
        <f>ROUND(IF(M199="",R215,R215/M199*P202),2)</f>
        <v>5175</v>
      </c>
      <c r="S225" s="140">
        <f>ROUND(IF(M199="",R216,R216/M199*P202),2)</f>
        <v>7450</v>
      </c>
    </row>
    <row r="226" spans="1:19" x14ac:dyDescent="0.2">
      <c r="A226" s="76" t="str">
        <f>'päd.Personal - Leitung'!$A$34</f>
        <v>Jun 2025</v>
      </c>
      <c r="B226" s="22">
        <f>ROUND(IF(P203=0,0,IFERROR((((LOOKUP(2,1/(A206:A209=A226),G206:G209))*P203*4.348)*50%),B225/P202*P203)),2)</f>
        <v>0</v>
      </c>
      <c r="C226" s="21">
        <f>ROUND(IFERROR((LOOKUP(2,1/(A212=A226),E212)),0)+IFERROR((LOOKUP(2,1/(A213=A226),E213)),0),2)</f>
        <v>0</v>
      </c>
      <c r="D226" s="21">
        <f>ROUND(IF(B226=0,0,D220/M199*P203*50%),2)</f>
        <v>0</v>
      </c>
      <c r="E226" s="21">
        <f>ROUND(IF(B226=0,0,E220/N195*P203*50%),2)</f>
        <v>0</v>
      </c>
      <c r="F226" s="22">
        <f>ROUND(IF(P203=0,0,IFERROR((((LOOKUP(2,1/(A206:A209=A226),I206:I209))/N195*P203)*50%),F225/P202*P203)),2)</f>
        <v>0</v>
      </c>
      <c r="G226" s="25">
        <f t="shared" si="37"/>
        <v>0</v>
      </c>
      <c r="H226" s="831">
        <f>ROUND(SUM(B226:F226)*H220,2)</f>
        <v>0</v>
      </c>
      <c r="I226" s="64">
        <f>ROUND(IF((SUM(B222:F226)*80%)&gt;((SUM(S218:S226))*90%),((((SUM(S218:S226))*90%)-((SUM(B222:F226)-C226))*I220)+((SUM(B226:F226)-C226)*I220)*80%),((SUM(B226:F226)-C226)*I220)*80%),2)</f>
        <v>0</v>
      </c>
      <c r="J226" s="831">
        <f>ROUND(SUM(B226:F226)*J220,2)</f>
        <v>0</v>
      </c>
      <c r="K226" s="831">
        <f>ROUND(SUM(B226:F226)*K220,2)</f>
        <v>0</v>
      </c>
      <c r="L226" s="831">
        <f>ROUND(SUM(B226:F226)*L220,2)</f>
        <v>0</v>
      </c>
      <c r="M226" s="831">
        <f>ROUND((SUM(B226:F226)-C226)*M220,2)</f>
        <v>0</v>
      </c>
      <c r="N226" s="21">
        <f>ROUND((B226+E226+F226)*N220,2)</f>
        <v>0</v>
      </c>
      <c r="O226" s="21">
        <f>ROUND(SUM(B226+C226+F226)*O220,2)</f>
        <v>0</v>
      </c>
      <c r="P226" s="25">
        <f t="shared" si="39"/>
        <v>0</v>
      </c>
      <c r="Q226" s="456"/>
      <c r="R226" s="140">
        <f>ROUND(IF(M199="",R215,R215/M199*P203),2)</f>
        <v>5175</v>
      </c>
      <c r="S226" s="140">
        <f>ROUND(IF(M199="",R216,R216/M199*P203),2)</f>
        <v>7450</v>
      </c>
    </row>
    <row r="227" spans="1:19" x14ac:dyDescent="0.2">
      <c r="A227" s="76" t="str">
        <f>'päd.Personal - Leitung'!$A$35</f>
        <v>Jul 2025</v>
      </c>
      <c r="B227" s="22">
        <f>ROUND(IF(P204=0,0,IFERROR((((LOOKUP(2,1/(A206:A209=A227),G206:G209))*P204*4.348)*50%),B226/P203*P204)),2)</f>
        <v>0</v>
      </c>
      <c r="C227" s="21">
        <f>ROUND(IFERROR((LOOKUP(2,1/(A212=A227),E212)),0)+IFERROR((LOOKUP(2,1/(A213=A227),E213)),0),2)</f>
        <v>0</v>
      </c>
      <c r="D227" s="21">
        <f>ROUND(IF(B227=0,0,D220/M199*P204*50%),2)</f>
        <v>0</v>
      </c>
      <c r="E227" s="21">
        <f>ROUND(IF(B227=0,0,E220/N195*P204*50%),2)</f>
        <v>0</v>
      </c>
      <c r="F227" s="22">
        <f>ROUND(IF(P204=0,0,IFERROR((((LOOKUP(2,1/(A206:A209=A227),I206:I209))/N195*P204)*50%),F226/P203*P204)),2)</f>
        <v>0</v>
      </c>
      <c r="G227" s="25">
        <f t="shared" si="37"/>
        <v>0</v>
      </c>
      <c r="H227" s="831">
        <f>ROUND(SUM(B227:F227)*H220,2)</f>
        <v>0</v>
      </c>
      <c r="I227" s="64">
        <f>ROUND(IF((SUM(B222:F227)*80%)&gt;((SUM(S218:S227))*90%),((((SUM(S218:S227))*90%)-((SUM(B222:F227)-C227))*I220)+((SUM(B227:F227)-C227)*I220)*80%),((SUM(B227:F227)-C227)*I220)*80%),2)</f>
        <v>0</v>
      </c>
      <c r="J227" s="831">
        <f>ROUND(SUM(B227:F227)*J220,2)</f>
        <v>0</v>
      </c>
      <c r="K227" s="831">
        <f>ROUND(SUM(B227:F227)*K220,2)</f>
        <v>0</v>
      </c>
      <c r="L227" s="831">
        <f>ROUND(SUM(B227:F227)*L220,2)</f>
        <v>0</v>
      </c>
      <c r="M227" s="831">
        <f>ROUND((SUM(B227:F227)-C227)*M220,2)</f>
        <v>0</v>
      </c>
      <c r="N227" s="21">
        <f>ROUND((B227+E227+F227)*N220,2)</f>
        <v>0</v>
      </c>
      <c r="O227" s="21">
        <f>ROUND(SUM(B227+C227+F227)*O220,2)</f>
        <v>0</v>
      </c>
      <c r="P227" s="25">
        <f t="shared" si="39"/>
        <v>0</v>
      </c>
      <c r="Q227" s="456"/>
      <c r="R227" s="140">
        <f>ROUND(IF(M199="",R215,R215/M199*P204),2)</f>
        <v>5175</v>
      </c>
      <c r="S227" s="140">
        <f>ROUND(IF(M199="",R216,R216/M199*P204),2)</f>
        <v>7450</v>
      </c>
    </row>
    <row r="228" spans="1:19" x14ac:dyDescent="0.2">
      <c r="A228" s="76" t="str">
        <f>'päd.Personal - Leitung'!$A$36</f>
        <v>Aug 2025</v>
      </c>
      <c r="B228" s="22">
        <f>ROUND(IF(P205=0,0,IFERROR((((LOOKUP(2,1/(A206:A209=A228),G206:G209))*P205*4.348)*50%),B227/P204*P205)),2)</f>
        <v>0</v>
      </c>
      <c r="C228" s="21">
        <f>ROUND(IFERROR((LOOKUP(2,1/(A212=A228),E212)),0)+IFERROR((LOOKUP(2,1/(A213=A228),E213)),0),2)</f>
        <v>0</v>
      </c>
      <c r="D228" s="21">
        <f>ROUND(IF(B228=0,0,D220/M199*P205*50%),2)</f>
        <v>0</v>
      </c>
      <c r="E228" s="21">
        <f>ROUND(IF(B228=0,0,E220/N195*P205*50%),2)</f>
        <v>0</v>
      </c>
      <c r="F228" s="22">
        <f>ROUND(IF(P205=0,0,IFERROR((((LOOKUP(2,1/(A206:A209=A228),I206:I209))/N195*P205)*50%),F227/P204*P205)),2)</f>
        <v>0</v>
      </c>
      <c r="G228" s="25">
        <f t="shared" si="37"/>
        <v>0</v>
      </c>
      <c r="H228" s="831">
        <f>ROUND(SUM(B228:F228)*H220,2)</f>
        <v>0</v>
      </c>
      <c r="I228" s="64">
        <f>ROUND(IF((SUM(B222:F228)*80%)&gt;((SUM(S218:S228))*90%),((((SUM(S218:S228))*90%)-((SUM(B222:F228)-C228))*I220)+((SUM(B228:F228)-C228)*I220)*80%),((SUM(B228:F228)-C228)*I220)*80%),2)</f>
        <v>0</v>
      </c>
      <c r="J228" s="831">
        <f>ROUND(SUM(B228:F228)*J220,2)</f>
        <v>0</v>
      </c>
      <c r="K228" s="831">
        <f>ROUND(SUM(B228:F228)*K220,2)</f>
        <v>0</v>
      </c>
      <c r="L228" s="831">
        <f>ROUND(SUM(B228:F228)*L220,2)</f>
        <v>0</v>
      </c>
      <c r="M228" s="831">
        <f>ROUND((SUM(B228:F228)-C228)*M220,2)</f>
        <v>0</v>
      </c>
      <c r="N228" s="21">
        <f>ROUND((B228+E228+F228)*N220,2)</f>
        <v>0</v>
      </c>
      <c r="O228" s="21">
        <f>ROUND(SUM(B228+C228+F228)*O220,2)</f>
        <v>0</v>
      </c>
      <c r="P228" s="25">
        <f t="shared" si="39"/>
        <v>0</v>
      </c>
      <c r="Q228" s="456"/>
      <c r="R228" s="140">
        <f>ROUND(IF(M199="",R215,R215/M199*P205),2)</f>
        <v>5175</v>
      </c>
      <c r="S228" s="140">
        <f>ROUND(IF(M199="",R216,R216/M199*P205),2)</f>
        <v>7450</v>
      </c>
    </row>
    <row r="229" spans="1:19" x14ac:dyDescent="0.2">
      <c r="A229" s="76" t="str">
        <f>'päd.Personal - Leitung'!$A$37</f>
        <v>Sep 2025</v>
      </c>
      <c r="B229" s="22">
        <f>ROUND(IF(P206=0,0,IFERROR((((LOOKUP(2,1/(A206:A209=A229),G206:G209))*P206*4.348)*50%),B228/P205*P206)),2)</f>
        <v>0</v>
      </c>
      <c r="C229" s="21">
        <f>ROUND(IFERROR((LOOKUP(2,1/(A212=A229),E212)),0)+IFERROR((LOOKUP(2,1/(A213=A229),E213)),0),2)</f>
        <v>0</v>
      </c>
      <c r="D229" s="21">
        <f>ROUND(IF(B229=0,0,D220/M199*P206*50%),2)</f>
        <v>0</v>
      </c>
      <c r="E229" s="21">
        <f>ROUND(IF(B229=0,0,E220/N195*P206*50%),2)</f>
        <v>0</v>
      </c>
      <c r="F229" s="22">
        <f>ROUND(IF(P206=0,0,IFERROR((((LOOKUP(2,1/(A206:A209=A229),I206:I209))/N195*P206)*50%),F228/P205*P206)),2)</f>
        <v>0</v>
      </c>
      <c r="G229" s="25">
        <f t="shared" si="37"/>
        <v>0</v>
      </c>
      <c r="H229" s="831">
        <f>ROUND(SUM(B229:F229)*H220,2)</f>
        <v>0</v>
      </c>
      <c r="I229" s="64">
        <f>ROUND(IF((SUM(B222:F229)*80%)&gt;((SUM(S218:S229))*90%),((((SUM(S218:S229))*90%)-((SUM(B222:F229)-C229))*I220)+((SUM(B229:F229)-C229)*I220)*80%),((SUM(B229:F229)-C229)*I220)*80%),2)</f>
        <v>0</v>
      </c>
      <c r="J229" s="831">
        <f>ROUND(SUM(B229:F229)*J220,2)</f>
        <v>0</v>
      </c>
      <c r="K229" s="831">
        <f>ROUND(SUM(B229:F229)*K220,2)</f>
        <v>0</v>
      </c>
      <c r="L229" s="831">
        <f>ROUND(SUM(B229:F229)*L220,2)</f>
        <v>0</v>
      </c>
      <c r="M229" s="831">
        <f>ROUND((SUM(B229:F229)-C229)*M220,2)</f>
        <v>0</v>
      </c>
      <c r="N229" s="21">
        <f>ROUND((B229+E229+F229)*N220,2)</f>
        <v>0</v>
      </c>
      <c r="O229" s="21">
        <f>ROUND(SUM(B229+C229+F229)*O220,2)</f>
        <v>0</v>
      </c>
      <c r="P229" s="25">
        <f t="shared" si="39"/>
        <v>0</v>
      </c>
      <c r="Q229" s="456"/>
      <c r="R229" s="140">
        <f>ROUND(IF(M199="",R215,R215/M199*P206),2)</f>
        <v>5175</v>
      </c>
      <c r="S229" s="140">
        <f>ROUND(IF(M199="",R216,R216/M199*P206),2)</f>
        <v>7450</v>
      </c>
    </row>
    <row r="230" spans="1:19" x14ac:dyDescent="0.2">
      <c r="A230" s="76" t="str">
        <f>'päd.Personal - Leitung'!$A$38</f>
        <v>Okt 2025</v>
      </c>
      <c r="B230" s="22">
        <f>ROUND(IF(P207=0,0,IFERROR((((LOOKUP(2,1/(A206:A209=A230),G206:G209))*P207*4.348)*50%),B229/P206*P207)),2)</f>
        <v>0</v>
      </c>
      <c r="C230" s="21">
        <f>ROUND(IFERROR((LOOKUP(2,1/(A212=A230),E212)),0)+IFERROR((LOOKUP(2,1/(A213=A230),E213)),0),2)</f>
        <v>0</v>
      </c>
      <c r="D230" s="21">
        <f>ROUND(IF(B230=0,0,D220/M199*P207*50%),2)</f>
        <v>0</v>
      </c>
      <c r="E230" s="21">
        <f>ROUND(IF(B230=0,0,E220/N195*P207*50%),2)</f>
        <v>0</v>
      </c>
      <c r="F230" s="22">
        <f>ROUND(IF(P207=0,0,IFERROR((((LOOKUP(2,1/(A206:A209=A230),I206:I209))/N195*P207)*50%),F229/P206*P207)),2)</f>
        <v>0</v>
      </c>
      <c r="G230" s="25">
        <f t="shared" si="37"/>
        <v>0</v>
      </c>
      <c r="H230" s="831">
        <f>ROUND(SUM(B230:F230)*H220,2)</f>
        <v>0</v>
      </c>
      <c r="I230" s="64">
        <f>ROUND(IF((SUM(B222:F230)*80%)&gt;((SUM(S218:S230))*90%),((((SUM(S218:S230))*90%)-((SUM(B222:F230)-C230))*I220)+((SUM(B230:F230)-C230)*I220)*80%),((SUM(B230:F230)-C230)*I220)*80%),2)</f>
        <v>0</v>
      </c>
      <c r="J230" s="831">
        <f>ROUND(SUM(B230:F230)*J220,2)</f>
        <v>0</v>
      </c>
      <c r="K230" s="831">
        <f>ROUND(SUM(B230:F230)*K220,2)</f>
        <v>0</v>
      </c>
      <c r="L230" s="831">
        <f>ROUND(SUM(B230:F230)*L220,2)</f>
        <v>0</v>
      </c>
      <c r="M230" s="831">
        <f>ROUND((SUM(B230:F230)-C230)*M220,2)</f>
        <v>0</v>
      </c>
      <c r="N230" s="21">
        <f>ROUND((B230+E230+F230)*N220,2)</f>
        <v>0</v>
      </c>
      <c r="O230" s="21">
        <f>ROUND(SUM(B230+C230+F230)*O220,2)</f>
        <v>0</v>
      </c>
      <c r="P230" s="25">
        <f t="shared" si="39"/>
        <v>0</v>
      </c>
      <c r="Q230" s="936"/>
      <c r="R230" s="140">
        <f>ROUND(IF(M199="",R215,R215/M199*P207),2)</f>
        <v>5175</v>
      </c>
      <c r="S230" s="140">
        <f>ROUND(IF(M199="",R216,R216/M199*P207),2)</f>
        <v>7450</v>
      </c>
    </row>
    <row r="231" spans="1:19" x14ac:dyDescent="0.2">
      <c r="A231" s="76" t="str">
        <f>'päd.Personal - Leitung'!$A$39</f>
        <v>Nov 2025</v>
      </c>
      <c r="B231" s="22">
        <f>ROUND(IF(P208=0,0,IFERROR((((LOOKUP(2,1/(A206:A209=A231),G206:G209))*P208*4.348)*50%),B230/P207*P208)),2)</f>
        <v>0</v>
      </c>
      <c r="C231" s="21">
        <f>ROUND(IFERROR((LOOKUP(2,1/(A212=A231),E212)),0)+(IFERROR((LOOKUP(2,1/(A213=A231),E213)),0)),2)</f>
        <v>0</v>
      </c>
      <c r="D231" s="21">
        <f>ROUND(IF(B231=0,0,D220/M199*P208*50%),2)</f>
        <v>0</v>
      </c>
      <c r="E231" s="21">
        <f>ROUND(IF(B231=0,0,E220/N195*P208*50%),2)</f>
        <v>0</v>
      </c>
      <c r="F231" s="22">
        <f>ROUND(IF(P208=0,0,IFERROR((((LOOKUP(2,1/(A206:A209=A231),I206:I209))/N195*P208)*50%),F230/P207*P208)),2)</f>
        <v>0</v>
      </c>
      <c r="G231" s="25">
        <f t="shared" si="37"/>
        <v>0</v>
      </c>
      <c r="H231" s="831">
        <f>ROUND(SUM(B231:F231)*H220,2)</f>
        <v>0</v>
      </c>
      <c r="I231" s="64">
        <f>ROUND(IF((SUM(B222:F231)*80%)&gt;((SUM(S218:S231))*90%),((((SUM(S218:S231))*90%)-((SUM(B222:F231)-C231))*I220)+((SUM(B231:F231)-C231)*I220)*80%),((SUM(B231:F231)-C231)*I220)*80%),2)</f>
        <v>0</v>
      </c>
      <c r="J231" s="831">
        <f>ROUND(SUM(B231:F231)*J220,2)</f>
        <v>0</v>
      </c>
      <c r="K231" s="831">
        <f>ROUND(SUM(B231:F231)*K220,2)</f>
        <v>0</v>
      </c>
      <c r="L231" s="831">
        <f>ROUND(SUM(B231:F231)*L220,2)</f>
        <v>0</v>
      </c>
      <c r="M231" s="831">
        <f>ROUND((SUM(B231:F231)-C231)*M220,2)</f>
        <v>0</v>
      </c>
      <c r="N231" s="21">
        <f>ROUND((B231+E231+F231)*N220,2)</f>
        <v>0</v>
      </c>
      <c r="O231" s="21">
        <f>ROUND(SUM(B231+C231+F231)*O220,2)</f>
        <v>0</v>
      </c>
      <c r="P231" s="25">
        <f t="shared" si="39"/>
        <v>0</v>
      </c>
      <c r="Q231" s="11"/>
      <c r="R231" s="140">
        <f>ROUND(IF(M199="",R215,R215/M199*P208),2)</f>
        <v>5175</v>
      </c>
      <c r="S231" s="140">
        <f>ROUND(IF(M199="",R216,R216/M199*P208),2)</f>
        <v>7450</v>
      </c>
    </row>
    <row r="232" spans="1:19" x14ac:dyDescent="0.2">
      <c r="A232" s="76" t="str">
        <f>'päd.Personal - Leitung'!$A$40</f>
        <v>Dez 2025</v>
      </c>
      <c r="B232" s="22">
        <f>ROUND(IF(P209=0,0,IFERROR((((LOOKUP(2,1/(A206:A209=A232),G206:G209))*P209*4.348)*50%),B231/P208*P209)),2)</f>
        <v>0</v>
      </c>
      <c r="C232" s="21">
        <f>ROUND(IFERROR((LOOKUP(2,1/(A212=A232),E212)),0)+IFERROR((LOOKUP(2,1/(A213=A232),E213)),0),2)</f>
        <v>0</v>
      </c>
      <c r="D232" s="21">
        <f>ROUND(IF(B232=0,0,D220/M199*P209*50%),2)</f>
        <v>0</v>
      </c>
      <c r="E232" s="21">
        <f>ROUND(IF(B232=0,0,E220/N195*P209*50%),2)</f>
        <v>0</v>
      </c>
      <c r="F232" s="22">
        <f>ROUND(IF(P209=0,0,IFERROR((((LOOKUP(2,1/(A206:A209=A232),I206:I209))/N195*P209)*50%),F231/P208*P209)),2)</f>
        <v>0</v>
      </c>
      <c r="G232" s="25">
        <f t="shared" si="37"/>
        <v>0</v>
      </c>
      <c r="H232" s="831">
        <f>ROUND(SUM(B232:F232)*H220,2)</f>
        <v>0</v>
      </c>
      <c r="I232" s="64">
        <f>ROUND(IF((SUM(B222:F232)*80%)&gt;((SUM(S218:S232))*90%),((((SUM(S218:S232))*90%)-((SUM(B222:F232)-C232))*I220)+((SUM(B232:F232)-C232)*I220)*80%),((SUM(B232:F232)-C232)*I220)*80%),2)</f>
        <v>0</v>
      </c>
      <c r="J232" s="831">
        <f>ROUND(SUM(B232:F232)*J220,2)</f>
        <v>0</v>
      </c>
      <c r="K232" s="831">
        <f>ROUND(SUM(B232:F232)*K220,2)</f>
        <v>0</v>
      </c>
      <c r="L232" s="831">
        <f>ROUND(SUM(B232:F232)*L220,2)</f>
        <v>0</v>
      </c>
      <c r="M232" s="831">
        <f>ROUND((SUM(B232:F232)-C232)*M220,2)</f>
        <v>0</v>
      </c>
      <c r="N232" s="21">
        <f>ROUND((B232+E232+F232)*N220,2)</f>
        <v>0</v>
      </c>
      <c r="O232" s="21">
        <f>ROUND(SUM(B232+C232+F232)*O220,2)</f>
        <v>0</v>
      </c>
      <c r="P232" s="25">
        <f t="shared" si="39"/>
        <v>0</v>
      </c>
      <c r="Q232" s="11"/>
      <c r="R232" s="140">
        <f>ROUND(IF(M199="",R215,R215/M199*P209),2)</f>
        <v>5175</v>
      </c>
      <c r="S232" s="140">
        <f>ROUND(IF(M199="",R216,R216/M199*P209),2)</f>
        <v>7450</v>
      </c>
    </row>
    <row r="233" spans="1:19" x14ac:dyDescent="0.2">
      <c r="A233" s="2" t="s">
        <v>1</v>
      </c>
      <c r="B233" s="25">
        <f t="shared" ref="B233:G233" si="40">SUM(B221:B232)</f>
        <v>0</v>
      </c>
      <c r="C233" s="25">
        <f t="shared" si="40"/>
        <v>0</v>
      </c>
      <c r="D233" s="25">
        <f t="shared" si="40"/>
        <v>0</v>
      </c>
      <c r="E233" s="25">
        <f t="shared" si="40"/>
        <v>0</v>
      </c>
      <c r="F233" s="25">
        <f t="shared" si="40"/>
        <v>0</v>
      </c>
      <c r="G233" s="25">
        <f t="shared" si="40"/>
        <v>0</v>
      </c>
      <c r="H233" s="1309">
        <f>SUM(H221:M232)</f>
        <v>0</v>
      </c>
      <c r="I233" s="1310"/>
      <c r="J233" s="1310"/>
      <c r="K233" s="1310"/>
      <c r="L233" s="1310"/>
      <c r="M233" s="1310"/>
      <c r="N233" s="25">
        <f>SUM(N221:N232)</f>
        <v>0</v>
      </c>
      <c r="O233" s="25">
        <f>SUM(O221:O232)</f>
        <v>0</v>
      </c>
      <c r="P233" s="25">
        <f>SUM(P221:P232)</f>
        <v>0</v>
      </c>
    </row>
    <row r="234" spans="1:19" x14ac:dyDescent="0.2">
      <c r="Q234" s="1021"/>
      <c r="R234" s="1021"/>
      <c r="S234" s="1021"/>
    </row>
    <row r="235" spans="1:19" s="1" customFormat="1" ht="14.25" customHeight="1" x14ac:dyDescent="0.2">
      <c r="B235" s="906"/>
      <c r="H235" s="905"/>
      <c r="I235" s="62"/>
      <c r="J235" s="914" t="s">
        <v>123</v>
      </c>
      <c r="L235" s="900" t="s">
        <v>124</v>
      </c>
      <c r="M235" s="974" t="str">
        <f>IF(IF(G233=0,"",$M$43)=0,"",IF(G233=0,"",$M$43))</f>
        <v/>
      </c>
      <c r="N235" s="902" t="s">
        <v>125</v>
      </c>
      <c r="O235" s="963" t="str">
        <f>IF(IF(G233=0,"",$O$43)=0,"",IF(G233=0,"",$O$43))</f>
        <v/>
      </c>
      <c r="P235" s="25">
        <f>ROUND(IF(M235="",0,G233*M235*O235/1000),2)</f>
        <v>0</v>
      </c>
      <c r="Q235" s="1015"/>
      <c r="R235" s="1022"/>
      <c r="S235" s="1016"/>
    </row>
    <row r="236" spans="1:19" s="1" customFormat="1" ht="14.25" customHeight="1" x14ac:dyDescent="0.2">
      <c r="H236" s="907"/>
      <c r="I236" s="42"/>
      <c r="M236" s="915" t="s">
        <v>129</v>
      </c>
      <c r="N236" s="80" t="s">
        <v>125</v>
      </c>
      <c r="O236" s="75" t="str">
        <f>IF(IF(G233=0,"",$O$44)=0,"",IF(G233=0,"",$O$44))</f>
        <v/>
      </c>
      <c r="P236" s="25">
        <f>ROUND(IF(O236="",0,G233*O236/1000),2)</f>
        <v>0</v>
      </c>
      <c r="Q236" s="1023"/>
      <c r="R236" s="65"/>
      <c r="S236" s="1017"/>
    </row>
    <row r="237" spans="1:19" s="1" customFormat="1" ht="14.25" customHeight="1" x14ac:dyDescent="0.2">
      <c r="H237" s="996" t="s">
        <v>126</v>
      </c>
      <c r="I237" s="1013" t="s">
        <v>127</v>
      </c>
      <c r="J237" s="975" t="str">
        <f>IF(IF(G233=0,"",$J$45)=0,"",IF(G233=0,"",$J$45))</f>
        <v/>
      </c>
      <c r="K237" s="902" t="s">
        <v>128</v>
      </c>
      <c r="L237" s="964" t="str">
        <f>IF(IF(G233=0,"",$L$45)=0,"",IF(G233=0,"",$L$45))</f>
        <v/>
      </c>
      <c r="M237" s="16"/>
      <c r="N237" s="900" t="s">
        <v>132</v>
      </c>
      <c r="O237" s="965" t="str">
        <f>IF(IF(G233=0,"",$O$45)=0,"",IF(G233=0,"",$O$45))</f>
        <v/>
      </c>
      <c r="P237" s="25">
        <f>ROUND(IF(J237="",0,(J237*L237/O237)/M201*M202),2)</f>
        <v>0</v>
      </c>
      <c r="Q237" s="1023"/>
      <c r="R237" s="66"/>
      <c r="S237" s="1016"/>
    </row>
    <row r="238" spans="1:19" s="1" customFormat="1" ht="14.25" customHeight="1" x14ac:dyDescent="0.2">
      <c r="D238" s="16"/>
      <c r="I238" s="16"/>
      <c r="J238" s="16"/>
      <c r="K238" s="63"/>
      <c r="L238" s="67"/>
      <c r="M238" s="915" t="s">
        <v>130</v>
      </c>
      <c r="N238" s="80" t="s">
        <v>131</v>
      </c>
      <c r="O238" s="904">
        <f>IF(IF(G233=0,0,$O$46)=0,0,IF(G233=0,0,$O$46))</f>
        <v>0</v>
      </c>
      <c r="P238" s="21">
        <f>ROUND(IF(G233=0,0,O238/M199*M200),2)</f>
        <v>0</v>
      </c>
      <c r="Q238" s="1023"/>
      <c r="R238" s="1018"/>
      <c r="S238" s="1024"/>
    </row>
    <row r="239" spans="1:19" s="1" customFormat="1" ht="14.25" customHeight="1" x14ac:dyDescent="0.2">
      <c r="A239" s="16"/>
      <c r="B239" s="16"/>
      <c r="I239" s="905"/>
      <c r="J239" s="961" t="s">
        <v>176</v>
      </c>
      <c r="K239" s="1312" t="str">
        <f>IF($K$47="","",$K$47)</f>
        <v/>
      </c>
      <c r="L239" s="1312"/>
      <c r="M239" s="1312"/>
      <c r="N239" s="80" t="s">
        <v>131</v>
      </c>
      <c r="O239" s="904">
        <f>IF(IF(G233=0,0,$O$47)=0,0,IF(G233=0,0,$O$47))</f>
        <v>0</v>
      </c>
      <c r="P239" s="21">
        <f>ROUND(IF(G233=0,0,O239/M199*M200),2)</f>
        <v>0</v>
      </c>
      <c r="Q239" s="1023"/>
      <c r="R239" s="1019"/>
      <c r="S239" s="1020"/>
    </row>
    <row r="240" spans="1:19" s="1" customFormat="1" ht="14.25" customHeight="1" x14ac:dyDescent="0.2">
      <c r="A240" s="908"/>
      <c r="B240" s="908"/>
      <c r="C240" s="1001"/>
      <c r="D240" s="1001"/>
      <c r="I240" s="913"/>
      <c r="J240" s="913"/>
      <c r="K240" s="916"/>
      <c r="L240" s="27"/>
      <c r="M240" s="27"/>
      <c r="N240" s="27"/>
      <c r="O240" s="26" t="s">
        <v>0</v>
      </c>
      <c r="P240" s="25">
        <f>P233+SUM(P235:P239)</f>
        <v>0</v>
      </c>
    </row>
    <row r="241" spans="1:19" s="10" customFormat="1" ht="13.5" customHeight="1" x14ac:dyDescent="0.2">
      <c r="A241" s="1321" t="s">
        <v>17</v>
      </c>
      <c r="B241" s="1321"/>
      <c r="C241" s="1321"/>
      <c r="D241" s="1320" t="str">
        <f>IF('päd.Personal - Leitung'!$D$1="","",'päd.Personal - Leitung'!$D$1)</f>
        <v/>
      </c>
      <c r="E241" s="1320"/>
      <c r="F241" s="1320"/>
      <c r="G241" s="1320"/>
      <c r="H241" s="1320"/>
      <c r="I241" s="1320"/>
      <c r="J241" s="1320"/>
      <c r="K241" s="1320"/>
      <c r="L241" s="1320"/>
      <c r="M241" s="1320"/>
      <c r="N241" s="1320"/>
    </row>
    <row r="242" spans="1:19" s="10" customFormat="1" ht="15" customHeight="1" x14ac:dyDescent="0.2">
      <c r="A242" s="1321" t="s">
        <v>16</v>
      </c>
      <c r="B242" s="1321"/>
      <c r="C242" s="1321" t="s">
        <v>14</v>
      </c>
      <c r="D242" s="1320" t="str">
        <f>IF('päd.Personal - Leitung'!$D$2="","",'päd.Personal - Leitung'!$D$2)</f>
        <v/>
      </c>
      <c r="E242" s="1320"/>
      <c r="F242" s="1320"/>
      <c r="G242" s="1320"/>
      <c r="H242" s="1320"/>
      <c r="I242" s="1320"/>
      <c r="J242" s="1320"/>
      <c r="K242" s="1320"/>
      <c r="L242" s="1320"/>
      <c r="M242" s="1320"/>
      <c r="N242" s="1320"/>
    </row>
    <row r="243" spans="1:19" s="10" customFormat="1" ht="15" customHeight="1" x14ac:dyDescent="0.2">
      <c r="A243" s="1321" t="s">
        <v>15</v>
      </c>
      <c r="B243" s="1321"/>
      <c r="C243" s="1321" t="s">
        <v>14</v>
      </c>
      <c r="D243" s="1320" t="str">
        <f>IF('päd.Personal - Leitung'!$D$3="","",'päd.Personal - Leitung'!$D$3)</f>
        <v/>
      </c>
      <c r="E243" s="1320"/>
      <c r="F243" s="1320"/>
      <c r="G243" s="1320"/>
      <c r="H243" s="1320"/>
      <c r="I243" s="1320"/>
      <c r="J243" s="1320"/>
      <c r="K243" s="1321" t="s">
        <v>100</v>
      </c>
      <c r="L243" s="1321"/>
      <c r="M243" s="1321"/>
      <c r="N243" s="38" t="str">
        <f>IF('päd.Personal - Leitung'!$N$3="","",'päd.Personal - Leitung'!$N$3)</f>
        <v/>
      </c>
    </row>
    <row r="244" spans="1:19" s="923" customFormat="1" ht="7.5" customHeight="1" x14ac:dyDescent="0.15">
      <c r="A244" s="1353"/>
      <c r="B244" s="1353"/>
      <c r="C244" s="1353"/>
      <c r="D244" s="1354"/>
      <c r="E244" s="1354"/>
      <c r="F244" s="1354"/>
      <c r="G244" s="1354"/>
      <c r="H244" s="1354"/>
      <c r="I244" s="1354"/>
      <c r="J244" s="1354"/>
      <c r="K244" s="922"/>
      <c r="L244" s="922"/>
      <c r="M244" s="922"/>
      <c r="N244" s="922"/>
      <c r="O244" s="922"/>
      <c r="P244" s="922"/>
    </row>
    <row r="245" spans="1:19" x14ac:dyDescent="0.2">
      <c r="A245" s="1355" t="s">
        <v>191</v>
      </c>
      <c r="B245" s="1355"/>
      <c r="C245" s="1355"/>
      <c r="D245" s="1355"/>
      <c r="E245" s="1355"/>
      <c r="F245" s="1355"/>
      <c r="G245" s="1355"/>
      <c r="H245" s="1355"/>
      <c r="I245" s="1355"/>
      <c r="J245" s="1355"/>
      <c r="K245" s="1355"/>
      <c r="L245" s="1355"/>
      <c r="M245" s="1355"/>
      <c r="N245" s="52"/>
      <c r="O245" s="138">
        <f>'päd.Personal - Leitung'!$O$5</f>
        <v>2025</v>
      </c>
      <c r="P245" s="52" t="s">
        <v>140</v>
      </c>
    </row>
    <row r="246" spans="1:19" s="8" customFormat="1" ht="13.5" customHeight="1" x14ac:dyDescent="0.25">
      <c r="B246" s="29"/>
      <c r="C246" s="29"/>
      <c r="D246" s="3" t="s">
        <v>166</v>
      </c>
      <c r="E246" s="28"/>
      <c r="F246" s="28"/>
      <c r="G246" s="28"/>
      <c r="H246" s="28"/>
      <c r="I246" s="24"/>
      <c r="K246" s="1327" t="s">
        <v>13</v>
      </c>
      <c r="L246" s="1327"/>
      <c r="M246" s="131"/>
      <c r="O246" s="928" t="str">
        <f>A269</f>
        <v>Jan 2025</v>
      </c>
      <c r="P246" s="68">
        <f>IF(M248="","",M248)</f>
        <v>0</v>
      </c>
    </row>
    <row r="247" spans="1:19" s="5" customFormat="1" ht="13.5" customHeight="1" x14ac:dyDescent="0.25">
      <c r="A247" s="1328" t="s">
        <v>754</v>
      </c>
      <c r="B247" s="1328"/>
      <c r="C247" s="1328"/>
      <c r="D247" s="1329"/>
      <c r="E247" s="1329"/>
      <c r="F247" s="1329"/>
      <c r="G247" s="1329"/>
      <c r="H247" s="1329"/>
      <c r="I247" s="1329"/>
      <c r="K247" s="1327" t="s">
        <v>101</v>
      </c>
      <c r="L247" s="1327"/>
      <c r="M247" s="101"/>
      <c r="O247" s="928" t="str">
        <f t="shared" ref="O247:O257" si="41">A270</f>
        <v>Feb 2025</v>
      </c>
      <c r="P247" s="69">
        <f t="shared" ref="P247:P253" si="42">IF(P246="","",P246)</f>
        <v>0</v>
      </c>
    </row>
    <row r="248" spans="1:19" s="1" customFormat="1" ht="13.5" customHeight="1" x14ac:dyDescent="0.2">
      <c r="A248" s="1328" t="s">
        <v>12</v>
      </c>
      <c r="B248" s="1328"/>
      <c r="C248" s="1328"/>
      <c r="D248" s="1345"/>
      <c r="E248" s="1345"/>
      <c r="F248" s="1345"/>
      <c r="G248" s="1345"/>
      <c r="H248" s="1345"/>
      <c r="I248" s="1345"/>
      <c r="K248" s="1327" t="s">
        <v>149</v>
      </c>
      <c r="L248" s="1327"/>
      <c r="M248" s="101">
        <f>IF((M249+M250)&gt;M247,0,M247-M249-M250)</f>
        <v>0</v>
      </c>
      <c r="O248" s="928" t="str">
        <f t="shared" si="41"/>
        <v>Mrz 2025</v>
      </c>
      <c r="P248" s="69">
        <f t="shared" si="42"/>
        <v>0</v>
      </c>
    </row>
    <row r="249" spans="1:19" s="1" customFormat="1" ht="13.5" customHeight="1" x14ac:dyDescent="0.2">
      <c r="A249" s="1328" t="s">
        <v>11</v>
      </c>
      <c r="B249" s="1328"/>
      <c r="C249" s="1328"/>
      <c r="D249" s="1345"/>
      <c r="E249" s="1345"/>
      <c r="F249" s="1345"/>
      <c r="G249" s="1345"/>
      <c r="H249" s="1345"/>
      <c r="I249" s="1345"/>
      <c r="K249" s="1327" t="s">
        <v>150</v>
      </c>
      <c r="L249" s="1327"/>
      <c r="M249" s="101"/>
      <c r="O249" s="928" t="str">
        <f t="shared" si="41"/>
        <v>Apr 2025</v>
      </c>
      <c r="P249" s="69">
        <f t="shared" si="42"/>
        <v>0</v>
      </c>
    </row>
    <row r="250" spans="1:19" s="1" customFormat="1" ht="13.5" customHeight="1" x14ac:dyDescent="0.2">
      <c r="A250" s="1328" t="s">
        <v>18</v>
      </c>
      <c r="B250" s="1328"/>
      <c r="C250" s="1328"/>
      <c r="D250" s="1345"/>
      <c r="E250" s="1345"/>
      <c r="F250" s="1345"/>
      <c r="G250" s="1345"/>
      <c r="H250" s="1345"/>
      <c r="I250" s="1345"/>
      <c r="K250" s="1327" t="s">
        <v>222</v>
      </c>
      <c r="L250" s="1327"/>
      <c r="M250" s="101"/>
      <c r="O250" s="928" t="str">
        <f t="shared" si="41"/>
        <v>Mai 2025</v>
      </c>
      <c r="P250" s="69">
        <f t="shared" si="42"/>
        <v>0</v>
      </c>
    </row>
    <row r="251" spans="1:19" s="1" customFormat="1" ht="13.5" customHeight="1" x14ac:dyDescent="0.2">
      <c r="B251" s="6"/>
      <c r="C251" s="998" t="s">
        <v>147</v>
      </c>
      <c r="D251" s="1324"/>
      <c r="E251" s="1324"/>
      <c r="F251" s="1359" t="s">
        <v>108</v>
      </c>
      <c r="G251" s="1359"/>
      <c r="H251" s="1361"/>
      <c r="I251" s="1361"/>
      <c r="K251" s="1327" t="s">
        <v>94</v>
      </c>
      <c r="L251" s="1327"/>
      <c r="M251" s="15" t="str">
        <f>IF(IF((COUNTIF(B269:B280,"&gt;0"))=0,0,(COUNTIF(B269:B280,"&gt;0")))&gt;Grundlagen!$C$26,Grundlagen!$C$26,IF((COUNTIF(B269:B280,"&gt;0"))=0,"",(COUNTIF(B269:B280,"&gt;0"))))</f>
        <v/>
      </c>
      <c r="O251" s="928" t="str">
        <f t="shared" si="41"/>
        <v>Jun 2025</v>
      </c>
      <c r="P251" s="69">
        <f t="shared" si="42"/>
        <v>0</v>
      </c>
    </row>
    <row r="252" spans="1:19" s="1" customFormat="1" ht="13.5" customHeight="1" x14ac:dyDescent="0.2">
      <c r="F252" s="1359" t="s">
        <v>213</v>
      </c>
      <c r="G252" s="1359"/>
      <c r="H252" s="1361"/>
      <c r="I252" s="1361"/>
      <c r="M252" s="102" t="str">
        <f>IF((SUM(F254:F257))=0,"",IF(P258&gt;M248,M248,IF(M248="","",IF(M251="","",P258))))</f>
        <v/>
      </c>
      <c r="O252" s="928" t="str">
        <f t="shared" si="41"/>
        <v>Jul 2025</v>
      </c>
      <c r="P252" s="69">
        <f t="shared" si="42"/>
        <v>0</v>
      </c>
    </row>
    <row r="253" spans="1:19" s="46" customFormat="1" ht="13.5" customHeight="1" x14ac:dyDescent="0.2">
      <c r="A253" s="54" t="s">
        <v>134</v>
      </c>
      <c r="B253" s="1356" t="s">
        <v>135</v>
      </c>
      <c r="C253" s="1356"/>
      <c r="D253" s="55" t="s">
        <v>136</v>
      </c>
      <c r="E253" s="56" t="s">
        <v>137</v>
      </c>
      <c r="F253" s="57" t="str">
        <f>CONCATENATE("Entg. ",N243," h/Wo")</f>
        <v>Entg.  h/Wo</v>
      </c>
      <c r="G253" s="58" t="s">
        <v>138</v>
      </c>
      <c r="I253" s="58" t="s">
        <v>139</v>
      </c>
      <c r="K253" s="970"/>
      <c r="L253" s="970"/>
      <c r="M253" s="59"/>
      <c r="N253" s="968" t="str">
        <f>IF(A255="","",A255)</f>
        <v/>
      </c>
      <c r="O253" s="928" t="str">
        <f t="shared" si="41"/>
        <v>Aug 2025</v>
      </c>
      <c r="P253" s="69">
        <f t="shared" si="42"/>
        <v>0</v>
      </c>
      <c r="Q253" s="1027"/>
      <c r="R253" s="1025"/>
      <c r="S253" s="1025"/>
    </row>
    <row r="254" spans="1:19" s="46" customFormat="1" ht="13.5" customHeight="1" x14ac:dyDescent="0.25">
      <c r="A254" s="48" t="str">
        <f>A269</f>
        <v>Jan 2025</v>
      </c>
      <c r="B254" s="1357" t="str">
        <f>IF($D$3="","",$D$3)</f>
        <v/>
      </c>
      <c r="C254" s="1358"/>
      <c r="D254" s="132"/>
      <c r="E254" s="132"/>
      <c r="F254" s="71"/>
      <c r="G254" s="50">
        <f>IF(N243="",0,F254/N243/4.348)</f>
        <v>0</v>
      </c>
      <c r="I254" s="51">
        <f>SUM(J254:M254)</f>
        <v>0</v>
      </c>
      <c r="J254" s="70"/>
      <c r="K254" s="70"/>
      <c r="L254" s="70"/>
      <c r="M254" s="70"/>
      <c r="N254" s="983"/>
      <c r="O254" s="928" t="str">
        <f t="shared" si="41"/>
        <v>Sep 2025</v>
      </c>
      <c r="P254" s="69">
        <f t="shared" ref="P254:P257" si="43">IF(P253="","",P253)</f>
        <v>0</v>
      </c>
      <c r="Q254" s="1026"/>
      <c r="R254" s="829"/>
      <c r="S254" s="1028"/>
    </row>
    <row r="255" spans="1:19" s="46" customFormat="1" ht="13.5" customHeight="1" x14ac:dyDescent="0.25">
      <c r="A255" s="49"/>
      <c r="B255" s="1322" t="str">
        <f>IF(A255="","",B254)</f>
        <v/>
      </c>
      <c r="C255" s="1323"/>
      <c r="D255" s="132"/>
      <c r="E255" s="132"/>
      <c r="F255" s="71"/>
      <c r="G255" s="50">
        <f>IF(N243="",0,F255/N243/4.348)</f>
        <v>0</v>
      </c>
      <c r="I255" s="51">
        <f t="shared" ref="I255:I257" si="44">SUM(J255:M255)</f>
        <v>0</v>
      </c>
      <c r="J255" s="70"/>
      <c r="K255" s="70"/>
      <c r="L255" s="70"/>
      <c r="M255" s="70"/>
      <c r="N255" s="983"/>
      <c r="O255" s="928" t="str">
        <f t="shared" si="41"/>
        <v>Okt 2025</v>
      </c>
      <c r="P255" s="69">
        <f t="shared" si="43"/>
        <v>0</v>
      </c>
      <c r="Q255" s="1026"/>
      <c r="R255" s="829"/>
      <c r="S255" s="1028"/>
    </row>
    <row r="256" spans="1:19" s="46" customFormat="1" ht="13.5" customHeight="1" x14ac:dyDescent="0.25">
      <c r="A256" s="49"/>
      <c r="B256" s="1322" t="str">
        <f>IF(A256="","",B255)</f>
        <v/>
      </c>
      <c r="C256" s="1323"/>
      <c r="D256" s="132"/>
      <c r="E256" s="132"/>
      <c r="F256" s="71"/>
      <c r="G256" s="50">
        <f>IF(N243="",0,F256/N243/4.348)</f>
        <v>0</v>
      </c>
      <c r="I256" s="51">
        <f t="shared" si="44"/>
        <v>0</v>
      </c>
      <c r="J256" s="70"/>
      <c r="K256" s="70"/>
      <c r="L256" s="70"/>
      <c r="M256" s="70"/>
      <c r="N256" s="983"/>
      <c r="O256" s="928" t="str">
        <f t="shared" si="41"/>
        <v>Nov 2025</v>
      </c>
      <c r="P256" s="69">
        <f t="shared" si="43"/>
        <v>0</v>
      </c>
      <c r="Q256" s="828"/>
      <c r="R256" s="829"/>
      <c r="S256" s="829"/>
    </row>
    <row r="257" spans="1:20" s="46" customFormat="1" ht="13.5" customHeight="1" x14ac:dyDescent="0.25">
      <c r="A257" s="49"/>
      <c r="B257" s="1322" t="str">
        <f>IF(A257="","",B256)</f>
        <v/>
      </c>
      <c r="C257" s="1323"/>
      <c r="D257" s="132"/>
      <c r="E257" s="132"/>
      <c r="F257" s="71"/>
      <c r="G257" s="50">
        <f>IF(N243="",0,F257/N243/4.348)</f>
        <v>0</v>
      </c>
      <c r="I257" s="51">
        <f t="shared" si="44"/>
        <v>0</v>
      </c>
      <c r="J257" s="70"/>
      <c r="K257" s="70"/>
      <c r="L257" s="70"/>
      <c r="M257" s="70"/>
      <c r="N257" s="983"/>
      <c r="O257" s="928" t="str">
        <f t="shared" si="41"/>
        <v>Dez 2025</v>
      </c>
      <c r="P257" s="69">
        <f t="shared" si="43"/>
        <v>0</v>
      </c>
      <c r="Q257" s="276"/>
      <c r="R257" s="827"/>
      <c r="S257" s="827"/>
    </row>
    <row r="258" spans="1:20" s="46" customFormat="1" ht="13.5" customHeight="1" x14ac:dyDescent="0.25">
      <c r="B258" s="972"/>
      <c r="C258" s="972"/>
      <c r="E258" s="972"/>
      <c r="F258" s="972"/>
      <c r="I258" s="930" t="s">
        <v>730</v>
      </c>
      <c r="J258" s="982"/>
      <c r="K258" s="982"/>
      <c r="L258" s="982"/>
      <c r="M258" s="982"/>
      <c r="N258" s="994"/>
      <c r="O258" s="126" t="s">
        <v>221</v>
      </c>
      <c r="P258" s="127">
        <f>IF(M251="",0,((IF(SUMIF(B269,"&gt;0"),P246,0))+(IF(SUMIF(B270,"&gt;0"),P247,0))+(IF(SUMIF(B271,"&gt;0"),P248,0))+(IF(SUMIF(B272,"&gt;0"),P249,0))+(IF(SUMIF(B273,"&gt;0"),P250,0))+(IF(SUMIF(B274,"&gt;0"),P251,0))+(IF(SUMIF(B275,"&gt;0"),P252,0))+(IF(SUMIF(B276,"&gt;0"),P253,0))+(IF(SUMIF(B277,"&gt;0"),P254,0))+(IF(SUMIF(B278,"&gt;0"),P255,0))+(IF(SUMIF(B279,"&gt;0"),P256,0))+(IF(SUMIF(B280,"&gt;0"),P257,0)))/Grundlagen!$C$26)</f>
        <v>0</v>
      </c>
      <c r="Q258" s="997" t="str">
        <f>CONCATENATE("BBG"," anteilig ",O260)</f>
        <v>BBG anteilig 2025</v>
      </c>
      <c r="R258" s="931" t="s">
        <v>659</v>
      </c>
      <c r="S258" s="931" t="s">
        <v>398</v>
      </c>
      <c r="T258" s="107"/>
    </row>
    <row r="259" spans="1:20" s="46" customFormat="1" ht="13.5" customHeight="1" x14ac:dyDescent="0.2">
      <c r="A259" s="924" t="s">
        <v>732</v>
      </c>
      <c r="D259" s="55" t="s">
        <v>369</v>
      </c>
      <c r="E259" s="56" t="s">
        <v>368</v>
      </c>
      <c r="F259" s="58"/>
      <c r="J259" s="61"/>
      <c r="Q259" s="932" t="s">
        <v>144</v>
      </c>
      <c r="R259" s="140">
        <f>IF(M248=0,R263,IF(M247="",R263,(SUM(R269:R280)/M251)))</f>
        <v>5175</v>
      </c>
      <c r="S259" s="933">
        <f>IF(M248=0,S263,IF(M247="",S263,SUM(R269:R280)))</f>
        <v>0</v>
      </c>
      <c r="T259" s="107"/>
    </row>
    <row r="260" spans="1:20" s="46" customFormat="1" ht="13.5" customHeight="1" x14ac:dyDescent="0.25">
      <c r="A260" s="60"/>
      <c r="B260" s="1314" t="str">
        <f>IF($B$20="","",$B$20)</f>
        <v>Jahressonderzahlung (JSZ)</v>
      </c>
      <c r="C260" s="1315"/>
      <c r="D260" s="926"/>
      <c r="E260" s="929" t="str">
        <f>IF(A260="","",ROUND((((SUM(B275:B277)+SUM(F275:F277))/3)*D260)/Grundlagen!$C$26*M251,2))</f>
        <v/>
      </c>
      <c r="N260" s="917" t="s">
        <v>736</v>
      </c>
      <c r="O260" s="918">
        <f>P260+1</f>
        <v>2025</v>
      </c>
      <c r="P260" s="918" t="s">
        <v>721</v>
      </c>
      <c r="Q260" s="932" t="s">
        <v>145</v>
      </c>
      <c r="R260" s="140">
        <f>IF(M248=0,R264,IF(M247="",R264,(SUM(S269:S280)/M251)))</f>
        <v>7450</v>
      </c>
      <c r="S260" s="933">
        <f>IF(M248=0,S264,IF(M247="",S264,SUM(S269:S280)))</f>
        <v>0</v>
      </c>
      <c r="T260" s="109"/>
    </row>
    <row r="261" spans="1:20" ht="14.25" customHeight="1" x14ac:dyDescent="0.2">
      <c r="A261" s="60"/>
      <c r="B261" s="1314" t="str">
        <f>IF($B$21="","",$B$21)</f>
        <v>Leistungsentgelt (LOB)</v>
      </c>
      <c r="C261" s="1315"/>
      <c r="D261" s="926"/>
      <c r="E261" s="929" t="str">
        <f>IF(A261="","",ROUND(((B281+F281)*D261)/Grundlagen!$C$26*M251,2))</f>
        <v/>
      </c>
      <c r="F261" s="1"/>
      <c r="N261" s="139" t="s">
        <v>144</v>
      </c>
      <c r="O261" s="141">
        <f>'päd.Personal - Leitung'!$O$21</f>
        <v>5175</v>
      </c>
      <c r="P261" s="141">
        <f>'päd.Personal - Leitung'!$P$21</f>
        <v>5175</v>
      </c>
      <c r="Q261" s="11"/>
      <c r="R261" s="11"/>
      <c r="S261" s="11"/>
      <c r="T261" s="109"/>
    </row>
    <row r="262" spans="1:20" ht="14.25" customHeight="1" x14ac:dyDescent="0.2">
      <c r="A262" s="1"/>
      <c r="B262" s="1"/>
      <c r="C262" s="925" t="s">
        <v>731</v>
      </c>
      <c r="D262" s="1"/>
      <c r="E262" s="1"/>
      <c r="F262" s="1"/>
      <c r="N262" s="139" t="s">
        <v>145</v>
      </c>
      <c r="O262" s="899">
        <f>'päd.Personal - Leitung'!$O$22</f>
        <v>7450</v>
      </c>
      <c r="P262" s="899">
        <f>'päd.Personal - Leitung'!$P$22</f>
        <v>7450</v>
      </c>
      <c r="Q262" s="997" t="str">
        <f>CONCATENATE("BBG"," ",O260)</f>
        <v>BBG 2025</v>
      </c>
      <c r="R262" s="11"/>
      <c r="S262" s="11"/>
      <c r="T262" s="109"/>
    </row>
    <row r="263" spans="1:20" ht="14.25" customHeight="1" x14ac:dyDescent="0.2">
      <c r="A263" s="53" t="s">
        <v>141</v>
      </c>
      <c r="O263" s="18"/>
      <c r="Q263" s="932" t="s">
        <v>144</v>
      </c>
      <c r="R263" s="141">
        <f>IF($O$21="",0,$O$21)</f>
        <v>5175</v>
      </c>
      <c r="S263" s="933">
        <f>R263*IF(M251="",0,M251)</f>
        <v>0</v>
      </c>
    </row>
    <row r="264" spans="1:20" ht="14.25" customHeight="1" x14ac:dyDescent="0.2">
      <c r="A264" s="1346"/>
      <c r="B264" s="1348" t="s">
        <v>8</v>
      </c>
      <c r="C264" s="1349"/>
      <c r="D264" s="1349"/>
      <c r="E264" s="1349"/>
      <c r="F264" s="1349"/>
      <c r="G264" s="1350"/>
      <c r="H264" s="1351" t="s">
        <v>113</v>
      </c>
      <c r="I264" s="1352"/>
      <c r="J264" s="1352"/>
      <c r="K264" s="1352"/>
      <c r="L264" s="1352"/>
      <c r="M264" s="1352"/>
      <c r="N264" s="1368" t="s">
        <v>658</v>
      </c>
      <c r="O264" s="30"/>
      <c r="P264" s="1330" t="s">
        <v>0</v>
      </c>
      <c r="Q264" s="932" t="s">
        <v>145</v>
      </c>
      <c r="R264" s="141">
        <f>IF($O$22="",0,$O$22)</f>
        <v>7450</v>
      </c>
      <c r="S264" s="933">
        <f>R264*IF(M251="",0,M251)</f>
        <v>0</v>
      </c>
    </row>
    <row r="265" spans="1:20" ht="14.25" customHeight="1" x14ac:dyDescent="0.2">
      <c r="A265" s="1347"/>
      <c r="B265" s="1333" t="s">
        <v>111</v>
      </c>
      <c r="C265" s="1335" t="s">
        <v>743</v>
      </c>
      <c r="D265" s="1337" t="s">
        <v>226</v>
      </c>
      <c r="E265" s="1339" t="s">
        <v>133</v>
      </c>
      <c r="F265" s="1002" t="s">
        <v>6</v>
      </c>
      <c r="G265" s="1340" t="s">
        <v>5</v>
      </c>
      <c r="H265" s="1339" t="s">
        <v>119</v>
      </c>
      <c r="I265" s="1339" t="s">
        <v>657</v>
      </c>
      <c r="J265" s="1339" t="s">
        <v>4</v>
      </c>
      <c r="K265" s="1339" t="s">
        <v>3</v>
      </c>
      <c r="L265" s="1339" t="s">
        <v>2</v>
      </c>
      <c r="M265" s="1339" t="s">
        <v>95</v>
      </c>
      <c r="N265" s="1369"/>
      <c r="O265" s="1338" t="s">
        <v>109</v>
      </c>
      <c r="P265" s="1331"/>
      <c r="Q265" s="456"/>
      <c r="R265" s="11"/>
      <c r="S265" s="11"/>
    </row>
    <row r="266" spans="1:20" ht="14.25" customHeight="1" x14ac:dyDescent="0.2">
      <c r="A266" s="1347"/>
      <c r="B266" s="1333"/>
      <c r="C266" s="1335"/>
      <c r="D266" s="1338"/>
      <c r="E266" s="1339"/>
      <c r="F266" s="1343" t="str">
        <f>I258</f>
        <v>Zuschläge / Zulagen / o.ä.:</v>
      </c>
      <c r="G266" s="1340"/>
      <c r="H266" s="1342" t="s">
        <v>117</v>
      </c>
      <c r="I266" s="1339"/>
      <c r="J266" s="1342"/>
      <c r="K266" s="1342"/>
      <c r="L266" s="1342"/>
      <c r="M266" s="1339"/>
      <c r="N266" s="1369"/>
      <c r="O266" s="1338"/>
      <c r="P266" s="1331"/>
      <c r="Q266" s="456"/>
      <c r="R266" s="1306" t="str">
        <f>Q258</f>
        <v>BBG anteilig 2025</v>
      </c>
      <c r="S266" s="1306"/>
    </row>
    <row r="267" spans="1:20" x14ac:dyDescent="0.2">
      <c r="A267" s="1347"/>
      <c r="B267" s="1333"/>
      <c r="C267" s="1335"/>
      <c r="D267" s="1338"/>
      <c r="E267" s="1339"/>
      <c r="F267" s="1343"/>
      <c r="G267" s="1340"/>
      <c r="H267" s="39" t="str">
        <f>'päd.Personal - Leitung'!$H$27</f>
        <v>(7,30% + Zusatz)</v>
      </c>
      <c r="I267" s="39" t="str">
        <f>$I$27</f>
        <v xml:space="preserve"> (2024: 18,60%)</v>
      </c>
      <c r="J267" s="39" t="str">
        <f>'päd.Personal - Leitung'!$I$27</f>
        <v xml:space="preserve"> (2024: 9,30%)</v>
      </c>
      <c r="K267" s="39" t="str">
        <f>'päd.Personal - Leitung'!$J$27</f>
        <v>(2024: 1,30%)</v>
      </c>
      <c r="L267" s="39" t="str">
        <f>'päd.Personal - Leitung'!$K$27</f>
        <v>(2024: 1,700%)</v>
      </c>
      <c r="M267" s="1339"/>
      <c r="N267" s="39" t="str">
        <f>$N$27</f>
        <v xml:space="preserve"> (2024: 20%)</v>
      </c>
      <c r="O267" s="1338"/>
      <c r="P267" s="1331"/>
      <c r="Q267" s="456"/>
      <c r="R267" s="1307" t="s">
        <v>659</v>
      </c>
      <c r="S267" s="1307"/>
    </row>
    <row r="268" spans="1:20" x14ac:dyDescent="0.2">
      <c r="A268" s="1347"/>
      <c r="B268" s="1334"/>
      <c r="C268" s="1336"/>
      <c r="D268" s="45"/>
      <c r="E268" s="45"/>
      <c r="F268" s="1344"/>
      <c r="G268" s="1341"/>
      <c r="H268" s="74"/>
      <c r="I268" s="19"/>
      <c r="J268" s="99">
        <f>'päd.Personal - Leitung'!$I$28</f>
        <v>0</v>
      </c>
      <c r="K268" s="99">
        <f>'päd.Personal - Leitung'!$J$28</f>
        <v>0</v>
      </c>
      <c r="L268" s="40">
        <f>'päd.Personal - Leitung'!$K$28</f>
        <v>0</v>
      </c>
      <c r="M268" s="19"/>
      <c r="N268" s="19"/>
      <c r="O268" s="19"/>
      <c r="P268" s="1332"/>
      <c r="Q268" s="456"/>
      <c r="R268" s="935" t="s">
        <v>144</v>
      </c>
      <c r="S268" s="935" t="s">
        <v>145</v>
      </c>
    </row>
    <row r="269" spans="1:20" x14ac:dyDescent="0.2">
      <c r="A269" s="76" t="str">
        <f>'päd.Personal - Leitung'!$A$29</f>
        <v>Jan 2025</v>
      </c>
      <c r="B269" s="22">
        <f>ROUND(IF(P246=0,0,(LOOKUP(2,1/(A254:A257=A269),G254:G257))*P246*4.348)*50%,2)</f>
        <v>0</v>
      </c>
      <c r="C269" s="21">
        <f>ROUND(IFERROR((LOOKUP(2,1/(A260=A269),E260)),0)+IFERROR((LOOKUP(2,1/(A261=A269),E261)),0),2)</f>
        <v>0</v>
      </c>
      <c r="D269" s="21">
        <f>ROUND(IF(B269=0,0,D268/M247*P246*50%),2)</f>
        <v>0</v>
      </c>
      <c r="E269" s="21">
        <f>ROUND(IF(B269=0,0,E268/N243*P246*50%),2)</f>
        <v>0</v>
      </c>
      <c r="F269" s="22">
        <f>ROUND(IF(P246=0,0,(LOOKUP(2,1/(A254:A257=A269),I254:I257))/N243*P246)*50%,2)</f>
        <v>0</v>
      </c>
      <c r="G269" s="25">
        <f>SUM(B269+C269+E269+F269)</f>
        <v>0</v>
      </c>
      <c r="H269" s="831">
        <f>ROUND(SUM(B269:F269)*H268,2)</f>
        <v>0</v>
      </c>
      <c r="I269" s="64">
        <f>ROUND(IF((SUM(B269:F269)*80%)&gt;((S269)*90%),((((S269)*90%)-((SUM(B269:F269)-C269))*I268)+((SUM(B269:F269)-C269)*I268)*80%),((SUM(B269:F269)-C269)*I268)*80%),2)</f>
        <v>0</v>
      </c>
      <c r="J269" s="831">
        <f>ROUND(SUM(B269:F269)*J268,2)</f>
        <v>0</v>
      </c>
      <c r="K269" s="831">
        <f>ROUND(SUM(B269:F269)*K268,2)</f>
        <v>0</v>
      </c>
      <c r="L269" s="831">
        <f>ROUND(SUM(B269:F269)*L268,2)</f>
        <v>0</v>
      </c>
      <c r="M269" s="831">
        <f>ROUND((SUM(B269:F269)-C269)*M268,2)</f>
        <v>0</v>
      </c>
      <c r="N269" s="21">
        <f>ROUND((B269+E269+F269)*N268,2)</f>
        <v>0</v>
      </c>
      <c r="O269" s="21">
        <f>ROUND(SUM(B269+C269+F269)*O268,2)</f>
        <v>0</v>
      </c>
      <c r="P269" s="25">
        <f>SUM(G269:O269)</f>
        <v>0</v>
      </c>
      <c r="Q269" s="456"/>
      <c r="R269" s="140">
        <f>ROUND(IF(M247="",R263,R263/M247*P246),2)</f>
        <v>5175</v>
      </c>
      <c r="S269" s="140">
        <f>ROUND(IF(M247="",R264,R264/M247*P246),2)</f>
        <v>7450</v>
      </c>
    </row>
    <row r="270" spans="1:20" x14ac:dyDescent="0.2">
      <c r="A270" s="76" t="str">
        <f>'päd.Personal - Leitung'!$A$30</f>
        <v>Feb 2025</v>
      </c>
      <c r="B270" s="22">
        <f>ROUND(IF(P247=0,0,IFERROR((((LOOKUP(2,1/(A254:A257=A270),G254:G257))*P247*4.348)*50%),B269/P246*P247)),2)</f>
        <v>0</v>
      </c>
      <c r="C270" s="21">
        <f>ROUND(IFERROR((LOOKUP(2,1/(A260=A270),E260)),0)+IFERROR((LOOKUP(2,1/(A261=A270),E261)),0),2)</f>
        <v>0</v>
      </c>
      <c r="D270" s="21">
        <f>ROUND(IF(B270=0,0,D268/M247*P247*50%),2)</f>
        <v>0</v>
      </c>
      <c r="E270" s="21">
        <f>ROUND(IF(B270=0,0,E268/N243*P247*50%),2)</f>
        <v>0</v>
      </c>
      <c r="F270" s="22">
        <f>ROUND(IF(P247=0,0,IFERROR((((LOOKUP(2,1/(A254:A257=A270),I254:I257))/N243*P247)*50%),F269/P246*P247)),2)</f>
        <v>0</v>
      </c>
      <c r="G270" s="25">
        <f t="shared" ref="G270:G280" si="45">SUM(B270+C270+E270+F270)</f>
        <v>0</v>
      </c>
      <c r="H270" s="831">
        <f>ROUND(SUM(B270:F270)*H268,2)</f>
        <v>0</v>
      </c>
      <c r="I270" s="64">
        <f>ROUND(IF((SUM(B270:F270)*80%)&gt;((SUM(S266:S270))*90%),((((SUM(S266:S270))*90%)-((SUM(B270:F270)-C270))*I268)+((SUM(B270:F270)-C270)*I268)*80%),((SUM(B270:F270)-C270)*I268)*80%),2)</f>
        <v>0</v>
      </c>
      <c r="J270" s="831">
        <f>ROUND(SUM(B270:F270)*J268,2)</f>
        <v>0</v>
      </c>
      <c r="K270" s="831">
        <f>ROUND(SUM(B270:F270)*K268,2)</f>
        <v>0</v>
      </c>
      <c r="L270" s="831">
        <f>ROUND(SUM(B270:F270)*L268,2)</f>
        <v>0</v>
      </c>
      <c r="M270" s="831">
        <f>ROUND((SUM(B270:F270)-C270)*M268,2)</f>
        <v>0</v>
      </c>
      <c r="N270" s="21">
        <f>ROUND((B270+E270+F270)*N268,2)</f>
        <v>0</v>
      </c>
      <c r="O270" s="21">
        <f>ROUND(SUM(B270+C270+F270)*O268,2)</f>
        <v>0</v>
      </c>
      <c r="P270" s="25">
        <f t="shared" ref="P270" si="46">SUM(G270:O270)</f>
        <v>0</v>
      </c>
      <c r="Q270" s="456"/>
      <c r="R270" s="140">
        <f>ROUND(IF(M247="",R263,R263/M247*P247),2)</f>
        <v>5175</v>
      </c>
      <c r="S270" s="140">
        <f>ROUND(IF(M247="",R264,R264/M247*P247),2)</f>
        <v>7450</v>
      </c>
    </row>
    <row r="271" spans="1:20" x14ac:dyDescent="0.2">
      <c r="A271" s="76" t="str">
        <f>'päd.Personal - Leitung'!$A$31</f>
        <v>Mrz 2025</v>
      </c>
      <c r="B271" s="22">
        <f>ROUND(IF(P248=0,0,IFERROR((((LOOKUP(2,1/(A254:A257=A271),G254:G257))*P248*4.348)*50%),B270/P247*P248)),2)</f>
        <v>0</v>
      </c>
      <c r="C271" s="21">
        <f>ROUND(IFERROR((LOOKUP(2,1/(A260=A271),E260)),0)+IFERROR((LOOKUP(2,1/(A261=A271),E261)),0),2)</f>
        <v>0</v>
      </c>
      <c r="D271" s="21">
        <f>ROUND(IF(B271=0,0,D268/M247*P248*50%),2)</f>
        <v>0</v>
      </c>
      <c r="E271" s="21">
        <f>ROUND(IF(B271=0,0,E268/N243*P248*50%),2)</f>
        <v>0</v>
      </c>
      <c r="F271" s="22">
        <f>ROUND(IF(P248=0,0,IFERROR((((LOOKUP(2,1/(A254:A257=A271),I254:I257))/N243*P248)*50%),F270/P247*P248)),2)</f>
        <v>0</v>
      </c>
      <c r="G271" s="25">
        <f t="shared" si="45"/>
        <v>0</v>
      </c>
      <c r="H271" s="831">
        <f>ROUND(SUM(B271:F271)*H268,2)</f>
        <v>0</v>
      </c>
      <c r="I271" s="64">
        <f>ROUND(IF((SUM(B270:F271)*80%)&gt;((SUM(S266:S271))*90%),((((SUM(S266:S271))*90%)-((SUM(B270:F271)-C271))*I268)+((SUM(B271:F271)-C271)*I268)*80%),((SUM(B271:F271)-C271)*I268)*80%),2)</f>
        <v>0</v>
      </c>
      <c r="J271" s="831">
        <f>ROUND(SUM(B271:F271)*J268,2)</f>
        <v>0</v>
      </c>
      <c r="K271" s="831">
        <f>ROUND(SUM(B271:F271)*K268,2)</f>
        <v>0</v>
      </c>
      <c r="L271" s="831">
        <f>ROUND(SUM(B271:F271)*L268,2)</f>
        <v>0</v>
      </c>
      <c r="M271" s="831">
        <f>ROUND((SUM(B271:F271)-C271)*M268,2)</f>
        <v>0</v>
      </c>
      <c r="N271" s="21">
        <f>ROUND((B271+E271+F271)*N268,2)</f>
        <v>0</v>
      </c>
      <c r="O271" s="21">
        <f>ROUND(SUM(B271+C271+F271)*O268,2)</f>
        <v>0</v>
      </c>
      <c r="P271" s="25">
        <f t="shared" ref="P271:P280" si="47">SUM(G271:O271)</f>
        <v>0</v>
      </c>
      <c r="Q271" s="456"/>
      <c r="R271" s="140">
        <f>ROUND(IF(M247="",R263,R263/M247*P248),2)</f>
        <v>5175</v>
      </c>
      <c r="S271" s="140">
        <f>ROUND(IF(M247="",R264,R264/M247*P248),2)</f>
        <v>7450</v>
      </c>
    </row>
    <row r="272" spans="1:20" x14ac:dyDescent="0.2">
      <c r="A272" s="76" t="str">
        <f>'päd.Personal - Leitung'!$A$32</f>
        <v>Apr 2025</v>
      </c>
      <c r="B272" s="22">
        <f>ROUND(IF(P249=0,0,IFERROR((((LOOKUP(2,1/(A254:A257=A272),G254:G257))*P249*4.348)*50%),B271/P248*P249)),2)</f>
        <v>0</v>
      </c>
      <c r="C272" s="21">
        <f>ROUND(IFERROR((LOOKUP(2,1/(A260=A272),E260)),0)+IFERROR((LOOKUP(2,1/(A261=A272),E261)),0),2)</f>
        <v>0</v>
      </c>
      <c r="D272" s="21">
        <f>ROUND(IF(B272=0,0,D268/M247*P249*50%),2)</f>
        <v>0</v>
      </c>
      <c r="E272" s="21">
        <f>ROUND(IF(B272=0,0,E268/N243*P249*50%),2)</f>
        <v>0</v>
      </c>
      <c r="F272" s="22">
        <f>ROUND(IF(P249=0,0,IFERROR((((LOOKUP(2,1/(A254:A257=A272),I254:I257))/N243*P249)*50%),F271/P248*P249)),2)</f>
        <v>0</v>
      </c>
      <c r="G272" s="25">
        <f t="shared" si="45"/>
        <v>0</v>
      </c>
      <c r="H272" s="831">
        <f>ROUND(SUM(B272:F272)*H268,2)</f>
        <v>0</v>
      </c>
      <c r="I272" s="64">
        <f>ROUND(IF((SUM(B270:F272)*80%)&gt;((SUM(S266:S272))*90%),((((SUM(S266:S272))*90%)-((SUM(B270:F272)-C272))*I268)+((SUM(B272:F272)-C272)*I268)*80%),((SUM(B272:F272)-C272)*I268)*80%),2)</f>
        <v>0</v>
      </c>
      <c r="J272" s="831">
        <f>ROUND(SUM(B272:F272)*J268,2)</f>
        <v>0</v>
      </c>
      <c r="K272" s="831">
        <f>ROUND(SUM(B272:F272)*K268,2)</f>
        <v>0</v>
      </c>
      <c r="L272" s="831">
        <f>ROUND(SUM(B272:F272)*L268,2)</f>
        <v>0</v>
      </c>
      <c r="M272" s="831">
        <f>ROUND((SUM(B272:F272)-C272)*M268,2)</f>
        <v>0</v>
      </c>
      <c r="N272" s="21">
        <f>ROUND((B272+E272+F272)*N268,2)</f>
        <v>0</v>
      </c>
      <c r="O272" s="21">
        <f>ROUND(SUM(B272+C272+F272)*O268,2)</f>
        <v>0</v>
      </c>
      <c r="P272" s="25">
        <f t="shared" si="47"/>
        <v>0</v>
      </c>
      <c r="Q272" s="456"/>
      <c r="R272" s="140">
        <f>ROUND(IF(M247="",R263,R263/M247*P249),2)</f>
        <v>5175</v>
      </c>
      <c r="S272" s="140">
        <f>ROUND(IF(M247="",R264,R264/M247*P249),2)</f>
        <v>7450</v>
      </c>
    </row>
    <row r="273" spans="1:19" x14ac:dyDescent="0.2">
      <c r="A273" s="76" t="str">
        <f>'päd.Personal - Leitung'!$A$33</f>
        <v>Mai 2025</v>
      </c>
      <c r="B273" s="22">
        <f>ROUND(IF(P250=0,0,IFERROR((((LOOKUP(2,1/(A254:A257=A273),G254:G257))*P250*4.348)*50%),B272/P249*P250)),2)</f>
        <v>0</v>
      </c>
      <c r="C273" s="21">
        <f>ROUND(IFERROR((LOOKUP(2,1/(A260=A273),E260)),0)+IFERROR((LOOKUP(2,1/(A261=A273),E261)),0),2)</f>
        <v>0</v>
      </c>
      <c r="D273" s="21">
        <f>ROUND(IF(B273=0,0,D268/M247*P250*50%),2)</f>
        <v>0</v>
      </c>
      <c r="E273" s="21">
        <f>ROUND(IF(B273=0,0,E268/N243*P250*50%),2)</f>
        <v>0</v>
      </c>
      <c r="F273" s="22">
        <f>ROUND(IF(P250=0,0,IFERROR((((LOOKUP(2,1/(A254:A257=A273),I254:I257))/N243*P250)*50%),F272/P249*P250)),2)</f>
        <v>0</v>
      </c>
      <c r="G273" s="25">
        <f t="shared" si="45"/>
        <v>0</v>
      </c>
      <c r="H273" s="831">
        <f>ROUND(SUM(B273:F273)*H268,2)</f>
        <v>0</v>
      </c>
      <c r="I273" s="64">
        <f>ROUND(IF((SUM(B270:F273)*80%)&gt;((SUM(S266:S273))*90%),((((SUM(S266:S273))*90%)-((SUM(B270:F273)-C273))*I268)+((SUM(B273:F273)-C273)*I268)*80%),((SUM(B273:F273)-C273)*I268)*80%),2)</f>
        <v>0</v>
      </c>
      <c r="J273" s="831">
        <f>ROUND(SUM(B273:F273)*J268,2)</f>
        <v>0</v>
      </c>
      <c r="K273" s="831">
        <f>ROUND(SUM(B273:F273)*K268,2)</f>
        <v>0</v>
      </c>
      <c r="L273" s="831">
        <f>ROUND(SUM(B273:F273)*L268,2)</f>
        <v>0</v>
      </c>
      <c r="M273" s="831">
        <f>ROUND((SUM(B273:F273)-C273)*M268,2)</f>
        <v>0</v>
      </c>
      <c r="N273" s="21">
        <f>ROUND((B273+E273+F273)*N268,2)</f>
        <v>0</v>
      </c>
      <c r="O273" s="21">
        <f>ROUND(SUM(B273+C273+F273)*O268,2)</f>
        <v>0</v>
      </c>
      <c r="P273" s="25">
        <f t="shared" si="47"/>
        <v>0</v>
      </c>
      <c r="Q273" s="456"/>
      <c r="R273" s="140">
        <f>ROUND(IF(M247="",R263,R263/M247*P250),2)</f>
        <v>5175</v>
      </c>
      <c r="S273" s="140">
        <f>ROUND(IF(M247="",R264,R264/M247*P250),2)</f>
        <v>7450</v>
      </c>
    </row>
    <row r="274" spans="1:19" x14ac:dyDescent="0.2">
      <c r="A274" s="76" t="str">
        <f>'päd.Personal - Leitung'!$A$34</f>
        <v>Jun 2025</v>
      </c>
      <c r="B274" s="22">
        <f>ROUND(IF(P251=0,0,IFERROR((((LOOKUP(2,1/(A254:A257=A274),G254:G257))*P251*4.348)*50%),B273/P250*P251)),2)</f>
        <v>0</v>
      </c>
      <c r="C274" s="21">
        <f>ROUND(IFERROR((LOOKUP(2,1/(A260=A274),E260)),0)+IFERROR((LOOKUP(2,1/(A261=A274),E261)),0),2)</f>
        <v>0</v>
      </c>
      <c r="D274" s="21">
        <f>ROUND(IF(B274=0,0,D268/M247*P251*50%),2)</f>
        <v>0</v>
      </c>
      <c r="E274" s="21">
        <f>ROUND(IF(B274=0,0,E268/N243*P251*50%),2)</f>
        <v>0</v>
      </c>
      <c r="F274" s="22">
        <f>ROUND(IF(P251=0,0,IFERROR((((LOOKUP(2,1/(A254:A257=A274),I254:I257))/N243*P251)*50%),F273/P250*P251)),2)</f>
        <v>0</v>
      </c>
      <c r="G274" s="25">
        <f t="shared" si="45"/>
        <v>0</v>
      </c>
      <c r="H274" s="831">
        <f>ROUND(SUM(B274:F274)*H268,2)</f>
        <v>0</v>
      </c>
      <c r="I274" s="64">
        <f>ROUND(IF((SUM(B270:F274)*80%)&gt;((SUM(S266:S274))*90%),((((SUM(S266:S274))*90%)-((SUM(B270:F274)-C274))*I268)+((SUM(B274:F274)-C274)*I268)*80%),((SUM(B274:F274)-C274)*I268)*80%),2)</f>
        <v>0</v>
      </c>
      <c r="J274" s="831">
        <f>ROUND(SUM(B274:F274)*J268,2)</f>
        <v>0</v>
      </c>
      <c r="K274" s="831">
        <f>ROUND(SUM(B274:F274)*K268,2)</f>
        <v>0</v>
      </c>
      <c r="L274" s="831">
        <f>ROUND(SUM(B274:F274)*L268,2)</f>
        <v>0</v>
      </c>
      <c r="M274" s="831">
        <f>ROUND((SUM(B274:F274)-C274)*M268,2)</f>
        <v>0</v>
      </c>
      <c r="N274" s="21">
        <f>ROUND((B274+E274+F274)*N268,2)</f>
        <v>0</v>
      </c>
      <c r="O274" s="21">
        <f>ROUND(SUM(B274+C274+F274)*O268,2)</f>
        <v>0</v>
      </c>
      <c r="P274" s="25">
        <f t="shared" si="47"/>
        <v>0</v>
      </c>
      <c r="Q274" s="456"/>
      <c r="R274" s="140">
        <f>ROUND(IF(M247="",R263,R263/M247*P251),2)</f>
        <v>5175</v>
      </c>
      <c r="S274" s="140">
        <f>ROUND(IF(M247="",R264,R264/M247*P251),2)</f>
        <v>7450</v>
      </c>
    </row>
    <row r="275" spans="1:19" x14ac:dyDescent="0.2">
      <c r="A275" s="76" t="str">
        <f>'päd.Personal - Leitung'!$A$35</f>
        <v>Jul 2025</v>
      </c>
      <c r="B275" s="22">
        <f>ROUND(IF(P252=0,0,IFERROR((((LOOKUP(2,1/(A254:A257=A275),G254:G257))*P252*4.348)*50%),B274/P251*P252)),2)</f>
        <v>0</v>
      </c>
      <c r="C275" s="21">
        <f>ROUND(IFERROR((LOOKUP(2,1/(A260=A275),E260)),0)+IFERROR((LOOKUP(2,1/(A261=A275),E261)),0),2)</f>
        <v>0</v>
      </c>
      <c r="D275" s="21">
        <f>ROUND(IF(B275=0,0,D268/M247*P252*50%),2)</f>
        <v>0</v>
      </c>
      <c r="E275" s="21">
        <f>ROUND(IF(B275=0,0,E268/N243*P252*50%),2)</f>
        <v>0</v>
      </c>
      <c r="F275" s="22">
        <f>ROUND(IF(P252=0,0,IFERROR((((LOOKUP(2,1/(A254:A257=A275),I254:I257))/N243*P252)*50%),F274/P251*P252)),2)</f>
        <v>0</v>
      </c>
      <c r="G275" s="25">
        <f t="shared" si="45"/>
        <v>0</v>
      </c>
      <c r="H275" s="831">
        <f>ROUND(SUM(B275:F275)*H268,2)</f>
        <v>0</v>
      </c>
      <c r="I275" s="64">
        <f>ROUND(IF((SUM(B270:F275)*80%)&gt;((SUM(S266:S275))*90%),((((SUM(S266:S275))*90%)-((SUM(B270:F275)-C275))*I268)+((SUM(B275:F275)-C275)*I268)*80%),((SUM(B275:F275)-C275)*I268)*80%),2)</f>
        <v>0</v>
      </c>
      <c r="J275" s="831">
        <f>ROUND(SUM(B275:F275)*J268,2)</f>
        <v>0</v>
      </c>
      <c r="K275" s="831">
        <f>ROUND(SUM(B275:F275)*K268,2)</f>
        <v>0</v>
      </c>
      <c r="L275" s="831">
        <f>ROUND(SUM(B275:F275)*L268,2)</f>
        <v>0</v>
      </c>
      <c r="M275" s="831">
        <f>ROUND((SUM(B275:F275)-C275)*M268,2)</f>
        <v>0</v>
      </c>
      <c r="N275" s="21">
        <f>ROUND((B275+E275+F275)*N268,2)</f>
        <v>0</v>
      </c>
      <c r="O275" s="21">
        <f>ROUND(SUM(B275+C275+F275)*O268,2)</f>
        <v>0</v>
      </c>
      <c r="P275" s="25">
        <f t="shared" si="47"/>
        <v>0</v>
      </c>
      <c r="Q275" s="456"/>
      <c r="R275" s="140">
        <f>ROUND(IF(M247="",R263,R263/M247*P252),2)</f>
        <v>5175</v>
      </c>
      <c r="S275" s="140">
        <f>ROUND(IF(M247="",R264,R264/M247*P252),2)</f>
        <v>7450</v>
      </c>
    </row>
    <row r="276" spans="1:19" x14ac:dyDescent="0.2">
      <c r="A276" s="76" t="str">
        <f>'päd.Personal - Leitung'!$A$36</f>
        <v>Aug 2025</v>
      </c>
      <c r="B276" s="22">
        <f>ROUND(IF(P253=0,0,IFERROR((((LOOKUP(2,1/(A254:A257=A276),G254:G257))*P253*4.348)*50%),B275/P252*P253)),2)</f>
        <v>0</v>
      </c>
      <c r="C276" s="21">
        <f>ROUND(IFERROR((LOOKUP(2,1/(A260=A276),E260)),0)+IFERROR((LOOKUP(2,1/(A261=A276),E261)),0),2)</f>
        <v>0</v>
      </c>
      <c r="D276" s="21">
        <f>ROUND(IF(B276=0,0,D268/M247*P253*50%),2)</f>
        <v>0</v>
      </c>
      <c r="E276" s="21">
        <f>ROUND(IF(B276=0,0,E268/N243*P253*50%),2)</f>
        <v>0</v>
      </c>
      <c r="F276" s="22">
        <f>ROUND(IF(P253=0,0,IFERROR((((LOOKUP(2,1/(A254:A257=A276),I254:I257))/N243*P253)*50%),F275/P252*P253)),2)</f>
        <v>0</v>
      </c>
      <c r="G276" s="25">
        <f t="shared" si="45"/>
        <v>0</v>
      </c>
      <c r="H276" s="831">
        <f>ROUND(SUM(B276:F276)*H268,2)</f>
        <v>0</v>
      </c>
      <c r="I276" s="64">
        <f>ROUND(IF((SUM(B270:F276)*80%)&gt;((SUM(S266:S276))*90%),((((SUM(S266:S276))*90%)-((SUM(B270:F276)-C276))*I268)+((SUM(B276:F276)-C276)*I268)*80%),((SUM(B276:F276)-C276)*I268)*80%),2)</f>
        <v>0</v>
      </c>
      <c r="J276" s="831">
        <f>ROUND(SUM(B276:F276)*J268,2)</f>
        <v>0</v>
      </c>
      <c r="K276" s="831">
        <f>ROUND(SUM(B276:F276)*K268,2)</f>
        <v>0</v>
      </c>
      <c r="L276" s="831">
        <f>ROUND(SUM(B276:F276)*L268,2)</f>
        <v>0</v>
      </c>
      <c r="M276" s="831">
        <f>ROUND((SUM(B276:F276)-C276)*M268,2)</f>
        <v>0</v>
      </c>
      <c r="N276" s="21">
        <f>ROUND((B276+E276+F276)*N268,2)</f>
        <v>0</v>
      </c>
      <c r="O276" s="21">
        <f>ROUND(SUM(B276+C276+F276)*O268,2)</f>
        <v>0</v>
      </c>
      <c r="P276" s="25">
        <f t="shared" si="47"/>
        <v>0</v>
      </c>
      <c r="Q276" s="456"/>
      <c r="R276" s="140">
        <f>ROUND(IF(M247="",R263,R263/M247*P253),2)</f>
        <v>5175</v>
      </c>
      <c r="S276" s="140">
        <f>ROUND(IF(M247="",R264,R264/M247*P253),2)</f>
        <v>7450</v>
      </c>
    </row>
    <row r="277" spans="1:19" x14ac:dyDescent="0.2">
      <c r="A277" s="76" t="str">
        <f>'päd.Personal - Leitung'!$A$37</f>
        <v>Sep 2025</v>
      </c>
      <c r="B277" s="22">
        <f>ROUND(IF(P254=0,0,IFERROR((((LOOKUP(2,1/(A254:A257=A277),G254:G257))*P254*4.348)*50%),B276/P253*P254)),2)</f>
        <v>0</v>
      </c>
      <c r="C277" s="21">
        <f>ROUND(IFERROR((LOOKUP(2,1/(A260=A277),E260)),0)+IFERROR((LOOKUP(2,1/(A261=A277),E261)),0),2)</f>
        <v>0</v>
      </c>
      <c r="D277" s="21">
        <f>ROUND(IF(B277=0,0,D268/M247*P254*50%),2)</f>
        <v>0</v>
      </c>
      <c r="E277" s="21">
        <f>ROUND(IF(B277=0,0,E268/N243*P254*50%),2)</f>
        <v>0</v>
      </c>
      <c r="F277" s="22">
        <f>ROUND(IF(P254=0,0,IFERROR((((LOOKUP(2,1/(A254:A257=A277),I254:I257))/N243*P254)*50%),F276/P253*P254)),2)</f>
        <v>0</v>
      </c>
      <c r="G277" s="25">
        <f t="shared" si="45"/>
        <v>0</v>
      </c>
      <c r="H277" s="831">
        <f>ROUND(SUM(B277:F277)*H268,2)</f>
        <v>0</v>
      </c>
      <c r="I277" s="64">
        <f>ROUND(IF((SUM(B270:F277)*80%)&gt;((SUM(S266:S277))*90%),((((SUM(S266:S277))*90%)-((SUM(B270:F277)-C277))*I268)+((SUM(B277:F277)-C277)*I268)*80%),((SUM(B277:F277)-C277)*I268)*80%),2)</f>
        <v>0</v>
      </c>
      <c r="J277" s="831">
        <f>ROUND(SUM(B277:F277)*J268,2)</f>
        <v>0</v>
      </c>
      <c r="K277" s="831">
        <f>ROUND(SUM(B277:F277)*K268,2)</f>
        <v>0</v>
      </c>
      <c r="L277" s="831">
        <f>ROUND(SUM(B277:F277)*L268,2)</f>
        <v>0</v>
      </c>
      <c r="M277" s="831">
        <f>ROUND((SUM(B277:F277)-C277)*M268,2)</f>
        <v>0</v>
      </c>
      <c r="N277" s="21">
        <f>ROUND((B277+E277+F277)*N268,2)</f>
        <v>0</v>
      </c>
      <c r="O277" s="21">
        <f>ROUND(SUM(B277+C277+F277)*O268,2)</f>
        <v>0</v>
      </c>
      <c r="P277" s="25">
        <f t="shared" si="47"/>
        <v>0</v>
      </c>
      <c r="Q277" s="456"/>
      <c r="R277" s="140">
        <f>ROUND(IF(M247="",R263,R263/M247*P254),2)</f>
        <v>5175</v>
      </c>
      <c r="S277" s="140">
        <f>ROUND(IF(M247="",R264,R264/M247*P254),2)</f>
        <v>7450</v>
      </c>
    </row>
    <row r="278" spans="1:19" x14ac:dyDescent="0.2">
      <c r="A278" s="76" t="str">
        <f>'päd.Personal - Leitung'!$A$38</f>
        <v>Okt 2025</v>
      </c>
      <c r="B278" s="22">
        <f>ROUND(IF(P255=0,0,IFERROR((((LOOKUP(2,1/(A254:A257=A278),G254:G257))*P255*4.348)*50%),B277/P254*P255)),2)</f>
        <v>0</v>
      </c>
      <c r="C278" s="21">
        <f>ROUND(IFERROR((LOOKUP(2,1/(A260=A278),E260)),0)+IFERROR((LOOKUP(2,1/(A261=A278),E261)),0),2)</f>
        <v>0</v>
      </c>
      <c r="D278" s="21">
        <f>ROUND(IF(B278=0,0,D268/M247*P255*50%),2)</f>
        <v>0</v>
      </c>
      <c r="E278" s="21">
        <f>ROUND(IF(B278=0,0,E268/N243*P255*50%),2)</f>
        <v>0</v>
      </c>
      <c r="F278" s="22">
        <f>ROUND(IF(P255=0,0,IFERROR((((LOOKUP(2,1/(A254:A257=A278),I254:I257))/N243*P255)*50%),F277/P254*P255)),2)</f>
        <v>0</v>
      </c>
      <c r="G278" s="25">
        <f t="shared" si="45"/>
        <v>0</v>
      </c>
      <c r="H278" s="831">
        <f>ROUND(SUM(B278:F278)*H268,2)</f>
        <v>0</v>
      </c>
      <c r="I278" s="64">
        <f>ROUND(IF((SUM(B270:F278)*80%)&gt;((SUM(S266:S278))*90%),((((SUM(S266:S278))*90%)-((SUM(B270:F278)-C278))*I268)+((SUM(B278:F278)-C278)*I268)*80%),((SUM(B278:F278)-C278)*I268)*80%),2)</f>
        <v>0</v>
      </c>
      <c r="J278" s="831">
        <f>ROUND(SUM(B278:F278)*J268,2)</f>
        <v>0</v>
      </c>
      <c r="K278" s="831">
        <f>ROUND(SUM(B278:F278)*K268,2)</f>
        <v>0</v>
      </c>
      <c r="L278" s="831">
        <f>ROUND(SUM(B278:F278)*L268,2)</f>
        <v>0</v>
      </c>
      <c r="M278" s="831">
        <f>ROUND((SUM(B278:F278)-C278)*M268,2)</f>
        <v>0</v>
      </c>
      <c r="N278" s="21">
        <f>ROUND((B278+E278+F278)*N268,2)</f>
        <v>0</v>
      </c>
      <c r="O278" s="21">
        <f>ROUND(SUM(B278+C278+F278)*O268,2)</f>
        <v>0</v>
      </c>
      <c r="P278" s="25">
        <f t="shared" si="47"/>
        <v>0</v>
      </c>
      <c r="Q278" s="936"/>
      <c r="R278" s="140">
        <f>ROUND(IF(M247="",R263,R263/M247*P255),2)</f>
        <v>5175</v>
      </c>
      <c r="S278" s="140">
        <f>ROUND(IF(M247="",R264,R264/M247*P255),2)</f>
        <v>7450</v>
      </c>
    </row>
    <row r="279" spans="1:19" x14ac:dyDescent="0.2">
      <c r="A279" s="76" t="str">
        <f>'päd.Personal - Leitung'!$A$39</f>
        <v>Nov 2025</v>
      </c>
      <c r="B279" s="22">
        <f>ROUND(IF(P256=0,0,IFERROR((((LOOKUP(2,1/(A254:A257=A279),G254:G257))*P256*4.348)*50%),B278/P255*P256)),2)</f>
        <v>0</v>
      </c>
      <c r="C279" s="21">
        <f>ROUND(IFERROR((LOOKUP(2,1/(A260=A279),E260)),0)+(IFERROR((LOOKUP(2,1/(A261=A279),E261)),0)),2)</f>
        <v>0</v>
      </c>
      <c r="D279" s="21">
        <f>ROUND(IF(B279=0,0,D268/M247*P256*50%),2)</f>
        <v>0</v>
      </c>
      <c r="E279" s="21">
        <f>ROUND(IF(B279=0,0,E268/N243*P256*50%),2)</f>
        <v>0</v>
      </c>
      <c r="F279" s="22">
        <f>ROUND(IF(P256=0,0,IFERROR((((LOOKUP(2,1/(A254:A257=A279),I254:I257))/N243*P256)*50%),F278/P255*P256)),2)</f>
        <v>0</v>
      </c>
      <c r="G279" s="25">
        <f t="shared" si="45"/>
        <v>0</v>
      </c>
      <c r="H279" s="831">
        <f>ROUND(SUM(B279:F279)*H268,2)</f>
        <v>0</v>
      </c>
      <c r="I279" s="64">
        <f>ROUND(IF((SUM(B270:F279)*80%)&gt;((SUM(S266:S279))*90%),((((SUM(S266:S279))*90%)-((SUM(B270:F279)-C279))*I268)+((SUM(B279:F279)-C279)*I268)*80%),((SUM(B279:F279)-C279)*I268)*80%),2)</f>
        <v>0</v>
      </c>
      <c r="J279" s="831">
        <f>ROUND(SUM(B279:F279)*J268,2)</f>
        <v>0</v>
      </c>
      <c r="K279" s="831">
        <f>ROUND(SUM(B279:F279)*K268,2)</f>
        <v>0</v>
      </c>
      <c r="L279" s="831">
        <f>ROUND(SUM(B279:F279)*L268,2)</f>
        <v>0</v>
      </c>
      <c r="M279" s="831">
        <f>ROUND((SUM(B279:F279)-C279)*M268,2)</f>
        <v>0</v>
      </c>
      <c r="N279" s="21">
        <f>ROUND((B279+E279+F279)*N268,2)</f>
        <v>0</v>
      </c>
      <c r="O279" s="21">
        <f>ROUND(SUM(B279+C279+F279)*O268,2)</f>
        <v>0</v>
      </c>
      <c r="P279" s="25">
        <f t="shared" si="47"/>
        <v>0</v>
      </c>
      <c r="Q279" s="11"/>
      <c r="R279" s="140">
        <f>ROUND(IF(M247="",R263,R263/M247*P256),2)</f>
        <v>5175</v>
      </c>
      <c r="S279" s="140">
        <f>ROUND(IF(M247="",R264,R264/M247*P256),2)</f>
        <v>7450</v>
      </c>
    </row>
    <row r="280" spans="1:19" x14ac:dyDescent="0.2">
      <c r="A280" s="76" t="str">
        <f>'päd.Personal - Leitung'!$A$40</f>
        <v>Dez 2025</v>
      </c>
      <c r="B280" s="22">
        <f>ROUND(IF(P257=0,0,IFERROR((((LOOKUP(2,1/(A254:A257=A280),G254:G257))*P257*4.348)*50%),B279/P256*P257)),2)</f>
        <v>0</v>
      </c>
      <c r="C280" s="21">
        <f>ROUND(IFERROR((LOOKUP(2,1/(A260=A280),E260)),0)+IFERROR((LOOKUP(2,1/(A261=A280),E261)),0),2)</f>
        <v>0</v>
      </c>
      <c r="D280" s="21">
        <f>ROUND(IF(B280=0,0,D268/M247*P257*50%),2)</f>
        <v>0</v>
      </c>
      <c r="E280" s="21">
        <f>ROUND(IF(B280=0,0,E268/N243*P257*50%),2)</f>
        <v>0</v>
      </c>
      <c r="F280" s="22">
        <f>ROUND(IF(P257=0,0,IFERROR((((LOOKUP(2,1/(A254:A257=A280),I254:I257))/N243*P257)*50%),F279/P256*P257)),2)</f>
        <v>0</v>
      </c>
      <c r="G280" s="25">
        <f t="shared" si="45"/>
        <v>0</v>
      </c>
      <c r="H280" s="831">
        <f>ROUND(SUM(B280:F280)*H268,2)</f>
        <v>0</v>
      </c>
      <c r="I280" s="64">
        <f>ROUND(IF((SUM(B270:F280)*80%)&gt;((SUM(S266:S280))*90%),((((SUM(S266:S280))*90%)-((SUM(B270:F280)-C280))*I268)+((SUM(B280:F280)-C280)*I268)*80%),((SUM(B280:F280)-C280)*I268)*80%),2)</f>
        <v>0</v>
      </c>
      <c r="J280" s="831">
        <f>ROUND(SUM(B280:F280)*J268,2)</f>
        <v>0</v>
      </c>
      <c r="K280" s="831">
        <f>ROUND(SUM(B280:F280)*K268,2)</f>
        <v>0</v>
      </c>
      <c r="L280" s="831">
        <f>ROUND(SUM(B280:F280)*L268,2)</f>
        <v>0</v>
      </c>
      <c r="M280" s="831">
        <f>ROUND((SUM(B280:F280)-C280)*M268,2)</f>
        <v>0</v>
      </c>
      <c r="N280" s="21">
        <f>ROUND((B280+E280+F280)*N268,2)</f>
        <v>0</v>
      </c>
      <c r="O280" s="21">
        <f>ROUND(SUM(B280+C280+F280)*O268,2)</f>
        <v>0</v>
      </c>
      <c r="P280" s="25">
        <f t="shared" si="47"/>
        <v>0</v>
      </c>
      <c r="Q280" s="11"/>
      <c r="R280" s="140">
        <f>ROUND(IF(M247="",R263,R263/M247*P257),2)</f>
        <v>5175</v>
      </c>
      <c r="S280" s="140">
        <f>ROUND(IF(M247="",R264,R264/M247*P257),2)</f>
        <v>7450</v>
      </c>
    </row>
    <row r="281" spans="1:19" x14ac:dyDescent="0.2">
      <c r="A281" s="2" t="s">
        <v>1</v>
      </c>
      <c r="B281" s="25">
        <f t="shared" ref="B281:G281" si="48">SUM(B269:B280)</f>
        <v>0</v>
      </c>
      <c r="C281" s="25">
        <f t="shared" si="48"/>
        <v>0</v>
      </c>
      <c r="D281" s="25">
        <f t="shared" si="48"/>
        <v>0</v>
      </c>
      <c r="E281" s="25">
        <f t="shared" si="48"/>
        <v>0</v>
      </c>
      <c r="F281" s="25">
        <f t="shared" si="48"/>
        <v>0</v>
      </c>
      <c r="G281" s="25">
        <f t="shared" si="48"/>
        <v>0</v>
      </c>
      <c r="H281" s="1309">
        <f>SUM(H269:M280)</f>
        <v>0</v>
      </c>
      <c r="I281" s="1310"/>
      <c r="J281" s="1310"/>
      <c r="K281" s="1310"/>
      <c r="L281" s="1310"/>
      <c r="M281" s="1310"/>
      <c r="N281" s="25">
        <f>SUM(N269:N280)</f>
        <v>0</v>
      </c>
      <c r="O281" s="25">
        <f>SUM(O269:O280)</f>
        <v>0</v>
      </c>
      <c r="P281" s="25">
        <f>SUM(P269:P280)</f>
        <v>0</v>
      </c>
    </row>
    <row r="282" spans="1:19" x14ac:dyDescent="0.2">
      <c r="Q282" s="1021"/>
      <c r="R282" s="1021"/>
      <c r="S282" s="1021"/>
    </row>
    <row r="283" spans="1:19" s="1" customFormat="1" ht="14.25" customHeight="1" x14ac:dyDescent="0.2">
      <c r="B283" s="906"/>
      <c r="H283" s="905"/>
      <c r="I283" s="62"/>
      <c r="J283" s="914" t="s">
        <v>123</v>
      </c>
      <c r="L283" s="900" t="s">
        <v>124</v>
      </c>
      <c r="M283" s="974" t="str">
        <f>IF(IF(G281=0,"",$M$43)=0,"",IF(G281=0,"",$M$43))</f>
        <v/>
      </c>
      <c r="N283" s="902" t="s">
        <v>125</v>
      </c>
      <c r="O283" s="963" t="str">
        <f>IF(IF(G281=0,"",$O$43)=0,"",IF(G281=0,"",$O$43))</f>
        <v/>
      </c>
      <c r="P283" s="25">
        <f>ROUND(IF(M283="",0,G281*M283*O283/1000),2)</f>
        <v>0</v>
      </c>
      <c r="Q283" s="1015"/>
      <c r="R283" s="1022"/>
      <c r="S283" s="1016"/>
    </row>
    <row r="284" spans="1:19" s="1" customFormat="1" ht="14.25" customHeight="1" x14ac:dyDescent="0.2">
      <c r="H284" s="907"/>
      <c r="I284" s="42"/>
      <c r="M284" s="915" t="s">
        <v>129</v>
      </c>
      <c r="N284" s="80" t="s">
        <v>125</v>
      </c>
      <c r="O284" s="75" t="str">
        <f>IF(IF(G281=0,"",$O$44)=0,"",IF(G281=0,"",$O$44))</f>
        <v/>
      </c>
      <c r="P284" s="25">
        <f>ROUND(IF(O284="",0,G281*O284/1000),2)</f>
        <v>0</v>
      </c>
      <c r="Q284" s="1023"/>
      <c r="R284" s="65"/>
      <c r="S284" s="1017"/>
    </row>
    <row r="285" spans="1:19" s="1" customFormat="1" ht="14.25" customHeight="1" x14ac:dyDescent="0.2">
      <c r="H285" s="996" t="s">
        <v>126</v>
      </c>
      <c r="I285" s="1001" t="s">
        <v>127</v>
      </c>
      <c r="J285" s="975" t="str">
        <f>IF(IF(G281=0,"",$J$45)=0,"",IF(G281=0,"",$J$45))</f>
        <v/>
      </c>
      <c r="K285" s="902" t="s">
        <v>128</v>
      </c>
      <c r="L285" s="964" t="str">
        <f>IF(IF(G281=0,"",$L$45)=0,"",IF(G281=0,"",$L$45))</f>
        <v/>
      </c>
      <c r="M285" s="16"/>
      <c r="N285" s="900" t="s">
        <v>132</v>
      </c>
      <c r="O285" s="965" t="str">
        <f>IF(IF(G281=0,"",$O$45)=0,"",IF(G281=0,"",$O$45))</f>
        <v/>
      </c>
      <c r="P285" s="25">
        <f>ROUND(IF(J285="",0,(J285*L285/O285)/M249*M250),2)</f>
        <v>0</v>
      </c>
      <c r="Q285" s="1023"/>
      <c r="R285" s="66"/>
      <c r="S285" s="1016"/>
    </row>
    <row r="286" spans="1:19" s="1" customFormat="1" ht="14.25" customHeight="1" x14ac:dyDescent="0.2">
      <c r="D286" s="16"/>
      <c r="I286" s="16"/>
      <c r="J286" s="16"/>
      <c r="K286" s="63"/>
      <c r="L286" s="67"/>
      <c r="M286" s="915" t="s">
        <v>130</v>
      </c>
      <c r="N286" s="80" t="s">
        <v>131</v>
      </c>
      <c r="O286" s="904">
        <f>IF(IF(G281=0,0,$O$46)=0,0,IF(G281=0,0,$O$46))</f>
        <v>0</v>
      </c>
      <c r="P286" s="21">
        <f>ROUND(IF(G281=0,0,O286/M247*M248),2)</f>
        <v>0</v>
      </c>
      <c r="Q286" s="1023"/>
      <c r="R286" s="1018"/>
      <c r="S286" s="1024"/>
    </row>
    <row r="287" spans="1:19" s="1" customFormat="1" ht="14.25" customHeight="1" x14ac:dyDescent="0.2">
      <c r="A287" s="16"/>
      <c r="B287" s="16"/>
      <c r="I287" s="905"/>
      <c r="J287" s="961" t="s">
        <v>176</v>
      </c>
      <c r="K287" s="1312" t="str">
        <f>IF($K$47="","",$K$47)</f>
        <v/>
      </c>
      <c r="L287" s="1312"/>
      <c r="M287" s="1312"/>
      <c r="N287" s="80" t="s">
        <v>131</v>
      </c>
      <c r="O287" s="904">
        <f>IF(IF(G281=0,0,$O$47)=0,0,IF(G281=0,0,$O$47))</f>
        <v>0</v>
      </c>
      <c r="P287" s="21">
        <f>ROUND(IF(G281=0,0,O287/M247*M248),2)</f>
        <v>0</v>
      </c>
      <c r="Q287" s="1023"/>
      <c r="R287" s="1019"/>
      <c r="S287" s="1020"/>
    </row>
    <row r="288" spans="1:19" s="1" customFormat="1" ht="14.25" customHeight="1" x14ac:dyDescent="0.2">
      <c r="A288" s="908"/>
      <c r="B288" s="908"/>
      <c r="C288" s="1001"/>
      <c r="D288" s="1001"/>
      <c r="I288" s="913"/>
      <c r="J288" s="913"/>
      <c r="K288" s="916"/>
      <c r="L288" s="27"/>
      <c r="M288" s="27"/>
      <c r="N288" s="27"/>
      <c r="O288" s="26" t="s">
        <v>0</v>
      </c>
      <c r="P288" s="25">
        <f>P281+SUM(P283:P287)</f>
        <v>0</v>
      </c>
    </row>
  </sheetData>
  <sheetProtection algorithmName="SHA-512" hashValue="B6p+Q1F3Tga7wVi9kEItmMiG6v5gr/2WeEoMf9pHFUkPZdKUUMNPMRo8cI/KnZ40Xnk/mH/ezbmvVFtgT9/C5A==" saltValue="mVLaGVb0Hmh3o3YYP5L/Lw==" spinCount="100000" sheet="1" objects="1" scenarios="1"/>
  <mergeCells count="348">
    <mergeCell ref="I25:I26"/>
    <mergeCell ref="N24:N26"/>
    <mergeCell ref="N168:N170"/>
    <mergeCell ref="I169:I170"/>
    <mergeCell ref="D99:J99"/>
    <mergeCell ref="K99:M99"/>
    <mergeCell ref="K57:L57"/>
    <mergeCell ref="K58:L58"/>
    <mergeCell ref="B256:C256"/>
    <mergeCell ref="B205:C205"/>
    <mergeCell ref="B206:C206"/>
    <mergeCell ref="B207:C207"/>
    <mergeCell ref="B208:C208"/>
    <mergeCell ref="B209:C209"/>
    <mergeCell ref="N216:N218"/>
    <mergeCell ref="N120:N122"/>
    <mergeCell ref="B112:C112"/>
    <mergeCell ref="B113:C113"/>
    <mergeCell ref="B117:C117"/>
    <mergeCell ref="D154:I154"/>
    <mergeCell ref="D155:E155"/>
    <mergeCell ref="F155:G155"/>
    <mergeCell ref="H155:I155"/>
    <mergeCell ref="F156:G156"/>
    <mergeCell ref="B257:C257"/>
    <mergeCell ref="B261:C261"/>
    <mergeCell ref="A264:A268"/>
    <mergeCell ref="B264:G264"/>
    <mergeCell ref="H264:M264"/>
    <mergeCell ref="N264:N266"/>
    <mergeCell ref="P264:P268"/>
    <mergeCell ref="B265:B268"/>
    <mergeCell ref="D250:I250"/>
    <mergeCell ref="D251:E251"/>
    <mergeCell ref="F251:G251"/>
    <mergeCell ref="H251:I251"/>
    <mergeCell ref="F252:G252"/>
    <mergeCell ref="H252:I252"/>
    <mergeCell ref="B253:C253"/>
    <mergeCell ref="B254:C254"/>
    <mergeCell ref="B255:C255"/>
    <mergeCell ref="B260:C260"/>
    <mergeCell ref="M265:M267"/>
    <mergeCell ref="O265:O267"/>
    <mergeCell ref="F266:F268"/>
    <mergeCell ref="P216:P220"/>
    <mergeCell ref="O217:O219"/>
    <mergeCell ref="A241:C241"/>
    <mergeCell ref="D241:N241"/>
    <mergeCell ref="A193:C193"/>
    <mergeCell ref="D193:N193"/>
    <mergeCell ref="K191:M191"/>
    <mergeCell ref="A202:C202"/>
    <mergeCell ref="D202:I202"/>
    <mergeCell ref="D203:E203"/>
    <mergeCell ref="F203:G203"/>
    <mergeCell ref="H203:I203"/>
    <mergeCell ref="F204:G204"/>
    <mergeCell ref="H204:I204"/>
    <mergeCell ref="A201:C201"/>
    <mergeCell ref="D201:I201"/>
    <mergeCell ref="K198:L198"/>
    <mergeCell ref="K199:L199"/>
    <mergeCell ref="K200:L200"/>
    <mergeCell ref="K201:L201"/>
    <mergeCell ref="K202:L202"/>
    <mergeCell ref="K203:L203"/>
    <mergeCell ref="B212:C212"/>
    <mergeCell ref="B213:C213"/>
    <mergeCell ref="P120:P124"/>
    <mergeCell ref="M121:M123"/>
    <mergeCell ref="O121:O123"/>
    <mergeCell ref="F122:F124"/>
    <mergeCell ref="B157:C157"/>
    <mergeCell ref="B158:C158"/>
    <mergeCell ref="B159:C159"/>
    <mergeCell ref="B160:C160"/>
    <mergeCell ref="D200:I200"/>
    <mergeCell ref="B161:C161"/>
    <mergeCell ref="A196:C196"/>
    <mergeCell ref="D196:J196"/>
    <mergeCell ref="A197:M197"/>
    <mergeCell ref="A199:C199"/>
    <mergeCell ref="D199:I199"/>
    <mergeCell ref="A152:C152"/>
    <mergeCell ref="D152:I152"/>
    <mergeCell ref="A148:C148"/>
    <mergeCell ref="D148:J148"/>
    <mergeCell ref="A149:M149"/>
    <mergeCell ref="A151:C151"/>
    <mergeCell ref="D151:I151"/>
    <mergeCell ref="A153:C153"/>
    <mergeCell ref="A154:C154"/>
    <mergeCell ref="A120:A124"/>
    <mergeCell ref="B120:G120"/>
    <mergeCell ref="H120:M120"/>
    <mergeCell ref="B121:B124"/>
    <mergeCell ref="C121:C124"/>
    <mergeCell ref="D121:D123"/>
    <mergeCell ref="E121:E123"/>
    <mergeCell ref="G121:G124"/>
    <mergeCell ref="H121:H122"/>
    <mergeCell ref="I121:I122"/>
    <mergeCell ref="J121:J122"/>
    <mergeCell ref="K121:K122"/>
    <mergeCell ref="L121:L122"/>
    <mergeCell ref="A168:A172"/>
    <mergeCell ref="B168:G168"/>
    <mergeCell ref="H168:M168"/>
    <mergeCell ref="B169:B172"/>
    <mergeCell ref="A194:C194"/>
    <mergeCell ref="D194:N194"/>
    <mergeCell ref="A195:C195"/>
    <mergeCell ref="D195:J195"/>
    <mergeCell ref="K195:M195"/>
    <mergeCell ref="H185:M185"/>
    <mergeCell ref="A146:C146"/>
    <mergeCell ref="A147:C147"/>
    <mergeCell ref="A145:C145"/>
    <mergeCell ref="D145:N145"/>
    <mergeCell ref="D146:N146"/>
    <mergeCell ref="D147:J147"/>
    <mergeCell ref="K147:M147"/>
    <mergeCell ref="H137:M137"/>
    <mergeCell ref="K143:M143"/>
    <mergeCell ref="A55:C55"/>
    <mergeCell ref="D55:I55"/>
    <mergeCell ref="D56:I56"/>
    <mergeCell ref="A99:C99"/>
    <mergeCell ref="A98:C98"/>
    <mergeCell ref="D98:N98"/>
    <mergeCell ref="A97:C97"/>
    <mergeCell ref="D97:N97"/>
    <mergeCell ref="A105:C105"/>
    <mergeCell ref="A100:C100"/>
    <mergeCell ref="A104:C104"/>
    <mergeCell ref="D100:J100"/>
    <mergeCell ref="A101:M101"/>
    <mergeCell ref="A103:C103"/>
    <mergeCell ref="D103:I103"/>
    <mergeCell ref="D104:I104"/>
    <mergeCell ref="D105:I105"/>
    <mergeCell ref="K59:L59"/>
    <mergeCell ref="B68:C68"/>
    <mergeCell ref="B69:C69"/>
    <mergeCell ref="A72:A76"/>
    <mergeCell ref="B72:G72"/>
    <mergeCell ref="H72:M72"/>
    <mergeCell ref="N72:N74"/>
    <mergeCell ref="A1:C1"/>
    <mergeCell ref="D1:N1"/>
    <mergeCell ref="A2:C2"/>
    <mergeCell ref="D2:N2"/>
    <mergeCell ref="A8:C8"/>
    <mergeCell ref="A9:C9"/>
    <mergeCell ref="A3:C3"/>
    <mergeCell ref="A4:C4"/>
    <mergeCell ref="D4:J4"/>
    <mergeCell ref="A7:C7"/>
    <mergeCell ref="D3:J3"/>
    <mergeCell ref="K3:M3"/>
    <mergeCell ref="K6:L6"/>
    <mergeCell ref="D7:I7"/>
    <mergeCell ref="K7:L7"/>
    <mergeCell ref="A5:M5"/>
    <mergeCell ref="D8:I8"/>
    <mergeCell ref="K8:L8"/>
    <mergeCell ref="D9:I9"/>
    <mergeCell ref="K9:L9"/>
    <mergeCell ref="K10:L10"/>
    <mergeCell ref="D11:E11"/>
    <mergeCell ref="F11:G11"/>
    <mergeCell ref="H11:I11"/>
    <mergeCell ref="B65:C65"/>
    <mergeCell ref="B63:C63"/>
    <mergeCell ref="B64:C64"/>
    <mergeCell ref="A53:M53"/>
    <mergeCell ref="F60:G60"/>
    <mergeCell ref="H60:I60"/>
    <mergeCell ref="B17:C17"/>
    <mergeCell ref="K11:L11"/>
    <mergeCell ref="A10:C10"/>
    <mergeCell ref="A24:A28"/>
    <mergeCell ref="B24:G24"/>
    <mergeCell ref="H24:M24"/>
    <mergeCell ref="B25:B28"/>
    <mergeCell ref="G25:G28"/>
    <mergeCell ref="B61:C61"/>
    <mergeCell ref="B62:C62"/>
    <mergeCell ref="D10:I10"/>
    <mergeCell ref="H41:M41"/>
    <mergeCell ref="M25:M27"/>
    <mergeCell ref="D25:D27"/>
    <mergeCell ref="R75:S75"/>
    <mergeCell ref="R122:S122"/>
    <mergeCell ref="R123:S123"/>
    <mergeCell ref="R171:S171"/>
    <mergeCell ref="R218:S218"/>
    <mergeCell ref="R219:S219"/>
    <mergeCell ref="F12:G12"/>
    <mergeCell ref="H12:I12"/>
    <mergeCell ref="B13:C13"/>
    <mergeCell ref="D58:I58"/>
    <mergeCell ref="D59:E59"/>
    <mergeCell ref="F59:G59"/>
    <mergeCell ref="H59:I59"/>
    <mergeCell ref="B14:C14"/>
    <mergeCell ref="B15:C15"/>
    <mergeCell ref="B16:C16"/>
    <mergeCell ref="F26:F28"/>
    <mergeCell ref="D57:I57"/>
    <mergeCell ref="A57:C57"/>
    <mergeCell ref="A58:C58"/>
    <mergeCell ref="A52:C52"/>
    <mergeCell ref="A56:C56"/>
    <mergeCell ref="D153:I153"/>
    <mergeCell ref="P24:P28"/>
    <mergeCell ref="B20:C20"/>
    <mergeCell ref="B21:C21"/>
    <mergeCell ref="R27:S27"/>
    <mergeCell ref="R26:S26"/>
    <mergeCell ref="K54:L54"/>
    <mergeCell ref="K55:L55"/>
    <mergeCell ref="K56:L56"/>
    <mergeCell ref="C25:C28"/>
    <mergeCell ref="R74:S74"/>
    <mergeCell ref="O25:O27"/>
    <mergeCell ref="E25:E27"/>
    <mergeCell ref="H25:H26"/>
    <mergeCell ref="J25:J26"/>
    <mergeCell ref="K25:K26"/>
    <mergeCell ref="L25:L26"/>
    <mergeCell ref="D52:J52"/>
    <mergeCell ref="A50:C50"/>
    <mergeCell ref="D50:N50"/>
    <mergeCell ref="A51:C51"/>
    <mergeCell ref="A49:C49"/>
    <mergeCell ref="D49:N49"/>
    <mergeCell ref="D51:J51"/>
    <mergeCell ref="K51:M51"/>
    <mergeCell ref="K47:M47"/>
    <mergeCell ref="P72:P76"/>
    <mergeCell ref="B73:B76"/>
    <mergeCell ref="C73:C76"/>
    <mergeCell ref="D73:D75"/>
    <mergeCell ref="E73:E75"/>
    <mergeCell ref="G73:G76"/>
    <mergeCell ref="H73:H74"/>
    <mergeCell ref="I73:I74"/>
    <mergeCell ref="J73:J74"/>
    <mergeCell ref="K73:K74"/>
    <mergeCell ref="L73:L74"/>
    <mergeCell ref="M73:M75"/>
    <mergeCell ref="O73:O75"/>
    <mergeCell ref="F74:F76"/>
    <mergeCell ref="H89:M89"/>
    <mergeCell ref="K95:M95"/>
    <mergeCell ref="K102:L102"/>
    <mergeCell ref="K103:L103"/>
    <mergeCell ref="K104:L104"/>
    <mergeCell ref="K105:L105"/>
    <mergeCell ref="K106:L106"/>
    <mergeCell ref="K107:L107"/>
    <mergeCell ref="B116:C116"/>
    <mergeCell ref="A106:C106"/>
    <mergeCell ref="D106:I106"/>
    <mergeCell ref="B111:C111"/>
    <mergeCell ref="D107:E107"/>
    <mergeCell ref="F107:G107"/>
    <mergeCell ref="H107:I107"/>
    <mergeCell ref="F108:G108"/>
    <mergeCell ref="H108:I108"/>
    <mergeCell ref="B109:C109"/>
    <mergeCell ref="B110:C110"/>
    <mergeCell ref="K150:L150"/>
    <mergeCell ref="K151:L151"/>
    <mergeCell ref="K152:L152"/>
    <mergeCell ref="K153:L153"/>
    <mergeCell ref="K154:L154"/>
    <mergeCell ref="K155:L155"/>
    <mergeCell ref="B164:C164"/>
    <mergeCell ref="B165:C165"/>
    <mergeCell ref="R170:S170"/>
    <mergeCell ref="C169:C172"/>
    <mergeCell ref="P168:P172"/>
    <mergeCell ref="O169:O171"/>
    <mergeCell ref="F170:F172"/>
    <mergeCell ref="H156:I156"/>
    <mergeCell ref="D169:D171"/>
    <mergeCell ref="E169:E171"/>
    <mergeCell ref="G169:G172"/>
    <mergeCell ref="H169:H170"/>
    <mergeCell ref="J169:J170"/>
    <mergeCell ref="K169:K170"/>
    <mergeCell ref="L169:L170"/>
    <mergeCell ref="M169:M171"/>
    <mergeCell ref="A216:A220"/>
    <mergeCell ref="B216:G216"/>
    <mergeCell ref="H216:M216"/>
    <mergeCell ref="B217:B220"/>
    <mergeCell ref="C217:C220"/>
    <mergeCell ref="D217:D219"/>
    <mergeCell ref="E217:E219"/>
    <mergeCell ref="G217:G220"/>
    <mergeCell ref="H217:H218"/>
    <mergeCell ref="I217:I218"/>
    <mergeCell ref="J217:J218"/>
    <mergeCell ref="K217:K218"/>
    <mergeCell ref="L217:L218"/>
    <mergeCell ref="M217:M219"/>
    <mergeCell ref="F218:F220"/>
    <mergeCell ref="A200:C200"/>
    <mergeCell ref="H233:M233"/>
    <mergeCell ref="K239:M239"/>
    <mergeCell ref="K246:L246"/>
    <mergeCell ref="K247:L247"/>
    <mergeCell ref="K248:L248"/>
    <mergeCell ref="K249:L249"/>
    <mergeCell ref="K250:L250"/>
    <mergeCell ref="K251:L251"/>
    <mergeCell ref="A242:C242"/>
    <mergeCell ref="D242:N242"/>
    <mergeCell ref="A243:C243"/>
    <mergeCell ref="D243:J243"/>
    <mergeCell ref="K243:M243"/>
    <mergeCell ref="A244:C244"/>
    <mergeCell ref="D244:J244"/>
    <mergeCell ref="A245:M245"/>
    <mergeCell ref="A247:C247"/>
    <mergeCell ref="D247:I247"/>
    <mergeCell ref="A248:C248"/>
    <mergeCell ref="D248:I248"/>
    <mergeCell ref="A249:C249"/>
    <mergeCell ref="D249:I249"/>
    <mergeCell ref="A250:C250"/>
    <mergeCell ref="R266:S266"/>
    <mergeCell ref="R267:S267"/>
    <mergeCell ref="H281:M281"/>
    <mergeCell ref="K287:M287"/>
    <mergeCell ref="C265:C268"/>
    <mergeCell ref="D265:D267"/>
    <mergeCell ref="E265:E267"/>
    <mergeCell ref="G265:G268"/>
    <mergeCell ref="H265:H266"/>
    <mergeCell ref="I265:I266"/>
    <mergeCell ref="J265:J266"/>
    <mergeCell ref="K265:K266"/>
    <mergeCell ref="L265:L266"/>
  </mergeCells>
  <dataValidations count="1">
    <dataValidation type="list" allowBlank="1" showInputMessage="1" showErrorMessage="1" sqref="A20:A21 A68:A69 A116:A117 A164:A165 A212:A213 A260:A261">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&amp;10&amp;KFF0000aktive und passive Altersteilzeitphase&amp;R&amp;G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A15:A17 A207:A209 A159:A161 A111:A113 A63:A65 A255:A257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tint="0.39997558519241921"/>
  </sheetPr>
  <dimension ref="A1:P192"/>
  <sheetViews>
    <sheetView showGridLines="0" view="pageLayout" zoomScaleNormal="100" workbookViewId="0">
      <selection activeCell="D7" sqref="D7:I7"/>
    </sheetView>
  </sheetViews>
  <sheetFormatPr baseColWidth="10" defaultRowHeight="14.25" x14ac:dyDescent="0.2"/>
  <cols>
    <col min="1" max="1" width="9.42578125" style="14" customWidth="1"/>
    <col min="2" max="2" width="12.7109375" style="14" customWidth="1"/>
    <col min="3" max="3" width="11.42578125" style="14"/>
    <col min="4" max="4" width="10.5703125" style="14" customWidth="1"/>
    <col min="5" max="5" width="11.140625" style="14" customWidth="1"/>
    <col min="6" max="6" width="11.42578125" style="14" customWidth="1"/>
    <col min="7" max="7" width="10.140625" style="14" customWidth="1"/>
    <col min="8" max="8" width="11.5703125" style="14" customWidth="1"/>
    <col min="9" max="12" width="11.42578125" style="14"/>
    <col min="13" max="13" width="10.28515625" style="14" customWidth="1"/>
    <col min="14" max="14" width="11.140625" style="14" customWidth="1"/>
    <col min="15" max="15" width="11.5703125" style="14" customWidth="1"/>
    <col min="16" max="16" width="10.85546875" style="14" customWidth="1"/>
    <col min="17" max="16384" width="11.42578125" style="1"/>
  </cols>
  <sheetData>
    <row r="1" spans="1:16" s="10" customFormat="1" ht="13.5" customHeight="1" x14ac:dyDescent="0.2">
      <c r="A1" s="1321" t="s">
        <v>17</v>
      </c>
      <c r="B1" s="1321"/>
      <c r="C1" s="1321"/>
      <c r="D1" s="1320" t="str">
        <f>IF('päd.Personal - Leitung'!$D$1="","",'päd.Personal - Leitung'!$D$1)</f>
        <v/>
      </c>
      <c r="E1" s="1320"/>
      <c r="F1" s="1320"/>
      <c r="G1" s="1320"/>
      <c r="H1" s="1320"/>
      <c r="I1" s="1320"/>
      <c r="J1" s="1320"/>
      <c r="K1" s="1320"/>
      <c r="L1" s="1320"/>
      <c r="M1" s="1320"/>
      <c r="N1" s="1320"/>
    </row>
    <row r="2" spans="1:16" s="10" customFormat="1" ht="15" customHeight="1" x14ac:dyDescent="0.2">
      <c r="A2" s="1321" t="s">
        <v>16</v>
      </c>
      <c r="B2" s="1321"/>
      <c r="C2" s="1321" t="s">
        <v>14</v>
      </c>
      <c r="D2" s="1320" t="str">
        <f>IF('päd.Personal - Leitung'!$D$2="","",'päd.Personal - Leitung'!$D$2)</f>
        <v/>
      </c>
      <c r="E2" s="1320"/>
      <c r="F2" s="1320"/>
      <c r="G2" s="1320"/>
      <c r="H2" s="1320"/>
      <c r="I2" s="1320"/>
      <c r="J2" s="1320"/>
      <c r="K2" s="1320"/>
      <c r="L2" s="1320"/>
      <c r="M2" s="1320"/>
      <c r="N2" s="1320"/>
    </row>
    <row r="3" spans="1:16" s="10" customFormat="1" ht="15" customHeight="1" x14ac:dyDescent="0.2">
      <c r="A3" s="1321" t="s">
        <v>15</v>
      </c>
      <c r="B3" s="1321"/>
      <c r="C3" s="1321" t="s">
        <v>14</v>
      </c>
      <c r="D3" s="1320" t="str">
        <f>IF('päd.Personal - Leitung'!$D$3="","",'päd.Personal - Leitung'!$D$3)</f>
        <v/>
      </c>
      <c r="E3" s="1320"/>
      <c r="F3" s="1320"/>
      <c r="G3" s="1320"/>
      <c r="H3" s="1320"/>
      <c r="I3" s="1320"/>
      <c r="J3" s="1320"/>
      <c r="K3" s="1321" t="s">
        <v>100</v>
      </c>
      <c r="L3" s="1321"/>
      <c r="M3" s="1321"/>
      <c r="N3" s="38" t="str">
        <f>IF('päd.Personal - Leitung'!N$3="","",'päd.Personal - Leitung'!N$3)</f>
        <v/>
      </c>
    </row>
    <row r="4" spans="1:16" s="923" customFormat="1" ht="7.5" customHeight="1" x14ac:dyDescent="0.15">
      <c r="A4" s="1353"/>
      <c r="B4" s="1353"/>
      <c r="C4" s="1353"/>
      <c r="D4" s="1354"/>
      <c r="E4" s="1354"/>
      <c r="F4" s="1354"/>
      <c r="G4" s="1354"/>
      <c r="H4" s="1354"/>
      <c r="I4" s="1354"/>
      <c r="J4" s="1354"/>
      <c r="K4" s="922"/>
      <c r="L4" s="922"/>
      <c r="M4" s="922"/>
      <c r="N4" s="922"/>
      <c r="O4" s="922"/>
      <c r="P4" s="922"/>
    </row>
    <row r="5" spans="1:16" s="13" customFormat="1" ht="13.5" customHeight="1" x14ac:dyDescent="0.2">
      <c r="A5" s="1355" t="s">
        <v>158</v>
      </c>
      <c r="B5" s="1355"/>
      <c r="C5" s="1355"/>
      <c r="D5" s="1355"/>
      <c r="E5" s="1355"/>
      <c r="F5" s="1355"/>
      <c r="G5" s="1355"/>
      <c r="H5" s="1355"/>
      <c r="I5" s="1355"/>
      <c r="J5" s="1355"/>
      <c r="K5" s="1355"/>
      <c r="L5" s="7"/>
      <c r="M5" s="7"/>
      <c r="N5" s="52"/>
      <c r="O5" s="138">
        <f>'päd.Personal - Leitung'!$O$5</f>
        <v>2025</v>
      </c>
      <c r="P5" s="52" t="s">
        <v>140</v>
      </c>
    </row>
    <row r="6" spans="1:16" s="8" customFormat="1" ht="13.5" customHeight="1" x14ac:dyDescent="0.25">
      <c r="B6" s="29"/>
      <c r="C6" s="29"/>
      <c r="D6" s="3" t="s">
        <v>106</v>
      </c>
      <c r="E6" s="28"/>
      <c r="F6" s="28"/>
      <c r="G6" s="28"/>
      <c r="H6" s="28"/>
      <c r="I6" s="24"/>
      <c r="J6" s="1370"/>
      <c r="K6" s="1370"/>
      <c r="L6" s="81"/>
      <c r="O6" s="928" t="str">
        <f>A29</f>
        <v>Jan 2025</v>
      </c>
      <c r="P6" s="1402">
        <f>IF(M8="","",M8)</f>
        <v>0</v>
      </c>
    </row>
    <row r="7" spans="1:16" s="5" customFormat="1" ht="13.5" customHeight="1" x14ac:dyDescent="0.25">
      <c r="A7" s="1328" t="s">
        <v>754</v>
      </c>
      <c r="B7" s="1328"/>
      <c r="C7" s="1328"/>
      <c r="D7" s="1329"/>
      <c r="E7" s="1329"/>
      <c r="F7" s="1329"/>
      <c r="G7" s="1329"/>
      <c r="H7" s="1329"/>
      <c r="I7" s="1329"/>
      <c r="K7" s="1327" t="s">
        <v>101</v>
      </c>
      <c r="L7" s="1327"/>
      <c r="M7" s="101"/>
      <c r="O7" s="928" t="str">
        <f t="shared" ref="O7:O17" si="0">A30</f>
        <v>Feb 2025</v>
      </c>
      <c r="P7" s="1403">
        <f t="shared" ref="P7:P14" si="1">IF(P6="","",P6)</f>
        <v>0</v>
      </c>
    </row>
    <row r="8" spans="1:16" ht="13.5" customHeight="1" x14ac:dyDescent="0.2">
      <c r="A8" s="1328" t="s">
        <v>12</v>
      </c>
      <c r="B8" s="1328"/>
      <c r="C8" s="1328"/>
      <c r="D8" s="1345"/>
      <c r="E8" s="1345"/>
      <c r="F8" s="1345"/>
      <c r="G8" s="1345"/>
      <c r="H8" s="1345"/>
      <c r="I8" s="1345"/>
      <c r="K8" s="1327" t="s">
        <v>149</v>
      </c>
      <c r="L8" s="1327"/>
      <c r="M8" s="101">
        <f>IF((M9+M10)&gt;M7,0,M7-M9-M10)</f>
        <v>0</v>
      </c>
      <c r="O8" s="928" t="str">
        <f t="shared" si="0"/>
        <v>Mrz 2025</v>
      </c>
      <c r="P8" s="1403">
        <f t="shared" si="1"/>
        <v>0</v>
      </c>
    </row>
    <row r="9" spans="1:16" ht="13.5" customHeight="1" x14ac:dyDescent="0.2">
      <c r="A9" s="1328" t="s">
        <v>11</v>
      </c>
      <c r="B9" s="1328"/>
      <c r="C9" s="1328"/>
      <c r="D9" s="1345"/>
      <c r="E9" s="1345"/>
      <c r="F9" s="1345"/>
      <c r="G9" s="1345"/>
      <c r="H9" s="1345"/>
      <c r="I9" s="1345"/>
      <c r="K9" s="1327" t="s">
        <v>150</v>
      </c>
      <c r="L9" s="1327"/>
      <c r="M9" s="101"/>
      <c r="O9" s="928" t="str">
        <f t="shared" si="0"/>
        <v>Apr 2025</v>
      </c>
      <c r="P9" s="1403">
        <f t="shared" si="1"/>
        <v>0</v>
      </c>
    </row>
    <row r="10" spans="1:16" ht="13.5" customHeight="1" x14ac:dyDescent="0.2">
      <c r="A10" s="1328" t="s">
        <v>18</v>
      </c>
      <c r="B10" s="1328"/>
      <c r="C10" s="1328"/>
      <c r="D10" s="1345"/>
      <c r="E10" s="1345"/>
      <c r="F10" s="1345"/>
      <c r="G10" s="1345"/>
      <c r="H10" s="1345"/>
      <c r="I10" s="1345"/>
      <c r="J10" s="1313" t="s">
        <v>222</v>
      </c>
      <c r="K10" s="1313"/>
      <c r="L10" s="1313"/>
      <c r="M10" s="101"/>
      <c r="O10" s="928" t="str">
        <f t="shared" si="0"/>
        <v>Mai 2025</v>
      </c>
      <c r="P10" s="1403">
        <f t="shared" si="1"/>
        <v>0</v>
      </c>
    </row>
    <row r="11" spans="1:16" ht="13.5" customHeight="1" x14ac:dyDescent="0.2">
      <c r="A11" s="1"/>
      <c r="B11" s="6"/>
      <c r="C11" s="95" t="s">
        <v>147</v>
      </c>
      <c r="D11" s="1324"/>
      <c r="E11" s="1324"/>
      <c r="F11" s="1359" t="s">
        <v>168</v>
      </c>
      <c r="G11" s="1359"/>
      <c r="H11" s="1361"/>
      <c r="I11" s="1361"/>
      <c r="K11" s="1327" t="s">
        <v>94</v>
      </c>
      <c r="L11" s="1327"/>
      <c r="M11" s="15" t="str">
        <f>IF(IF((COUNTIF(B26:B40,"&gt;0"))=0,0,(COUNTIF(B26:B40,"&gt;0")))&gt;Grundlagen!$C$26,Grundlagen!$C$26,IF((COUNTIF(B26:B40,"&gt;0"))=0,"",(COUNTIF(B26:B40,"&gt;0"))))</f>
        <v/>
      </c>
      <c r="O11" s="928" t="str">
        <f t="shared" si="0"/>
        <v>Jun 2025</v>
      </c>
      <c r="P11" s="1403">
        <f t="shared" si="1"/>
        <v>0</v>
      </c>
    </row>
    <row r="12" spans="1:16" ht="13.5" customHeight="1" x14ac:dyDescent="0.2">
      <c r="A12" s="1"/>
      <c r="B12" s="1"/>
      <c r="C12" s="1"/>
      <c r="D12" s="1"/>
      <c r="E12" s="1"/>
      <c r="F12" s="1359" t="s">
        <v>169</v>
      </c>
      <c r="G12" s="1359"/>
      <c r="H12" s="1361"/>
      <c r="I12" s="1361"/>
      <c r="M12" s="102" t="str">
        <f>IF((SUM(F14:F17))=0,"",IF(P18&gt;M8,M8,IF(M8="","",IF(M11="","",P18))))</f>
        <v/>
      </c>
      <c r="N12" s="1"/>
      <c r="O12" s="928" t="str">
        <f t="shared" si="0"/>
        <v>Jul 2025</v>
      </c>
      <c r="P12" s="1403">
        <f t="shared" si="1"/>
        <v>0</v>
      </c>
    </row>
    <row r="13" spans="1:16" s="46" customFormat="1" ht="13.5" customHeight="1" x14ac:dyDescent="0.2">
      <c r="A13" s="54" t="s">
        <v>134</v>
      </c>
      <c r="B13" s="1356" t="s">
        <v>135</v>
      </c>
      <c r="C13" s="1356"/>
      <c r="D13" s="55" t="s">
        <v>136</v>
      </c>
      <c r="E13" s="56" t="s">
        <v>137</v>
      </c>
      <c r="F13" s="57" t="str">
        <f>CONCATENATE("Entg. ",N3," h/Wo")</f>
        <v>Entg.  h/Wo</v>
      </c>
      <c r="G13" s="58" t="s">
        <v>138</v>
      </c>
      <c r="I13" s="58" t="s">
        <v>139</v>
      </c>
      <c r="K13" s="970"/>
      <c r="L13" s="970"/>
      <c r="M13" s="59"/>
      <c r="N13" s="968"/>
      <c r="O13" s="928" t="str">
        <f t="shared" si="0"/>
        <v>Aug 2025</v>
      </c>
      <c r="P13" s="1403">
        <f t="shared" si="1"/>
        <v>0</v>
      </c>
    </row>
    <row r="14" spans="1:16" s="46" customFormat="1" ht="13.5" customHeight="1" x14ac:dyDescent="0.25">
      <c r="A14" s="48" t="str">
        <f>A29</f>
        <v>Jan 2025</v>
      </c>
      <c r="B14" s="1371"/>
      <c r="C14" s="1372"/>
      <c r="D14" s="132"/>
      <c r="E14" s="132"/>
      <c r="F14" s="71"/>
      <c r="G14" s="50">
        <f>IF(N3="",0,F14/N3/4.348)</f>
        <v>0</v>
      </c>
      <c r="I14" s="51">
        <f>SUM(J14:M14)</f>
        <v>0</v>
      </c>
      <c r="J14" s="70"/>
      <c r="K14" s="70"/>
      <c r="L14" s="70"/>
      <c r="M14" s="70"/>
      <c r="N14" s="983"/>
      <c r="O14" s="928" t="str">
        <f t="shared" si="0"/>
        <v>Sep 2025</v>
      </c>
      <c r="P14" s="1403">
        <f t="shared" si="1"/>
        <v>0</v>
      </c>
    </row>
    <row r="15" spans="1:16" s="46" customFormat="1" ht="13.5" customHeight="1" x14ac:dyDescent="0.25">
      <c r="A15" s="49"/>
      <c r="B15" s="1322" t="str">
        <f>IF(A15="","",B14)</f>
        <v/>
      </c>
      <c r="C15" s="1323"/>
      <c r="D15" s="132"/>
      <c r="E15" s="132"/>
      <c r="F15" s="71"/>
      <c r="G15" s="50">
        <f>IF(N3="",0,F15/N3/4.348)</f>
        <v>0</v>
      </c>
      <c r="I15" s="51">
        <f t="shared" ref="I15:I17" si="2">SUM(J15:M15)</f>
        <v>0</v>
      </c>
      <c r="J15" s="70"/>
      <c r="K15" s="70"/>
      <c r="L15" s="70"/>
      <c r="M15" s="70"/>
      <c r="N15" s="983"/>
      <c r="O15" s="928" t="str">
        <f t="shared" si="0"/>
        <v>Okt 2025</v>
      </c>
      <c r="P15" s="1403">
        <f t="shared" ref="P15:P17" si="3">IF(P14="","",P14)</f>
        <v>0</v>
      </c>
    </row>
    <row r="16" spans="1:16" s="46" customFormat="1" ht="13.5" customHeight="1" x14ac:dyDescent="0.25">
      <c r="A16" s="49"/>
      <c r="B16" s="1322" t="str">
        <f>IF(A16="","",B15)</f>
        <v/>
      </c>
      <c r="C16" s="1323"/>
      <c r="D16" s="132"/>
      <c r="E16" s="132"/>
      <c r="F16" s="71"/>
      <c r="G16" s="50">
        <f>IF(N3="",0,F16/N3/4.348)</f>
        <v>0</v>
      </c>
      <c r="I16" s="51">
        <f t="shared" si="2"/>
        <v>0</v>
      </c>
      <c r="J16" s="70"/>
      <c r="K16" s="70"/>
      <c r="L16" s="70"/>
      <c r="M16" s="70"/>
      <c r="N16" s="983"/>
      <c r="O16" s="928" t="str">
        <f t="shared" si="0"/>
        <v>Nov 2025</v>
      </c>
      <c r="P16" s="1403">
        <f t="shared" si="3"/>
        <v>0</v>
      </c>
    </row>
    <row r="17" spans="1:16" s="46" customFormat="1" ht="13.5" customHeight="1" x14ac:dyDescent="0.25">
      <c r="A17" s="49"/>
      <c r="B17" s="1322" t="str">
        <f>IF(A17="","",B16)</f>
        <v/>
      </c>
      <c r="C17" s="1323"/>
      <c r="D17" s="132"/>
      <c r="E17" s="132"/>
      <c r="F17" s="71"/>
      <c r="G17" s="50">
        <f>IF(N3="",0,F17/N3/4.348)</f>
        <v>0</v>
      </c>
      <c r="I17" s="51">
        <f t="shared" si="2"/>
        <v>0</v>
      </c>
      <c r="J17" s="70"/>
      <c r="K17" s="70"/>
      <c r="L17" s="70"/>
      <c r="M17" s="70"/>
      <c r="N17" s="983"/>
      <c r="O17" s="928" t="str">
        <f t="shared" si="0"/>
        <v>Dez 2025</v>
      </c>
      <c r="P17" s="1403">
        <f t="shared" si="3"/>
        <v>0</v>
      </c>
    </row>
    <row r="18" spans="1:16" s="46" customFormat="1" ht="13.5" customHeight="1" x14ac:dyDescent="0.25">
      <c r="B18" s="972"/>
      <c r="C18" s="972"/>
      <c r="E18" s="972"/>
      <c r="F18" s="972"/>
      <c r="I18" s="993" t="s">
        <v>730</v>
      </c>
      <c r="J18" s="1052"/>
      <c r="K18" s="1052"/>
      <c r="L18" s="1052"/>
      <c r="M18" s="1052"/>
      <c r="N18" s="994"/>
      <c r="O18" s="126" t="s">
        <v>221</v>
      </c>
      <c r="P18" s="127">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924" t="s">
        <v>732</v>
      </c>
      <c r="D19" s="55" t="s">
        <v>369</v>
      </c>
      <c r="E19" s="56" t="s">
        <v>368</v>
      </c>
      <c r="F19" s="58"/>
      <c r="J19" s="61"/>
    </row>
    <row r="20" spans="1:16" s="46" customFormat="1" ht="13.5" customHeight="1" x14ac:dyDescent="0.25">
      <c r="A20" s="60"/>
      <c r="B20" s="1314" t="str">
        <f>IF('päd.Personal - Leitung'!$B$20="","",'päd.Personal - Leitung'!$B$20)</f>
        <v>Jahressonderzahlung (JSZ)</v>
      </c>
      <c r="C20" s="1315"/>
      <c r="D20" s="926"/>
      <c r="E20" s="929" t="str">
        <f>IF(A20="","",ROUND((((SUM(B35:B37)+SUM(F35:F37))/3)*D20)/Grundlagen!$C$26*M11,2))</f>
        <v/>
      </c>
      <c r="G20" s="986"/>
      <c r="H20" s="995"/>
      <c r="I20" s="988"/>
      <c r="J20" s="988"/>
      <c r="K20" s="988"/>
      <c r="L20" s="989"/>
      <c r="M20" s="989"/>
      <c r="N20" s="984"/>
      <c r="O20" s="990"/>
      <c r="P20" s="990"/>
    </row>
    <row r="21" spans="1:16" ht="14.25" customHeight="1" x14ac:dyDescent="0.2">
      <c r="A21" s="60"/>
      <c r="B21" s="1314" t="str">
        <f>IF('päd.Personal - Leitung'!$B$21="","",'päd.Personal - Leitung'!$B$21)</f>
        <v>Leistungsentgelt (LOB)</v>
      </c>
      <c r="C21" s="1315"/>
      <c r="D21" s="926"/>
      <c r="E21" s="929" t="str">
        <f>IF(A21="","",ROUND(((B41+F41)*D21)/Grundlagen!$C$26*M11,2))</f>
        <v/>
      </c>
      <c r="F21" s="1"/>
      <c r="G21" s="986"/>
      <c r="H21" s="987"/>
      <c r="I21" s="988"/>
      <c r="J21" s="988"/>
      <c r="K21" s="988"/>
      <c r="L21" s="991"/>
      <c r="M21" s="991"/>
      <c r="N21" s="985"/>
      <c r="O21" s="65"/>
      <c r="P21" s="65"/>
    </row>
    <row r="22" spans="1:16" ht="14.25" customHeight="1" x14ac:dyDescent="0.2">
      <c r="A22" s="1"/>
      <c r="B22" s="1"/>
      <c r="C22" s="925" t="s">
        <v>731</v>
      </c>
      <c r="D22" s="1"/>
      <c r="E22" s="1"/>
      <c r="F22" s="1"/>
      <c r="G22" s="1"/>
      <c r="H22" s="1"/>
      <c r="I22" s="1"/>
      <c r="J22" s="1"/>
      <c r="K22" s="1"/>
      <c r="L22" s="991"/>
      <c r="M22" s="991"/>
      <c r="N22" s="985"/>
      <c r="O22" s="992"/>
      <c r="P22" s="992"/>
    </row>
    <row r="23" spans="1:16" ht="14.25" customHeight="1" x14ac:dyDescent="0.2">
      <c r="A23" s="53" t="s">
        <v>141</v>
      </c>
      <c r="B23" s="46"/>
      <c r="C23" s="46"/>
      <c r="D23" s="46"/>
      <c r="E23" s="46"/>
      <c r="F23" s="46"/>
      <c r="G23" s="46"/>
      <c r="H23" s="46"/>
      <c r="I23" s="46"/>
      <c r="J23" s="46"/>
      <c r="K23" s="46"/>
      <c r="L23" s="46"/>
      <c r="M23" s="46"/>
      <c r="N23" s="46"/>
      <c r="O23" s="46"/>
      <c r="P23" s="46"/>
    </row>
    <row r="24" spans="1:16" x14ac:dyDescent="0.2">
      <c r="A24" s="1346"/>
      <c r="B24" s="1348" t="s">
        <v>8</v>
      </c>
      <c r="C24" s="1349"/>
      <c r="D24" s="1349"/>
      <c r="E24" s="1349"/>
      <c r="F24" s="1349"/>
      <c r="G24" s="1350"/>
      <c r="H24" s="1351" t="s">
        <v>113</v>
      </c>
      <c r="I24" s="1352"/>
      <c r="J24" s="1352"/>
      <c r="K24" s="1352"/>
      <c r="L24" s="1352"/>
      <c r="M24" s="1352"/>
      <c r="N24" s="1352"/>
      <c r="O24" s="30"/>
      <c r="P24" s="1330" t="s">
        <v>0</v>
      </c>
    </row>
    <row r="25" spans="1:16" ht="14.25" customHeight="1" x14ac:dyDescent="0.2">
      <c r="A25" s="1347"/>
      <c r="B25" s="1333" t="s">
        <v>111</v>
      </c>
      <c r="C25" s="1335" t="s">
        <v>743</v>
      </c>
      <c r="D25" s="1337" t="s">
        <v>226</v>
      </c>
      <c r="E25" s="1339" t="s">
        <v>133</v>
      </c>
      <c r="F25" s="962" t="s">
        <v>6</v>
      </c>
      <c r="G25" s="1340" t="s">
        <v>5</v>
      </c>
      <c r="H25" s="1339" t="s">
        <v>119</v>
      </c>
      <c r="I25" s="1339" t="s">
        <v>4</v>
      </c>
      <c r="J25" s="1339" t="s">
        <v>3</v>
      </c>
      <c r="K25" s="1339" t="s">
        <v>2</v>
      </c>
      <c r="L25" s="1339" t="s">
        <v>114</v>
      </c>
      <c r="M25" s="1339" t="s">
        <v>115</v>
      </c>
      <c r="N25" s="1339" t="s">
        <v>116</v>
      </c>
      <c r="O25" s="1338" t="s">
        <v>109</v>
      </c>
      <c r="P25" s="1331"/>
    </row>
    <row r="26" spans="1:16" x14ac:dyDescent="0.2">
      <c r="A26" s="1347"/>
      <c r="B26" s="1333"/>
      <c r="C26" s="1335"/>
      <c r="D26" s="1338"/>
      <c r="E26" s="1339"/>
      <c r="F26" s="1343" t="str">
        <f>I18</f>
        <v>Zuschläge / Zulagen / o.ä.:</v>
      </c>
      <c r="G26" s="1340"/>
      <c r="H26" s="1342" t="s">
        <v>117</v>
      </c>
      <c r="I26" s="1342"/>
      <c r="J26" s="1342"/>
      <c r="K26" s="1342"/>
      <c r="L26" s="1342"/>
      <c r="M26" s="1342"/>
      <c r="N26" s="1342"/>
      <c r="O26" s="1338"/>
      <c r="P26" s="1331"/>
    </row>
    <row r="27" spans="1:16" ht="14.25" customHeight="1" x14ac:dyDescent="0.2">
      <c r="A27" s="1347"/>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row>
    <row r="28" spans="1:16" x14ac:dyDescent="0.2">
      <c r="A28" s="1347"/>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row>
    <row r="29" spans="1:16"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 si="4">SUM(B29+C29+E29+F29)</f>
        <v>0</v>
      </c>
      <c r="H29" s="64">
        <f>ROUND(SUM(B29:F29)*H28,2)</f>
        <v>0</v>
      </c>
      <c r="I29" s="64">
        <f>ROUND(SUM(B29:F29)*I28,2)</f>
        <v>0</v>
      </c>
      <c r="J29" s="64">
        <f>ROUND(SUM(B29:F29)*J28,2)</f>
        <v>0</v>
      </c>
      <c r="K29" s="64">
        <f>ROUND(SUM(B29:F29)*K28,2)</f>
        <v>0</v>
      </c>
      <c r="L29" s="64">
        <f>ROUND((SUM(B29:F29)-C29)*L28,2)</f>
        <v>0</v>
      </c>
      <c r="M29" s="64">
        <f>ROUND((SUM(B29:F29)-C29)*M28,2)</f>
        <v>0</v>
      </c>
      <c r="N29" s="64">
        <f>ROUND(SUM(B29:F29)*N28,2)</f>
        <v>0</v>
      </c>
      <c r="O29" s="21">
        <f>ROUND(SUM(B29+C29+F29)*O28,2)</f>
        <v>0</v>
      </c>
      <c r="P29" s="25">
        <f>SUM(G29:O29)</f>
        <v>0</v>
      </c>
    </row>
    <row r="30" spans="1:16" x14ac:dyDescent="0.2">
      <c r="A30" s="76" t="str">
        <f>'päd.Personal - Leitung'!$A$30</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ref="G30:G32" si="5">SUM(B30+C30+E30+F30)</f>
        <v>0</v>
      </c>
      <c r="H30" s="64">
        <f>ROUND(SUM(B30:F30)*H28,2)</f>
        <v>0</v>
      </c>
      <c r="I30" s="64">
        <f>ROUND(SUM(B30:F30)*I28,2)</f>
        <v>0</v>
      </c>
      <c r="J30" s="64">
        <f>ROUND(SUM(B30:F30)*J28,2)</f>
        <v>0</v>
      </c>
      <c r="K30" s="64">
        <f>ROUND(SUM(B30:F30)*K28,2)</f>
        <v>0</v>
      </c>
      <c r="L30" s="64">
        <f>ROUND((SUM(B30:F30)-C30)*L28,2)</f>
        <v>0</v>
      </c>
      <c r="M30" s="64">
        <f>ROUND((SUM(B30:F30)-C30)*M28,2)</f>
        <v>0</v>
      </c>
      <c r="N30" s="64">
        <f>ROUND(SUM(B30:F30)*N28,2)</f>
        <v>0</v>
      </c>
      <c r="O30" s="21">
        <f>ROUND(SUM(B30+C30+F30)*O28,2)</f>
        <v>0</v>
      </c>
      <c r="P30" s="25">
        <f t="shared" ref="P30:P40" si="6">SUM(G30:O30)</f>
        <v>0</v>
      </c>
    </row>
    <row r="31" spans="1:16" x14ac:dyDescent="0.2">
      <c r="A31" s="76" t="str">
        <f>'päd.Personal - Leitung'!$A$31</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5"/>
        <v>0</v>
      </c>
      <c r="H31" s="64">
        <f>ROUND(SUM(B31:F31)*H28,2)</f>
        <v>0</v>
      </c>
      <c r="I31" s="64">
        <f>ROUND(SUM(B31:F31)*I28,2)</f>
        <v>0</v>
      </c>
      <c r="J31" s="64">
        <f>ROUND(SUM(B31:F31)*J28,2)</f>
        <v>0</v>
      </c>
      <c r="K31" s="64">
        <f>ROUND(SUM(B31:F31)*K28,2)</f>
        <v>0</v>
      </c>
      <c r="L31" s="64">
        <f>ROUND((SUM(B31:F31)-C31)*L28,2)</f>
        <v>0</v>
      </c>
      <c r="M31" s="64">
        <f>ROUND((SUM(B31:F31)-C31)*M28,2)</f>
        <v>0</v>
      </c>
      <c r="N31" s="64">
        <f>ROUND(SUM(B31:F31)*N28,2)</f>
        <v>0</v>
      </c>
      <c r="O31" s="21">
        <f>ROUND(SUM(B31+C31+F31)*O28,2)</f>
        <v>0</v>
      </c>
      <c r="P31" s="25">
        <f t="shared" si="6"/>
        <v>0</v>
      </c>
    </row>
    <row r="32" spans="1:16" x14ac:dyDescent="0.2">
      <c r="A32" s="76" t="str">
        <f>'päd.Personal - Leitung'!$A$32</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5"/>
        <v>0</v>
      </c>
      <c r="H32" s="64">
        <f>ROUND(SUM(B32:F32)*H28,2)</f>
        <v>0</v>
      </c>
      <c r="I32" s="64">
        <f>ROUND(SUM(B32:F32)*I28,2)</f>
        <v>0</v>
      </c>
      <c r="J32" s="64">
        <f>ROUND(SUM(B32:F32)*J28,2)</f>
        <v>0</v>
      </c>
      <c r="K32" s="64">
        <f>ROUND(SUM(B32:F32)*K28,2)</f>
        <v>0</v>
      </c>
      <c r="L32" s="64">
        <f>ROUND((SUM(B32:F32)-C32)*L28,2)</f>
        <v>0</v>
      </c>
      <c r="M32" s="64">
        <f>ROUND((SUM(B32:F32)-C32)*M28,2)</f>
        <v>0</v>
      </c>
      <c r="N32" s="64">
        <f>ROUND(SUM(B32:F32)*N28,2)</f>
        <v>0</v>
      </c>
      <c r="O32" s="21">
        <f>ROUND(SUM(B32+C32+F32)*O28,2)</f>
        <v>0</v>
      </c>
      <c r="P32" s="25">
        <f t="shared" si="6"/>
        <v>0</v>
      </c>
    </row>
    <row r="33" spans="1:16" x14ac:dyDescent="0.2">
      <c r="A33" s="76" t="str">
        <f>'päd.Personal - Leitung'!$A$33</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ref="G33:G40" si="7">SUM(B33+C33+E33+F33)</f>
        <v>0</v>
      </c>
      <c r="H33" s="64">
        <f>ROUND(SUM(B33:F33)*H28,2)</f>
        <v>0</v>
      </c>
      <c r="I33" s="64">
        <f>ROUND(SUM(B33:F33)*I28,2)</f>
        <v>0</v>
      </c>
      <c r="J33" s="64">
        <f>ROUND(SUM(B33:F33)*J28,2)</f>
        <v>0</v>
      </c>
      <c r="K33" s="64">
        <f>ROUND(SUM(B33:F33)*K28,2)</f>
        <v>0</v>
      </c>
      <c r="L33" s="64">
        <f>ROUND((SUM(B33:F33)-C33)*L28,2)</f>
        <v>0</v>
      </c>
      <c r="M33" s="64">
        <f>ROUND((SUM(B33:F33)-C33)*M28,2)</f>
        <v>0</v>
      </c>
      <c r="N33" s="64">
        <f>ROUND(SUM(B33:F33)*N28,2)</f>
        <v>0</v>
      </c>
      <c r="O33" s="21">
        <f>ROUND(SUM(B33+C33+F33)*O28,2)</f>
        <v>0</v>
      </c>
      <c r="P33" s="25">
        <f t="shared" si="6"/>
        <v>0</v>
      </c>
    </row>
    <row r="34" spans="1:16" x14ac:dyDescent="0.2">
      <c r="A34" s="76" t="str">
        <f>'päd.Personal - Leitung'!$A$34</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7"/>
        <v>0</v>
      </c>
      <c r="H34" s="64">
        <f>ROUND(SUM(B34:F34)*H28,2)</f>
        <v>0</v>
      </c>
      <c r="I34" s="64">
        <f>ROUND(SUM(B34:F34)*I28,2)</f>
        <v>0</v>
      </c>
      <c r="J34" s="64">
        <f>ROUND(SUM(B34:F34)*J28,2)</f>
        <v>0</v>
      </c>
      <c r="K34" s="64">
        <f>ROUND(SUM(B34:F34)*K28,2)</f>
        <v>0</v>
      </c>
      <c r="L34" s="64">
        <f>ROUND((SUM(B34:F34)-C34)*L28,2)</f>
        <v>0</v>
      </c>
      <c r="M34" s="64">
        <f>ROUND((SUM(B34:F34)-C34)*M28,2)</f>
        <v>0</v>
      </c>
      <c r="N34" s="64">
        <f>ROUND(SUM(B34:F34)*N28,2)</f>
        <v>0</v>
      </c>
      <c r="O34" s="21">
        <f>ROUND(SUM(B34+C34+F34)*O28,2)</f>
        <v>0</v>
      </c>
      <c r="P34" s="25">
        <f t="shared" si="6"/>
        <v>0</v>
      </c>
    </row>
    <row r="35" spans="1:16" x14ac:dyDescent="0.2">
      <c r="A35" s="76" t="str">
        <f>'päd.Personal - Leitung'!$A$35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7"/>
        <v>0</v>
      </c>
      <c r="H35" s="64">
        <f>ROUND(SUM(B35:F35)*H28,2)</f>
        <v>0</v>
      </c>
      <c r="I35" s="64">
        <f>ROUND(SUM(B35:F35)*I28,2)</f>
        <v>0</v>
      </c>
      <c r="J35" s="64">
        <f>ROUND(SUM(B35:F35)*J28,2)</f>
        <v>0</v>
      </c>
      <c r="K35" s="64">
        <f>ROUND(SUM(B35:F35)*K28,2)</f>
        <v>0</v>
      </c>
      <c r="L35" s="64">
        <f>ROUND((SUM(B35:F35)-C35)*L28,2)</f>
        <v>0</v>
      </c>
      <c r="M35" s="64">
        <f>ROUND((SUM(B35:F35)-C35)*M28,2)</f>
        <v>0</v>
      </c>
      <c r="N35" s="64">
        <f>ROUND(SUM(B35:F35)*N28,2)</f>
        <v>0</v>
      </c>
      <c r="O35" s="21">
        <f>ROUND(SUM(B35+C35+F35)*O28,2)</f>
        <v>0</v>
      </c>
      <c r="P35" s="25">
        <f t="shared" si="6"/>
        <v>0</v>
      </c>
    </row>
    <row r="36" spans="1:16" x14ac:dyDescent="0.2">
      <c r="A36" s="76" t="str">
        <f>'päd.Personal - Leitung'!$A$36</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7"/>
        <v>0</v>
      </c>
      <c r="H36" s="64">
        <f>ROUND(SUM(B36:F36)*H28,2)</f>
        <v>0</v>
      </c>
      <c r="I36" s="64">
        <f>ROUND(SUM(B36:F36)*I28,2)</f>
        <v>0</v>
      </c>
      <c r="J36" s="64">
        <f>ROUND(SUM(B36:F36)*J28,2)</f>
        <v>0</v>
      </c>
      <c r="K36" s="64">
        <f>ROUND(SUM(B36:F36)*K28,2)</f>
        <v>0</v>
      </c>
      <c r="L36" s="64">
        <f>ROUND((SUM(B36:F36)-C36)*L28,2)</f>
        <v>0</v>
      </c>
      <c r="M36" s="64">
        <f>ROUND((SUM(B36:F36)-C36)*M28,2)</f>
        <v>0</v>
      </c>
      <c r="N36" s="64">
        <f>ROUND(SUM(B36:F36)*N28,2)</f>
        <v>0</v>
      </c>
      <c r="O36" s="21">
        <f>ROUND(SUM(B36+C36+F36)*O28,2)</f>
        <v>0</v>
      </c>
      <c r="P36" s="25">
        <f t="shared" si="6"/>
        <v>0</v>
      </c>
    </row>
    <row r="37" spans="1:16" x14ac:dyDescent="0.2">
      <c r="A37" s="76" t="str">
        <f>'päd.Personal - Leitung'!$A$37</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7"/>
        <v>0</v>
      </c>
      <c r="H37" s="64">
        <f>ROUND(SUM(B37:F37)*H28,2)</f>
        <v>0</v>
      </c>
      <c r="I37" s="64">
        <f>ROUND(SUM(B37:F37)*I28,2)</f>
        <v>0</v>
      </c>
      <c r="J37" s="64">
        <f>ROUND(SUM(B37:F37)*J28,2)</f>
        <v>0</v>
      </c>
      <c r="K37" s="64">
        <f>ROUND(SUM(B37:F37)*K28,2)</f>
        <v>0</v>
      </c>
      <c r="L37" s="64">
        <f>ROUND((SUM(B37:F37)-C37)*L28,2)</f>
        <v>0</v>
      </c>
      <c r="M37" s="64">
        <f>ROUND((SUM(B37:F37)-C37)*M28,2)</f>
        <v>0</v>
      </c>
      <c r="N37" s="64">
        <f>ROUND(SUM(B37:F37)*N28,2)</f>
        <v>0</v>
      </c>
      <c r="O37" s="21">
        <f>ROUND(SUM(B37+C37+F37)*O28,2)</f>
        <v>0</v>
      </c>
      <c r="P37" s="25">
        <f t="shared" si="6"/>
        <v>0</v>
      </c>
    </row>
    <row r="38" spans="1:16" x14ac:dyDescent="0.2">
      <c r="A38" s="76" t="str">
        <f>'päd.Personal - Leitung'!$A$38</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7"/>
        <v>0</v>
      </c>
      <c r="H38" s="64">
        <f>ROUND(SUM(B38:F38)*H28,2)</f>
        <v>0</v>
      </c>
      <c r="I38" s="64">
        <f>ROUND(SUM(B38:F38)*I28,2)</f>
        <v>0</v>
      </c>
      <c r="J38" s="64">
        <f>ROUND(SUM(B38:F38)*J28,2)</f>
        <v>0</v>
      </c>
      <c r="K38" s="64">
        <f>ROUND(SUM(B38:F38)*K28,2)</f>
        <v>0</v>
      </c>
      <c r="L38" s="64">
        <f>ROUND((SUM(B38:F38)-C38)*L28,2)</f>
        <v>0</v>
      </c>
      <c r="M38" s="64">
        <f>ROUND((SUM(B38:F38)-C38)*M28,2)</f>
        <v>0</v>
      </c>
      <c r="N38" s="64">
        <f>ROUND(SUM(B38:F38)*N28,2)</f>
        <v>0</v>
      </c>
      <c r="O38" s="21">
        <f>ROUND(SUM(B38+C38+F38)*O28,2)</f>
        <v>0</v>
      </c>
      <c r="P38" s="25">
        <f t="shared" si="6"/>
        <v>0</v>
      </c>
    </row>
    <row r="39" spans="1:16" x14ac:dyDescent="0.2">
      <c r="A39" s="76" t="str">
        <f>'päd.Personal - Leitung'!$A$39</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7"/>
        <v>0</v>
      </c>
      <c r="H39" s="64">
        <f>ROUND(SUM(B39:F39)*H28,2)</f>
        <v>0</v>
      </c>
      <c r="I39" s="64">
        <f>ROUND(SUM(B39:F39)*I28,2)</f>
        <v>0</v>
      </c>
      <c r="J39" s="64">
        <f>ROUND(SUM(B39:F39)*J28,2)</f>
        <v>0</v>
      </c>
      <c r="K39" s="64">
        <f>ROUND(SUM(B39:F39)*K28,2)</f>
        <v>0</v>
      </c>
      <c r="L39" s="64">
        <f>ROUND((SUM(B39:F39)-C39)*L28,2)</f>
        <v>0</v>
      </c>
      <c r="M39" s="64">
        <f>ROUND((SUM(B39:F39)-C39)*M28,2)</f>
        <v>0</v>
      </c>
      <c r="N39" s="64">
        <f>ROUND(SUM(B39:F39)*N28,2)</f>
        <v>0</v>
      </c>
      <c r="O39" s="21">
        <f>ROUND(SUM(B39+C39+F39)*O28,2)</f>
        <v>0</v>
      </c>
      <c r="P39" s="25">
        <f t="shared" si="6"/>
        <v>0</v>
      </c>
    </row>
    <row r="40" spans="1:16" x14ac:dyDescent="0.2">
      <c r="A40" s="76" t="str">
        <f>'päd.Personal - Leitung'!$A$40</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7"/>
        <v>0</v>
      </c>
      <c r="H40" s="64">
        <f>ROUND(SUM(B40:F40)*H28,2)</f>
        <v>0</v>
      </c>
      <c r="I40" s="64">
        <f>ROUND(SUM(B40:F40)*I28,2)</f>
        <v>0</v>
      </c>
      <c r="J40" s="64">
        <f>ROUND(SUM(B40:F40)*J28,2)</f>
        <v>0</v>
      </c>
      <c r="K40" s="64">
        <f>ROUND(SUM(B40:F40)*K28,2)</f>
        <v>0</v>
      </c>
      <c r="L40" s="64">
        <f>ROUND((SUM(B40:F40)-C40)*L28,2)</f>
        <v>0</v>
      </c>
      <c r="M40" s="64">
        <f>ROUND((SUM(B40:F40)-C40)*M28,2)</f>
        <v>0</v>
      </c>
      <c r="N40" s="64">
        <f>ROUND(SUM(B40:F40)*N28,2)</f>
        <v>0</v>
      </c>
      <c r="O40" s="21">
        <f>ROUND(SUM(B40+C40+F40)*O28,2)</f>
        <v>0</v>
      </c>
      <c r="P40" s="25">
        <f t="shared" si="6"/>
        <v>0</v>
      </c>
    </row>
    <row r="41" spans="1:16" s="12" customFormat="1" ht="15" x14ac:dyDescent="0.25">
      <c r="A41" s="2" t="s">
        <v>1</v>
      </c>
      <c r="B41" s="25">
        <f t="shared" ref="B41:G41" si="8">SUM(B29:B40)</f>
        <v>0</v>
      </c>
      <c r="C41" s="25">
        <f t="shared" si="8"/>
        <v>0</v>
      </c>
      <c r="D41" s="25">
        <f t="shared" si="8"/>
        <v>0</v>
      </c>
      <c r="E41" s="25">
        <f t="shared" si="8"/>
        <v>0</v>
      </c>
      <c r="F41" s="25">
        <f t="shared" si="8"/>
        <v>0</v>
      </c>
      <c r="G41" s="25">
        <f t="shared" si="8"/>
        <v>0</v>
      </c>
      <c r="H41" s="1309">
        <f>SUM(H29:N40)</f>
        <v>0</v>
      </c>
      <c r="I41" s="1310"/>
      <c r="J41" s="1310"/>
      <c r="K41" s="1310"/>
      <c r="L41" s="1310"/>
      <c r="M41" s="1310"/>
      <c r="N41" s="1311"/>
      <c r="O41" s="25">
        <f>SUM(O29:O40)</f>
        <v>0</v>
      </c>
      <c r="P41" s="25">
        <f>SUM(P29:P40)</f>
        <v>0</v>
      </c>
    </row>
    <row r="42" spans="1:16" ht="12" customHeight="1" x14ac:dyDescent="0.2">
      <c r="A42" s="1"/>
      <c r="B42" s="1"/>
      <c r="C42" s="1"/>
      <c r="D42" s="1"/>
      <c r="E42" s="1"/>
      <c r="F42" s="1"/>
      <c r="G42" s="1"/>
      <c r="H42" s="1"/>
      <c r="I42" s="1"/>
      <c r="J42" s="1"/>
      <c r="K42" s="1"/>
      <c r="L42" s="1"/>
      <c r="M42" s="1"/>
      <c r="N42" s="1"/>
      <c r="O42" s="1"/>
      <c r="P42" s="1"/>
    </row>
    <row r="43" spans="1:16" ht="14.25" customHeight="1" x14ac:dyDescent="0.2">
      <c r="A43" s="1"/>
      <c r="B43" s="906"/>
      <c r="C43" s="1"/>
      <c r="D43" s="1"/>
      <c r="E43" s="1"/>
      <c r="F43" s="1"/>
      <c r="G43" s="1"/>
      <c r="H43" s="905"/>
      <c r="I43" s="62"/>
      <c r="J43" s="914" t="s">
        <v>123</v>
      </c>
      <c r="K43" s="1"/>
      <c r="L43" s="900" t="s">
        <v>124</v>
      </c>
      <c r="M43" s="1032"/>
      <c r="N43" s="902" t="s">
        <v>125</v>
      </c>
      <c r="O43" s="1033"/>
      <c r="P43" s="25">
        <f>ROUND(IF(M43="",0,G41*M43*O43/1000),2)</f>
        <v>0</v>
      </c>
    </row>
    <row r="44" spans="1:16" ht="14.25" customHeight="1" x14ac:dyDescent="0.2">
      <c r="A44" s="1"/>
      <c r="B44" s="1"/>
      <c r="C44" s="1"/>
      <c r="D44" s="1"/>
      <c r="E44" s="1"/>
      <c r="F44" s="1"/>
      <c r="G44" s="1"/>
      <c r="H44" s="907"/>
      <c r="I44" s="42"/>
      <c r="J44" s="1"/>
      <c r="K44" s="1"/>
      <c r="L44" s="1"/>
      <c r="M44" s="915" t="s">
        <v>129</v>
      </c>
      <c r="N44" s="80" t="s">
        <v>125</v>
      </c>
      <c r="O44" s="1034"/>
      <c r="P44" s="25">
        <f>ROUND(IF(O44="",0,G41*O44/1000),2)</f>
        <v>0</v>
      </c>
    </row>
    <row r="45" spans="1:16" ht="14.25" customHeight="1" x14ac:dyDescent="0.2">
      <c r="A45" s="1"/>
      <c r="B45" s="1"/>
      <c r="C45" s="1"/>
      <c r="D45" s="1"/>
      <c r="E45" s="1"/>
      <c r="F45" s="1"/>
      <c r="G45" s="1"/>
      <c r="H45" s="912" t="s">
        <v>126</v>
      </c>
      <c r="I45" s="960" t="s">
        <v>127</v>
      </c>
      <c r="J45" s="1037"/>
      <c r="K45" s="902" t="s">
        <v>128</v>
      </c>
      <c r="L45" s="1036"/>
      <c r="M45" s="16"/>
      <c r="N45" s="900" t="s">
        <v>132</v>
      </c>
      <c r="O45" s="1035"/>
      <c r="P45" s="25">
        <f>ROUND(IF(J45="",0,(J45*L45/O45)/M9*M10),2)</f>
        <v>0</v>
      </c>
    </row>
    <row r="46" spans="1:16" ht="14.25" customHeight="1" x14ac:dyDescent="0.2">
      <c r="A46" s="1"/>
      <c r="B46" s="1"/>
      <c r="C46" s="1"/>
      <c r="D46" s="16"/>
      <c r="E46" s="1"/>
      <c r="F46" s="1"/>
      <c r="G46" s="1"/>
      <c r="H46" s="1"/>
      <c r="I46" s="16"/>
      <c r="J46" s="16"/>
      <c r="K46" s="63"/>
      <c r="L46" s="67"/>
      <c r="M46" s="915" t="s">
        <v>130</v>
      </c>
      <c r="N46" s="80" t="s">
        <v>131</v>
      </c>
      <c r="O46" s="904"/>
      <c r="P46" s="21">
        <f>ROUND(IF(G41=0,0,O46/M7*M8),2)</f>
        <v>0</v>
      </c>
    </row>
    <row r="47" spans="1:16" ht="14.25" customHeight="1" x14ac:dyDescent="0.2">
      <c r="A47" s="16"/>
      <c r="B47" s="16"/>
      <c r="C47" s="1"/>
      <c r="D47" s="1"/>
      <c r="E47" s="1"/>
      <c r="F47" s="1"/>
      <c r="G47" s="1"/>
      <c r="H47" s="1"/>
      <c r="I47" s="905"/>
      <c r="J47" s="961" t="s">
        <v>176</v>
      </c>
      <c r="K47" s="1312"/>
      <c r="L47" s="1312"/>
      <c r="M47" s="1312"/>
      <c r="N47" s="80" t="s">
        <v>131</v>
      </c>
      <c r="O47" s="904"/>
      <c r="P47" s="21">
        <f>ROUND(IF(G41=0,0,O47/M7*M8),2)</f>
        <v>0</v>
      </c>
    </row>
    <row r="48" spans="1:16" ht="14.25" customHeight="1" x14ac:dyDescent="0.2">
      <c r="A48" s="908"/>
      <c r="B48" s="908"/>
      <c r="C48" s="960"/>
      <c r="D48" s="960"/>
      <c r="E48" s="1"/>
      <c r="F48" s="1"/>
      <c r="G48" s="1"/>
      <c r="H48" s="1"/>
      <c r="I48" s="913"/>
      <c r="J48" s="913"/>
      <c r="K48" s="916"/>
      <c r="L48" s="27"/>
      <c r="M48" s="27"/>
      <c r="N48" s="27"/>
      <c r="O48" s="26" t="s">
        <v>0</v>
      </c>
      <c r="P48" s="25">
        <f>P41+SUM(P43:P47)</f>
        <v>0</v>
      </c>
    </row>
    <row r="49" spans="1:16" s="10" customFormat="1" ht="13.5" customHeight="1" x14ac:dyDescent="0.2">
      <c r="A49" s="1321" t="s">
        <v>17</v>
      </c>
      <c r="B49" s="1321"/>
      <c r="C49" s="1321"/>
      <c r="D49" s="1320" t="str">
        <f>IF('päd.Personal - Leitung'!$D$1="","",'päd.Personal - Leitung'!$D$1)</f>
        <v/>
      </c>
      <c r="E49" s="1320"/>
      <c r="F49" s="1320"/>
      <c r="G49" s="1320"/>
      <c r="H49" s="1320"/>
      <c r="I49" s="1320"/>
      <c r="J49" s="1320"/>
      <c r="K49" s="1320"/>
      <c r="L49" s="1320"/>
      <c r="M49" s="1320"/>
      <c r="N49" s="1320"/>
    </row>
    <row r="50" spans="1:16" s="10" customFormat="1" ht="15" customHeight="1" x14ac:dyDescent="0.2">
      <c r="A50" s="1321" t="s">
        <v>16</v>
      </c>
      <c r="B50" s="1321"/>
      <c r="C50" s="1321" t="s">
        <v>14</v>
      </c>
      <c r="D50" s="1320" t="str">
        <f>IF('päd.Personal - Leitung'!$D$2="","",'päd.Personal - Leitung'!$D$2)</f>
        <v/>
      </c>
      <c r="E50" s="1320"/>
      <c r="F50" s="1320"/>
      <c r="G50" s="1320"/>
      <c r="H50" s="1320"/>
      <c r="I50" s="1320"/>
      <c r="J50" s="1320"/>
      <c r="K50" s="1320"/>
      <c r="L50" s="1320"/>
      <c r="M50" s="1320"/>
      <c r="N50" s="1320"/>
    </row>
    <row r="51" spans="1:16" s="10" customFormat="1" ht="15" customHeight="1" x14ac:dyDescent="0.2">
      <c r="A51" s="1321" t="s">
        <v>15</v>
      </c>
      <c r="B51" s="1321"/>
      <c r="C51" s="1321" t="s">
        <v>14</v>
      </c>
      <c r="D51" s="1320" t="str">
        <f>IF('päd.Personal - Leitung'!$D$3="","",'päd.Personal - Leitung'!$D$3)</f>
        <v/>
      </c>
      <c r="E51" s="1320"/>
      <c r="F51" s="1320"/>
      <c r="G51" s="1320"/>
      <c r="H51" s="1320"/>
      <c r="I51" s="1320"/>
      <c r="J51" s="1320"/>
      <c r="K51" s="1321" t="s">
        <v>100</v>
      </c>
      <c r="L51" s="1321"/>
      <c r="M51" s="1321"/>
      <c r="N51" s="38" t="str">
        <f>IF('päd.Personal - Leitung'!N$3="","",'päd.Personal - Leitung'!N$3)</f>
        <v/>
      </c>
    </row>
    <row r="52" spans="1:16" s="923" customFormat="1" ht="7.5" customHeight="1" x14ac:dyDescent="0.15">
      <c r="A52" s="1353"/>
      <c r="B52" s="1353"/>
      <c r="C52" s="1353"/>
      <c r="D52" s="1354"/>
      <c r="E52" s="1354"/>
      <c r="F52" s="1354"/>
      <c r="G52" s="1354"/>
      <c r="H52" s="1354"/>
      <c r="I52" s="1354"/>
      <c r="J52" s="1354"/>
      <c r="K52" s="922"/>
      <c r="L52" s="922"/>
      <c r="M52" s="922"/>
      <c r="N52" s="922"/>
      <c r="O52" s="922"/>
      <c r="P52" s="922"/>
    </row>
    <row r="53" spans="1:16" s="13" customFormat="1" ht="13.5" customHeight="1" x14ac:dyDescent="0.2">
      <c r="A53" s="1355" t="s">
        <v>158</v>
      </c>
      <c r="B53" s="1355"/>
      <c r="C53" s="1355"/>
      <c r="D53" s="1355"/>
      <c r="E53" s="1355"/>
      <c r="F53" s="1355"/>
      <c r="G53" s="1355"/>
      <c r="H53" s="1355"/>
      <c r="I53" s="1355"/>
      <c r="J53" s="1355"/>
      <c r="K53" s="1355"/>
      <c r="L53" s="7"/>
      <c r="M53" s="7"/>
      <c r="N53" s="52"/>
      <c r="O53" s="138">
        <f>'päd.Personal - Leitung'!$O$5</f>
        <v>2025</v>
      </c>
      <c r="P53" s="52" t="s">
        <v>140</v>
      </c>
    </row>
    <row r="54" spans="1:16" s="8" customFormat="1" ht="13.5" customHeight="1" x14ac:dyDescent="0.25">
      <c r="B54" s="29"/>
      <c r="C54" s="29"/>
      <c r="D54" s="3" t="s">
        <v>744</v>
      </c>
      <c r="E54" s="28"/>
      <c r="F54" s="28"/>
      <c r="G54" s="28"/>
      <c r="H54" s="28"/>
      <c r="I54" s="24"/>
      <c r="J54" s="1370"/>
      <c r="K54" s="1370"/>
      <c r="L54" s="81"/>
      <c r="O54" s="928" t="str">
        <f>A77</f>
        <v>Jan 2025</v>
      </c>
      <c r="P54" s="1402">
        <f>IF(M56="","",M56)</f>
        <v>0</v>
      </c>
    </row>
    <row r="55" spans="1:16" s="5" customFormat="1" ht="13.5" customHeight="1" x14ac:dyDescent="0.25">
      <c r="A55" s="1328" t="s">
        <v>754</v>
      </c>
      <c r="B55" s="1328"/>
      <c r="C55" s="1328"/>
      <c r="D55" s="1329"/>
      <c r="E55" s="1329"/>
      <c r="F55" s="1329"/>
      <c r="G55" s="1329"/>
      <c r="H55" s="1329"/>
      <c r="I55" s="1329"/>
      <c r="K55" s="1327" t="s">
        <v>101</v>
      </c>
      <c r="L55" s="1327"/>
      <c r="M55" s="101"/>
      <c r="O55" s="928" t="str">
        <f t="shared" ref="O55:O65" si="9">A78</f>
        <v>Feb 2025</v>
      </c>
      <c r="P55" s="1403">
        <f t="shared" ref="P55:P62" si="10">IF(P54="","",P54)</f>
        <v>0</v>
      </c>
    </row>
    <row r="56" spans="1:16" ht="13.5" customHeight="1" x14ac:dyDescent="0.2">
      <c r="A56" s="1328" t="s">
        <v>12</v>
      </c>
      <c r="B56" s="1328"/>
      <c r="C56" s="1328"/>
      <c r="D56" s="1345"/>
      <c r="E56" s="1345"/>
      <c r="F56" s="1345"/>
      <c r="G56" s="1345"/>
      <c r="H56" s="1345"/>
      <c r="I56" s="1345"/>
      <c r="K56" s="1327" t="s">
        <v>149</v>
      </c>
      <c r="L56" s="1327"/>
      <c r="M56" s="101">
        <f>IF((M57+M58)&gt;M55,0,M55-M57-M58)</f>
        <v>0</v>
      </c>
      <c r="O56" s="928" t="str">
        <f t="shared" si="9"/>
        <v>Mrz 2025</v>
      </c>
      <c r="P56" s="1403">
        <f t="shared" si="10"/>
        <v>0</v>
      </c>
    </row>
    <row r="57" spans="1:16" ht="13.5" customHeight="1" x14ac:dyDescent="0.2">
      <c r="A57" s="1328" t="s">
        <v>11</v>
      </c>
      <c r="B57" s="1328"/>
      <c r="C57" s="1328"/>
      <c r="D57" s="1345"/>
      <c r="E57" s="1345"/>
      <c r="F57" s="1345"/>
      <c r="G57" s="1345"/>
      <c r="H57" s="1345"/>
      <c r="I57" s="1345"/>
      <c r="K57" s="1327" t="s">
        <v>150</v>
      </c>
      <c r="L57" s="1327"/>
      <c r="M57" s="101"/>
      <c r="O57" s="928" t="str">
        <f t="shared" si="9"/>
        <v>Apr 2025</v>
      </c>
      <c r="P57" s="1403">
        <f t="shared" si="10"/>
        <v>0</v>
      </c>
    </row>
    <row r="58" spans="1:16" ht="13.5" customHeight="1" x14ac:dyDescent="0.2">
      <c r="A58" s="1328" t="s">
        <v>18</v>
      </c>
      <c r="B58" s="1328"/>
      <c r="C58" s="1328"/>
      <c r="D58" s="1345"/>
      <c r="E58" s="1345"/>
      <c r="F58" s="1345"/>
      <c r="G58" s="1345"/>
      <c r="H58" s="1345"/>
      <c r="I58" s="1345"/>
      <c r="J58" s="1313" t="s">
        <v>222</v>
      </c>
      <c r="K58" s="1313"/>
      <c r="L58" s="1313"/>
      <c r="M58" s="101"/>
      <c r="O58" s="928" t="str">
        <f t="shared" si="9"/>
        <v>Mai 2025</v>
      </c>
      <c r="P58" s="1403">
        <f t="shared" si="10"/>
        <v>0</v>
      </c>
    </row>
    <row r="59" spans="1:16" ht="13.5" customHeight="1" x14ac:dyDescent="0.2">
      <c r="A59" s="1"/>
      <c r="B59" s="6"/>
      <c r="C59" s="959" t="s">
        <v>147</v>
      </c>
      <c r="D59" s="1324"/>
      <c r="E59" s="1324"/>
      <c r="F59" s="1359" t="s">
        <v>168</v>
      </c>
      <c r="G59" s="1359"/>
      <c r="H59" s="1361"/>
      <c r="I59" s="1361"/>
      <c r="K59" s="1327" t="s">
        <v>94</v>
      </c>
      <c r="L59" s="1327"/>
      <c r="M59" s="15" t="str">
        <f>IF(IF((COUNTIF(B74:B88,"&gt;0"))=0,0,(COUNTIF(B74:B88,"&gt;0")))&gt;Grundlagen!$C$26,Grundlagen!$C$26,IF((COUNTIF(B74:B88,"&gt;0"))=0,"",(COUNTIF(B74:B88,"&gt;0"))))</f>
        <v/>
      </c>
      <c r="O59" s="928" t="str">
        <f t="shared" si="9"/>
        <v>Jun 2025</v>
      </c>
      <c r="P59" s="1403">
        <f t="shared" si="10"/>
        <v>0</v>
      </c>
    </row>
    <row r="60" spans="1:16" ht="13.5" customHeight="1" x14ac:dyDescent="0.2">
      <c r="A60" s="1"/>
      <c r="B60" s="1"/>
      <c r="C60" s="1"/>
      <c r="D60" s="1"/>
      <c r="E60" s="1"/>
      <c r="F60" s="1359" t="s">
        <v>169</v>
      </c>
      <c r="G60" s="1359"/>
      <c r="H60" s="1361"/>
      <c r="I60" s="1361"/>
      <c r="M60" s="102" t="str">
        <f>IF((SUM(F62:F65))=0,"",IF(P66&gt;M56,M56,IF(M56="","",IF(M59="","",P66))))</f>
        <v/>
      </c>
      <c r="N60" s="1"/>
      <c r="O60" s="928" t="str">
        <f t="shared" si="9"/>
        <v>Jul 2025</v>
      </c>
      <c r="P60" s="1403">
        <f t="shared" si="10"/>
        <v>0</v>
      </c>
    </row>
    <row r="61" spans="1:16" s="46" customFormat="1" ht="13.5" customHeight="1" x14ac:dyDescent="0.2">
      <c r="A61" s="54" t="s">
        <v>134</v>
      </c>
      <c r="B61" s="1356" t="s">
        <v>135</v>
      </c>
      <c r="C61" s="1356"/>
      <c r="D61" s="55" t="s">
        <v>136</v>
      </c>
      <c r="E61" s="56" t="s">
        <v>137</v>
      </c>
      <c r="F61" s="57" t="str">
        <f>CONCATENATE("Entg. ",N51," h/Wo")</f>
        <v>Entg.  h/Wo</v>
      </c>
      <c r="G61" s="58" t="s">
        <v>138</v>
      </c>
      <c r="I61" s="58" t="s">
        <v>139</v>
      </c>
      <c r="K61" s="970"/>
      <c r="L61" s="970"/>
      <c r="M61" s="59"/>
      <c r="N61" s="968"/>
      <c r="O61" s="928" t="str">
        <f t="shared" si="9"/>
        <v>Aug 2025</v>
      </c>
      <c r="P61" s="1403">
        <f t="shared" si="10"/>
        <v>0</v>
      </c>
    </row>
    <row r="62" spans="1:16" s="46" customFormat="1" ht="13.5" customHeight="1" x14ac:dyDescent="0.25">
      <c r="A62" s="48" t="str">
        <f>A77</f>
        <v>Jan 2025</v>
      </c>
      <c r="B62" s="1371"/>
      <c r="C62" s="1372"/>
      <c r="D62" s="132"/>
      <c r="E62" s="132"/>
      <c r="F62" s="71"/>
      <c r="G62" s="50">
        <f>IF(N51="",0,F62/N51/4.348)</f>
        <v>0</v>
      </c>
      <c r="I62" s="51">
        <f>SUM(J62:M62)</f>
        <v>0</v>
      </c>
      <c r="J62" s="70"/>
      <c r="K62" s="70"/>
      <c r="L62" s="70"/>
      <c r="M62" s="70"/>
      <c r="N62" s="983"/>
      <c r="O62" s="928" t="str">
        <f t="shared" si="9"/>
        <v>Sep 2025</v>
      </c>
      <c r="P62" s="1403">
        <f t="shared" si="10"/>
        <v>0</v>
      </c>
    </row>
    <row r="63" spans="1:16" s="46" customFormat="1" ht="13.5" customHeight="1" x14ac:dyDescent="0.25">
      <c r="A63" s="49"/>
      <c r="B63" s="1322" t="str">
        <f>IF(A63="","",B62)</f>
        <v/>
      </c>
      <c r="C63" s="1323"/>
      <c r="D63" s="132"/>
      <c r="E63" s="132"/>
      <c r="F63" s="71"/>
      <c r="G63" s="50">
        <f>IF(N51="",0,F63/N51/4.348)</f>
        <v>0</v>
      </c>
      <c r="I63" s="51">
        <f t="shared" ref="I63:I65" si="11">SUM(J63:M63)</f>
        <v>0</v>
      </c>
      <c r="J63" s="70"/>
      <c r="K63" s="70"/>
      <c r="L63" s="70"/>
      <c r="M63" s="70"/>
      <c r="N63" s="983"/>
      <c r="O63" s="928" t="str">
        <f t="shared" si="9"/>
        <v>Okt 2025</v>
      </c>
      <c r="P63" s="1403">
        <f t="shared" ref="P63:P65" si="12">IF(P62="","",P62)</f>
        <v>0</v>
      </c>
    </row>
    <row r="64" spans="1:16" s="46" customFormat="1" ht="13.5" customHeight="1" x14ac:dyDescent="0.25">
      <c r="A64" s="49"/>
      <c r="B64" s="1322" t="str">
        <f>IF(A64="","",B63)</f>
        <v/>
      </c>
      <c r="C64" s="1323"/>
      <c r="D64" s="132"/>
      <c r="E64" s="132"/>
      <c r="F64" s="71"/>
      <c r="G64" s="50">
        <f>IF(N51="",0,F64/N51/4.348)</f>
        <v>0</v>
      </c>
      <c r="I64" s="51">
        <f t="shared" si="11"/>
        <v>0</v>
      </c>
      <c r="J64" s="70"/>
      <c r="K64" s="70"/>
      <c r="L64" s="70"/>
      <c r="M64" s="70"/>
      <c r="N64" s="983"/>
      <c r="O64" s="928" t="str">
        <f t="shared" si="9"/>
        <v>Nov 2025</v>
      </c>
      <c r="P64" s="1403">
        <f t="shared" si="12"/>
        <v>0</v>
      </c>
    </row>
    <row r="65" spans="1:16" s="46" customFormat="1" ht="13.5" customHeight="1" x14ac:dyDescent="0.25">
      <c r="A65" s="49"/>
      <c r="B65" s="1322" t="str">
        <f>IF(A65="","",B64)</f>
        <v/>
      </c>
      <c r="C65" s="1323"/>
      <c r="D65" s="132"/>
      <c r="E65" s="132"/>
      <c r="F65" s="71"/>
      <c r="G65" s="50">
        <f>IF(N51="",0,F65/N51/4.348)</f>
        <v>0</v>
      </c>
      <c r="I65" s="51">
        <f t="shared" si="11"/>
        <v>0</v>
      </c>
      <c r="J65" s="70"/>
      <c r="K65" s="70"/>
      <c r="L65" s="70"/>
      <c r="M65" s="70"/>
      <c r="N65" s="983"/>
      <c r="O65" s="928" t="str">
        <f t="shared" si="9"/>
        <v>Dez 2025</v>
      </c>
      <c r="P65" s="1403">
        <f t="shared" si="12"/>
        <v>0</v>
      </c>
    </row>
    <row r="66" spans="1:16" s="46" customFormat="1" ht="13.5" customHeight="1" x14ac:dyDescent="0.25">
      <c r="B66" s="972"/>
      <c r="C66" s="972"/>
      <c r="E66" s="972"/>
      <c r="F66" s="972"/>
      <c r="I66" s="993" t="s">
        <v>730</v>
      </c>
      <c r="J66" s="1052"/>
      <c r="K66" s="1052"/>
      <c r="L66" s="1052"/>
      <c r="M66" s="1052"/>
      <c r="N66" s="994"/>
      <c r="O66" s="126" t="s">
        <v>221</v>
      </c>
      <c r="P66" s="127">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924" t="s">
        <v>732</v>
      </c>
      <c r="D67" s="55" t="s">
        <v>369</v>
      </c>
      <c r="E67" s="56" t="s">
        <v>368</v>
      </c>
      <c r="F67" s="58"/>
      <c r="J67" s="61"/>
    </row>
    <row r="68" spans="1:16" s="46" customFormat="1" ht="13.5" customHeight="1" x14ac:dyDescent="0.25">
      <c r="A68" s="60"/>
      <c r="B68" s="1314" t="str">
        <f>IF($B$20="","",$B$20)</f>
        <v>Jahressonderzahlung (JSZ)</v>
      </c>
      <c r="C68" s="1315"/>
      <c r="D68" s="926"/>
      <c r="E68" s="929" t="str">
        <f>IF(A68="","",ROUND((((SUM(B83:B85)+SUM(F83:F85))/3)*D68)/Grundlagen!$C$26*M59,2))</f>
        <v/>
      </c>
      <c r="G68" s="986"/>
      <c r="H68" s="995"/>
      <c r="I68" s="988"/>
      <c r="J68" s="988"/>
      <c r="K68" s="988"/>
      <c r="L68" s="989"/>
      <c r="M68" s="989"/>
      <c r="N68" s="984"/>
      <c r="O68" s="990"/>
      <c r="P68" s="990"/>
    </row>
    <row r="69" spans="1:16" ht="14.25" customHeight="1" x14ac:dyDescent="0.2">
      <c r="A69" s="60"/>
      <c r="B69" s="1314" t="str">
        <f>IF($B$21="","",$B$21)</f>
        <v>Leistungsentgelt (LOB)</v>
      </c>
      <c r="C69" s="1315"/>
      <c r="D69" s="926"/>
      <c r="E69" s="929" t="str">
        <f>IF(A69="","",ROUND(((B89+F89)*D69)/Grundlagen!$C$26*M59,2))</f>
        <v/>
      </c>
      <c r="F69" s="1"/>
      <c r="G69" s="986"/>
      <c r="H69" s="987"/>
      <c r="I69" s="988"/>
      <c r="J69" s="988"/>
      <c r="K69" s="988"/>
      <c r="L69" s="991"/>
      <c r="M69" s="991"/>
      <c r="N69" s="985"/>
      <c r="O69" s="65"/>
      <c r="P69" s="65"/>
    </row>
    <row r="70" spans="1:16" ht="14.25" customHeight="1" x14ac:dyDescent="0.2">
      <c r="A70" s="1"/>
      <c r="B70" s="1"/>
      <c r="C70" s="925" t="s">
        <v>731</v>
      </c>
      <c r="D70" s="1"/>
      <c r="E70" s="1"/>
      <c r="F70" s="1"/>
      <c r="G70" s="1"/>
      <c r="H70" s="1"/>
      <c r="I70" s="1"/>
      <c r="J70" s="1"/>
      <c r="K70" s="1"/>
      <c r="L70" s="991"/>
      <c r="M70" s="991"/>
      <c r="N70" s="985"/>
      <c r="O70" s="992"/>
      <c r="P70" s="992"/>
    </row>
    <row r="71" spans="1:16" ht="14.25" customHeight="1" x14ac:dyDescent="0.2">
      <c r="A71" s="53" t="s">
        <v>141</v>
      </c>
      <c r="B71" s="46"/>
      <c r="C71" s="46"/>
      <c r="D71" s="46"/>
      <c r="E71" s="46"/>
      <c r="F71" s="46"/>
      <c r="G71" s="46"/>
      <c r="H71" s="46"/>
      <c r="I71" s="46"/>
      <c r="J71" s="46"/>
      <c r="K71" s="46"/>
      <c r="L71" s="46"/>
      <c r="M71" s="46"/>
      <c r="N71" s="46"/>
      <c r="O71" s="46"/>
      <c r="P71" s="46"/>
    </row>
    <row r="72" spans="1:16" x14ac:dyDescent="0.2">
      <c r="A72" s="1346"/>
      <c r="B72" s="1348" t="s">
        <v>8</v>
      </c>
      <c r="C72" s="1349"/>
      <c r="D72" s="1349"/>
      <c r="E72" s="1349"/>
      <c r="F72" s="1349"/>
      <c r="G72" s="1350"/>
      <c r="H72" s="1351" t="s">
        <v>113</v>
      </c>
      <c r="I72" s="1352"/>
      <c r="J72" s="1352"/>
      <c r="K72" s="1352"/>
      <c r="L72" s="1352"/>
      <c r="M72" s="1352"/>
      <c r="N72" s="1352"/>
      <c r="O72" s="30"/>
      <c r="P72" s="1330" t="s">
        <v>0</v>
      </c>
    </row>
    <row r="73" spans="1:16" ht="14.25" customHeight="1" x14ac:dyDescent="0.2">
      <c r="A73" s="1347"/>
      <c r="B73" s="1333" t="s">
        <v>111</v>
      </c>
      <c r="C73" s="1335" t="s">
        <v>743</v>
      </c>
      <c r="D73" s="1337" t="s">
        <v>226</v>
      </c>
      <c r="E73" s="1339" t="s">
        <v>133</v>
      </c>
      <c r="F73" s="962" t="s">
        <v>6</v>
      </c>
      <c r="G73" s="1340" t="s">
        <v>5</v>
      </c>
      <c r="H73" s="1339" t="s">
        <v>119</v>
      </c>
      <c r="I73" s="1339" t="s">
        <v>4</v>
      </c>
      <c r="J73" s="1339" t="s">
        <v>3</v>
      </c>
      <c r="K73" s="1339" t="s">
        <v>2</v>
      </c>
      <c r="L73" s="1339" t="s">
        <v>114</v>
      </c>
      <c r="M73" s="1339" t="s">
        <v>115</v>
      </c>
      <c r="N73" s="1339" t="s">
        <v>116</v>
      </c>
      <c r="O73" s="1338" t="s">
        <v>109</v>
      </c>
      <c r="P73" s="1331"/>
    </row>
    <row r="74" spans="1:16" x14ac:dyDescent="0.2">
      <c r="A74" s="1347"/>
      <c r="B74" s="1333"/>
      <c r="C74" s="1335"/>
      <c r="D74" s="1338"/>
      <c r="E74" s="1339"/>
      <c r="F74" s="1343" t="str">
        <f>I66</f>
        <v>Zuschläge / Zulagen / o.ä.:</v>
      </c>
      <c r="G74" s="1340"/>
      <c r="H74" s="1342" t="s">
        <v>117</v>
      </c>
      <c r="I74" s="1342"/>
      <c r="J74" s="1342"/>
      <c r="K74" s="1342"/>
      <c r="L74" s="1342"/>
      <c r="M74" s="1342"/>
      <c r="N74" s="1342"/>
      <c r="O74" s="1338"/>
      <c r="P74" s="1331"/>
    </row>
    <row r="75" spans="1:16" ht="14.25" customHeight="1" x14ac:dyDescent="0.2">
      <c r="A75" s="1347"/>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row>
    <row r="76" spans="1:16" x14ac:dyDescent="0.2">
      <c r="A76" s="1347"/>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row>
    <row r="77" spans="1:16"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 si="13">SUM(B77+C77+E77+F77)</f>
        <v>0</v>
      </c>
      <c r="H77" s="64">
        <f>ROUND(SUM(B77:F77)*H76,2)</f>
        <v>0</v>
      </c>
      <c r="I77" s="64">
        <f>ROUND(SUM(B77:F77)*I76,2)</f>
        <v>0</v>
      </c>
      <c r="J77" s="64">
        <f>ROUND(SUM(B77:F77)*J76,2)</f>
        <v>0</v>
      </c>
      <c r="K77" s="64">
        <f>ROUND(SUM(B77:F77)*K76,2)</f>
        <v>0</v>
      </c>
      <c r="L77" s="64">
        <f>ROUND((SUM(B77:F77)-C77)*L76,2)</f>
        <v>0</v>
      </c>
      <c r="M77" s="64">
        <f>ROUND((SUM(B77:F77)-C77)*M76,2)</f>
        <v>0</v>
      </c>
      <c r="N77" s="64">
        <f>ROUND(SUM(B77:F77)*N76,2)</f>
        <v>0</v>
      </c>
      <c r="O77" s="21">
        <f>ROUND(SUM(B77+C77+F77)*O76,2)</f>
        <v>0</v>
      </c>
      <c r="P77" s="25">
        <f>SUM(G77:O77)</f>
        <v>0</v>
      </c>
    </row>
    <row r="78" spans="1:16" x14ac:dyDescent="0.2">
      <c r="A78" s="76" t="str">
        <f>'päd.Personal - Leitung'!$A$30</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ref="G78:G80" si="14">SUM(B78+C78+E78+F78)</f>
        <v>0</v>
      </c>
      <c r="H78" s="64">
        <f>ROUND(SUM(B78:F78)*H76,2)</f>
        <v>0</v>
      </c>
      <c r="I78" s="64">
        <f>ROUND(SUM(B78:F78)*I76,2)</f>
        <v>0</v>
      </c>
      <c r="J78" s="64">
        <f>ROUND(SUM(B78:F78)*J76,2)</f>
        <v>0</v>
      </c>
      <c r="K78" s="64">
        <f>ROUND(SUM(B78:F78)*K76,2)</f>
        <v>0</v>
      </c>
      <c r="L78" s="64">
        <f>ROUND((SUM(B78:F78)-C78)*L76,2)</f>
        <v>0</v>
      </c>
      <c r="M78" s="64">
        <f>ROUND((SUM(B78:F78)-C78)*M76,2)</f>
        <v>0</v>
      </c>
      <c r="N78" s="64">
        <f>ROUND(SUM(B78:F78)*N76,2)</f>
        <v>0</v>
      </c>
      <c r="O78" s="21">
        <f>ROUND(SUM(B78+C78+F78)*O76,2)</f>
        <v>0</v>
      </c>
      <c r="P78" s="25">
        <f t="shared" ref="P78:P88" si="15">SUM(G78:O78)</f>
        <v>0</v>
      </c>
    </row>
    <row r="79" spans="1:16" x14ac:dyDescent="0.2">
      <c r="A79" s="76" t="str">
        <f>'päd.Personal - Leitung'!$A$31</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4"/>
        <v>0</v>
      </c>
      <c r="H79" s="64">
        <f>ROUND(SUM(B79:F79)*H76,2)</f>
        <v>0</v>
      </c>
      <c r="I79" s="64">
        <f>ROUND(SUM(B79:F79)*I76,2)</f>
        <v>0</v>
      </c>
      <c r="J79" s="64">
        <f>ROUND(SUM(B79:F79)*J76,2)</f>
        <v>0</v>
      </c>
      <c r="K79" s="64">
        <f>ROUND(SUM(B79:F79)*K76,2)</f>
        <v>0</v>
      </c>
      <c r="L79" s="64">
        <f>ROUND((SUM(B79:F79)-C79)*L76,2)</f>
        <v>0</v>
      </c>
      <c r="M79" s="64">
        <f>ROUND((SUM(B79:F79)-C79)*M76,2)</f>
        <v>0</v>
      </c>
      <c r="N79" s="64">
        <f>ROUND(SUM(B79:F79)*N76,2)</f>
        <v>0</v>
      </c>
      <c r="O79" s="21">
        <f>ROUND(SUM(B79+C79+F79)*O76,2)</f>
        <v>0</v>
      </c>
      <c r="P79" s="25">
        <f t="shared" si="15"/>
        <v>0</v>
      </c>
    </row>
    <row r="80" spans="1:16" x14ac:dyDescent="0.2">
      <c r="A80" s="76" t="str">
        <f>'päd.Personal - Leitung'!$A$32</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4"/>
        <v>0</v>
      </c>
      <c r="H80" s="64">
        <f>ROUND(SUM(B80:F80)*H76,2)</f>
        <v>0</v>
      </c>
      <c r="I80" s="64">
        <f>ROUND(SUM(B80:F80)*I76,2)</f>
        <v>0</v>
      </c>
      <c r="J80" s="64">
        <f>ROUND(SUM(B80:F80)*J76,2)</f>
        <v>0</v>
      </c>
      <c r="K80" s="64">
        <f>ROUND(SUM(B80:F80)*K76,2)</f>
        <v>0</v>
      </c>
      <c r="L80" s="64">
        <f>ROUND((SUM(B80:F80)-C80)*L76,2)</f>
        <v>0</v>
      </c>
      <c r="M80" s="64">
        <f>ROUND((SUM(B80:F80)-C80)*M76,2)</f>
        <v>0</v>
      </c>
      <c r="N80" s="64">
        <f>ROUND(SUM(B80:F80)*N76,2)</f>
        <v>0</v>
      </c>
      <c r="O80" s="21">
        <f>ROUND(SUM(B80+C80+F80)*O76,2)</f>
        <v>0</v>
      </c>
      <c r="P80" s="25">
        <f t="shared" si="15"/>
        <v>0</v>
      </c>
    </row>
    <row r="81" spans="1:16" x14ac:dyDescent="0.2">
      <c r="A81" s="76" t="str">
        <f>'päd.Personal - Leitung'!$A$33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ref="G81:G88" si="16">SUM(B81+C81+E81+F81)</f>
        <v>0</v>
      </c>
      <c r="H81" s="64">
        <f>ROUND(SUM(B81:F81)*H76,2)</f>
        <v>0</v>
      </c>
      <c r="I81" s="64">
        <f>ROUND(SUM(B81:F81)*I76,2)</f>
        <v>0</v>
      </c>
      <c r="J81" s="64">
        <f>ROUND(SUM(B81:F81)*J76,2)</f>
        <v>0</v>
      </c>
      <c r="K81" s="64">
        <f>ROUND(SUM(B81:F81)*K76,2)</f>
        <v>0</v>
      </c>
      <c r="L81" s="64">
        <f>ROUND((SUM(B81:F81)-C81)*L76,2)</f>
        <v>0</v>
      </c>
      <c r="M81" s="64">
        <f>ROUND((SUM(B81:F81)-C81)*M76,2)</f>
        <v>0</v>
      </c>
      <c r="N81" s="64">
        <f>ROUND(SUM(B81:F81)*N76,2)</f>
        <v>0</v>
      </c>
      <c r="O81" s="21">
        <f>ROUND(SUM(B81+C81+F81)*O76,2)</f>
        <v>0</v>
      </c>
      <c r="P81" s="25">
        <f t="shared" si="15"/>
        <v>0</v>
      </c>
    </row>
    <row r="82" spans="1:16" x14ac:dyDescent="0.2">
      <c r="A82" s="76" t="str">
        <f>'päd.Personal - Leitung'!$A$34</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6"/>
        <v>0</v>
      </c>
      <c r="H82" s="64">
        <f>ROUND(SUM(B82:F82)*H76,2)</f>
        <v>0</v>
      </c>
      <c r="I82" s="64">
        <f>ROUND(SUM(B82:F82)*I76,2)</f>
        <v>0</v>
      </c>
      <c r="J82" s="64">
        <f>ROUND(SUM(B82:F82)*J76,2)</f>
        <v>0</v>
      </c>
      <c r="K82" s="64">
        <f>ROUND(SUM(B82:F82)*K76,2)</f>
        <v>0</v>
      </c>
      <c r="L82" s="64">
        <f>ROUND((SUM(B82:F82)-C82)*L76,2)</f>
        <v>0</v>
      </c>
      <c r="M82" s="64">
        <f>ROUND((SUM(B82:F82)-C82)*M76,2)</f>
        <v>0</v>
      </c>
      <c r="N82" s="64">
        <f>ROUND(SUM(B82:F82)*N76,2)</f>
        <v>0</v>
      </c>
      <c r="O82" s="21">
        <f>ROUND(SUM(B82+C82+F82)*O76,2)</f>
        <v>0</v>
      </c>
      <c r="P82" s="25">
        <f t="shared" si="15"/>
        <v>0</v>
      </c>
    </row>
    <row r="83" spans="1:16" x14ac:dyDescent="0.2">
      <c r="A83" s="76" t="str">
        <f>'päd.Personal - Leitung'!$A$35</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6"/>
        <v>0</v>
      </c>
      <c r="H83" s="64">
        <f>ROUND(SUM(B83:F83)*H76,2)</f>
        <v>0</v>
      </c>
      <c r="I83" s="64">
        <f>ROUND(SUM(B83:F83)*I76,2)</f>
        <v>0</v>
      </c>
      <c r="J83" s="64">
        <f>ROUND(SUM(B83:F83)*J76,2)</f>
        <v>0</v>
      </c>
      <c r="K83" s="64">
        <f>ROUND(SUM(B83:F83)*K76,2)</f>
        <v>0</v>
      </c>
      <c r="L83" s="64">
        <f>ROUND((SUM(B83:F83)-C83)*L76,2)</f>
        <v>0</v>
      </c>
      <c r="M83" s="64">
        <f>ROUND((SUM(B83:F83)-C83)*M76,2)</f>
        <v>0</v>
      </c>
      <c r="N83" s="64">
        <f>ROUND(SUM(B83:F83)*N76,2)</f>
        <v>0</v>
      </c>
      <c r="O83" s="21">
        <f>ROUND(SUM(B83+C83+F83)*O76,2)</f>
        <v>0</v>
      </c>
      <c r="P83" s="25">
        <f t="shared" si="15"/>
        <v>0</v>
      </c>
    </row>
    <row r="84" spans="1:16" x14ac:dyDescent="0.2">
      <c r="A84" s="76" t="str">
        <f>'päd.Personal - Leitung'!$A$36</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6"/>
        <v>0</v>
      </c>
      <c r="H84" s="64">
        <f>ROUND(SUM(B84:F84)*H76,2)</f>
        <v>0</v>
      </c>
      <c r="I84" s="64">
        <f>ROUND(SUM(B84:F84)*I76,2)</f>
        <v>0</v>
      </c>
      <c r="J84" s="64">
        <f>ROUND(SUM(B84:F84)*J76,2)</f>
        <v>0</v>
      </c>
      <c r="K84" s="64">
        <f>ROUND(SUM(B84:F84)*K76,2)</f>
        <v>0</v>
      </c>
      <c r="L84" s="64">
        <f>ROUND((SUM(B84:F84)-C84)*L76,2)</f>
        <v>0</v>
      </c>
      <c r="M84" s="64">
        <f>ROUND((SUM(B84:F84)-C84)*M76,2)</f>
        <v>0</v>
      </c>
      <c r="N84" s="64">
        <f>ROUND(SUM(B84:F84)*N76,2)</f>
        <v>0</v>
      </c>
      <c r="O84" s="21">
        <f>ROUND(SUM(B84+C84+F84)*O76,2)</f>
        <v>0</v>
      </c>
      <c r="P84" s="25">
        <f t="shared" si="15"/>
        <v>0</v>
      </c>
    </row>
    <row r="85" spans="1:16" x14ac:dyDescent="0.2">
      <c r="A85" s="76" t="str">
        <f>'päd.Personal - Leitung'!$A$37</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6"/>
        <v>0</v>
      </c>
      <c r="H85" s="64">
        <f>ROUND(SUM(B85:F85)*H76,2)</f>
        <v>0</v>
      </c>
      <c r="I85" s="64">
        <f>ROUND(SUM(B85:F85)*I76,2)</f>
        <v>0</v>
      </c>
      <c r="J85" s="64">
        <f>ROUND(SUM(B85:F85)*J76,2)</f>
        <v>0</v>
      </c>
      <c r="K85" s="64">
        <f>ROUND(SUM(B85:F85)*K76,2)</f>
        <v>0</v>
      </c>
      <c r="L85" s="64">
        <f>ROUND((SUM(B85:F85)-C85)*L76,2)</f>
        <v>0</v>
      </c>
      <c r="M85" s="64">
        <f>ROUND((SUM(B85:F85)-C85)*M76,2)</f>
        <v>0</v>
      </c>
      <c r="N85" s="64">
        <f>ROUND(SUM(B85:F85)*N76,2)</f>
        <v>0</v>
      </c>
      <c r="O85" s="21">
        <f>ROUND(SUM(B85+C85+F85)*O76,2)</f>
        <v>0</v>
      </c>
      <c r="P85" s="25">
        <f t="shared" si="15"/>
        <v>0</v>
      </c>
    </row>
    <row r="86" spans="1:16" x14ac:dyDescent="0.2">
      <c r="A86" s="76" t="str">
        <f>'päd.Personal - Leitung'!$A$38</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6"/>
        <v>0</v>
      </c>
      <c r="H86" s="64">
        <f>ROUND(SUM(B86:F86)*H76,2)</f>
        <v>0</v>
      </c>
      <c r="I86" s="64">
        <f>ROUND(SUM(B86:F86)*I76,2)</f>
        <v>0</v>
      </c>
      <c r="J86" s="64">
        <f>ROUND(SUM(B86:F86)*J76,2)</f>
        <v>0</v>
      </c>
      <c r="K86" s="64">
        <f>ROUND(SUM(B86:F86)*K76,2)</f>
        <v>0</v>
      </c>
      <c r="L86" s="64">
        <f>ROUND((SUM(B86:F86)-C86)*L76,2)</f>
        <v>0</v>
      </c>
      <c r="M86" s="64">
        <f>ROUND((SUM(B86:F86)-C86)*M76,2)</f>
        <v>0</v>
      </c>
      <c r="N86" s="64">
        <f>ROUND(SUM(B86:F86)*N76,2)</f>
        <v>0</v>
      </c>
      <c r="O86" s="21">
        <f>ROUND(SUM(B86+C86+F86)*O76,2)</f>
        <v>0</v>
      </c>
      <c r="P86" s="25">
        <f t="shared" si="15"/>
        <v>0</v>
      </c>
    </row>
    <row r="87" spans="1:16" x14ac:dyDescent="0.2">
      <c r="A87" s="76" t="str">
        <f>'päd.Personal - Leitung'!$A$39</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6"/>
        <v>0</v>
      </c>
      <c r="H87" s="64">
        <f>ROUND(SUM(B87:F87)*H76,2)</f>
        <v>0</v>
      </c>
      <c r="I87" s="64">
        <f>ROUND(SUM(B87:F87)*I76,2)</f>
        <v>0</v>
      </c>
      <c r="J87" s="64">
        <f>ROUND(SUM(B87:F87)*J76,2)</f>
        <v>0</v>
      </c>
      <c r="K87" s="64">
        <f>ROUND(SUM(B87:F87)*K76,2)</f>
        <v>0</v>
      </c>
      <c r="L87" s="64">
        <f>ROUND((SUM(B87:F87)-C87)*L76,2)</f>
        <v>0</v>
      </c>
      <c r="M87" s="64">
        <f>ROUND((SUM(B87:F87)-C87)*M76,2)</f>
        <v>0</v>
      </c>
      <c r="N87" s="64">
        <f>ROUND(SUM(B87:F87)*N76,2)</f>
        <v>0</v>
      </c>
      <c r="O87" s="21">
        <f>ROUND(SUM(B87+C87+F87)*O76,2)</f>
        <v>0</v>
      </c>
      <c r="P87" s="25">
        <f t="shared" si="15"/>
        <v>0</v>
      </c>
    </row>
    <row r="88" spans="1:16" x14ac:dyDescent="0.2">
      <c r="A88" s="76" t="str">
        <f>'päd.Personal - Leitung'!$A$40</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6"/>
        <v>0</v>
      </c>
      <c r="H88" s="64">
        <f>ROUND(SUM(B88:F88)*H76,2)</f>
        <v>0</v>
      </c>
      <c r="I88" s="64">
        <f>ROUND(SUM(B88:F88)*I76,2)</f>
        <v>0</v>
      </c>
      <c r="J88" s="64">
        <f>ROUND(SUM(B88:F88)*J76,2)</f>
        <v>0</v>
      </c>
      <c r="K88" s="64">
        <f>ROUND(SUM(B88:F88)*K76,2)</f>
        <v>0</v>
      </c>
      <c r="L88" s="64">
        <f>ROUND((SUM(B88:F88)-C88)*L76,2)</f>
        <v>0</v>
      </c>
      <c r="M88" s="64">
        <f>ROUND((SUM(B88:F88)-C88)*M76,2)</f>
        <v>0</v>
      </c>
      <c r="N88" s="64">
        <f>ROUND(SUM(B88:F88)*N76,2)</f>
        <v>0</v>
      </c>
      <c r="O88" s="21">
        <f>ROUND(SUM(B88+C88+F88)*O76,2)</f>
        <v>0</v>
      </c>
      <c r="P88" s="25">
        <f t="shared" si="15"/>
        <v>0</v>
      </c>
    </row>
    <row r="89" spans="1:16" s="12" customFormat="1" ht="15" x14ac:dyDescent="0.25">
      <c r="A89" s="2" t="s">
        <v>1</v>
      </c>
      <c r="B89" s="25">
        <f t="shared" ref="B89:G89" si="17">SUM(B77:B88)</f>
        <v>0</v>
      </c>
      <c r="C89" s="25">
        <f t="shared" si="17"/>
        <v>0</v>
      </c>
      <c r="D89" s="25">
        <f t="shared" si="17"/>
        <v>0</v>
      </c>
      <c r="E89" s="25">
        <f t="shared" si="17"/>
        <v>0</v>
      </c>
      <c r="F89" s="25">
        <f t="shared" si="17"/>
        <v>0</v>
      </c>
      <c r="G89" s="25">
        <f t="shared" si="17"/>
        <v>0</v>
      </c>
      <c r="H89" s="1309">
        <f>SUM(H77:N88)</f>
        <v>0</v>
      </c>
      <c r="I89" s="1310"/>
      <c r="J89" s="1310"/>
      <c r="K89" s="1310"/>
      <c r="L89" s="1310"/>
      <c r="M89" s="1310"/>
      <c r="N89" s="1311"/>
      <c r="O89" s="25">
        <f>SUM(O77:O88)</f>
        <v>0</v>
      </c>
      <c r="P89" s="25">
        <f>SUM(P77:P88)</f>
        <v>0</v>
      </c>
    </row>
    <row r="90" spans="1:16" ht="12" customHeight="1" x14ac:dyDescent="0.2">
      <c r="A90" s="1"/>
      <c r="B90" s="1"/>
      <c r="C90" s="1"/>
      <c r="D90" s="1"/>
      <c r="E90" s="1"/>
      <c r="F90" s="1"/>
      <c r="G90" s="1"/>
      <c r="H90" s="1"/>
      <c r="I90" s="1"/>
      <c r="J90" s="1"/>
      <c r="K90" s="1"/>
      <c r="L90" s="1"/>
      <c r="M90" s="1"/>
      <c r="N90" s="1"/>
      <c r="O90" s="1"/>
      <c r="P90" s="1"/>
    </row>
    <row r="91" spans="1:16" ht="14.25" customHeight="1" x14ac:dyDescent="0.2">
      <c r="A91" s="1"/>
      <c r="B91" s="906"/>
      <c r="C91" s="1"/>
      <c r="D91" s="1"/>
      <c r="E91" s="1"/>
      <c r="F91" s="1"/>
      <c r="G91" s="1"/>
      <c r="H91" s="905"/>
      <c r="I91" s="62"/>
      <c r="J91" s="914" t="s">
        <v>123</v>
      </c>
      <c r="K91" s="1"/>
      <c r="L91" s="900" t="s">
        <v>124</v>
      </c>
      <c r="M91" s="974" t="str">
        <f>IF(IF(G89=0,"",$M$43)=0,"",IF(G89=0,"",$M$43))</f>
        <v/>
      </c>
      <c r="N91" s="902" t="s">
        <v>125</v>
      </c>
      <c r="O91" s="963" t="str">
        <f>IF(IF(G89=0,"",$O$43)=0,"",IF(G89=0,"",$O$43))</f>
        <v/>
      </c>
      <c r="P91" s="25">
        <f>ROUND(IF(M91="",0,G89*M91*O91/1000),2)</f>
        <v>0</v>
      </c>
    </row>
    <row r="92" spans="1:16" ht="14.25" customHeight="1" x14ac:dyDescent="0.2">
      <c r="A92" s="1"/>
      <c r="B92" s="1"/>
      <c r="C92" s="1"/>
      <c r="D92" s="1"/>
      <c r="E92" s="1"/>
      <c r="F92" s="1"/>
      <c r="G92" s="1"/>
      <c r="H92" s="907"/>
      <c r="I92" s="42"/>
      <c r="J92" s="1"/>
      <c r="K92" s="1"/>
      <c r="L92" s="1"/>
      <c r="M92" s="915" t="s">
        <v>129</v>
      </c>
      <c r="N92" s="80" t="s">
        <v>125</v>
      </c>
      <c r="O92" s="75" t="str">
        <f>IF(IF(G89=0,"",$O$44)=0,"",IF(G89=0,"",$O$44))</f>
        <v/>
      </c>
      <c r="P92" s="25">
        <f>ROUND(IF(O92="",0,G89*O92/1000),2)</f>
        <v>0</v>
      </c>
    </row>
    <row r="93" spans="1:16" ht="14.25" customHeight="1" x14ac:dyDescent="0.2">
      <c r="A93" s="1"/>
      <c r="B93" s="1"/>
      <c r="C93" s="1"/>
      <c r="D93" s="1"/>
      <c r="E93" s="1"/>
      <c r="F93" s="1"/>
      <c r="G93" s="1"/>
      <c r="H93" s="912" t="s">
        <v>126</v>
      </c>
      <c r="I93" s="1013" t="s">
        <v>127</v>
      </c>
      <c r="J93" s="975" t="str">
        <f>IF(IF(G89=0,"",$J$45)=0,"",IF(G89=0,"",$J$45))</f>
        <v/>
      </c>
      <c r="K93" s="902" t="s">
        <v>128</v>
      </c>
      <c r="L93" s="964" t="str">
        <f>IF(IF(G89=0,"",$L$45)=0,"",IF(G89=0,"",$L$45))</f>
        <v/>
      </c>
      <c r="M93" s="16"/>
      <c r="N93" s="900" t="s">
        <v>132</v>
      </c>
      <c r="O93" s="965" t="str">
        <f>IF(IF(G89=0,"",$O$45)=0,"",IF(G89=0,"",$O$45))</f>
        <v/>
      </c>
      <c r="P93" s="25">
        <f>ROUND(IF(J93="",0,(J93*L93/O93)/M57*M58),2)</f>
        <v>0</v>
      </c>
    </row>
    <row r="94" spans="1:16" ht="14.25" customHeight="1" x14ac:dyDescent="0.2">
      <c r="A94" s="1"/>
      <c r="B94" s="1"/>
      <c r="C94" s="1"/>
      <c r="D94" s="16"/>
      <c r="E94" s="1"/>
      <c r="F94" s="1"/>
      <c r="G94" s="1"/>
      <c r="H94" s="1"/>
      <c r="I94" s="16"/>
      <c r="J94" s="16"/>
      <c r="K94" s="63"/>
      <c r="L94" s="67"/>
      <c r="M94" s="915" t="s">
        <v>130</v>
      </c>
      <c r="N94" s="80" t="s">
        <v>131</v>
      </c>
      <c r="O94" s="904">
        <f>IF(IF(M60="",0,$O$46)=0,0,IF(M60="",0,$O$46))</f>
        <v>0</v>
      </c>
      <c r="P94" s="21">
        <f>ROUND(IF(G89=0,0,O94/M55*M56),2)</f>
        <v>0</v>
      </c>
    </row>
    <row r="95" spans="1:16" ht="14.25" customHeight="1" x14ac:dyDescent="0.2">
      <c r="A95" s="16"/>
      <c r="B95" s="16"/>
      <c r="C95" s="1"/>
      <c r="D95" s="1"/>
      <c r="E95" s="1"/>
      <c r="F95" s="1"/>
      <c r="G95" s="1"/>
      <c r="H95" s="1"/>
      <c r="I95" s="905"/>
      <c r="J95" s="961" t="s">
        <v>176</v>
      </c>
      <c r="K95" s="1312" t="str">
        <f>IF($K$47="","",$K$47)</f>
        <v/>
      </c>
      <c r="L95" s="1312"/>
      <c r="M95" s="1312"/>
      <c r="N95" s="80" t="s">
        <v>131</v>
      </c>
      <c r="O95" s="904">
        <f>IF(IF(M60="",0,$O$47)=0,0,IF(M60="",0,$O$47))</f>
        <v>0</v>
      </c>
      <c r="P95" s="21">
        <f>ROUND(IF(G89=0,0,O95/M55*M56),2)</f>
        <v>0</v>
      </c>
    </row>
    <row r="96" spans="1:16" ht="14.25" customHeight="1" x14ac:dyDescent="0.2">
      <c r="A96" s="908"/>
      <c r="B96" s="908"/>
      <c r="C96" s="960"/>
      <c r="D96" s="960"/>
      <c r="E96" s="1"/>
      <c r="F96" s="1"/>
      <c r="G96" s="1"/>
      <c r="H96" s="1"/>
      <c r="I96" s="913"/>
      <c r="J96" s="913"/>
      <c r="K96" s="916"/>
      <c r="L96" s="27"/>
      <c r="M96" s="27"/>
      <c r="N96" s="27"/>
      <c r="O96" s="26" t="s">
        <v>0</v>
      </c>
      <c r="P96" s="25">
        <f>P89+SUM(P91:P95)</f>
        <v>0</v>
      </c>
    </row>
    <row r="97" spans="1:16" s="10" customFormat="1" ht="13.5" customHeight="1" x14ac:dyDescent="0.2">
      <c r="A97" s="1321" t="s">
        <v>17</v>
      </c>
      <c r="B97" s="1321"/>
      <c r="C97" s="1321"/>
      <c r="D97" s="1320" t="str">
        <f>IF('päd.Personal - Leitung'!$D$1="","",'päd.Personal - Leitung'!$D$1)</f>
        <v/>
      </c>
      <c r="E97" s="1320"/>
      <c r="F97" s="1320"/>
      <c r="G97" s="1320"/>
      <c r="H97" s="1320"/>
      <c r="I97" s="1320"/>
      <c r="J97" s="1320"/>
      <c r="K97" s="1320"/>
      <c r="L97" s="1320"/>
      <c r="M97" s="1320"/>
      <c r="N97" s="1320"/>
    </row>
    <row r="98" spans="1:16" s="10" customFormat="1" ht="15" customHeight="1" x14ac:dyDescent="0.2">
      <c r="A98" s="1321" t="s">
        <v>16</v>
      </c>
      <c r="B98" s="1321"/>
      <c r="C98" s="1321" t="s">
        <v>14</v>
      </c>
      <c r="D98" s="1320" t="str">
        <f>IF('päd.Personal - Leitung'!$D$2="","",'päd.Personal - Leitung'!$D$2)</f>
        <v/>
      </c>
      <c r="E98" s="1320"/>
      <c r="F98" s="1320"/>
      <c r="G98" s="1320"/>
      <c r="H98" s="1320"/>
      <c r="I98" s="1320"/>
      <c r="J98" s="1320"/>
      <c r="K98" s="1320"/>
      <c r="L98" s="1320"/>
      <c r="M98" s="1320"/>
      <c r="N98" s="1320"/>
    </row>
    <row r="99" spans="1:16" s="10" customFormat="1" ht="15" customHeight="1" x14ac:dyDescent="0.2">
      <c r="A99" s="1321" t="s">
        <v>15</v>
      </c>
      <c r="B99" s="1321"/>
      <c r="C99" s="1321" t="s">
        <v>14</v>
      </c>
      <c r="D99" s="1320" t="str">
        <f>IF('päd.Personal - Leitung'!$D$3="","",'päd.Personal - Leitung'!$D$3)</f>
        <v/>
      </c>
      <c r="E99" s="1320"/>
      <c r="F99" s="1320"/>
      <c r="G99" s="1320"/>
      <c r="H99" s="1320"/>
      <c r="I99" s="1320"/>
      <c r="J99" s="1320"/>
      <c r="K99" s="1321" t="s">
        <v>100</v>
      </c>
      <c r="L99" s="1321"/>
      <c r="M99" s="1321"/>
      <c r="N99" s="38" t="str">
        <f>IF('päd.Personal - Leitung'!N$3="","",'päd.Personal - Leitung'!N$3)</f>
        <v/>
      </c>
    </row>
    <row r="100" spans="1:16" s="923" customFormat="1" ht="7.5" customHeight="1" x14ac:dyDescent="0.15">
      <c r="A100" s="1353"/>
      <c r="B100" s="1353"/>
      <c r="C100" s="1353"/>
      <c r="D100" s="1354"/>
      <c r="E100" s="1354"/>
      <c r="F100" s="1354"/>
      <c r="G100" s="1354"/>
      <c r="H100" s="1354"/>
      <c r="I100" s="1354"/>
      <c r="J100" s="1354"/>
      <c r="K100" s="922"/>
      <c r="L100" s="922"/>
      <c r="M100" s="922"/>
      <c r="N100" s="922"/>
      <c r="O100" s="922"/>
      <c r="P100" s="922"/>
    </row>
    <row r="101" spans="1:16" s="13" customFormat="1" ht="13.5" customHeight="1" x14ac:dyDescent="0.2">
      <c r="A101" s="1355" t="s">
        <v>158</v>
      </c>
      <c r="B101" s="1355"/>
      <c r="C101" s="1355"/>
      <c r="D101" s="1355"/>
      <c r="E101" s="1355"/>
      <c r="F101" s="1355"/>
      <c r="G101" s="1355"/>
      <c r="H101" s="1355"/>
      <c r="I101" s="1355"/>
      <c r="J101" s="1355"/>
      <c r="K101" s="1355"/>
      <c r="L101" s="7"/>
      <c r="M101" s="7"/>
      <c r="N101" s="52"/>
      <c r="O101" s="138">
        <f>'päd.Personal - Leitung'!$O$5</f>
        <v>2025</v>
      </c>
      <c r="P101" s="52" t="s">
        <v>140</v>
      </c>
    </row>
    <row r="102" spans="1:16" s="8" customFormat="1" ht="13.5" customHeight="1" x14ac:dyDescent="0.25">
      <c r="B102" s="29"/>
      <c r="C102" s="29"/>
      <c r="D102" s="3" t="s">
        <v>745</v>
      </c>
      <c r="E102" s="28"/>
      <c r="F102" s="28"/>
      <c r="G102" s="28"/>
      <c r="H102" s="28"/>
      <c r="I102" s="24"/>
      <c r="J102" s="1370"/>
      <c r="K102" s="1370"/>
      <c r="L102" s="81"/>
      <c r="O102" s="928" t="str">
        <f>A125</f>
        <v>Jan 2025</v>
      </c>
      <c r="P102" s="1402">
        <f>IF(M104="","",M104)</f>
        <v>0</v>
      </c>
    </row>
    <row r="103" spans="1:16" s="5" customFormat="1" ht="13.5" customHeight="1" x14ac:dyDescent="0.25">
      <c r="A103" s="1328" t="s">
        <v>754</v>
      </c>
      <c r="B103" s="1328"/>
      <c r="C103" s="1328"/>
      <c r="D103" s="1329"/>
      <c r="E103" s="1329"/>
      <c r="F103" s="1329"/>
      <c r="G103" s="1329"/>
      <c r="H103" s="1329"/>
      <c r="I103" s="1329"/>
      <c r="K103" s="1327" t="s">
        <v>101</v>
      </c>
      <c r="L103" s="1327"/>
      <c r="M103" s="101"/>
      <c r="O103" s="928" t="str">
        <f t="shared" ref="O103:O113" si="18">A126</f>
        <v>Feb 2025</v>
      </c>
      <c r="P103" s="1403">
        <f t="shared" ref="P103:P110" si="19">IF(P102="","",P102)</f>
        <v>0</v>
      </c>
    </row>
    <row r="104" spans="1:16" ht="13.5" customHeight="1" x14ac:dyDescent="0.2">
      <c r="A104" s="1328" t="s">
        <v>12</v>
      </c>
      <c r="B104" s="1328"/>
      <c r="C104" s="1328"/>
      <c r="D104" s="1345"/>
      <c r="E104" s="1345"/>
      <c r="F104" s="1345"/>
      <c r="G104" s="1345"/>
      <c r="H104" s="1345"/>
      <c r="I104" s="1345"/>
      <c r="K104" s="1327" t="s">
        <v>149</v>
      </c>
      <c r="L104" s="1327"/>
      <c r="M104" s="101">
        <f>IF((M105+M106)&gt;M103,0,M103-M105-M106)</f>
        <v>0</v>
      </c>
      <c r="O104" s="928" t="str">
        <f t="shared" si="18"/>
        <v>Mrz 2025</v>
      </c>
      <c r="P104" s="1403">
        <f t="shared" si="19"/>
        <v>0</v>
      </c>
    </row>
    <row r="105" spans="1:16" ht="13.5" customHeight="1" x14ac:dyDescent="0.2">
      <c r="A105" s="1328" t="s">
        <v>11</v>
      </c>
      <c r="B105" s="1328"/>
      <c r="C105" s="1328"/>
      <c r="D105" s="1345"/>
      <c r="E105" s="1345"/>
      <c r="F105" s="1345"/>
      <c r="G105" s="1345"/>
      <c r="H105" s="1345"/>
      <c r="I105" s="1345"/>
      <c r="K105" s="1327" t="s">
        <v>150</v>
      </c>
      <c r="L105" s="1327"/>
      <c r="M105" s="101"/>
      <c r="O105" s="928" t="str">
        <f t="shared" si="18"/>
        <v>Apr 2025</v>
      </c>
      <c r="P105" s="1403">
        <f t="shared" si="19"/>
        <v>0</v>
      </c>
    </row>
    <row r="106" spans="1:16" ht="13.5" customHeight="1" x14ac:dyDescent="0.2">
      <c r="A106" s="1328" t="s">
        <v>18</v>
      </c>
      <c r="B106" s="1328"/>
      <c r="C106" s="1328"/>
      <c r="D106" s="1345"/>
      <c r="E106" s="1345"/>
      <c r="F106" s="1345"/>
      <c r="G106" s="1345"/>
      <c r="H106" s="1345"/>
      <c r="I106" s="1345"/>
      <c r="J106" s="1313" t="s">
        <v>222</v>
      </c>
      <c r="K106" s="1313"/>
      <c r="L106" s="1313"/>
      <c r="M106" s="101"/>
      <c r="O106" s="928" t="str">
        <f t="shared" si="18"/>
        <v>Mai 2025</v>
      </c>
      <c r="P106" s="1403">
        <f t="shared" si="19"/>
        <v>0</v>
      </c>
    </row>
    <row r="107" spans="1:16" ht="13.5" customHeight="1" x14ac:dyDescent="0.2">
      <c r="A107" s="1"/>
      <c r="B107" s="6"/>
      <c r="C107" s="959" t="s">
        <v>147</v>
      </c>
      <c r="D107" s="1324"/>
      <c r="E107" s="1324"/>
      <c r="F107" s="1359" t="s">
        <v>168</v>
      </c>
      <c r="G107" s="1359"/>
      <c r="H107" s="1361"/>
      <c r="I107" s="1361"/>
      <c r="K107" s="1327" t="s">
        <v>94</v>
      </c>
      <c r="L107" s="1327"/>
      <c r="M107" s="15" t="str">
        <f>IF(IF((COUNTIF(B122:B136,"&gt;0"))=0,0,(COUNTIF(B122:B136,"&gt;0")))&gt;Grundlagen!$C$26,Grundlagen!$C$26,IF((COUNTIF(B122:B136,"&gt;0"))=0,"",(COUNTIF(B122:B136,"&gt;0"))))</f>
        <v/>
      </c>
      <c r="O107" s="928" t="str">
        <f t="shared" si="18"/>
        <v>Jun 2025</v>
      </c>
      <c r="P107" s="1403">
        <f t="shared" si="19"/>
        <v>0</v>
      </c>
    </row>
    <row r="108" spans="1:16" ht="13.5" customHeight="1" x14ac:dyDescent="0.2">
      <c r="A108" s="1"/>
      <c r="B108" s="1"/>
      <c r="C108" s="1"/>
      <c r="D108" s="1"/>
      <c r="E108" s="1"/>
      <c r="F108" s="1359" t="s">
        <v>169</v>
      </c>
      <c r="G108" s="1359"/>
      <c r="H108" s="1361"/>
      <c r="I108" s="1361"/>
      <c r="M108" s="102" t="str">
        <f>IF((SUM(F110:F113))=0,"",IF(P114&gt;M104,M104,IF(M104="","",IF(M107="","",P114))))</f>
        <v/>
      </c>
      <c r="N108" s="1"/>
      <c r="O108" s="928" t="str">
        <f t="shared" si="18"/>
        <v>Jul 2025</v>
      </c>
      <c r="P108" s="1403">
        <f t="shared" si="19"/>
        <v>0</v>
      </c>
    </row>
    <row r="109" spans="1:16" s="46" customFormat="1" ht="13.5" customHeight="1" x14ac:dyDescent="0.2">
      <c r="A109" s="54" t="s">
        <v>134</v>
      </c>
      <c r="B109" s="1356" t="s">
        <v>135</v>
      </c>
      <c r="C109" s="1356"/>
      <c r="D109" s="55" t="s">
        <v>136</v>
      </c>
      <c r="E109" s="56" t="s">
        <v>137</v>
      </c>
      <c r="F109" s="57" t="str">
        <f>CONCATENATE("Entg. ",N99," h/Wo")</f>
        <v>Entg.  h/Wo</v>
      </c>
      <c r="G109" s="58" t="s">
        <v>138</v>
      </c>
      <c r="I109" s="58" t="s">
        <v>139</v>
      </c>
      <c r="K109" s="970"/>
      <c r="L109" s="970"/>
      <c r="M109" s="59"/>
      <c r="N109" s="968"/>
      <c r="O109" s="928" t="str">
        <f t="shared" si="18"/>
        <v>Aug 2025</v>
      </c>
      <c r="P109" s="1403">
        <f t="shared" si="19"/>
        <v>0</v>
      </c>
    </row>
    <row r="110" spans="1:16" s="46" customFormat="1" ht="13.5" customHeight="1" x14ac:dyDescent="0.25">
      <c r="A110" s="48" t="str">
        <f>A125</f>
        <v>Jan 2025</v>
      </c>
      <c r="B110" s="1371"/>
      <c r="C110" s="1372"/>
      <c r="D110" s="132"/>
      <c r="E110" s="132"/>
      <c r="F110" s="71"/>
      <c r="G110" s="50">
        <f>IF(N99="",0,F110/N99/4.348)</f>
        <v>0</v>
      </c>
      <c r="I110" s="51">
        <f>SUM(J110:M110)</f>
        <v>0</v>
      </c>
      <c r="J110" s="70"/>
      <c r="K110" s="70"/>
      <c r="L110" s="70"/>
      <c r="M110" s="70"/>
      <c r="N110" s="983"/>
      <c r="O110" s="928" t="str">
        <f t="shared" si="18"/>
        <v>Sep 2025</v>
      </c>
      <c r="P110" s="1403">
        <f t="shared" si="19"/>
        <v>0</v>
      </c>
    </row>
    <row r="111" spans="1:16" s="46" customFormat="1" ht="13.5" customHeight="1" x14ac:dyDescent="0.25">
      <c r="A111" s="49"/>
      <c r="B111" s="1322" t="str">
        <f>IF(A111="","",B110)</f>
        <v/>
      </c>
      <c r="C111" s="1323"/>
      <c r="D111" s="132"/>
      <c r="E111" s="132"/>
      <c r="F111" s="71"/>
      <c r="G111" s="50">
        <f>IF(N99="",0,F111/N99/4.348)</f>
        <v>0</v>
      </c>
      <c r="I111" s="51">
        <f t="shared" ref="I111:I113" si="20">SUM(J111:M111)</f>
        <v>0</v>
      </c>
      <c r="J111" s="70"/>
      <c r="K111" s="70"/>
      <c r="L111" s="70"/>
      <c r="M111" s="70"/>
      <c r="N111" s="983"/>
      <c r="O111" s="928" t="str">
        <f t="shared" si="18"/>
        <v>Okt 2025</v>
      </c>
      <c r="P111" s="1403">
        <f t="shared" ref="P111:P113" si="21">IF(P110="","",P110)</f>
        <v>0</v>
      </c>
    </row>
    <row r="112" spans="1:16" s="46" customFormat="1" ht="13.5" customHeight="1" x14ac:dyDescent="0.25">
      <c r="A112" s="49"/>
      <c r="B112" s="1322" t="str">
        <f>IF(A112="","",B111)</f>
        <v/>
      </c>
      <c r="C112" s="1323"/>
      <c r="D112" s="132"/>
      <c r="E112" s="132"/>
      <c r="F112" s="71"/>
      <c r="G112" s="50">
        <f>IF(N99="",0,F112/N99/4.348)</f>
        <v>0</v>
      </c>
      <c r="I112" s="51">
        <f t="shared" si="20"/>
        <v>0</v>
      </c>
      <c r="J112" s="70"/>
      <c r="K112" s="70"/>
      <c r="L112" s="70"/>
      <c r="M112" s="70"/>
      <c r="N112" s="983"/>
      <c r="O112" s="928" t="str">
        <f t="shared" si="18"/>
        <v>Nov 2025</v>
      </c>
      <c r="P112" s="1403">
        <f t="shared" si="21"/>
        <v>0</v>
      </c>
    </row>
    <row r="113" spans="1:16" s="46" customFormat="1" ht="13.5" customHeight="1" x14ac:dyDescent="0.25">
      <c r="A113" s="49"/>
      <c r="B113" s="1322" t="str">
        <f>IF(A113="","",B112)</f>
        <v/>
      </c>
      <c r="C113" s="1323"/>
      <c r="D113" s="132"/>
      <c r="E113" s="132"/>
      <c r="F113" s="71"/>
      <c r="G113" s="50">
        <f>IF(N99="",0,F113/N99/4.348)</f>
        <v>0</v>
      </c>
      <c r="I113" s="51">
        <f t="shared" si="20"/>
        <v>0</v>
      </c>
      <c r="J113" s="70"/>
      <c r="K113" s="70"/>
      <c r="L113" s="70"/>
      <c r="M113" s="70"/>
      <c r="N113" s="983"/>
      <c r="O113" s="928" t="str">
        <f t="shared" si="18"/>
        <v>Dez 2025</v>
      </c>
      <c r="P113" s="1403">
        <f t="shared" si="21"/>
        <v>0</v>
      </c>
    </row>
    <row r="114" spans="1:16" s="46" customFormat="1" ht="13.5" customHeight="1" x14ac:dyDescent="0.25">
      <c r="B114" s="972"/>
      <c r="C114" s="972"/>
      <c r="E114" s="972"/>
      <c r="F114" s="972"/>
      <c r="I114" s="993" t="s">
        <v>730</v>
      </c>
      <c r="J114" s="1052"/>
      <c r="K114" s="1052"/>
      <c r="L114" s="1052"/>
      <c r="M114" s="1052"/>
      <c r="N114" s="994"/>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924" t="s">
        <v>732</v>
      </c>
      <c r="D115" s="55" t="s">
        <v>369</v>
      </c>
      <c r="E115" s="56" t="s">
        <v>368</v>
      </c>
      <c r="F115" s="58"/>
      <c r="J115" s="61"/>
    </row>
    <row r="116" spans="1:16" s="46" customFormat="1" ht="13.5" customHeight="1" x14ac:dyDescent="0.25">
      <c r="A116" s="60"/>
      <c r="B116" s="1314" t="str">
        <f>IF($B$20="","",$B$20)</f>
        <v>Jahressonderzahlung (JSZ)</v>
      </c>
      <c r="C116" s="1315"/>
      <c r="D116" s="926"/>
      <c r="E116" s="929" t="str">
        <f>IF(A116="","",ROUND((((SUM(B131:B133)+SUM(F131:F133))/3)*D116)/Grundlagen!$C$26*M107,2))</f>
        <v/>
      </c>
      <c r="G116" s="986"/>
      <c r="H116" s="995"/>
      <c r="I116" s="988"/>
      <c r="J116" s="988"/>
      <c r="K116" s="988"/>
      <c r="L116" s="989"/>
      <c r="M116" s="989"/>
      <c r="N116" s="984"/>
      <c r="O116" s="990"/>
      <c r="P116" s="990"/>
    </row>
    <row r="117" spans="1:16" ht="14.25" customHeight="1" x14ac:dyDescent="0.2">
      <c r="A117" s="60"/>
      <c r="B117" s="1314" t="str">
        <f>IF($B$21="","",$B$21)</f>
        <v>Leistungsentgelt (LOB)</v>
      </c>
      <c r="C117" s="1315"/>
      <c r="D117" s="926"/>
      <c r="E117" s="929" t="str">
        <f>IF(A117="","",ROUND(((B137+F137)*D117)/Grundlagen!$C$26*M107,2))</f>
        <v/>
      </c>
      <c r="F117" s="1"/>
      <c r="G117" s="986"/>
      <c r="H117" s="987"/>
      <c r="I117" s="988"/>
      <c r="J117" s="988"/>
      <c r="K117" s="988"/>
      <c r="L117" s="991"/>
      <c r="M117" s="991"/>
      <c r="N117" s="985"/>
      <c r="O117" s="65"/>
      <c r="P117" s="65"/>
    </row>
    <row r="118" spans="1:16" ht="14.25" customHeight="1" x14ac:dyDescent="0.2">
      <c r="A118" s="1"/>
      <c r="B118" s="1"/>
      <c r="C118" s="925" t="s">
        <v>731</v>
      </c>
      <c r="D118" s="1"/>
      <c r="E118" s="1"/>
      <c r="F118" s="1"/>
      <c r="G118" s="1"/>
      <c r="H118" s="1"/>
      <c r="I118" s="1"/>
      <c r="J118" s="1"/>
      <c r="K118" s="1"/>
      <c r="L118" s="991"/>
      <c r="M118" s="991"/>
      <c r="N118" s="985"/>
      <c r="O118" s="992"/>
      <c r="P118" s="992"/>
    </row>
    <row r="119" spans="1:16" ht="14.25" customHeight="1" x14ac:dyDescent="0.2">
      <c r="A119" s="53" t="s">
        <v>141</v>
      </c>
      <c r="B119" s="46"/>
      <c r="C119" s="46"/>
      <c r="D119" s="46"/>
      <c r="E119" s="46"/>
      <c r="F119" s="46"/>
      <c r="G119" s="46"/>
      <c r="H119" s="46"/>
      <c r="I119" s="46"/>
      <c r="J119" s="46"/>
      <c r="K119" s="46"/>
      <c r="L119" s="46"/>
      <c r="M119" s="46"/>
      <c r="N119" s="46"/>
      <c r="O119" s="46"/>
      <c r="P119" s="46"/>
    </row>
    <row r="120" spans="1:16" x14ac:dyDescent="0.2">
      <c r="A120" s="1346"/>
      <c r="B120" s="1348" t="s">
        <v>8</v>
      </c>
      <c r="C120" s="1349"/>
      <c r="D120" s="1349"/>
      <c r="E120" s="1349"/>
      <c r="F120" s="1349"/>
      <c r="G120" s="1350"/>
      <c r="H120" s="1351" t="s">
        <v>113</v>
      </c>
      <c r="I120" s="1352"/>
      <c r="J120" s="1352"/>
      <c r="K120" s="1352"/>
      <c r="L120" s="1352"/>
      <c r="M120" s="1352"/>
      <c r="N120" s="1352"/>
      <c r="O120" s="30"/>
      <c r="P120" s="1330" t="s">
        <v>0</v>
      </c>
    </row>
    <row r="121" spans="1:16" ht="14.25" customHeight="1" x14ac:dyDescent="0.2">
      <c r="A121" s="1347"/>
      <c r="B121" s="1333" t="s">
        <v>111</v>
      </c>
      <c r="C121" s="1335" t="s">
        <v>743</v>
      </c>
      <c r="D121" s="1337" t="s">
        <v>226</v>
      </c>
      <c r="E121" s="1339" t="s">
        <v>133</v>
      </c>
      <c r="F121" s="962" t="s">
        <v>6</v>
      </c>
      <c r="G121" s="1340" t="s">
        <v>5</v>
      </c>
      <c r="H121" s="1339" t="s">
        <v>119</v>
      </c>
      <c r="I121" s="1339" t="s">
        <v>4</v>
      </c>
      <c r="J121" s="1339" t="s">
        <v>3</v>
      </c>
      <c r="K121" s="1339" t="s">
        <v>2</v>
      </c>
      <c r="L121" s="1339" t="s">
        <v>114</v>
      </c>
      <c r="M121" s="1339" t="s">
        <v>115</v>
      </c>
      <c r="N121" s="1339" t="s">
        <v>116</v>
      </c>
      <c r="O121" s="1338" t="s">
        <v>109</v>
      </c>
      <c r="P121" s="1331"/>
    </row>
    <row r="122" spans="1:16" x14ac:dyDescent="0.2">
      <c r="A122" s="1347"/>
      <c r="B122" s="1333"/>
      <c r="C122" s="1335"/>
      <c r="D122" s="1338"/>
      <c r="E122" s="1339"/>
      <c r="F122" s="1343" t="str">
        <f>I114</f>
        <v>Zuschläge / Zulagen / o.ä.:</v>
      </c>
      <c r="G122" s="1340"/>
      <c r="H122" s="1342" t="s">
        <v>117</v>
      </c>
      <c r="I122" s="1342"/>
      <c r="J122" s="1342"/>
      <c r="K122" s="1342"/>
      <c r="L122" s="1342"/>
      <c r="M122" s="1342"/>
      <c r="N122" s="1342"/>
      <c r="O122" s="1338"/>
      <c r="P122" s="1331"/>
    </row>
    <row r="123" spans="1:16" ht="14.25" customHeight="1" x14ac:dyDescent="0.2">
      <c r="A123" s="1347"/>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row>
    <row r="124" spans="1:16" x14ac:dyDescent="0.2">
      <c r="A124" s="1347"/>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row>
    <row r="125" spans="1:16"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 si="22">SUM(B125+C125+E125+F125)</f>
        <v>0</v>
      </c>
      <c r="H125" s="64">
        <f>ROUND(SUM(B125:F125)*H124,2)</f>
        <v>0</v>
      </c>
      <c r="I125" s="64">
        <f>ROUND(SUM(B125:F125)*I124,2)</f>
        <v>0</v>
      </c>
      <c r="J125" s="64">
        <f>ROUND(SUM(B125:F125)*J124,2)</f>
        <v>0</v>
      </c>
      <c r="K125" s="64">
        <f>ROUND(SUM(B125:F125)*K124,2)</f>
        <v>0</v>
      </c>
      <c r="L125" s="64">
        <f>ROUND((SUM(B125:F125)-C125)*L124,2)</f>
        <v>0</v>
      </c>
      <c r="M125" s="64">
        <f>ROUND((SUM(B125:F125)-C125)*M124,2)</f>
        <v>0</v>
      </c>
      <c r="N125" s="64">
        <f>ROUND(SUM(B125:F125)*N124,2)</f>
        <v>0</v>
      </c>
      <c r="O125" s="21">
        <f>ROUND(SUM(B125+C125+F125)*O124,2)</f>
        <v>0</v>
      </c>
      <c r="P125" s="25">
        <f>SUM(G125:O125)</f>
        <v>0</v>
      </c>
    </row>
    <row r="126" spans="1:16" x14ac:dyDescent="0.2">
      <c r="A126" s="76" t="str">
        <f>'päd.Personal - Leitung'!$A$30</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ref="G126:G128" si="23">SUM(B126+C126+E126+F126)</f>
        <v>0</v>
      </c>
      <c r="H126" s="64">
        <f>ROUND(SUM(B126:F126)*H124,2)</f>
        <v>0</v>
      </c>
      <c r="I126" s="64">
        <f>ROUND(SUM(B126:F126)*I124,2)</f>
        <v>0</v>
      </c>
      <c r="J126" s="64">
        <f>ROUND(SUM(B126:F126)*J124,2)</f>
        <v>0</v>
      </c>
      <c r="K126" s="64">
        <f>ROUND(SUM(B126:F126)*K124,2)</f>
        <v>0</v>
      </c>
      <c r="L126" s="64">
        <f>ROUND((SUM(B126:F126)-C126)*L124,2)</f>
        <v>0</v>
      </c>
      <c r="M126" s="64">
        <f>ROUND((SUM(B126:F126)-C126)*M124,2)</f>
        <v>0</v>
      </c>
      <c r="N126" s="64">
        <f>ROUND(SUM(B126:F126)*N124,2)</f>
        <v>0</v>
      </c>
      <c r="O126" s="21">
        <f>ROUND(SUM(B126+C126+F126)*O124,2)</f>
        <v>0</v>
      </c>
      <c r="P126" s="25">
        <f t="shared" ref="P126:P136" si="24">SUM(G126:O126)</f>
        <v>0</v>
      </c>
    </row>
    <row r="127" spans="1:16" x14ac:dyDescent="0.2">
      <c r="A127" s="76" t="str">
        <f>'päd.Personal - Leitung'!$A$31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3"/>
        <v>0</v>
      </c>
      <c r="H127" s="64">
        <f>ROUND(SUM(B127:F127)*H124,2)</f>
        <v>0</v>
      </c>
      <c r="I127" s="64">
        <f>ROUND(SUM(B127:F127)*I124,2)</f>
        <v>0</v>
      </c>
      <c r="J127" s="64">
        <f>ROUND(SUM(B127:F127)*J124,2)</f>
        <v>0</v>
      </c>
      <c r="K127" s="64">
        <f>ROUND(SUM(B127:F127)*K124,2)</f>
        <v>0</v>
      </c>
      <c r="L127" s="64">
        <f>ROUND((SUM(B127:F127)-C127)*L124,2)</f>
        <v>0</v>
      </c>
      <c r="M127" s="64">
        <f>ROUND((SUM(B127:F127)-C127)*M124,2)</f>
        <v>0</v>
      </c>
      <c r="N127" s="64">
        <f>ROUND(SUM(B127:F127)*N124,2)</f>
        <v>0</v>
      </c>
      <c r="O127" s="21">
        <f>ROUND(SUM(B127+C127+F127)*O124,2)</f>
        <v>0</v>
      </c>
      <c r="P127" s="25">
        <f t="shared" si="24"/>
        <v>0</v>
      </c>
    </row>
    <row r="128" spans="1:16" x14ac:dyDescent="0.2">
      <c r="A128" s="76" t="str">
        <f>'päd.Personal - Leitung'!$A$32</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3"/>
        <v>0</v>
      </c>
      <c r="H128" s="64">
        <f>ROUND(SUM(B128:F128)*H124,2)</f>
        <v>0</v>
      </c>
      <c r="I128" s="64">
        <f>ROUND(SUM(B128:F128)*I124,2)</f>
        <v>0</v>
      </c>
      <c r="J128" s="64">
        <f>ROUND(SUM(B128:F128)*J124,2)</f>
        <v>0</v>
      </c>
      <c r="K128" s="64">
        <f>ROUND(SUM(B128:F128)*K124,2)</f>
        <v>0</v>
      </c>
      <c r="L128" s="64">
        <f>ROUND((SUM(B128:F128)-C128)*L124,2)</f>
        <v>0</v>
      </c>
      <c r="M128" s="64">
        <f>ROUND((SUM(B128:F128)-C128)*M124,2)</f>
        <v>0</v>
      </c>
      <c r="N128" s="64">
        <f>ROUND(SUM(B128:F128)*N124,2)</f>
        <v>0</v>
      </c>
      <c r="O128" s="21">
        <f>ROUND(SUM(B128+C128+F128)*O124,2)</f>
        <v>0</v>
      </c>
      <c r="P128" s="25">
        <f t="shared" si="24"/>
        <v>0</v>
      </c>
    </row>
    <row r="129" spans="1:16" x14ac:dyDescent="0.2">
      <c r="A129" s="76" t="str">
        <f>'päd.Personal - Leitung'!$A$33</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ref="G129:G136" si="25">SUM(B129+C129+E129+F129)</f>
        <v>0</v>
      </c>
      <c r="H129" s="64">
        <f>ROUND(SUM(B129:F129)*H124,2)</f>
        <v>0</v>
      </c>
      <c r="I129" s="64">
        <f>ROUND(SUM(B129:F129)*I124,2)</f>
        <v>0</v>
      </c>
      <c r="J129" s="64">
        <f>ROUND(SUM(B129:F129)*J124,2)</f>
        <v>0</v>
      </c>
      <c r="K129" s="64">
        <f>ROUND(SUM(B129:F129)*K124,2)</f>
        <v>0</v>
      </c>
      <c r="L129" s="64">
        <f>ROUND((SUM(B129:F129)-C129)*L124,2)</f>
        <v>0</v>
      </c>
      <c r="M129" s="64">
        <f>ROUND((SUM(B129:F129)-C129)*M124,2)</f>
        <v>0</v>
      </c>
      <c r="N129" s="64">
        <f>ROUND(SUM(B129:F129)*N124,2)</f>
        <v>0</v>
      </c>
      <c r="O129" s="21">
        <f>ROUND(SUM(B129+C129+F129)*O124,2)</f>
        <v>0</v>
      </c>
      <c r="P129" s="25">
        <f t="shared" si="24"/>
        <v>0</v>
      </c>
    </row>
    <row r="130" spans="1:16" x14ac:dyDescent="0.2">
      <c r="A130" s="76" t="str">
        <f>'päd.Personal - Leitung'!$A$34</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5"/>
        <v>0</v>
      </c>
      <c r="H130" s="64">
        <f>ROUND(SUM(B130:F130)*H124,2)</f>
        <v>0</v>
      </c>
      <c r="I130" s="64">
        <f>ROUND(SUM(B130:F130)*I124,2)</f>
        <v>0</v>
      </c>
      <c r="J130" s="64">
        <f>ROUND(SUM(B130:F130)*J124,2)</f>
        <v>0</v>
      </c>
      <c r="K130" s="64">
        <f>ROUND(SUM(B130:F130)*K124,2)</f>
        <v>0</v>
      </c>
      <c r="L130" s="64">
        <f>ROUND((SUM(B130:F130)-C130)*L124,2)</f>
        <v>0</v>
      </c>
      <c r="M130" s="64">
        <f>ROUND((SUM(B130:F130)-C130)*M124,2)</f>
        <v>0</v>
      </c>
      <c r="N130" s="64">
        <f>ROUND(SUM(B130:F130)*N124,2)</f>
        <v>0</v>
      </c>
      <c r="O130" s="21">
        <f>ROUND(SUM(B130+C130+F130)*O124,2)</f>
        <v>0</v>
      </c>
      <c r="P130" s="25">
        <f t="shared" si="24"/>
        <v>0</v>
      </c>
    </row>
    <row r="131" spans="1:16" x14ac:dyDescent="0.2">
      <c r="A131" s="76" t="str">
        <f>'päd.Personal - Leitung'!$A$35</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5"/>
        <v>0</v>
      </c>
      <c r="H131" s="64">
        <f>ROUND(SUM(B131:F131)*H124,2)</f>
        <v>0</v>
      </c>
      <c r="I131" s="64">
        <f>ROUND(SUM(B131:F131)*I124,2)</f>
        <v>0</v>
      </c>
      <c r="J131" s="64">
        <f>ROUND(SUM(B131:F131)*J124,2)</f>
        <v>0</v>
      </c>
      <c r="K131" s="64">
        <f>ROUND(SUM(B131:F131)*K124,2)</f>
        <v>0</v>
      </c>
      <c r="L131" s="64">
        <f>ROUND((SUM(B131:F131)-C131)*L124,2)</f>
        <v>0</v>
      </c>
      <c r="M131" s="64">
        <f>ROUND((SUM(B131:F131)-C131)*M124,2)</f>
        <v>0</v>
      </c>
      <c r="N131" s="64">
        <f>ROUND(SUM(B131:F131)*N124,2)</f>
        <v>0</v>
      </c>
      <c r="O131" s="21">
        <f>ROUND(SUM(B131+C131+F131)*O124,2)</f>
        <v>0</v>
      </c>
      <c r="P131" s="25">
        <f t="shared" si="24"/>
        <v>0</v>
      </c>
    </row>
    <row r="132" spans="1:16" x14ac:dyDescent="0.2">
      <c r="A132" s="76" t="str">
        <f>'päd.Personal - Leitung'!$A$36</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5"/>
        <v>0</v>
      </c>
      <c r="H132" s="64">
        <f>ROUND(SUM(B132:F132)*H124,2)</f>
        <v>0</v>
      </c>
      <c r="I132" s="64">
        <f>ROUND(SUM(B132:F132)*I124,2)</f>
        <v>0</v>
      </c>
      <c r="J132" s="64">
        <f>ROUND(SUM(B132:F132)*J124,2)</f>
        <v>0</v>
      </c>
      <c r="K132" s="64">
        <f>ROUND(SUM(B132:F132)*K124,2)</f>
        <v>0</v>
      </c>
      <c r="L132" s="64">
        <f>ROUND((SUM(B132:F132)-C132)*L124,2)</f>
        <v>0</v>
      </c>
      <c r="M132" s="64">
        <f>ROUND((SUM(B132:F132)-C132)*M124,2)</f>
        <v>0</v>
      </c>
      <c r="N132" s="64">
        <f>ROUND(SUM(B132:F132)*N124,2)</f>
        <v>0</v>
      </c>
      <c r="O132" s="21">
        <f>ROUND(SUM(B132+C132+F132)*O124,2)</f>
        <v>0</v>
      </c>
      <c r="P132" s="25">
        <f t="shared" si="24"/>
        <v>0</v>
      </c>
    </row>
    <row r="133" spans="1:16" x14ac:dyDescent="0.2">
      <c r="A133" s="76" t="str">
        <f>'päd.Personal - Leitung'!$A$37</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5"/>
        <v>0</v>
      </c>
      <c r="H133" s="64">
        <f>ROUND(SUM(B133:F133)*H124,2)</f>
        <v>0</v>
      </c>
      <c r="I133" s="64">
        <f>ROUND(SUM(B133:F133)*I124,2)</f>
        <v>0</v>
      </c>
      <c r="J133" s="64">
        <f>ROUND(SUM(B133:F133)*J124,2)</f>
        <v>0</v>
      </c>
      <c r="K133" s="64">
        <f>ROUND(SUM(B133:F133)*K124,2)</f>
        <v>0</v>
      </c>
      <c r="L133" s="64">
        <f>ROUND((SUM(B133:F133)-C133)*L124,2)</f>
        <v>0</v>
      </c>
      <c r="M133" s="64">
        <f>ROUND((SUM(B133:F133)-C133)*M124,2)</f>
        <v>0</v>
      </c>
      <c r="N133" s="64">
        <f>ROUND(SUM(B133:F133)*N124,2)</f>
        <v>0</v>
      </c>
      <c r="O133" s="21">
        <f>ROUND(SUM(B133+C133+F133)*O124,2)</f>
        <v>0</v>
      </c>
      <c r="P133" s="25">
        <f t="shared" si="24"/>
        <v>0</v>
      </c>
    </row>
    <row r="134" spans="1:16" x14ac:dyDescent="0.2">
      <c r="A134" s="76" t="str">
        <f>'päd.Personal - Leitung'!$A$38</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5"/>
        <v>0</v>
      </c>
      <c r="H134" s="64">
        <f>ROUND(SUM(B134:F134)*H124,2)</f>
        <v>0</v>
      </c>
      <c r="I134" s="64">
        <f>ROUND(SUM(B134:F134)*I124,2)</f>
        <v>0</v>
      </c>
      <c r="J134" s="64">
        <f>ROUND(SUM(B134:F134)*J124,2)</f>
        <v>0</v>
      </c>
      <c r="K134" s="64">
        <f>ROUND(SUM(B134:F134)*K124,2)</f>
        <v>0</v>
      </c>
      <c r="L134" s="64">
        <f>ROUND((SUM(B134:F134)-C134)*L124,2)</f>
        <v>0</v>
      </c>
      <c r="M134" s="64">
        <f>ROUND((SUM(B134:F134)-C134)*M124,2)</f>
        <v>0</v>
      </c>
      <c r="N134" s="64">
        <f>ROUND(SUM(B134:F134)*N124,2)</f>
        <v>0</v>
      </c>
      <c r="O134" s="21">
        <f>ROUND(SUM(B134+C134+F134)*O124,2)</f>
        <v>0</v>
      </c>
      <c r="P134" s="25">
        <f t="shared" si="24"/>
        <v>0</v>
      </c>
    </row>
    <row r="135" spans="1:16" x14ac:dyDescent="0.2">
      <c r="A135" s="76" t="str">
        <f>'päd.Personal - Leitung'!$A$39</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5"/>
        <v>0</v>
      </c>
      <c r="H135" s="64">
        <f>ROUND(SUM(B135:F135)*H124,2)</f>
        <v>0</v>
      </c>
      <c r="I135" s="64">
        <f>ROUND(SUM(B135:F135)*I124,2)</f>
        <v>0</v>
      </c>
      <c r="J135" s="64">
        <f>ROUND(SUM(B135:F135)*J124,2)</f>
        <v>0</v>
      </c>
      <c r="K135" s="64">
        <f>ROUND(SUM(B135:F135)*K124,2)</f>
        <v>0</v>
      </c>
      <c r="L135" s="64">
        <f>ROUND((SUM(B135:F135)-C135)*L124,2)</f>
        <v>0</v>
      </c>
      <c r="M135" s="64">
        <f>ROUND((SUM(B135:F135)-C135)*M124,2)</f>
        <v>0</v>
      </c>
      <c r="N135" s="64">
        <f>ROUND(SUM(B135:F135)*N124,2)</f>
        <v>0</v>
      </c>
      <c r="O135" s="21">
        <f>ROUND(SUM(B135+C135+F135)*O124,2)</f>
        <v>0</v>
      </c>
      <c r="P135" s="25">
        <f t="shared" si="24"/>
        <v>0</v>
      </c>
    </row>
    <row r="136" spans="1:16" x14ac:dyDescent="0.2">
      <c r="A136" s="76" t="str">
        <f>'päd.Personal - Leitung'!$A$40</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5"/>
        <v>0</v>
      </c>
      <c r="H136" s="64">
        <f>ROUND(SUM(B136:F136)*H124,2)</f>
        <v>0</v>
      </c>
      <c r="I136" s="64">
        <f>ROUND(SUM(B136:F136)*I124,2)</f>
        <v>0</v>
      </c>
      <c r="J136" s="64">
        <f>ROUND(SUM(B136:F136)*J124,2)</f>
        <v>0</v>
      </c>
      <c r="K136" s="64">
        <f>ROUND(SUM(B136:F136)*K124,2)</f>
        <v>0</v>
      </c>
      <c r="L136" s="64">
        <f>ROUND((SUM(B136:F136)-C136)*L124,2)</f>
        <v>0</v>
      </c>
      <c r="M136" s="64">
        <f>ROUND((SUM(B136:F136)-C136)*M124,2)</f>
        <v>0</v>
      </c>
      <c r="N136" s="64">
        <f>ROUND(SUM(B136:F136)*N124,2)</f>
        <v>0</v>
      </c>
      <c r="O136" s="21">
        <f>ROUND(SUM(B136+C136+F136)*O124,2)</f>
        <v>0</v>
      </c>
      <c r="P136" s="25">
        <f t="shared" si="24"/>
        <v>0</v>
      </c>
    </row>
    <row r="137" spans="1:16" s="12" customFormat="1" ht="15" x14ac:dyDescent="0.25">
      <c r="A137" s="2" t="s">
        <v>1</v>
      </c>
      <c r="B137" s="25">
        <f t="shared" ref="B137:G137" si="26">SUM(B125:B136)</f>
        <v>0</v>
      </c>
      <c r="C137" s="25">
        <f t="shared" si="26"/>
        <v>0</v>
      </c>
      <c r="D137" s="25">
        <f t="shared" si="26"/>
        <v>0</v>
      </c>
      <c r="E137" s="25">
        <f t="shared" si="26"/>
        <v>0</v>
      </c>
      <c r="F137" s="25">
        <f t="shared" si="26"/>
        <v>0</v>
      </c>
      <c r="G137" s="25">
        <f t="shared" si="26"/>
        <v>0</v>
      </c>
      <c r="H137" s="1309">
        <f>SUM(H125:N136)</f>
        <v>0</v>
      </c>
      <c r="I137" s="1310"/>
      <c r="J137" s="1310"/>
      <c r="K137" s="1310"/>
      <c r="L137" s="1310"/>
      <c r="M137" s="1310"/>
      <c r="N137" s="1311"/>
      <c r="O137" s="25">
        <f>SUM(O125:O136)</f>
        <v>0</v>
      </c>
      <c r="P137" s="25">
        <f>SUM(P125:P136)</f>
        <v>0</v>
      </c>
    </row>
    <row r="138" spans="1:16" ht="12" customHeight="1" x14ac:dyDescent="0.2">
      <c r="A138" s="1"/>
      <c r="B138" s="1"/>
      <c r="C138" s="1"/>
      <c r="D138" s="1"/>
      <c r="E138" s="1"/>
      <c r="F138" s="1"/>
      <c r="G138" s="1"/>
      <c r="H138" s="1"/>
      <c r="I138" s="1"/>
      <c r="J138" s="1"/>
      <c r="K138" s="1"/>
      <c r="L138" s="1"/>
      <c r="M138" s="1"/>
      <c r="N138" s="1"/>
      <c r="O138" s="1"/>
      <c r="P138" s="1"/>
    </row>
    <row r="139" spans="1:16" ht="14.25" customHeight="1" x14ac:dyDescent="0.2">
      <c r="A139" s="1"/>
      <c r="B139" s="906"/>
      <c r="C139" s="1"/>
      <c r="D139" s="1"/>
      <c r="E139" s="1"/>
      <c r="F139" s="1"/>
      <c r="G139" s="1"/>
      <c r="H139" s="905"/>
      <c r="I139" s="62"/>
      <c r="J139" s="914" t="s">
        <v>123</v>
      </c>
      <c r="K139" s="1"/>
      <c r="L139" s="900" t="s">
        <v>124</v>
      </c>
      <c r="M139" s="974" t="str">
        <f>IF(IF(G137=0,"",$M$43)=0,"",IF(G137=0,"",$M$43))</f>
        <v/>
      </c>
      <c r="N139" s="902" t="s">
        <v>125</v>
      </c>
      <c r="O139" s="963" t="str">
        <f>IF(IF(G137=0,"",$O$43)=0,"",IF(G137=0,"",$O$43))</f>
        <v/>
      </c>
      <c r="P139" s="25">
        <f>ROUND(IF(M139="",0,G137*M139*O139/1000),2)</f>
        <v>0</v>
      </c>
    </row>
    <row r="140" spans="1:16" ht="14.25" customHeight="1" x14ac:dyDescent="0.2">
      <c r="A140" s="1"/>
      <c r="B140" s="1"/>
      <c r="C140" s="1"/>
      <c r="D140" s="1"/>
      <c r="E140" s="1"/>
      <c r="F140" s="1"/>
      <c r="G140" s="1"/>
      <c r="H140" s="907"/>
      <c r="I140" s="42"/>
      <c r="J140" s="1"/>
      <c r="K140" s="1"/>
      <c r="L140" s="1"/>
      <c r="M140" s="915" t="s">
        <v>129</v>
      </c>
      <c r="N140" s="80" t="s">
        <v>125</v>
      </c>
      <c r="O140" s="75" t="str">
        <f>IF(IF(G137=0,"",$O$44)=0,"",IF(G137=0,"",$O$44))</f>
        <v/>
      </c>
      <c r="P140" s="25">
        <f>ROUND(IF(O140="",0,G137*O140/1000),2)</f>
        <v>0</v>
      </c>
    </row>
    <row r="141" spans="1:16" ht="14.25" customHeight="1" x14ac:dyDescent="0.2">
      <c r="A141" s="1"/>
      <c r="B141" s="1"/>
      <c r="C141" s="1"/>
      <c r="D141" s="1"/>
      <c r="E141" s="1"/>
      <c r="F141" s="1"/>
      <c r="G141" s="1"/>
      <c r="H141" s="912" t="s">
        <v>126</v>
      </c>
      <c r="I141" s="1013" t="s">
        <v>127</v>
      </c>
      <c r="J141" s="975" t="str">
        <f>IF(IF(G137=0,"",$J$45)=0,"",IF(G137=0,"",$J$45))</f>
        <v/>
      </c>
      <c r="K141" s="902" t="s">
        <v>128</v>
      </c>
      <c r="L141" s="964" t="str">
        <f>IF(IF(G137=0,"",$L$45)=0,"",IF(G137=0,"",$L$45))</f>
        <v/>
      </c>
      <c r="M141" s="16"/>
      <c r="N141" s="900" t="s">
        <v>132</v>
      </c>
      <c r="O141" s="965" t="str">
        <f>IF(IF(G137=0,"",$O$45)=0,"",IF(G137=0,"",$O$45))</f>
        <v/>
      </c>
      <c r="P141" s="25">
        <f>ROUND(IF(J141="",0,(J141*L141/O141)/M105*M106),2)</f>
        <v>0</v>
      </c>
    </row>
    <row r="142" spans="1:16" ht="14.25" customHeight="1" x14ac:dyDescent="0.2">
      <c r="A142" s="1"/>
      <c r="B142" s="1"/>
      <c r="C142" s="1"/>
      <c r="D142" s="16"/>
      <c r="E142" s="1"/>
      <c r="F142" s="1"/>
      <c r="G142" s="1"/>
      <c r="H142" s="1"/>
      <c r="I142" s="16"/>
      <c r="J142" s="16"/>
      <c r="K142" s="63"/>
      <c r="L142" s="67"/>
      <c r="M142" s="915" t="s">
        <v>130</v>
      </c>
      <c r="N142" s="80" t="s">
        <v>131</v>
      </c>
      <c r="O142" s="904">
        <f>IF(IF(M108="",0,$O$46)=0,0,IF(M108="",0,$O$46))</f>
        <v>0</v>
      </c>
      <c r="P142" s="21">
        <f>ROUND(IF(G137=0,0,O142/M103*M104),2)</f>
        <v>0</v>
      </c>
    </row>
    <row r="143" spans="1:16" ht="14.25" customHeight="1" x14ac:dyDescent="0.2">
      <c r="A143" s="16"/>
      <c r="B143" s="16"/>
      <c r="C143" s="1"/>
      <c r="D143" s="1"/>
      <c r="E143" s="1"/>
      <c r="F143" s="1"/>
      <c r="G143" s="1"/>
      <c r="H143" s="1"/>
      <c r="I143" s="905"/>
      <c r="J143" s="961" t="s">
        <v>176</v>
      </c>
      <c r="K143" s="1312" t="str">
        <f>IF($K$47="","",$K$47)</f>
        <v/>
      </c>
      <c r="L143" s="1312"/>
      <c r="M143" s="1312"/>
      <c r="N143" s="80" t="s">
        <v>131</v>
      </c>
      <c r="O143" s="904">
        <f>IF(IF(M108="",0,$O$47)=0,0,IF(M108="",0,$O$47))</f>
        <v>0</v>
      </c>
      <c r="P143" s="21">
        <f>ROUND(IF(G137=0,0,O143/M103*M104),2)</f>
        <v>0</v>
      </c>
    </row>
    <row r="144" spans="1:16" ht="14.25" customHeight="1" x14ac:dyDescent="0.2">
      <c r="A144" s="908"/>
      <c r="B144" s="908"/>
      <c r="C144" s="960"/>
      <c r="D144" s="960"/>
      <c r="E144" s="1"/>
      <c r="F144" s="1"/>
      <c r="G144" s="1"/>
      <c r="H144" s="1"/>
      <c r="I144" s="913"/>
      <c r="J144" s="913"/>
      <c r="K144" s="916"/>
      <c r="L144" s="27"/>
      <c r="M144" s="27"/>
      <c r="N144" s="27"/>
      <c r="O144" s="26" t="s">
        <v>0</v>
      </c>
      <c r="P144" s="25">
        <f>P137+SUM(P139:P143)</f>
        <v>0</v>
      </c>
    </row>
    <row r="145" spans="1:16" s="10" customFormat="1" ht="13.5" customHeight="1" x14ac:dyDescent="0.2">
      <c r="A145" s="1321" t="s">
        <v>17</v>
      </c>
      <c r="B145" s="1321"/>
      <c r="C145" s="1321"/>
      <c r="D145" s="1320" t="str">
        <f>IF('päd.Personal - Leitung'!$D$1="","",'päd.Personal - Leitung'!$D$1)</f>
        <v/>
      </c>
      <c r="E145" s="1320"/>
      <c r="F145" s="1320"/>
      <c r="G145" s="1320"/>
      <c r="H145" s="1320"/>
      <c r="I145" s="1320"/>
      <c r="J145" s="1320"/>
      <c r="K145" s="1320"/>
      <c r="L145" s="1320"/>
      <c r="M145" s="1320"/>
      <c r="N145" s="1320"/>
    </row>
    <row r="146" spans="1:16" s="10" customFormat="1" ht="15" customHeight="1" x14ac:dyDescent="0.2">
      <c r="A146" s="1321" t="s">
        <v>16</v>
      </c>
      <c r="B146" s="1321"/>
      <c r="C146" s="1321" t="s">
        <v>14</v>
      </c>
      <c r="D146" s="1320" t="str">
        <f>IF('päd.Personal - Leitung'!$D$2="","",'päd.Personal - Leitung'!$D$2)</f>
        <v/>
      </c>
      <c r="E146" s="1320"/>
      <c r="F146" s="1320"/>
      <c r="G146" s="1320"/>
      <c r="H146" s="1320"/>
      <c r="I146" s="1320"/>
      <c r="J146" s="1320"/>
      <c r="K146" s="1320"/>
      <c r="L146" s="1320"/>
      <c r="M146" s="1320"/>
      <c r="N146" s="1320"/>
    </row>
    <row r="147" spans="1:16" s="10" customFormat="1" ht="15" customHeight="1" x14ac:dyDescent="0.2">
      <c r="A147" s="1321" t="s">
        <v>15</v>
      </c>
      <c r="B147" s="1321"/>
      <c r="C147" s="1321" t="s">
        <v>14</v>
      </c>
      <c r="D147" s="1320" t="str">
        <f>IF('päd.Personal - Leitung'!$D$3="","",'päd.Personal - Leitung'!$D$3)</f>
        <v/>
      </c>
      <c r="E147" s="1320"/>
      <c r="F147" s="1320"/>
      <c r="G147" s="1320"/>
      <c r="H147" s="1320"/>
      <c r="I147" s="1320"/>
      <c r="J147" s="1320"/>
      <c r="K147" s="1321" t="s">
        <v>100</v>
      </c>
      <c r="L147" s="1321"/>
      <c r="M147" s="1321"/>
      <c r="N147" s="38" t="str">
        <f>IF('päd.Personal - Leitung'!N$3="","",'päd.Personal - Leitung'!N$3)</f>
        <v/>
      </c>
    </row>
    <row r="148" spans="1:16" s="923" customFormat="1" ht="7.5" customHeight="1" x14ac:dyDescent="0.15">
      <c r="A148" s="1353"/>
      <c r="B148" s="1353"/>
      <c r="C148" s="1353"/>
      <c r="D148" s="1354"/>
      <c r="E148" s="1354"/>
      <c r="F148" s="1354"/>
      <c r="G148" s="1354"/>
      <c r="H148" s="1354"/>
      <c r="I148" s="1354"/>
      <c r="J148" s="1354"/>
      <c r="K148" s="922"/>
      <c r="L148" s="922"/>
      <c r="M148" s="922"/>
      <c r="N148" s="922"/>
      <c r="O148" s="922"/>
      <c r="P148" s="922"/>
    </row>
    <row r="149" spans="1:16" s="13" customFormat="1" ht="13.5" customHeight="1" x14ac:dyDescent="0.2">
      <c r="A149" s="1355" t="s">
        <v>158</v>
      </c>
      <c r="B149" s="1355"/>
      <c r="C149" s="1355"/>
      <c r="D149" s="1355"/>
      <c r="E149" s="1355"/>
      <c r="F149" s="1355"/>
      <c r="G149" s="1355"/>
      <c r="H149" s="1355"/>
      <c r="I149" s="1355"/>
      <c r="J149" s="1355"/>
      <c r="K149" s="1355"/>
      <c r="L149" s="7"/>
      <c r="M149" s="7"/>
      <c r="N149" s="52"/>
      <c r="O149" s="138">
        <f>'päd.Personal - Leitung'!$O$5</f>
        <v>2025</v>
      </c>
      <c r="P149" s="52" t="s">
        <v>140</v>
      </c>
    </row>
    <row r="150" spans="1:16" s="8" customFormat="1" ht="13.5" customHeight="1" x14ac:dyDescent="0.25">
      <c r="B150" s="29"/>
      <c r="C150" s="29"/>
      <c r="D150" s="3" t="s">
        <v>746</v>
      </c>
      <c r="E150" s="28"/>
      <c r="F150" s="28"/>
      <c r="G150" s="28"/>
      <c r="H150" s="28"/>
      <c r="I150" s="24"/>
      <c r="J150" s="1370"/>
      <c r="K150" s="1370"/>
      <c r="L150" s="81"/>
      <c r="O150" s="928" t="str">
        <f>A173</f>
        <v>Jan 2025</v>
      </c>
      <c r="P150" s="1402">
        <f>IF(M152="","",M152)</f>
        <v>0</v>
      </c>
    </row>
    <row r="151" spans="1:16" s="5" customFormat="1" ht="13.5" customHeight="1" x14ac:dyDescent="0.25">
      <c r="A151" s="1328" t="s">
        <v>754</v>
      </c>
      <c r="B151" s="1328"/>
      <c r="C151" s="1328"/>
      <c r="D151" s="1329"/>
      <c r="E151" s="1329"/>
      <c r="F151" s="1329"/>
      <c r="G151" s="1329"/>
      <c r="H151" s="1329"/>
      <c r="I151" s="1329"/>
      <c r="K151" s="1327" t="s">
        <v>101</v>
      </c>
      <c r="L151" s="1327"/>
      <c r="M151" s="101"/>
      <c r="O151" s="928" t="str">
        <f t="shared" ref="O151:O161" si="27">A174</f>
        <v>Feb 2025</v>
      </c>
      <c r="P151" s="1403">
        <f t="shared" ref="P151:P158" si="28">IF(P150="","",P150)</f>
        <v>0</v>
      </c>
    </row>
    <row r="152" spans="1:16" ht="13.5" customHeight="1" x14ac:dyDescent="0.2">
      <c r="A152" s="1328" t="s">
        <v>12</v>
      </c>
      <c r="B152" s="1328"/>
      <c r="C152" s="1328"/>
      <c r="D152" s="1345"/>
      <c r="E152" s="1345"/>
      <c r="F152" s="1345"/>
      <c r="G152" s="1345"/>
      <c r="H152" s="1345"/>
      <c r="I152" s="1345"/>
      <c r="K152" s="1327" t="s">
        <v>149</v>
      </c>
      <c r="L152" s="1327"/>
      <c r="M152" s="101">
        <f>IF((M153+M154)&gt;M151,0,M151-M153-M154)</f>
        <v>0</v>
      </c>
      <c r="O152" s="928" t="str">
        <f t="shared" si="27"/>
        <v>Mrz 2025</v>
      </c>
      <c r="P152" s="1403">
        <f t="shared" si="28"/>
        <v>0</v>
      </c>
    </row>
    <row r="153" spans="1:16" ht="13.5" customHeight="1" x14ac:dyDescent="0.2">
      <c r="A153" s="1328" t="s">
        <v>11</v>
      </c>
      <c r="B153" s="1328"/>
      <c r="C153" s="1328"/>
      <c r="D153" s="1345"/>
      <c r="E153" s="1345"/>
      <c r="F153" s="1345"/>
      <c r="G153" s="1345"/>
      <c r="H153" s="1345"/>
      <c r="I153" s="1345"/>
      <c r="K153" s="1327" t="s">
        <v>150</v>
      </c>
      <c r="L153" s="1327"/>
      <c r="M153" s="101"/>
      <c r="O153" s="928" t="str">
        <f t="shared" si="27"/>
        <v>Apr 2025</v>
      </c>
      <c r="P153" s="1403">
        <f t="shared" si="28"/>
        <v>0</v>
      </c>
    </row>
    <row r="154" spans="1:16" ht="13.5" customHeight="1" x14ac:dyDescent="0.2">
      <c r="A154" s="1328" t="s">
        <v>18</v>
      </c>
      <c r="B154" s="1328"/>
      <c r="C154" s="1328"/>
      <c r="D154" s="1345"/>
      <c r="E154" s="1345"/>
      <c r="F154" s="1345"/>
      <c r="G154" s="1345"/>
      <c r="H154" s="1345"/>
      <c r="I154" s="1345"/>
      <c r="J154" s="1313" t="s">
        <v>222</v>
      </c>
      <c r="K154" s="1313"/>
      <c r="L154" s="1313"/>
      <c r="M154" s="101"/>
      <c r="O154" s="928" t="str">
        <f t="shared" si="27"/>
        <v>Mai 2025</v>
      </c>
      <c r="P154" s="1403">
        <f t="shared" si="28"/>
        <v>0</v>
      </c>
    </row>
    <row r="155" spans="1:16" ht="13.5" customHeight="1" x14ac:dyDescent="0.2">
      <c r="A155" s="1"/>
      <c r="B155" s="6"/>
      <c r="C155" s="959" t="s">
        <v>147</v>
      </c>
      <c r="D155" s="1324"/>
      <c r="E155" s="1324"/>
      <c r="F155" s="1359" t="s">
        <v>168</v>
      </c>
      <c r="G155" s="1359"/>
      <c r="H155" s="1361"/>
      <c r="I155" s="1361"/>
      <c r="K155" s="1327" t="s">
        <v>94</v>
      </c>
      <c r="L155" s="1327"/>
      <c r="M155" s="15" t="str">
        <f>IF(IF((COUNTIF(B170:B184,"&gt;0"))=0,0,(COUNTIF(B170:B184,"&gt;0")))&gt;Grundlagen!$C$26,Grundlagen!$C$26,IF((COUNTIF(B170:B184,"&gt;0"))=0,"",(COUNTIF(B170:B184,"&gt;0"))))</f>
        <v/>
      </c>
      <c r="O155" s="928" t="str">
        <f t="shared" si="27"/>
        <v>Jun 2025</v>
      </c>
      <c r="P155" s="1403">
        <f t="shared" si="28"/>
        <v>0</v>
      </c>
    </row>
    <row r="156" spans="1:16" ht="13.5" customHeight="1" x14ac:dyDescent="0.2">
      <c r="A156" s="1"/>
      <c r="B156" s="1"/>
      <c r="C156" s="1"/>
      <c r="D156" s="1"/>
      <c r="E156" s="1"/>
      <c r="F156" s="1359" t="s">
        <v>169</v>
      </c>
      <c r="G156" s="1359"/>
      <c r="H156" s="1361"/>
      <c r="I156" s="1361"/>
      <c r="M156" s="102" t="str">
        <f>IF((SUM(F158:F161))=0,"",IF(P162&gt;M152,M152,IF(M152="","",IF(M155="","",P162))))</f>
        <v/>
      </c>
      <c r="N156" s="1"/>
      <c r="O156" s="928" t="str">
        <f t="shared" si="27"/>
        <v>Jul 2025</v>
      </c>
      <c r="P156" s="1403">
        <f t="shared" si="28"/>
        <v>0</v>
      </c>
    </row>
    <row r="157" spans="1:16" s="46" customFormat="1" ht="13.5" customHeight="1" x14ac:dyDescent="0.2">
      <c r="A157" s="54" t="s">
        <v>134</v>
      </c>
      <c r="B157" s="1356" t="s">
        <v>135</v>
      </c>
      <c r="C157" s="1356"/>
      <c r="D157" s="55" t="s">
        <v>136</v>
      </c>
      <c r="E157" s="56" t="s">
        <v>137</v>
      </c>
      <c r="F157" s="57" t="str">
        <f>CONCATENATE("Entg. ",N147," h/Wo")</f>
        <v>Entg.  h/Wo</v>
      </c>
      <c r="G157" s="58" t="s">
        <v>138</v>
      </c>
      <c r="I157" s="58" t="s">
        <v>139</v>
      </c>
      <c r="K157" s="970"/>
      <c r="L157" s="970"/>
      <c r="M157" s="59"/>
      <c r="N157" s="968"/>
      <c r="O157" s="928" t="str">
        <f t="shared" si="27"/>
        <v>Aug 2025</v>
      </c>
      <c r="P157" s="1403">
        <f t="shared" si="28"/>
        <v>0</v>
      </c>
    </row>
    <row r="158" spans="1:16" s="46" customFormat="1" ht="13.5" customHeight="1" x14ac:dyDescent="0.25">
      <c r="A158" s="48" t="str">
        <f>A173</f>
        <v>Jan 2025</v>
      </c>
      <c r="B158" s="1371"/>
      <c r="C158" s="1372"/>
      <c r="D158" s="132"/>
      <c r="E158" s="132"/>
      <c r="F158" s="71"/>
      <c r="G158" s="50">
        <f>IF(N147="",0,F158/N147/4.348)</f>
        <v>0</v>
      </c>
      <c r="I158" s="51">
        <f>SUM(J158:M158)</f>
        <v>0</v>
      </c>
      <c r="J158" s="70"/>
      <c r="K158" s="70"/>
      <c r="L158" s="70"/>
      <c r="M158" s="70"/>
      <c r="N158" s="983"/>
      <c r="O158" s="928" t="str">
        <f t="shared" si="27"/>
        <v>Sep 2025</v>
      </c>
      <c r="P158" s="1403">
        <f t="shared" si="28"/>
        <v>0</v>
      </c>
    </row>
    <row r="159" spans="1:16" s="46" customFormat="1" ht="13.5" customHeight="1" x14ac:dyDescent="0.25">
      <c r="A159" s="49"/>
      <c r="B159" s="1322" t="str">
        <f>IF(A159="","",B158)</f>
        <v/>
      </c>
      <c r="C159" s="1323"/>
      <c r="D159" s="132"/>
      <c r="E159" s="132"/>
      <c r="F159" s="71"/>
      <c r="G159" s="50">
        <f>IF(N147="",0,F159/N147/4.348)</f>
        <v>0</v>
      </c>
      <c r="I159" s="51">
        <f t="shared" ref="I159:I161" si="29">SUM(J159:M159)</f>
        <v>0</v>
      </c>
      <c r="J159" s="70"/>
      <c r="K159" s="70"/>
      <c r="L159" s="70"/>
      <c r="M159" s="70"/>
      <c r="N159" s="983"/>
      <c r="O159" s="928" t="str">
        <f t="shared" si="27"/>
        <v>Okt 2025</v>
      </c>
      <c r="P159" s="1403">
        <f t="shared" ref="P159:P161" si="30">IF(P158="","",P158)</f>
        <v>0</v>
      </c>
    </row>
    <row r="160" spans="1:16" s="46" customFormat="1" ht="13.5" customHeight="1" x14ac:dyDescent="0.25">
      <c r="A160" s="49"/>
      <c r="B160" s="1322" t="str">
        <f>IF(A160="","",B159)</f>
        <v/>
      </c>
      <c r="C160" s="1323"/>
      <c r="D160" s="132"/>
      <c r="E160" s="132"/>
      <c r="F160" s="71"/>
      <c r="G160" s="50">
        <f>IF(N147="",0,F160/N147/4.348)</f>
        <v>0</v>
      </c>
      <c r="I160" s="51">
        <f t="shared" si="29"/>
        <v>0</v>
      </c>
      <c r="J160" s="70"/>
      <c r="K160" s="70"/>
      <c r="L160" s="70"/>
      <c r="M160" s="70"/>
      <c r="N160" s="983"/>
      <c r="O160" s="928" t="str">
        <f t="shared" si="27"/>
        <v>Nov 2025</v>
      </c>
      <c r="P160" s="1403">
        <f t="shared" si="30"/>
        <v>0</v>
      </c>
    </row>
    <row r="161" spans="1:16" s="46" customFormat="1" ht="13.5" customHeight="1" x14ac:dyDescent="0.25">
      <c r="A161" s="49"/>
      <c r="B161" s="1322" t="str">
        <f>IF(A161="","",B160)</f>
        <v/>
      </c>
      <c r="C161" s="1323"/>
      <c r="D161" s="132"/>
      <c r="E161" s="132"/>
      <c r="F161" s="71"/>
      <c r="G161" s="50">
        <f>IF(N147="",0,F161/N147/4.348)</f>
        <v>0</v>
      </c>
      <c r="I161" s="51">
        <f t="shared" si="29"/>
        <v>0</v>
      </c>
      <c r="J161" s="70"/>
      <c r="K161" s="70"/>
      <c r="L161" s="70"/>
      <c r="M161" s="70"/>
      <c r="N161" s="983"/>
      <c r="O161" s="928" t="str">
        <f t="shared" si="27"/>
        <v>Dez 2025</v>
      </c>
      <c r="P161" s="1403">
        <f t="shared" si="30"/>
        <v>0</v>
      </c>
    </row>
    <row r="162" spans="1:16" s="46" customFormat="1" ht="13.5" customHeight="1" x14ac:dyDescent="0.25">
      <c r="B162" s="972"/>
      <c r="C162" s="972"/>
      <c r="E162" s="972"/>
      <c r="F162" s="972"/>
      <c r="I162" s="993" t="s">
        <v>730</v>
      </c>
      <c r="J162" s="1052"/>
      <c r="K162" s="1052"/>
      <c r="L162" s="1052"/>
      <c r="M162" s="1052"/>
      <c r="N162" s="994"/>
      <c r="O162" s="126" t="s">
        <v>221</v>
      </c>
      <c r="P162" s="127">
        <f>IF(M155="",0,((IF(SUMIF(B173,"&gt;0"),P150,0))+(IF(SUMIF(B174,"&gt;0"),P151,0))+(IF(SUMIF(B175,"&gt;0"),P152,0))+(IF(SUMIF(B176,"&gt;0"),P153,0))+(IF(SUMIF(B177,"&gt;0"),P154,0))+(IF(SUMIF(B178,"&gt;0"),P155,0))+(IF(SUMIF(B179,"&gt;0"),P156,0))+(IF(SUMIF(B180,"&gt;0"),P157,0))+(IF(SUMIF(B181,"&gt;0"),P158,0))+(IF(SUMIF(B182,"&gt;0"),P159,0))+(IF(SUMIF(B183,"&gt;0"),P160,0))+(IF(SUMIF(B184,"&gt;0"),P161,0)))/Grundlagen!$C$26)</f>
        <v>0</v>
      </c>
    </row>
    <row r="163" spans="1:16" s="46" customFormat="1" ht="13.5" customHeight="1" x14ac:dyDescent="0.2">
      <c r="A163" s="924" t="s">
        <v>732</v>
      </c>
      <c r="D163" s="55" t="s">
        <v>369</v>
      </c>
      <c r="E163" s="56" t="s">
        <v>368</v>
      </c>
      <c r="F163" s="58"/>
      <c r="J163" s="61"/>
    </row>
    <row r="164" spans="1:16" s="46" customFormat="1" ht="13.5" customHeight="1" x14ac:dyDescent="0.25">
      <c r="A164" s="60"/>
      <c r="B164" s="1314" t="str">
        <f>IF($B$20="","",$B$20)</f>
        <v>Jahressonderzahlung (JSZ)</v>
      </c>
      <c r="C164" s="1315"/>
      <c r="D164" s="926"/>
      <c r="E164" s="929" t="str">
        <f>IF(A164="","",ROUND((((SUM(B179:B181)+SUM(F179:F181))/3)*D164)/Grundlagen!$C$26*M155,2))</f>
        <v/>
      </c>
      <c r="G164" s="986"/>
      <c r="H164" s="995"/>
      <c r="I164" s="988"/>
      <c r="J164" s="988"/>
      <c r="K164" s="988"/>
      <c r="L164" s="989"/>
      <c r="M164" s="989"/>
      <c r="N164" s="984"/>
      <c r="O164" s="990"/>
      <c r="P164" s="990"/>
    </row>
    <row r="165" spans="1:16" ht="14.25" customHeight="1" x14ac:dyDescent="0.2">
      <c r="A165" s="60"/>
      <c r="B165" s="1314" t="str">
        <f>IF($B$21="","",$B$21)</f>
        <v>Leistungsentgelt (LOB)</v>
      </c>
      <c r="C165" s="1315"/>
      <c r="D165" s="926"/>
      <c r="E165" s="929" t="str">
        <f>IF(A165="","",ROUND(((B185+F185)*D165)/Grundlagen!$C$26*M155,2))</f>
        <v/>
      </c>
      <c r="F165" s="1"/>
      <c r="G165" s="986"/>
      <c r="H165" s="987"/>
      <c r="I165" s="988"/>
      <c r="J165" s="988"/>
      <c r="K165" s="988"/>
      <c r="L165" s="991"/>
      <c r="M165" s="991"/>
      <c r="N165" s="985"/>
      <c r="O165" s="65"/>
      <c r="P165" s="65"/>
    </row>
    <row r="166" spans="1:16" ht="14.25" customHeight="1" x14ac:dyDescent="0.2">
      <c r="A166" s="1"/>
      <c r="B166" s="1"/>
      <c r="C166" s="925" t="s">
        <v>731</v>
      </c>
      <c r="D166" s="1"/>
      <c r="E166" s="1"/>
      <c r="F166" s="1"/>
      <c r="G166" s="1"/>
      <c r="H166" s="1"/>
      <c r="I166" s="1"/>
      <c r="J166" s="1"/>
      <c r="K166" s="1"/>
      <c r="L166" s="991"/>
      <c r="M166" s="991"/>
      <c r="N166" s="985"/>
      <c r="O166" s="992"/>
      <c r="P166" s="992"/>
    </row>
    <row r="167" spans="1:16" ht="14.25" customHeight="1" x14ac:dyDescent="0.2">
      <c r="A167" s="53" t="s">
        <v>141</v>
      </c>
      <c r="B167" s="46"/>
      <c r="C167" s="46"/>
      <c r="D167" s="46"/>
      <c r="E167" s="46"/>
      <c r="F167" s="46"/>
      <c r="G167" s="46"/>
      <c r="H167" s="46"/>
      <c r="I167" s="46"/>
      <c r="J167" s="46"/>
      <c r="K167" s="46"/>
      <c r="L167" s="46"/>
      <c r="M167" s="46"/>
      <c r="N167" s="46"/>
      <c r="O167" s="46"/>
      <c r="P167" s="46"/>
    </row>
    <row r="168" spans="1:16" x14ac:dyDescent="0.2">
      <c r="A168" s="1346"/>
      <c r="B168" s="1348" t="s">
        <v>8</v>
      </c>
      <c r="C168" s="1349"/>
      <c r="D168" s="1349"/>
      <c r="E168" s="1349"/>
      <c r="F168" s="1349"/>
      <c r="G168" s="1350"/>
      <c r="H168" s="1351" t="s">
        <v>113</v>
      </c>
      <c r="I168" s="1352"/>
      <c r="J168" s="1352"/>
      <c r="K168" s="1352"/>
      <c r="L168" s="1352"/>
      <c r="M168" s="1352"/>
      <c r="N168" s="1352"/>
      <c r="O168" s="30"/>
      <c r="P168" s="1330" t="s">
        <v>0</v>
      </c>
    </row>
    <row r="169" spans="1:16" ht="14.25" customHeight="1" x14ac:dyDescent="0.2">
      <c r="A169" s="1347"/>
      <c r="B169" s="1333" t="s">
        <v>111</v>
      </c>
      <c r="C169" s="1335" t="s">
        <v>743</v>
      </c>
      <c r="D169" s="1337" t="s">
        <v>226</v>
      </c>
      <c r="E169" s="1339" t="s">
        <v>133</v>
      </c>
      <c r="F169" s="962" t="s">
        <v>6</v>
      </c>
      <c r="G169" s="1340" t="s">
        <v>5</v>
      </c>
      <c r="H169" s="1339" t="s">
        <v>119</v>
      </c>
      <c r="I169" s="1339" t="s">
        <v>4</v>
      </c>
      <c r="J169" s="1339" t="s">
        <v>3</v>
      </c>
      <c r="K169" s="1339" t="s">
        <v>2</v>
      </c>
      <c r="L169" s="1339" t="s">
        <v>114</v>
      </c>
      <c r="M169" s="1339" t="s">
        <v>115</v>
      </c>
      <c r="N169" s="1339" t="s">
        <v>116</v>
      </c>
      <c r="O169" s="1338" t="s">
        <v>109</v>
      </c>
      <c r="P169" s="1331"/>
    </row>
    <row r="170" spans="1:16" x14ac:dyDescent="0.2">
      <c r="A170" s="1347"/>
      <c r="B170" s="1333"/>
      <c r="C170" s="1335"/>
      <c r="D170" s="1338"/>
      <c r="E170" s="1339"/>
      <c r="F170" s="1343" t="str">
        <f>I162</f>
        <v>Zuschläge / Zulagen / o.ä.:</v>
      </c>
      <c r="G170" s="1340"/>
      <c r="H170" s="1342" t="s">
        <v>117</v>
      </c>
      <c r="I170" s="1342"/>
      <c r="J170" s="1342"/>
      <c r="K170" s="1342"/>
      <c r="L170" s="1342"/>
      <c r="M170" s="1342"/>
      <c r="N170" s="1342"/>
      <c r="O170" s="1338"/>
      <c r="P170" s="1331"/>
    </row>
    <row r="171" spans="1:16" ht="14.25" customHeight="1" x14ac:dyDescent="0.2">
      <c r="A171" s="1347"/>
      <c r="B171" s="1333"/>
      <c r="C171" s="1335"/>
      <c r="D171" s="1338"/>
      <c r="E171" s="1339"/>
      <c r="F171" s="1343"/>
      <c r="G171" s="1340"/>
      <c r="H171" s="39" t="str">
        <f>'päd.Personal - Leitung'!$H$27</f>
        <v>(7,30% + Zusatz)</v>
      </c>
      <c r="I171" s="39" t="str">
        <f>'päd.Personal - Leitung'!$I$27</f>
        <v xml:space="preserve"> (2024: 9,30%)</v>
      </c>
      <c r="J171" s="39" t="str">
        <f>'päd.Personal - Leitung'!$J$27</f>
        <v>(2024: 1,30%)</v>
      </c>
      <c r="K171" s="39" t="str">
        <f>'päd.Personal - Leitung'!$K$27</f>
        <v>(2024: 1,700%)</v>
      </c>
      <c r="L171" s="39"/>
      <c r="M171" s="39"/>
      <c r="N171" s="39" t="str">
        <f>'päd.Personal - Leitung'!$N$27</f>
        <v>(2024: 0,06%)</v>
      </c>
      <c r="O171" s="1338"/>
      <c r="P171" s="1331"/>
    </row>
    <row r="172" spans="1:16" x14ac:dyDescent="0.2">
      <c r="A172" s="1347"/>
      <c r="B172" s="1334"/>
      <c r="C172" s="1336"/>
      <c r="D172" s="45"/>
      <c r="E172" s="45"/>
      <c r="F172" s="1344"/>
      <c r="G172" s="1341"/>
      <c r="H172" s="74"/>
      <c r="I172" s="99">
        <f>'päd.Personal - Leitung'!$I$28</f>
        <v>0</v>
      </c>
      <c r="J172" s="99">
        <f>'päd.Personal - Leitung'!$J$28</f>
        <v>0</v>
      </c>
      <c r="K172" s="40">
        <f>'päd.Personal - Leitung'!$K$28</f>
        <v>0</v>
      </c>
      <c r="L172" s="19"/>
      <c r="M172" s="19"/>
      <c r="N172" s="99">
        <f>'päd.Personal - Leitung'!$N$28</f>
        <v>0</v>
      </c>
      <c r="O172" s="23"/>
      <c r="P172" s="1332"/>
    </row>
    <row r="173" spans="1:16" x14ac:dyDescent="0.2">
      <c r="A173" s="76" t="str">
        <f>CONCATENATE("Jan ",O149)</f>
        <v>Jan 2025</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 si="31">SUM(B173+C173+E173+F173)</f>
        <v>0</v>
      </c>
      <c r="H173" s="64">
        <f>ROUND(SUM(B173:F173)*H172,2)</f>
        <v>0</v>
      </c>
      <c r="I173" s="64">
        <f>ROUND(SUM(B173:F173)*I172,2)</f>
        <v>0</v>
      </c>
      <c r="J173" s="64">
        <f>ROUND(SUM(B173:F173)*J172,2)</f>
        <v>0</v>
      </c>
      <c r="K173" s="64">
        <f>ROUND(SUM(B173:F173)*K172,2)</f>
        <v>0</v>
      </c>
      <c r="L173" s="64">
        <f>ROUND((SUM(B173:F173)-C173)*L172,2)</f>
        <v>0</v>
      </c>
      <c r="M173" s="64">
        <f>ROUND((SUM(B173:F173)-C173)*M172,2)</f>
        <v>0</v>
      </c>
      <c r="N173" s="64">
        <f>ROUND(SUM(B173:F173)*N172,2)</f>
        <v>0</v>
      </c>
      <c r="O173" s="21">
        <f>ROUND(SUM(B173+C173+F173)*O172,2)</f>
        <v>0</v>
      </c>
      <c r="P173" s="25">
        <f>SUM(G173:O173)</f>
        <v>0</v>
      </c>
    </row>
    <row r="174" spans="1:16" x14ac:dyDescent="0.2">
      <c r="A174" s="76" t="str">
        <f>'päd.Personal - Leitung'!$A$30</f>
        <v>Feb 2025</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ref="G174:G176" si="32">SUM(B174+C174+E174+F174)</f>
        <v>0</v>
      </c>
      <c r="H174" s="64">
        <f>ROUND(SUM(B174:F174)*H172,2)</f>
        <v>0</v>
      </c>
      <c r="I174" s="64">
        <f>ROUND(SUM(B174:F174)*I172,2)</f>
        <v>0</v>
      </c>
      <c r="J174" s="64">
        <f>ROUND(SUM(B174:F174)*J172,2)</f>
        <v>0</v>
      </c>
      <c r="K174" s="64">
        <f>ROUND(SUM(B174:F174)*K172,2)</f>
        <v>0</v>
      </c>
      <c r="L174" s="64">
        <f>ROUND((SUM(B174:F174)-C174)*L172,2)</f>
        <v>0</v>
      </c>
      <c r="M174" s="64">
        <f>ROUND((SUM(B174:F174)-C174)*M172,2)</f>
        <v>0</v>
      </c>
      <c r="N174" s="64">
        <f>ROUND(SUM(B174:F174)*N172,2)</f>
        <v>0</v>
      </c>
      <c r="O174" s="21">
        <f>ROUND(SUM(B174+C174+F174)*O172,2)</f>
        <v>0</v>
      </c>
      <c r="P174" s="25">
        <f t="shared" ref="P174:P184" si="33">SUM(G174:O174)</f>
        <v>0</v>
      </c>
    </row>
    <row r="175" spans="1:16" x14ac:dyDescent="0.2">
      <c r="A175" s="76" t="str">
        <f>'päd.Personal - Leitung'!$A$31</f>
        <v>Mrz 2025</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32"/>
        <v>0</v>
      </c>
      <c r="H175" s="64">
        <f>ROUND(SUM(B175:F175)*H172,2)</f>
        <v>0</v>
      </c>
      <c r="I175" s="64">
        <f>ROUND(SUM(B175:F175)*I172,2)</f>
        <v>0</v>
      </c>
      <c r="J175" s="64">
        <f>ROUND(SUM(B175:F175)*J172,2)</f>
        <v>0</v>
      </c>
      <c r="K175" s="64">
        <f>ROUND(SUM(B175:F175)*K172,2)</f>
        <v>0</v>
      </c>
      <c r="L175" s="64">
        <f>ROUND((SUM(B175:F175)-C175)*L172,2)</f>
        <v>0</v>
      </c>
      <c r="M175" s="64">
        <f>ROUND((SUM(B175:F175)-C175)*M172,2)</f>
        <v>0</v>
      </c>
      <c r="N175" s="64">
        <f>ROUND(SUM(B175:F175)*N172,2)</f>
        <v>0</v>
      </c>
      <c r="O175" s="21">
        <f>ROUND(SUM(B175+C175+F175)*O172,2)</f>
        <v>0</v>
      </c>
      <c r="P175" s="25">
        <f t="shared" si="33"/>
        <v>0</v>
      </c>
    </row>
    <row r="176" spans="1:16" x14ac:dyDescent="0.2">
      <c r="A176" s="76" t="str">
        <f>'päd.Personal - Leitung'!$A$32</f>
        <v>Apr 2025</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32"/>
        <v>0</v>
      </c>
      <c r="H176" s="64">
        <f>ROUND(SUM(B176:F176)*H172,2)</f>
        <v>0</v>
      </c>
      <c r="I176" s="64">
        <f>ROUND(SUM(B176:F176)*I172,2)</f>
        <v>0</v>
      </c>
      <c r="J176" s="64">
        <f>ROUND(SUM(B176:F176)*J172,2)</f>
        <v>0</v>
      </c>
      <c r="K176" s="64">
        <f>ROUND(SUM(B176:F176)*K172,2)</f>
        <v>0</v>
      </c>
      <c r="L176" s="64">
        <f>ROUND((SUM(B176:F176)-C176)*L172,2)</f>
        <v>0</v>
      </c>
      <c r="M176" s="64">
        <f>ROUND((SUM(B176:F176)-C176)*M172,2)</f>
        <v>0</v>
      </c>
      <c r="N176" s="64">
        <f>ROUND(SUM(B176:F176)*N172,2)</f>
        <v>0</v>
      </c>
      <c r="O176" s="21">
        <f>ROUND(SUM(B176+C176+F176)*O172,2)</f>
        <v>0</v>
      </c>
      <c r="P176" s="25">
        <f t="shared" si="33"/>
        <v>0</v>
      </c>
    </row>
    <row r="177" spans="1:16" x14ac:dyDescent="0.2">
      <c r="A177" s="76" t="str">
        <f>'päd.Personal - Leitung'!$A$33</f>
        <v>Mai 2025</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ref="G177:G184" si="34">SUM(B177+C177+E177+F177)</f>
        <v>0</v>
      </c>
      <c r="H177" s="64">
        <f>ROUND(SUM(B177:F177)*H172,2)</f>
        <v>0</v>
      </c>
      <c r="I177" s="64">
        <f>ROUND(SUM(B177:F177)*I172,2)</f>
        <v>0</v>
      </c>
      <c r="J177" s="64">
        <f>ROUND(SUM(B177:F177)*J172,2)</f>
        <v>0</v>
      </c>
      <c r="K177" s="64">
        <f>ROUND(SUM(B177:F177)*K172,2)</f>
        <v>0</v>
      </c>
      <c r="L177" s="64">
        <f>ROUND((SUM(B177:F177)-C177)*L172,2)</f>
        <v>0</v>
      </c>
      <c r="M177" s="64">
        <f>ROUND((SUM(B177:F177)-C177)*M172,2)</f>
        <v>0</v>
      </c>
      <c r="N177" s="64">
        <f>ROUND(SUM(B177:F177)*N172,2)</f>
        <v>0</v>
      </c>
      <c r="O177" s="21">
        <f>ROUND(SUM(B177+C177+F177)*O172,2)</f>
        <v>0</v>
      </c>
      <c r="P177" s="25">
        <f t="shared" si="33"/>
        <v>0</v>
      </c>
    </row>
    <row r="178" spans="1:16" x14ac:dyDescent="0.2">
      <c r="A178" s="76" t="str">
        <f>'päd.Personal - Leitung'!$A$34</f>
        <v>Jun 2025</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34"/>
        <v>0</v>
      </c>
      <c r="H178" s="64">
        <f>ROUND(SUM(B178:F178)*H172,2)</f>
        <v>0</v>
      </c>
      <c r="I178" s="64">
        <f>ROUND(SUM(B178:F178)*I172,2)</f>
        <v>0</v>
      </c>
      <c r="J178" s="64">
        <f>ROUND(SUM(B178:F178)*J172,2)</f>
        <v>0</v>
      </c>
      <c r="K178" s="64">
        <f>ROUND(SUM(B178:F178)*K172,2)</f>
        <v>0</v>
      </c>
      <c r="L178" s="64">
        <f>ROUND((SUM(B178:F178)-C178)*L172,2)</f>
        <v>0</v>
      </c>
      <c r="M178" s="64">
        <f>ROUND((SUM(B178:F178)-C178)*M172,2)</f>
        <v>0</v>
      </c>
      <c r="N178" s="64">
        <f>ROUND(SUM(B178:F178)*N172,2)</f>
        <v>0</v>
      </c>
      <c r="O178" s="21">
        <f>ROUND(SUM(B178+C178+F178)*O172,2)</f>
        <v>0</v>
      </c>
      <c r="P178" s="25">
        <f t="shared" si="33"/>
        <v>0</v>
      </c>
    </row>
    <row r="179" spans="1:16" x14ac:dyDescent="0.2">
      <c r="A179" s="76" t="str">
        <f>'päd.Personal - Leitung'!$A$35</f>
        <v>Jul 2025</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34"/>
        <v>0</v>
      </c>
      <c r="H179" s="64">
        <f>ROUND(SUM(B179:F179)*H172,2)</f>
        <v>0</v>
      </c>
      <c r="I179" s="64">
        <f>ROUND(SUM(B179:F179)*I172,2)</f>
        <v>0</v>
      </c>
      <c r="J179" s="64">
        <f>ROUND(SUM(B179:F179)*J172,2)</f>
        <v>0</v>
      </c>
      <c r="K179" s="64">
        <f>ROUND(SUM(B179:F179)*K172,2)</f>
        <v>0</v>
      </c>
      <c r="L179" s="64">
        <f>ROUND((SUM(B179:F179)-C179)*L172,2)</f>
        <v>0</v>
      </c>
      <c r="M179" s="64">
        <f>ROUND((SUM(B179:F179)-C179)*M172,2)</f>
        <v>0</v>
      </c>
      <c r="N179" s="64">
        <f>ROUND(SUM(B179:F179)*N172,2)</f>
        <v>0</v>
      </c>
      <c r="O179" s="21">
        <f>ROUND(SUM(B179+C179+F179)*O172,2)</f>
        <v>0</v>
      </c>
      <c r="P179" s="25">
        <f t="shared" si="33"/>
        <v>0</v>
      </c>
    </row>
    <row r="180" spans="1:16" x14ac:dyDescent="0.2">
      <c r="A180" s="76" t="str">
        <f>'päd.Personal - Leitung'!$A$36</f>
        <v>Aug 2025</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34"/>
        <v>0</v>
      </c>
      <c r="H180" s="64">
        <f>ROUND(SUM(B180:F180)*H172,2)</f>
        <v>0</v>
      </c>
      <c r="I180" s="64">
        <f>ROUND(SUM(B180:F180)*I172,2)</f>
        <v>0</v>
      </c>
      <c r="J180" s="64">
        <f>ROUND(SUM(B180:F180)*J172,2)</f>
        <v>0</v>
      </c>
      <c r="K180" s="64">
        <f>ROUND(SUM(B180:F180)*K172,2)</f>
        <v>0</v>
      </c>
      <c r="L180" s="64">
        <f>ROUND((SUM(B180:F180)-C180)*L172,2)</f>
        <v>0</v>
      </c>
      <c r="M180" s="64">
        <f>ROUND((SUM(B180:F180)-C180)*M172,2)</f>
        <v>0</v>
      </c>
      <c r="N180" s="64">
        <f>ROUND(SUM(B180:F180)*N172,2)</f>
        <v>0</v>
      </c>
      <c r="O180" s="21">
        <f>ROUND(SUM(B180+C180+F180)*O172,2)</f>
        <v>0</v>
      </c>
      <c r="P180" s="25">
        <f t="shared" si="33"/>
        <v>0</v>
      </c>
    </row>
    <row r="181" spans="1:16" x14ac:dyDescent="0.2">
      <c r="A181" s="76" t="str">
        <f>'päd.Personal - Leitung'!$A$37</f>
        <v>Sep 2025</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34"/>
        <v>0</v>
      </c>
      <c r="H181" s="64">
        <f>ROUND(SUM(B181:F181)*H172,2)</f>
        <v>0</v>
      </c>
      <c r="I181" s="64">
        <f>ROUND(SUM(B181:F181)*I172,2)</f>
        <v>0</v>
      </c>
      <c r="J181" s="64">
        <f>ROUND(SUM(B181:F181)*J172,2)</f>
        <v>0</v>
      </c>
      <c r="K181" s="64">
        <f>ROUND(SUM(B181:F181)*K172,2)</f>
        <v>0</v>
      </c>
      <c r="L181" s="64">
        <f>ROUND((SUM(B181:F181)-C181)*L172,2)</f>
        <v>0</v>
      </c>
      <c r="M181" s="64">
        <f>ROUND((SUM(B181:F181)-C181)*M172,2)</f>
        <v>0</v>
      </c>
      <c r="N181" s="64">
        <f>ROUND(SUM(B181:F181)*N172,2)</f>
        <v>0</v>
      </c>
      <c r="O181" s="21">
        <f>ROUND(SUM(B181+C181+F181)*O172,2)</f>
        <v>0</v>
      </c>
      <c r="P181" s="25">
        <f t="shared" si="33"/>
        <v>0</v>
      </c>
    </row>
    <row r="182" spans="1:16" x14ac:dyDescent="0.2">
      <c r="A182" s="76" t="str">
        <f>'päd.Personal - Leitung'!$A$38</f>
        <v>Okt 2025</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34"/>
        <v>0</v>
      </c>
      <c r="H182" s="64">
        <f>ROUND(SUM(B182:F182)*H172,2)</f>
        <v>0</v>
      </c>
      <c r="I182" s="64">
        <f>ROUND(SUM(B182:F182)*I172,2)</f>
        <v>0</v>
      </c>
      <c r="J182" s="64">
        <f>ROUND(SUM(B182:F182)*J172,2)</f>
        <v>0</v>
      </c>
      <c r="K182" s="64">
        <f>ROUND(SUM(B182:F182)*K172,2)</f>
        <v>0</v>
      </c>
      <c r="L182" s="64">
        <f>ROUND((SUM(B182:F182)-C182)*L172,2)</f>
        <v>0</v>
      </c>
      <c r="M182" s="64">
        <f>ROUND((SUM(B182:F182)-C182)*M172,2)</f>
        <v>0</v>
      </c>
      <c r="N182" s="64">
        <f>ROUND(SUM(B182:F182)*N172,2)</f>
        <v>0</v>
      </c>
      <c r="O182" s="21">
        <f>ROUND(SUM(B182+C182+F182)*O172,2)</f>
        <v>0</v>
      </c>
      <c r="P182" s="25">
        <f t="shared" si="33"/>
        <v>0</v>
      </c>
    </row>
    <row r="183" spans="1:16" x14ac:dyDescent="0.2">
      <c r="A183" s="76" t="str">
        <f>'päd.Personal - Leitung'!$A$39</f>
        <v>Nov 2025</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34"/>
        <v>0</v>
      </c>
      <c r="H183" s="64">
        <f>ROUND(SUM(B183:F183)*H172,2)</f>
        <v>0</v>
      </c>
      <c r="I183" s="64">
        <f>ROUND(SUM(B183:F183)*I172,2)</f>
        <v>0</v>
      </c>
      <c r="J183" s="64">
        <f>ROUND(SUM(B183:F183)*J172,2)</f>
        <v>0</v>
      </c>
      <c r="K183" s="64">
        <f>ROUND(SUM(B183:F183)*K172,2)</f>
        <v>0</v>
      </c>
      <c r="L183" s="64">
        <f>ROUND((SUM(B183:F183)-C183)*L172,2)</f>
        <v>0</v>
      </c>
      <c r="M183" s="64">
        <f>ROUND((SUM(B183:F183)-C183)*M172,2)</f>
        <v>0</v>
      </c>
      <c r="N183" s="64">
        <f>ROUND(SUM(B183:F183)*N172,2)</f>
        <v>0</v>
      </c>
      <c r="O183" s="21">
        <f>ROUND(SUM(B183+C183+F183)*O172,2)</f>
        <v>0</v>
      </c>
      <c r="P183" s="25">
        <f t="shared" si="33"/>
        <v>0</v>
      </c>
    </row>
    <row r="184" spans="1:16" x14ac:dyDescent="0.2">
      <c r="A184" s="76" t="str">
        <f>'päd.Personal - Leitung'!$A$40</f>
        <v>Dez 2025</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34"/>
        <v>0</v>
      </c>
      <c r="H184" s="64">
        <f>ROUND(SUM(B184:F184)*H172,2)</f>
        <v>0</v>
      </c>
      <c r="I184" s="64">
        <f>ROUND(SUM(B184:F184)*I172,2)</f>
        <v>0</v>
      </c>
      <c r="J184" s="64">
        <f>ROUND(SUM(B184:F184)*J172,2)</f>
        <v>0</v>
      </c>
      <c r="K184" s="64">
        <f>ROUND(SUM(B184:F184)*K172,2)</f>
        <v>0</v>
      </c>
      <c r="L184" s="64">
        <f>ROUND((SUM(B184:F184)-C184)*L172,2)</f>
        <v>0</v>
      </c>
      <c r="M184" s="64">
        <f>ROUND((SUM(B184:F184)-C184)*M172,2)</f>
        <v>0</v>
      </c>
      <c r="N184" s="64">
        <f>ROUND(SUM(B184:F184)*N172,2)</f>
        <v>0</v>
      </c>
      <c r="O184" s="21">
        <f>ROUND(SUM(B184+C184+F184)*O172,2)</f>
        <v>0</v>
      </c>
      <c r="P184" s="25">
        <f t="shared" si="33"/>
        <v>0</v>
      </c>
    </row>
    <row r="185" spans="1:16" s="12" customFormat="1" ht="15" x14ac:dyDescent="0.25">
      <c r="A185" s="2" t="s">
        <v>1</v>
      </c>
      <c r="B185" s="25">
        <f t="shared" ref="B185:G185" si="35">SUM(B173:B184)</f>
        <v>0</v>
      </c>
      <c r="C185" s="25">
        <f t="shared" si="35"/>
        <v>0</v>
      </c>
      <c r="D185" s="25">
        <f t="shared" si="35"/>
        <v>0</v>
      </c>
      <c r="E185" s="25">
        <f t="shared" si="35"/>
        <v>0</v>
      </c>
      <c r="F185" s="25">
        <f t="shared" si="35"/>
        <v>0</v>
      </c>
      <c r="G185" s="25">
        <f t="shared" si="35"/>
        <v>0</v>
      </c>
      <c r="H185" s="1309">
        <f>SUM(H173:N184)</f>
        <v>0</v>
      </c>
      <c r="I185" s="1310"/>
      <c r="J185" s="1310"/>
      <c r="K185" s="1310"/>
      <c r="L185" s="1310"/>
      <c r="M185" s="1310"/>
      <c r="N185" s="1311"/>
      <c r="O185" s="25">
        <f>SUM(O173:O184)</f>
        <v>0</v>
      </c>
      <c r="P185" s="25">
        <f>SUM(P173:P184)</f>
        <v>0</v>
      </c>
    </row>
    <row r="186" spans="1:16" ht="12" customHeight="1" x14ac:dyDescent="0.2">
      <c r="A186" s="1"/>
      <c r="B186" s="1"/>
      <c r="C186" s="1"/>
      <c r="D186" s="1"/>
      <c r="E186" s="1"/>
      <c r="F186" s="1"/>
      <c r="G186" s="1"/>
      <c r="H186" s="1"/>
      <c r="I186" s="1"/>
      <c r="J186" s="1"/>
      <c r="K186" s="1"/>
      <c r="L186" s="1"/>
      <c r="M186" s="1"/>
      <c r="N186" s="1"/>
      <c r="O186" s="1"/>
      <c r="P186" s="1"/>
    </row>
    <row r="187" spans="1:16" ht="14.25" customHeight="1" x14ac:dyDescent="0.2">
      <c r="A187" s="1"/>
      <c r="B187" s="906"/>
      <c r="C187" s="1"/>
      <c r="D187" s="1"/>
      <c r="E187" s="1"/>
      <c r="F187" s="1"/>
      <c r="G187" s="1"/>
      <c r="H187" s="905"/>
      <c r="I187" s="62"/>
      <c r="J187" s="914" t="s">
        <v>123</v>
      </c>
      <c r="K187" s="1"/>
      <c r="L187" s="900" t="s">
        <v>124</v>
      </c>
      <c r="M187" s="974" t="str">
        <f>IF(IF(G185=0,"",$M$43)=0,"",IF(G185=0,"",$M$43))</f>
        <v/>
      </c>
      <c r="N187" s="902" t="s">
        <v>125</v>
      </c>
      <c r="O187" s="963" t="str">
        <f>IF(IF(G185=0,"",$O$43)=0,"",IF(G185=0,"",$O$43))</f>
        <v/>
      </c>
      <c r="P187" s="25">
        <f>ROUND(IF(M187="",0,G185*M187*O187/1000),2)</f>
        <v>0</v>
      </c>
    </row>
    <row r="188" spans="1:16" ht="14.25" customHeight="1" x14ac:dyDescent="0.2">
      <c r="A188" s="1"/>
      <c r="B188" s="1"/>
      <c r="C188" s="1"/>
      <c r="D188" s="1"/>
      <c r="E188" s="1"/>
      <c r="F188" s="1"/>
      <c r="G188" s="1"/>
      <c r="H188" s="907"/>
      <c r="I188" s="42"/>
      <c r="J188" s="1"/>
      <c r="K188" s="1"/>
      <c r="L188" s="1"/>
      <c r="M188" s="915" t="s">
        <v>129</v>
      </c>
      <c r="N188" s="80" t="s">
        <v>125</v>
      </c>
      <c r="O188" s="75" t="str">
        <f>IF(IF(G185=0,"",$O$44)=0,"",IF(G185=0,"",$O$44))</f>
        <v/>
      </c>
      <c r="P188" s="25">
        <f>ROUND(IF(O188="",0,G185*O188/1000),2)</f>
        <v>0</v>
      </c>
    </row>
    <row r="189" spans="1:16" ht="14.25" customHeight="1" x14ac:dyDescent="0.2">
      <c r="A189" s="1"/>
      <c r="B189" s="1"/>
      <c r="C189" s="1"/>
      <c r="D189" s="1"/>
      <c r="E189" s="1"/>
      <c r="F189" s="1"/>
      <c r="G189" s="1"/>
      <c r="H189" s="912" t="s">
        <v>126</v>
      </c>
      <c r="I189" s="960" t="s">
        <v>127</v>
      </c>
      <c r="J189" s="975" t="str">
        <f>IF(IF(G185=0,"",$J$45)=0,"",IF(G185=0,"",$J$45))</f>
        <v/>
      </c>
      <c r="K189" s="902" t="s">
        <v>128</v>
      </c>
      <c r="L189" s="964" t="str">
        <f>IF(IF(G185=0,"",$L$45)=0,"",IF(G185=0,"",$L$45))</f>
        <v/>
      </c>
      <c r="M189" s="16"/>
      <c r="N189" s="900" t="s">
        <v>132</v>
      </c>
      <c r="O189" s="965" t="str">
        <f>IF(IF(G185=0,"",$O$45)=0,"",IF(G185=0,"",$O$45))</f>
        <v/>
      </c>
      <c r="P189" s="25">
        <f>ROUND(IF(J189="",0,(J189*L189/O189)/M153*M154),2)</f>
        <v>0</v>
      </c>
    </row>
    <row r="190" spans="1:16" ht="14.25" customHeight="1" x14ac:dyDescent="0.2">
      <c r="A190" s="1"/>
      <c r="B190" s="1"/>
      <c r="C190" s="1"/>
      <c r="D190" s="16"/>
      <c r="E190" s="1"/>
      <c r="F190" s="1"/>
      <c r="G190" s="1"/>
      <c r="H190" s="1"/>
      <c r="I190" s="16"/>
      <c r="J190" s="16"/>
      <c r="K190" s="63"/>
      <c r="L190" s="67"/>
      <c r="M190" s="915" t="s">
        <v>130</v>
      </c>
      <c r="N190" s="80" t="s">
        <v>131</v>
      </c>
      <c r="O190" s="904">
        <f>IF(IF(M156="",0,$O$46)=0,0,IF(M156="",0,$O$46))</f>
        <v>0</v>
      </c>
      <c r="P190" s="21">
        <f>ROUND(IF(G185=0,0,O190/M151*M152),2)</f>
        <v>0</v>
      </c>
    </row>
    <row r="191" spans="1:16" ht="14.25" customHeight="1" x14ac:dyDescent="0.2">
      <c r="A191" s="16"/>
      <c r="B191" s="16"/>
      <c r="C191" s="1"/>
      <c r="D191" s="1"/>
      <c r="E191" s="1"/>
      <c r="F191" s="1"/>
      <c r="G191" s="1"/>
      <c r="H191" s="1"/>
      <c r="I191" s="905"/>
      <c r="J191" s="961" t="s">
        <v>176</v>
      </c>
      <c r="K191" s="1312" t="str">
        <f>IF($K$47="","",$K$47)</f>
        <v/>
      </c>
      <c r="L191" s="1312"/>
      <c r="M191" s="1312"/>
      <c r="N191" s="80" t="s">
        <v>131</v>
      </c>
      <c r="O191" s="904">
        <f>IF(IF(M156="",0,$O$47)=0,0,IF(M156="",0,$O$47))</f>
        <v>0</v>
      </c>
      <c r="P191" s="21">
        <f>ROUND(IF(G185=0,0,O191/M151*M152),2)</f>
        <v>0</v>
      </c>
    </row>
    <row r="192" spans="1:16" ht="14.25" customHeight="1" x14ac:dyDescent="0.2">
      <c r="A192" s="908"/>
      <c r="B192" s="908"/>
      <c r="C192" s="960"/>
      <c r="D192" s="960"/>
      <c r="E192" s="1"/>
      <c r="F192" s="1"/>
      <c r="G192" s="1"/>
      <c r="H192" s="1"/>
      <c r="I192" s="913"/>
      <c r="J192" s="913"/>
      <c r="K192" s="916"/>
      <c r="L192" s="27"/>
      <c r="M192" s="27"/>
      <c r="N192" s="27"/>
      <c r="O192" s="26" t="s">
        <v>0</v>
      </c>
      <c r="P192" s="25">
        <f>P185+SUM(P187:P191)</f>
        <v>0</v>
      </c>
    </row>
  </sheetData>
  <sheetProtection algorithmName="SHA-512" hashValue="h08eaE8eocF0fdhxQ40ZPinfKlEIGl3TrAchP+3EKmVu1AeXPehwF7nID9gsjr90ED2qfwt28dJwvn87HqbB/w==" saltValue="ynCYdX2tXcPUjo7rKEMJkQ==" spinCount="100000" sheet="1" objects="1" scenarios="1"/>
  <mergeCells count="224">
    <mergeCell ref="A1:C1"/>
    <mergeCell ref="D1:N1"/>
    <mergeCell ref="A2:C2"/>
    <mergeCell ref="D2:N2"/>
    <mergeCell ref="A3:C3"/>
    <mergeCell ref="D3:J3"/>
    <mergeCell ref="K3:M3"/>
    <mergeCell ref="A8:C8"/>
    <mergeCell ref="F60:G60"/>
    <mergeCell ref="H60:I60"/>
    <mergeCell ref="F12:G12"/>
    <mergeCell ref="H12:I12"/>
    <mergeCell ref="A10:C10"/>
    <mergeCell ref="D10:I10"/>
    <mergeCell ref="D11:E11"/>
    <mergeCell ref="F11:G11"/>
    <mergeCell ref="H11:I11"/>
    <mergeCell ref="A9:C9"/>
    <mergeCell ref="A4:C4"/>
    <mergeCell ref="A7:C7"/>
    <mergeCell ref="D4:J4"/>
    <mergeCell ref="J6:K6"/>
    <mergeCell ref="D7:I7"/>
    <mergeCell ref="K7:L7"/>
    <mergeCell ref="D8:I8"/>
    <mergeCell ref="K8:L8"/>
    <mergeCell ref="D9:I9"/>
    <mergeCell ref="K9:L9"/>
    <mergeCell ref="H41:N41"/>
    <mergeCell ref="B13:C13"/>
    <mergeCell ref="B14:C14"/>
    <mergeCell ref="B15:C15"/>
    <mergeCell ref="B16:C16"/>
    <mergeCell ref="B17:C17"/>
    <mergeCell ref="J10:L10"/>
    <mergeCell ref="B20:C20"/>
    <mergeCell ref="B21:C21"/>
    <mergeCell ref="H108:I108"/>
    <mergeCell ref="A97:C97"/>
    <mergeCell ref="D97:N97"/>
    <mergeCell ref="A98:C98"/>
    <mergeCell ref="D98:N98"/>
    <mergeCell ref="A99:C99"/>
    <mergeCell ref="D99:J99"/>
    <mergeCell ref="K99:M99"/>
    <mergeCell ref="A56:C56"/>
    <mergeCell ref="D56:I56"/>
    <mergeCell ref="A57:C57"/>
    <mergeCell ref="D57:I57"/>
    <mergeCell ref="A58:C58"/>
    <mergeCell ref="D58:I58"/>
    <mergeCell ref="D59:E59"/>
    <mergeCell ref="F59:G59"/>
    <mergeCell ref="H59:I59"/>
    <mergeCell ref="B62:C62"/>
    <mergeCell ref="B63:C63"/>
    <mergeCell ref="B64:C64"/>
    <mergeCell ref="B65:C65"/>
    <mergeCell ref="B68:C68"/>
    <mergeCell ref="B69:C69"/>
    <mergeCell ref="A72:A76"/>
    <mergeCell ref="A52:C52"/>
    <mergeCell ref="D52:J52"/>
    <mergeCell ref="J54:K54"/>
    <mergeCell ref="A55:C55"/>
    <mergeCell ref="D55:I55"/>
    <mergeCell ref="B61:C61"/>
    <mergeCell ref="J58:L58"/>
    <mergeCell ref="K59:L59"/>
    <mergeCell ref="A53:K53"/>
    <mergeCell ref="K55:L55"/>
    <mergeCell ref="K56:L56"/>
    <mergeCell ref="K57:L57"/>
    <mergeCell ref="B117:C117"/>
    <mergeCell ref="A120:A124"/>
    <mergeCell ref="B120:G120"/>
    <mergeCell ref="H120:N120"/>
    <mergeCell ref="B109:C109"/>
    <mergeCell ref="B110:C110"/>
    <mergeCell ref="B111:C111"/>
    <mergeCell ref="B112:C112"/>
    <mergeCell ref="B113:C113"/>
    <mergeCell ref="A5:K5"/>
    <mergeCell ref="B160:C160"/>
    <mergeCell ref="B161:C161"/>
    <mergeCell ref="A154:C154"/>
    <mergeCell ref="D154:I154"/>
    <mergeCell ref="F155:G155"/>
    <mergeCell ref="H155:I155"/>
    <mergeCell ref="B157:C157"/>
    <mergeCell ref="B158:C158"/>
    <mergeCell ref="B159:C159"/>
    <mergeCell ref="F156:G156"/>
    <mergeCell ref="H156:I156"/>
    <mergeCell ref="A153:C153"/>
    <mergeCell ref="D153:I153"/>
    <mergeCell ref="A145:C145"/>
    <mergeCell ref="D145:N145"/>
    <mergeCell ref="A146:C146"/>
    <mergeCell ref="D146:N146"/>
    <mergeCell ref="A147:C147"/>
    <mergeCell ref="D147:J147"/>
    <mergeCell ref="K147:M147"/>
    <mergeCell ref="A148:C148"/>
    <mergeCell ref="D148:J148"/>
    <mergeCell ref="H137:N137"/>
    <mergeCell ref="P24:P28"/>
    <mergeCell ref="B25:B28"/>
    <mergeCell ref="C25:C28"/>
    <mergeCell ref="D25:D27"/>
    <mergeCell ref="E25:E27"/>
    <mergeCell ref="G25:G28"/>
    <mergeCell ref="H25:H26"/>
    <mergeCell ref="I25:I26"/>
    <mergeCell ref="J25:J26"/>
    <mergeCell ref="K25:K26"/>
    <mergeCell ref="L25:L26"/>
    <mergeCell ref="M25:M26"/>
    <mergeCell ref="N25:N26"/>
    <mergeCell ref="O25:O27"/>
    <mergeCell ref="F26:F28"/>
    <mergeCell ref="A24:A28"/>
    <mergeCell ref="B24:G24"/>
    <mergeCell ref="H24:N24"/>
    <mergeCell ref="K11:L11"/>
    <mergeCell ref="A49:C49"/>
    <mergeCell ref="A50:C50"/>
    <mergeCell ref="A51:C51"/>
    <mergeCell ref="D49:N49"/>
    <mergeCell ref="D50:N50"/>
    <mergeCell ref="D51:J51"/>
    <mergeCell ref="K51:M51"/>
    <mergeCell ref="K47:M47"/>
    <mergeCell ref="P72:P76"/>
    <mergeCell ref="B73:B76"/>
    <mergeCell ref="C73:C76"/>
    <mergeCell ref="D73:D75"/>
    <mergeCell ref="E73:E75"/>
    <mergeCell ref="G73:G76"/>
    <mergeCell ref="H73:H74"/>
    <mergeCell ref="I73:I74"/>
    <mergeCell ref="J73:J74"/>
    <mergeCell ref="K73:K74"/>
    <mergeCell ref="L73:L74"/>
    <mergeCell ref="M73:M74"/>
    <mergeCell ref="N73:N74"/>
    <mergeCell ref="O73:O75"/>
    <mergeCell ref="F74:F76"/>
    <mergeCell ref="B72:G72"/>
    <mergeCell ref="H72:N72"/>
    <mergeCell ref="H89:N89"/>
    <mergeCell ref="K95:M95"/>
    <mergeCell ref="A101:K101"/>
    <mergeCell ref="K103:L103"/>
    <mergeCell ref="K104:L104"/>
    <mergeCell ref="K105:L105"/>
    <mergeCell ref="J106:L106"/>
    <mergeCell ref="K107:L107"/>
    <mergeCell ref="B116:C116"/>
    <mergeCell ref="A105:C105"/>
    <mergeCell ref="D105:I105"/>
    <mergeCell ref="A106:C106"/>
    <mergeCell ref="D106:I106"/>
    <mergeCell ref="D107:E107"/>
    <mergeCell ref="F107:G107"/>
    <mergeCell ref="H107:I107"/>
    <mergeCell ref="A100:C100"/>
    <mergeCell ref="D100:J100"/>
    <mergeCell ref="J102:K102"/>
    <mergeCell ref="A103:C103"/>
    <mergeCell ref="D103:I103"/>
    <mergeCell ref="A104:C104"/>
    <mergeCell ref="D104:I104"/>
    <mergeCell ref="F108:G108"/>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K143:M143"/>
    <mergeCell ref="A149:K149"/>
    <mergeCell ref="K151:L151"/>
    <mergeCell ref="K152:L152"/>
    <mergeCell ref="K153:L153"/>
    <mergeCell ref="J154:L154"/>
    <mergeCell ref="K155:L155"/>
    <mergeCell ref="B164:C164"/>
    <mergeCell ref="B165:C165"/>
    <mergeCell ref="J150:K150"/>
    <mergeCell ref="A151:C151"/>
    <mergeCell ref="D151:I151"/>
    <mergeCell ref="A152:C152"/>
    <mergeCell ref="D152:I152"/>
    <mergeCell ref="D155:E155"/>
    <mergeCell ref="H185:N185"/>
    <mergeCell ref="K191:M191"/>
    <mergeCell ref="A168:A172"/>
    <mergeCell ref="B168:G168"/>
    <mergeCell ref="H168:N168"/>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O169:O171"/>
    <mergeCell ref="F170:F172"/>
  </mergeCells>
  <dataValidations count="1">
    <dataValidation type="list" allowBlank="1" showInputMessage="1" showErrorMessage="1" sqref="A20:A21 A68:A69 A116:A117 A164:A165">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Auszubildende&amp;R&amp;G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A15:A17 A111:A113 A63:A65 A159:A161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3" tint="0.39997558519241921"/>
  </sheetPr>
  <dimension ref="A1:P19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6384" width="11.42578125" style="1"/>
  </cols>
  <sheetData>
    <row r="1" spans="1:16" s="10" customFormat="1" ht="13.5" customHeight="1" x14ac:dyDescent="0.2">
      <c r="A1" s="1321" t="s">
        <v>17</v>
      </c>
      <c r="B1" s="1321"/>
      <c r="C1" s="1321"/>
      <c r="D1" s="1320" t="str">
        <f>IF('päd.Personal - Leitung'!$D$1="","",'päd.Personal - Leitung'!$D$1)</f>
        <v/>
      </c>
      <c r="E1" s="1320"/>
      <c r="F1" s="1320"/>
      <c r="G1" s="1320"/>
      <c r="H1" s="1320"/>
      <c r="I1" s="1320"/>
      <c r="J1" s="1320"/>
      <c r="K1" s="1320"/>
      <c r="L1" s="1320"/>
      <c r="M1" s="1320"/>
      <c r="N1" s="1320"/>
    </row>
    <row r="2" spans="1:16" s="10" customFormat="1" ht="15" customHeight="1" x14ac:dyDescent="0.2">
      <c r="A2" s="1321" t="s">
        <v>16</v>
      </c>
      <c r="B2" s="1321"/>
      <c r="C2" s="1321" t="s">
        <v>14</v>
      </c>
      <c r="D2" s="1320" t="str">
        <f>IF('päd.Personal - Leitung'!$D$2="","",'päd.Personal - Leitung'!$D$2)</f>
        <v/>
      </c>
      <c r="E2" s="1320"/>
      <c r="F2" s="1320"/>
      <c r="G2" s="1320"/>
      <c r="H2" s="1320"/>
      <c r="I2" s="1320"/>
      <c r="J2" s="1320"/>
      <c r="K2" s="1320"/>
      <c r="L2" s="1320"/>
      <c r="M2" s="1320"/>
      <c r="N2" s="1320"/>
    </row>
    <row r="3" spans="1:16" s="10" customFormat="1" ht="15" customHeight="1" x14ac:dyDescent="0.2">
      <c r="A3" s="1321" t="s">
        <v>15</v>
      </c>
      <c r="B3" s="1321"/>
      <c r="C3" s="1321" t="s">
        <v>14</v>
      </c>
      <c r="D3" s="1320" t="str">
        <f>IF('päd.Personal - Leitung'!$D$3="","",'päd.Personal - Leitung'!$D$3)</f>
        <v/>
      </c>
      <c r="E3" s="1320"/>
      <c r="F3" s="1320"/>
      <c r="G3" s="1320"/>
      <c r="H3" s="1320"/>
      <c r="I3" s="1320"/>
      <c r="J3" s="1320"/>
      <c r="K3" s="1321" t="s">
        <v>100</v>
      </c>
      <c r="L3" s="1321"/>
      <c r="M3" s="1321"/>
      <c r="N3" s="38" t="str">
        <f>IF('päd.Personal - Leitung'!$N$3="","",'päd.Personal - Leitung'!$N$3)</f>
        <v/>
      </c>
    </row>
    <row r="4" spans="1:16" s="923" customFormat="1" ht="7.5" customHeight="1" x14ac:dyDescent="0.15">
      <c r="A4" s="1353"/>
      <c r="B4" s="1353"/>
      <c r="C4" s="1353"/>
      <c r="D4" s="1354"/>
      <c r="E4" s="1354"/>
      <c r="F4" s="1354"/>
      <c r="G4" s="1354"/>
      <c r="H4" s="1354"/>
      <c r="I4" s="1354"/>
      <c r="J4" s="1354"/>
      <c r="K4" s="922"/>
      <c r="L4" s="922"/>
      <c r="M4" s="922"/>
      <c r="N4" s="922"/>
      <c r="O4" s="922"/>
      <c r="P4" s="922"/>
    </row>
    <row r="5" spans="1:16" s="13" customFormat="1" ht="13.5" customHeight="1" x14ac:dyDescent="0.2">
      <c r="A5" s="1355" t="s">
        <v>167</v>
      </c>
      <c r="B5" s="1355"/>
      <c r="C5" s="1355"/>
      <c r="D5" s="1355"/>
      <c r="E5" s="1355"/>
      <c r="F5" s="1355"/>
      <c r="G5" s="1355"/>
      <c r="H5" s="1355"/>
      <c r="I5" s="1355"/>
      <c r="J5" s="1355"/>
      <c r="K5" s="1355"/>
      <c r="L5" s="7"/>
      <c r="M5" s="7"/>
      <c r="N5" s="52"/>
      <c r="O5" s="138">
        <f>'päd.Personal - Leitung'!$O$5</f>
        <v>2025</v>
      </c>
      <c r="P5" s="52" t="s">
        <v>140</v>
      </c>
    </row>
    <row r="6" spans="1:16" s="8" customFormat="1" ht="13.5" customHeight="1" x14ac:dyDescent="0.25">
      <c r="B6" s="29"/>
      <c r="C6" s="29"/>
      <c r="D6" s="3" t="s">
        <v>712</v>
      </c>
      <c r="E6" s="28"/>
      <c r="F6" s="28"/>
      <c r="G6" s="28"/>
      <c r="H6" s="28"/>
      <c r="I6" s="24"/>
      <c r="J6" s="1370"/>
      <c r="K6" s="1370"/>
      <c r="L6" s="81"/>
      <c r="O6" s="928" t="str">
        <f>A29</f>
        <v>Jan 2025</v>
      </c>
      <c r="P6" s="1402">
        <f>IF(M8="","",M8)</f>
        <v>0</v>
      </c>
    </row>
    <row r="7" spans="1:16" s="5" customFormat="1" ht="13.5" customHeight="1" x14ac:dyDescent="0.25">
      <c r="A7" s="1328" t="s">
        <v>754</v>
      </c>
      <c r="B7" s="1328"/>
      <c r="C7" s="1328"/>
      <c r="D7" s="1329"/>
      <c r="E7" s="1329"/>
      <c r="F7" s="1329"/>
      <c r="G7" s="1329"/>
      <c r="H7" s="1329"/>
      <c r="I7" s="1329"/>
      <c r="K7" s="1327" t="s">
        <v>101</v>
      </c>
      <c r="L7" s="1327"/>
      <c r="M7" s="101"/>
      <c r="O7" s="928" t="str">
        <f t="shared" ref="O7:O17" si="0">A30</f>
        <v>Feb 2025</v>
      </c>
      <c r="P7" s="1403">
        <f t="shared" ref="P7:P14" si="1">IF(P6="","",P6)</f>
        <v>0</v>
      </c>
    </row>
    <row r="8" spans="1:16" ht="13.5" customHeight="1" x14ac:dyDescent="0.2">
      <c r="A8" s="1328" t="s">
        <v>12</v>
      </c>
      <c r="B8" s="1328"/>
      <c r="C8" s="1328"/>
      <c r="D8" s="1345"/>
      <c r="E8" s="1345"/>
      <c r="F8" s="1345"/>
      <c r="G8" s="1345"/>
      <c r="H8" s="1345"/>
      <c r="I8" s="1345"/>
      <c r="J8" s="14"/>
      <c r="K8" s="1327" t="s">
        <v>149</v>
      </c>
      <c r="L8" s="1327"/>
      <c r="M8" s="101">
        <f>IF((M9+M10)&gt;M7,0,M7-M9-M10)</f>
        <v>0</v>
      </c>
      <c r="N8" s="14"/>
      <c r="O8" s="928" t="str">
        <f t="shared" si="0"/>
        <v>Mrz 2025</v>
      </c>
      <c r="P8" s="1403">
        <f t="shared" si="1"/>
        <v>0</v>
      </c>
    </row>
    <row r="9" spans="1:16" ht="13.5" customHeight="1" x14ac:dyDescent="0.2">
      <c r="A9" s="1328" t="s">
        <v>11</v>
      </c>
      <c r="B9" s="1328"/>
      <c r="C9" s="1328"/>
      <c r="D9" s="1345"/>
      <c r="E9" s="1345"/>
      <c r="F9" s="1345"/>
      <c r="G9" s="1345"/>
      <c r="H9" s="1345"/>
      <c r="I9" s="1345"/>
      <c r="J9" s="14"/>
      <c r="K9" s="1327" t="s">
        <v>150</v>
      </c>
      <c r="L9" s="1327"/>
      <c r="M9" s="101"/>
      <c r="N9" s="14"/>
      <c r="O9" s="928" t="str">
        <f t="shared" si="0"/>
        <v>Apr 2025</v>
      </c>
      <c r="P9" s="1403">
        <f t="shared" si="1"/>
        <v>0</v>
      </c>
    </row>
    <row r="10" spans="1:16" ht="13.5" customHeight="1" x14ac:dyDescent="0.2">
      <c r="A10" s="1328" t="s">
        <v>18</v>
      </c>
      <c r="B10" s="1328"/>
      <c r="C10" s="1328"/>
      <c r="D10" s="1345"/>
      <c r="E10" s="1345"/>
      <c r="F10" s="1345"/>
      <c r="G10" s="1345"/>
      <c r="H10" s="1345"/>
      <c r="I10" s="1345"/>
      <c r="J10" s="1313" t="s">
        <v>222</v>
      </c>
      <c r="K10" s="1313"/>
      <c r="L10" s="1313"/>
      <c r="M10" s="101"/>
      <c r="N10" s="14"/>
      <c r="O10" s="928" t="str">
        <f t="shared" si="0"/>
        <v>Mai 2025</v>
      </c>
      <c r="P10" s="1403">
        <f t="shared" si="1"/>
        <v>0</v>
      </c>
    </row>
    <row r="11" spans="1:16" ht="13.5" customHeight="1" x14ac:dyDescent="0.2">
      <c r="B11" s="6"/>
      <c r="C11" s="959" t="s">
        <v>147</v>
      </c>
      <c r="D11" s="1324"/>
      <c r="E11" s="1324"/>
      <c r="F11" s="1359" t="s">
        <v>748</v>
      </c>
      <c r="G11" s="1359"/>
      <c r="H11" s="1361"/>
      <c r="I11" s="1361"/>
      <c r="J11" s="14"/>
      <c r="K11" s="1327" t="s">
        <v>94</v>
      </c>
      <c r="L11" s="1327"/>
      <c r="M11" s="15" t="str">
        <f>IF(IF((COUNTIF(B26:B40,"&gt;0"))=0,0,(COUNTIF(B26:B40,"&gt;0")))&gt;Grundlagen!$C$26,Grundlagen!$C$26,IF((COUNTIF(B26:B40,"&gt;0"))=0,"",(COUNTIF(B26:B40,"&gt;0"))))</f>
        <v/>
      </c>
      <c r="N11" s="14"/>
      <c r="O11" s="928" t="str">
        <f t="shared" si="0"/>
        <v>Jun 2025</v>
      </c>
      <c r="P11" s="1403">
        <f t="shared" si="1"/>
        <v>0</v>
      </c>
    </row>
    <row r="12" spans="1:16" ht="13.5" customHeight="1" x14ac:dyDescent="0.2">
      <c r="F12" s="1359" t="s">
        <v>749</v>
      </c>
      <c r="G12" s="1359"/>
      <c r="H12" s="1361"/>
      <c r="I12" s="1361"/>
      <c r="J12" s="14"/>
      <c r="K12" s="14"/>
      <c r="L12" s="14"/>
      <c r="M12" s="102" t="str">
        <f>IF((SUM(F14:F17))=0,"",IF(P18&gt;M8,M8,IF(M8="","",IF(M11="","",P18))))</f>
        <v/>
      </c>
      <c r="O12" s="928" t="str">
        <f t="shared" si="0"/>
        <v>Jul 2025</v>
      </c>
      <c r="P12" s="1403">
        <f t="shared" si="1"/>
        <v>0</v>
      </c>
    </row>
    <row r="13" spans="1:16" s="46" customFormat="1" ht="13.5" customHeight="1" x14ac:dyDescent="0.2">
      <c r="A13" s="54" t="s">
        <v>134</v>
      </c>
      <c r="B13" s="1356" t="s">
        <v>135</v>
      </c>
      <c r="C13" s="1356"/>
      <c r="D13" s="55" t="s">
        <v>136</v>
      </c>
      <c r="E13" s="56" t="s">
        <v>137</v>
      </c>
      <c r="F13" s="57" t="str">
        <f>CONCATENATE("Entg. ",N3," h/Wo")</f>
        <v>Entg.  h/Wo</v>
      </c>
      <c r="G13" s="58" t="s">
        <v>138</v>
      </c>
      <c r="I13" s="58" t="s">
        <v>139</v>
      </c>
      <c r="K13" s="970"/>
      <c r="L13" s="970"/>
      <c r="M13" s="59"/>
      <c r="N13" s="968"/>
      <c r="O13" s="928" t="str">
        <f t="shared" si="0"/>
        <v>Aug 2025</v>
      </c>
      <c r="P13" s="1403">
        <f t="shared" si="1"/>
        <v>0</v>
      </c>
    </row>
    <row r="14" spans="1:16" s="46" customFormat="1" ht="13.5" customHeight="1" x14ac:dyDescent="0.25">
      <c r="A14" s="48" t="str">
        <f>A29</f>
        <v>Jan 2025</v>
      </c>
      <c r="B14" s="1371"/>
      <c r="C14" s="1372"/>
      <c r="D14" s="132"/>
      <c r="E14" s="132"/>
      <c r="F14" s="71"/>
      <c r="G14" s="50">
        <f>IF(N3="",0,F14/N3/4.348)</f>
        <v>0</v>
      </c>
      <c r="I14" s="51">
        <f>SUM(J14:M14)</f>
        <v>0</v>
      </c>
      <c r="J14" s="70"/>
      <c r="K14" s="70"/>
      <c r="L14" s="70"/>
      <c r="M14" s="70"/>
      <c r="N14" s="983"/>
      <c r="O14" s="928" t="str">
        <f t="shared" si="0"/>
        <v>Sep 2025</v>
      </c>
      <c r="P14" s="1403">
        <f t="shared" si="1"/>
        <v>0</v>
      </c>
    </row>
    <row r="15" spans="1:16" s="46" customFormat="1" ht="13.5" customHeight="1" x14ac:dyDescent="0.25">
      <c r="A15" s="49"/>
      <c r="B15" s="1322" t="str">
        <f>IF(A15="","",B14)</f>
        <v/>
      </c>
      <c r="C15" s="1323"/>
      <c r="D15" s="132"/>
      <c r="E15" s="132"/>
      <c r="F15" s="71"/>
      <c r="G15" s="50">
        <f>IF(N3="",0,F15/N3/4.348)</f>
        <v>0</v>
      </c>
      <c r="I15" s="51">
        <f t="shared" ref="I15:I17" si="2">SUM(J15:M15)</f>
        <v>0</v>
      </c>
      <c r="J15" s="70"/>
      <c r="K15" s="70"/>
      <c r="L15" s="70"/>
      <c r="M15" s="70"/>
      <c r="N15" s="983"/>
      <c r="O15" s="928" t="str">
        <f t="shared" si="0"/>
        <v>Okt 2025</v>
      </c>
      <c r="P15" s="1403">
        <f t="shared" ref="P15:P17" si="3">IF(P14="","",P14)</f>
        <v>0</v>
      </c>
    </row>
    <row r="16" spans="1:16" s="46" customFormat="1" ht="13.5" customHeight="1" x14ac:dyDescent="0.25">
      <c r="A16" s="49"/>
      <c r="B16" s="1322" t="str">
        <f>IF(A16="","",B15)</f>
        <v/>
      </c>
      <c r="C16" s="1323"/>
      <c r="D16" s="132"/>
      <c r="E16" s="132"/>
      <c r="F16" s="71"/>
      <c r="G16" s="50">
        <f>IF(N3="",0,F16/N3/4.348)</f>
        <v>0</v>
      </c>
      <c r="I16" s="51">
        <f t="shared" si="2"/>
        <v>0</v>
      </c>
      <c r="J16" s="70"/>
      <c r="K16" s="70"/>
      <c r="L16" s="70"/>
      <c r="M16" s="70"/>
      <c r="N16" s="983"/>
      <c r="O16" s="928" t="str">
        <f t="shared" si="0"/>
        <v>Nov 2025</v>
      </c>
      <c r="P16" s="1403">
        <f t="shared" si="3"/>
        <v>0</v>
      </c>
    </row>
    <row r="17" spans="1:16" s="46" customFormat="1" ht="13.5" customHeight="1" x14ac:dyDescent="0.25">
      <c r="A17" s="49"/>
      <c r="B17" s="1322" t="str">
        <f>IF(A17="","",B16)</f>
        <v/>
      </c>
      <c r="C17" s="1323"/>
      <c r="D17" s="132"/>
      <c r="E17" s="132"/>
      <c r="F17" s="71"/>
      <c r="G17" s="50">
        <f>IF(N3="",0,F17/N3/4.348)</f>
        <v>0</v>
      </c>
      <c r="I17" s="51">
        <f t="shared" si="2"/>
        <v>0</v>
      </c>
      <c r="J17" s="70"/>
      <c r="K17" s="70"/>
      <c r="L17" s="70"/>
      <c r="M17" s="70"/>
      <c r="N17" s="983"/>
      <c r="O17" s="928" t="str">
        <f t="shared" si="0"/>
        <v>Dez 2025</v>
      </c>
      <c r="P17" s="1403">
        <f t="shared" si="3"/>
        <v>0</v>
      </c>
    </row>
    <row r="18" spans="1:16" s="46" customFormat="1" ht="13.5" customHeight="1" x14ac:dyDescent="0.25">
      <c r="B18" s="972"/>
      <c r="C18" s="972"/>
      <c r="E18" s="972"/>
      <c r="F18" s="972"/>
      <c r="I18" s="993" t="s">
        <v>730</v>
      </c>
      <c r="J18" s="1052"/>
      <c r="K18" s="1052"/>
      <c r="L18" s="1052"/>
      <c r="M18" s="1052"/>
      <c r="N18" s="994"/>
      <c r="O18" s="126" t="s">
        <v>221</v>
      </c>
      <c r="P18" s="127">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924" t="s">
        <v>732</v>
      </c>
      <c r="D19" s="55" t="s">
        <v>369</v>
      </c>
      <c r="E19" s="56" t="s">
        <v>368</v>
      </c>
      <c r="F19" s="58"/>
      <c r="J19" s="61"/>
    </row>
    <row r="20" spans="1:16" s="46" customFormat="1" ht="13.5" customHeight="1" x14ac:dyDescent="0.25">
      <c r="A20" s="60"/>
      <c r="B20" s="1314" t="str">
        <f>IF('päd.Personal - Leitung'!$B$20="","",'päd.Personal - Leitung'!$B$20)</f>
        <v>Jahressonderzahlung (JSZ)</v>
      </c>
      <c r="C20" s="1315"/>
      <c r="D20" s="926"/>
      <c r="E20" s="929" t="str">
        <f>IF(A20="","",ROUND((((SUM(B35:B37)+SUM(F35:F37))/3)*D20)/Grundlagen!$C$26*M11,2))</f>
        <v/>
      </c>
      <c r="G20" s="986"/>
      <c r="H20" s="995"/>
      <c r="I20" s="988"/>
      <c r="J20" s="988"/>
      <c r="K20" s="988"/>
      <c r="L20" s="989"/>
      <c r="M20" s="989"/>
      <c r="N20" s="984"/>
      <c r="O20" s="990"/>
      <c r="P20" s="990"/>
    </row>
    <row r="21" spans="1:16" ht="14.25" customHeight="1" x14ac:dyDescent="0.2">
      <c r="A21" s="60"/>
      <c r="B21" s="1314" t="str">
        <f>IF('päd.Personal - Leitung'!$B$21="","",'päd.Personal - Leitung'!$B$21)</f>
        <v>Leistungsentgelt (LOB)</v>
      </c>
      <c r="C21" s="1315"/>
      <c r="D21" s="926"/>
      <c r="E21" s="929" t="str">
        <f>IF(A21="","",ROUND(((B41+F41)*D21)/Grundlagen!$C$26*M11,2))</f>
        <v/>
      </c>
      <c r="G21" s="986"/>
      <c r="H21" s="987"/>
      <c r="I21" s="988"/>
      <c r="J21" s="988"/>
      <c r="K21" s="988"/>
      <c r="L21" s="991"/>
      <c r="M21" s="991"/>
      <c r="N21" s="985"/>
      <c r="O21" s="65"/>
      <c r="P21" s="65"/>
    </row>
    <row r="22" spans="1:16" ht="14.25" customHeight="1" x14ac:dyDescent="0.2">
      <c r="C22" s="925" t="s">
        <v>731</v>
      </c>
      <c r="L22" s="991"/>
      <c r="M22" s="991"/>
      <c r="N22" s="985"/>
      <c r="O22" s="992"/>
      <c r="P22" s="992"/>
    </row>
    <row r="23" spans="1:16" ht="14.25" customHeight="1" x14ac:dyDescent="0.2">
      <c r="A23" s="53" t="s">
        <v>141</v>
      </c>
      <c r="B23" s="46"/>
      <c r="C23" s="46"/>
      <c r="D23" s="46"/>
      <c r="E23" s="46"/>
      <c r="F23" s="46"/>
      <c r="G23" s="46"/>
      <c r="H23" s="46"/>
      <c r="I23" s="46"/>
      <c r="J23" s="46"/>
      <c r="K23" s="46"/>
      <c r="L23" s="46"/>
      <c r="M23" s="46"/>
      <c r="N23" s="46"/>
      <c r="O23" s="46"/>
      <c r="P23" s="46"/>
    </row>
    <row r="24" spans="1:16" x14ac:dyDescent="0.2">
      <c r="A24" s="1346"/>
      <c r="B24" s="1348" t="s">
        <v>8</v>
      </c>
      <c r="C24" s="1349"/>
      <c r="D24" s="1349"/>
      <c r="E24" s="1349"/>
      <c r="F24" s="1349"/>
      <c r="G24" s="1350"/>
      <c r="H24" s="1351" t="s">
        <v>113</v>
      </c>
      <c r="I24" s="1352"/>
      <c r="J24" s="1352"/>
      <c r="K24" s="1352"/>
      <c r="L24" s="1352"/>
      <c r="M24" s="1352"/>
      <c r="N24" s="1352"/>
      <c r="O24" s="30"/>
      <c r="P24" s="1330" t="s">
        <v>0</v>
      </c>
    </row>
    <row r="25" spans="1:16" ht="14.25" customHeight="1" x14ac:dyDescent="0.2">
      <c r="A25" s="1347"/>
      <c r="B25" s="1333" t="s">
        <v>111</v>
      </c>
      <c r="C25" s="1335" t="s">
        <v>743</v>
      </c>
      <c r="D25" s="1337" t="s">
        <v>226</v>
      </c>
      <c r="E25" s="1339" t="s">
        <v>133</v>
      </c>
      <c r="F25" s="962" t="s">
        <v>6</v>
      </c>
      <c r="G25" s="1340" t="s">
        <v>5</v>
      </c>
      <c r="H25" s="1339" t="s">
        <v>119</v>
      </c>
      <c r="I25" s="1339" t="s">
        <v>4</v>
      </c>
      <c r="J25" s="1339" t="s">
        <v>3</v>
      </c>
      <c r="K25" s="1339" t="s">
        <v>2</v>
      </c>
      <c r="L25" s="1339" t="s">
        <v>114</v>
      </c>
      <c r="M25" s="1339" t="s">
        <v>115</v>
      </c>
      <c r="N25" s="1339" t="s">
        <v>116</v>
      </c>
      <c r="O25" s="1338" t="s">
        <v>109</v>
      </c>
      <c r="P25" s="1331"/>
    </row>
    <row r="26" spans="1:16" x14ac:dyDescent="0.2">
      <c r="A26" s="1347"/>
      <c r="B26" s="1333"/>
      <c r="C26" s="1335"/>
      <c r="D26" s="1338"/>
      <c r="E26" s="1339"/>
      <c r="F26" s="1343" t="str">
        <f>I18</f>
        <v>Zuschläge / Zulagen / o.ä.:</v>
      </c>
      <c r="G26" s="1340"/>
      <c r="H26" s="1342" t="s">
        <v>117</v>
      </c>
      <c r="I26" s="1342"/>
      <c r="J26" s="1342"/>
      <c r="K26" s="1342"/>
      <c r="L26" s="1342"/>
      <c r="M26" s="1342"/>
      <c r="N26" s="1342"/>
      <c r="O26" s="1338"/>
      <c r="P26" s="1331"/>
    </row>
    <row r="27" spans="1:16" ht="14.25" customHeight="1" x14ac:dyDescent="0.2">
      <c r="A27" s="1347"/>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row>
    <row r="28" spans="1:16" x14ac:dyDescent="0.2">
      <c r="A28" s="1347"/>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row>
    <row r="29" spans="1:16"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 si="4">SUM(B29+C29+E29+F29)</f>
        <v>0</v>
      </c>
      <c r="H29" s="64">
        <f>ROUND(SUM(B29:F29)*H28,2)</f>
        <v>0</v>
      </c>
      <c r="I29" s="64">
        <f>ROUND(SUM(B29:F29)*I28,2)</f>
        <v>0</v>
      </c>
      <c r="J29" s="64">
        <f>ROUND(SUM(B29:F29)*J28,2)</f>
        <v>0</v>
      </c>
      <c r="K29" s="64">
        <f>ROUND(SUM(B29:F29)*K28,2)</f>
        <v>0</v>
      </c>
      <c r="L29" s="64">
        <f>ROUND((SUM(B29:F29)-C29)*L28,2)</f>
        <v>0</v>
      </c>
      <c r="M29" s="64">
        <f>ROUND((SUM(B29:F29)-C29)*M28,2)</f>
        <v>0</v>
      </c>
      <c r="N29" s="64">
        <f>ROUND(SUM(B29:F29)*N28,2)</f>
        <v>0</v>
      </c>
      <c r="O29" s="21">
        <f>ROUND(SUM(B29+C29+F29)*O28,2)</f>
        <v>0</v>
      </c>
      <c r="P29" s="25">
        <f>SUM(G29:O29)</f>
        <v>0</v>
      </c>
    </row>
    <row r="30" spans="1:16" x14ac:dyDescent="0.2">
      <c r="A30" s="76" t="str">
        <f>'päd.Personal - Leitung'!$A$30</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ref="G30:G32" si="5">SUM(B30+C30+E30+F30)</f>
        <v>0</v>
      </c>
      <c r="H30" s="64">
        <f>ROUND(SUM(B30:F30)*H28,2)</f>
        <v>0</v>
      </c>
      <c r="I30" s="64">
        <f>ROUND(SUM(B30:F30)*I28,2)</f>
        <v>0</v>
      </c>
      <c r="J30" s="64">
        <f>ROUND(SUM(B30:F30)*J28,2)</f>
        <v>0</v>
      </c>
      <c r="K30" s="64">
        <f>ROUND(SUM(B30:F30)*K28,2)</f>
        <v>0</v>
      </c>
      <c r="L30" s="64">
        <f>ROUND((SUM(B30:F30)-C30)*L28,2)</f>
        <v>0</v>
      </c>
      <c r="M30" s="64">
        <f>ROUND((SUM(B30:F30)-C30)*M28,2)</f>
        <v>0</v>
      </c>
      <c r="N30" s="64">
        <f>ROUND(SUM(B30:F30)*N28,2)</f>
        <v>0</v>
      </c>
      <c r="O30" s="21">
        <f>ROUND(SUM(B30+C30+F30)*O28,2)</f>
        <v>0</v>
      </c>
      <c r="P30" s="25">
        <f t="shared" ref="P30:P40" si="6">SUM(G30:O30)</f>
        <v>0</v>
      </c>
    </row>
    <row r="31" spans="1:16" x14ac:dyDescent="0.2">
      <c r="A31" s="76" t="str">
        <f>'päd.Personal - Leitung'!$A$31</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5"/>
        <v>0</v>
      </c>
      <c r="H31" s="64">
        <f>ROUND(SUM(B31:F31)*H28,2)</f>
        <v>0</v>
      </c>
      <c r="I31" s="64">
        <f>ROUND(SUM(B31:F31)*I28,2)</f>
        <v>0</v>
      </c>
      <c r="J31" s="64">
        <f>ROUND(SUM(B31:F31)*J28,2)</f>
        <v>0</v>
      </c>
      <c r="K31" s="64">
        <f>ROUND(SUM(B31:F31)*K28,2)</f>
        <v>0</v>
      </c>
      <c r="L31" s="64">
        <f>ROUND((SUM(B31:F31)-C31)*L28,2)</f>
        <v>0</v>
      </c>
      <c r="M31" s="64">
        <f>ROUND((SUM(B31:F31)-C31)*M28,2)</f>
        <v>0</v>
      </c>
      <c r="N31" s="64">
        <f>ROUND(SUM(B31:F31)*N28,2)</f>
        <v>0</v>
      </c>
      <c r="O31" s="21">
        <f>ROUND(SUM(B31+C31+F31)*O28,2)</f>
        <v>0</v>
      </c>
      <c r="P31" s="25">
        <f t="shared" si="6"/>
        <v>0</v>
      </c>
    </row>
    <row r="32" spans="1:16" x14ac:dyDescent="0.2">
      <c r="A32" s="76" t="str">
        <f>'päd.Personal - Leitung'!$A$32</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5"/>
        <v>0</v>
      </c>
      <c r="H32" s="64">
        <f>ROUND(SUM(B32:F32)*H28,2)</f>
        <v>0</v>
      </c>
      <c r="I32" s="64">
        <f>ROUND(SUM(B32:F32)*I28,2)</f>
        <v>0</v>
      </c>
      <c r="J32" s="64">
        <f>ROUND(SUM(B32:F32)*J28,2)</f>
        <v>0</v>
      </c>
      <c r="K32" s="64">
        <f>ROUND(SUM(B32:F32)*K28,2)</f>
        <v>0</v>
      </c>
      <c r="L32" s="64">
        <f>ROUND((SUM(B32:F32)-C32)*L28,2)</f>
        <v>0</v>
      </c>
      <c r="M32" s="64">
        <f>ROUND((SUM(B32:F32)-C32)*M28,2)</f>
        <v>0</v>
      </c>
      <c r="N32" s="64">
        <f>ROUND(SUM(B32:F32)*N28,2)</f>
        <v>0</v>
      </c>
      <c r="O32" s="21">
        <f>ROUND(SUM(B32+C32+F32)*O28,2)</f>
        <v>0</v>
      </c>
      <c r="P32" s="25">
        <f t="shared" si="6"/>
        <v>0</v>
      </c>
    </row>
    <row r="33" spans="1:16" x14ac:dyDescent="0.2">
      <c r="A33" s="76" t="str">
        <f>'päd.Personal - Leitung'!$A$33</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ref="G33:G40" si="7">SUM(B33+C33+E33+F33)</f>
        <v>0</v>
      </c>
      <c r="H33" s="64">
        <f>ROUND(SUM(B33:F33)*H28,2)</f>
        <v>0</v>
      </c>
      <c r="I33" s="64">
        <f>ROUND(SUM(B33:F33)*I28,2)</f>
        <v>0</v>
      </c>
      <c r="J33" s="64">
        <f>ROUND(SUM(B33:F33)*J28,2)</f>
        <v>0</v>
      </c>
      <c r="K33" s="64">
        <f>ROUND(SUM(B33:F33)*K28,2)</f>
        <v>0</v>
      </c>
      <c r="L33" s="64">
        <f>ROUND((SUM(B33:F33)-C33)*L28,2)</f>
        <v>0</v>
      </c>
      <c r="M33" s="64">
        <f>ROUND((SUM(B33:F33)-C33)*M28,2)</f>
        <v>0</v>
      </c>
      <c r="N33" s="64">
        <f>ROUND(SUM(B33:F33)*N28,2)</f>
        <v>0</v>
      </c>
      <c r="O33" s="21">
        <f>ROUND(SUM(B33+C33+F33)*O28,2)</f>
        <v>0</v>
      </c>
      <c r="P33" s="25">
        <f t="shared" si="6"/>
        <v>0</v>
      </c>
    </row>
    <row r="34" spans="1:16" x14ac:dyDescent="0.2">
      <c r="A34" s="76" t="str">
        <f>'päd.Personal - Leitung'!$A$34</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7"/>
        <v>0</v>
      </c>
      <c r="H34" s="64">
        <f>ROUND(SUM(B34:F34)*H28,2)</f>
        <v>0</v>
      </c>
      <c r="I34" s="64">
        <f>ROUND(SUM(B34:F34)*I28,2)</f>
        <v>0</v>
      </c>
      <c r="J34" s="64">
        <f>ROUND(SUM(B34:F34)*J28,2)</f>
        <v>0</v>
      </c>
      <c r="K34" s="64">
        <f>ROUND(SUM(B34:F34)*K28,2)</f>
        <v>0</v>
      </c>
      <c r="L34" s="64">
        <f>ROUND((SUM(B34:F34)-C34)*L28,2)</f>
        <v>0</v>
      </c>
      <c r="M34" s="64">
        <f>ROUND((SUM(B34:F34)-C34)*M28,2)</f>
        <v>0</v>
      </c>
      <c r="N34" s="64">
        <f>ROUND(SUM(B34:F34)*N28,2)</f>
        <v>0</v>
      </c>
      <c r="O34" s="21">
        <f>ROUND(SUM(B34+C34+F34)*O28,2)</f>
        <v>0</v>
      </c>
      <c r="P34" s="25">
        <f t="shared" si="6"/>
        <v>0</v>
      </c>
    </row>
    <row r="35" spans="1:16" x14ac:dyDescent="0.2">
      <c r="A35" s="76" t="str">
        <f>'päd.Personal - Leitung'!$A$35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7"/>
        <v>0</v>
      </c>
      <c r="H35" s="64">
        <f>ROUND(SUM(B35:F35)*H28,2)</f>
        <v>0</v>
      </c>
      <c r="I35" s="64">
        <f>ROUND(SUM(B35:F35)*I28,2)</f>
        <v>0</v>
      </c>
      <c r="J35" s="64">
        <f>ROUND(SUM(B35:F35)*J28,2)</f>
        <v>0</v>
      </c>
      <c r="K35" s="64">
        <f>ROUND(SUM(B35:F35)*K28,2)</f>
        <v>0</v>
      </c>
      <c r="L35" s="64">
        <f>ROUND((SUM(B35:F35)-C35)*L28,2)</f>
        <v>0</v>
      </c>
      <c r="M35" s="64">
        <f>ROUND((SUM(B35:F35)-C35)*M28,2)</f>
        <v>0</v>
      </c>
      <c r="N35" s="64">
        <f>ROUND(SUM(B35:F35)*N28,2)</f>
        <v>0</v>
      </c>
      <c r="O35" s="21">
        <f>ROUND(SUM(B35+C35+F35)*O28,2)</f>
        <v>0</v>
      </c>
      <c r="P35" s="25">
        <f t="shared" si="6"/>
        <v>0</v>
      </c>
    </row>
    <row r="36" spans="1:16" x14ac:dyDescent="0.2">
      <c r="A36" s="76" t="str">
        <f>'päd.Personal - Leitung'!$A$36</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7"/>
        <v>0</v>
      </c>
      <c r="H36" s="64">
        <f>ROUND(SUM(B36:F36)*H28,2)</f>
        <v>0</v>
      </c>
      <c r="I36" s="64">
        <f>ROUND(SUM(B36:F36)*I28,2)</f>
        <v>0</v>
      </c>
      <c r="J36" s="64">
        <f>ROUND(SUM(B36:F36)*J28,2)</f>
        <v>0</v>
      </c>
      <c r="K36" s="64">
        <f>ROUND(SUM(B36:F36)*K28,2)</f>
        <v>0</v>
      </c>
      <c r="L36" s="64">
        <f>ROUND((SUM(B36:F36)-C36)*L28,2)</f>
        <v>0</v>
      </c>
      <c r="M36" s="64">
        <f>ROUND((SUM(B36:F36)-C36)*M28,2)</f>
        <v>0</v>
      </c>
      <c r="N36" s="64">
        <f>ROUND(SUM(B36:F36)*N28,2)</f>
        <v>0</v>
      </c>
      <c r="O36" s="21">
        <f>ROUND(SUM(B36+C36+F36)*O28,2)</f>
        <v>0</v>
      </c>
      <c r="P36" s="25">
        <f t="shared" si="6"/>
        <v>0</v>
      </c>
    </row>
    <row r="37" spans="1:16" x14ac:dyDescent="0.2">
      <c r="A37" s="76" t="str">
        <f>'päd.Personal - Leitung'!$A$37</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7"/>
        <v>0</v>
      </c>
      <c r="H37" s="64">
        <f>ROUND(SUM(B37:F37)*H28,2)</f>
        <v>0</v>
      </c>
      <c r="I37" s="64">
        <f>ROUND(SUM(B37:F37)*I28,2)</f>
        <v>0</v>
      </c>
      <c r="J37" s="64">
        <f>ROUND(SUM(B37:F37)*J28,2)</f>
        <v>0</v>
      </c>
      <c r="K37" s="64">
        <f>ROUND(SUM(B37:F37)*K28,2)</f>
        <v>0</v>
      </c>
      <c r="L37" s="64">
        <f>ROUND((SUM(B37:F37)-C37)*L28,2)</f>
        <v>0</v>
      </c>
      <c r="M37" s="64">
        <f>ROUND((SUM(B37:F37)-C37)*M28,2)</f>
        <v>0</v>
      </c>
      <c r="N37" s="64">
        <f>ROUND(SUM(B37:F37)*N28,2)</f>
        <v>0</v>
      </c>
      <c r="O37" s="21">
        <f>ROUND(SUM(B37+C37+F37)*O28,2)</f>
        <v>0</v>
      </c>
      <c r="P37" s="25">
        <f t="shared" si="6"/>
        <v>0</v>
      </c>
    </row>
    <row r="38" spans="1:16" x14ac:dyDescent="0.2">
      <c r="A38" s="76" t="str">
        <f>'päd.Personal - Leitung'!$A$38</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7"/>
        <v>0</v>
      </c>
      <c r="H38" s="64">
        <f>ROUND(SUM(B38:F38)*H28,2)</f>
        <v>0</v>
      </c>
      <c r="I38" s="64">
        <f>ROUND(SUM(B38:F38)*I28,2)</f>
        <v>0</v>
      </c>
      <c r="J38" s="64">
        <f>ROUND(SUM(B38:F38)*J28,2)</f>
        <v>0</v>
      </c>
      <c r="K38" s="64">
        <f>ROUND(SUM(B38:F38)*K28,2)</f>
        <v>0</v>
      </c>
      <c r="L38" s="64">
        <f>ROUND((SUM(B38:F38)-C38)*L28,2)</f>
        <v>0</v>
      </c>
      <c r="M38" s="64">
        <f>ROUND((SUM(B38:F38)-C38)*M28,2)</f>
        <v>0</v>
      </c>
      <c r="N38" s="64">
        <f>ROUND(SUM(B38:F38)*N28,2)</f>
        <v>0</v>
      </c>
      <c r="O38" s="21">
        <f>ROUND(SUM(B38+C38+F38)*O28,2)</f>
        <v>0</v>
      </c>
      <c r="P38" s="25">
        <f t="shared" si="6"/>
        <v>0</v>
      </c>
    </row>
    <row r="39" spans="1:16" x14ac:dyDescent="0.2">
      <c r="A39" s="76" t="str">
        <f>'päd.Personal - Leitung'!$A$39</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7"/>
        <v>0</v>
      </c>
      <c r="H39" s="64">
        <f>ROUND(SUM(B39:F39)*H28,2)</f>
        <v>0</v>
      </c>
      <c r="I39" s="64">
        <f>ROUND(SUM(B39:F39)*I28,2)</f>
        <v>0</v>
      </c>
      <c r="J39" s="64">
        <f>ROUND(SUM(B39:F39)*J28,2)</f>
        <v>0</v>
      </c>
      <c r="K39" s="64">
        <f>ROUND(SUM(B39:F39)*K28,2)</f>
        <v>0</v>
      </c>
      <c r="L39" s="64">
        <f>ROUND((SUM(B39:F39)-C39)*L28,2)</f>
        <v>0</v>
      </c>
      <c r="M39" s="64">
        <f>ROUND((SUM(B39:F39)-C39)*M28,2)</f>
        <v>0</v>
      </c>
      <c r="N39" s="64">
        <f>ROUND(SUM(B39:F39)*N28,2)</f>
        <v>0</v>
      </c>
      <c r="O39" s="21">
        <f>ROUND(SUM(B39+C39+F39)*O28,2)</f>
        <v>0</v>
      </c>
      <c r="P39" s="25">
        <f t="shared" si="6"/>
        <v>0</v>
      </c>
    </row>
    <row r="40" spans="1:16" x14ac:dyDescent="0.2">
      <c r="A40" s="76" t="str">
        <f>'päd.Personal - Leitung'!$A$40</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7"/>
        <v>0</v>
      </c>
      <c r="H40" s="64">
        <f>ROUND(SUM(B40:F40)*H28,2)</f>
        <v>0</v>
      </c>
      <c r="I40" s="64">
        <f>ROUND(SUM(B40:F40)*I28,2)</f>
        <v>0</v>
      </c>
      <c r="J40" s="64">
        <f>ROUND(SUM(B40:F40)*J28,2)</f>
        <v>0</v>
      </c>
      <c r="K40" s="64">
        <f>ROUND(SUM(B40:F40)*K28,2)</f>
        <v>0</v>
      </c>
      <c r="L40" s="64">
        <f>ROUND((SUM(B40:F40)-C40)*L28,2)</f>
        <v>0</v>
      </c>
      <c r="M40" s="64">
        <f>ROUND((SUM(B40:F40)-C40)*M28,2)</f>
        <v>0</v>
      </c>
      <c r="N40" s="64">
        <f>ROUND(SUM(B40:F40)*N28,2)</f>
        <v>0</v>
      </c>
      <c r="O40" s="21">
        <f>ROUND(SUM(B40+C40+F40)*O28,2)</f>
        <v>0</v>
      </c>
      <c r="P40" s="25">
        <f t="shared" si="6"/>
        <v>0</v>
      </c>
    </row>
    <row r="41" spans="1:16" s="12" customFormat="1" ht="15" x14ac:dyDescent="0.25">
      <c r="A41" s="2" t="s">
        <v>1</v>
      </c>
      <c r="B41" s="25">
        <f t="shared" ref="B41:G41" si="8">SUM(B29:B40)</f>
        <v>0</v>
      </c>
      <c r="C41" s="25">
        <f t="shared" si="8"/>
        <v>0</v>
      </c>
      <c r="D41" s="25">
        <f t="shared" si="8"/>
        <v>0</v>
      </c>
      <c r="E41" s="25">
        <f t="shared" si="8"/>
        <v>0</v>
      </c>
      <c r="F41" s="25">
        <f t="shared" si="8"/>
        <v>0</v>
      </c>
      <c r="G41" s="25">
        <f t="shared" si="8"/>
        <v>0</v>
      </c>
      <c r="H41" s="1309">
        <f>SUM(H29:N40)</f>
        <v>0</v>
      </c>
      <c r="I41" s="1310"/>
      <c r="J41" s="1310"/>
      <c r="K41" s="1310"/>
      <c r="L41" s="1310"/>
      <c r="M41" s="1310"/>
      <c r="N41" s="1311"/>
      <c r="O41" s="25">
        <f>SUM(O29:O40)</f>
        <v>0</v>
      </c>
      <c r="P41" s="25">
        <f>SUM(P29:P40)</f>
        <v>0</v>
      </c>
    </row>
    <row r="42" spans="1:16" ht="12" customHeight="1" x14ac:dyDescent="0.2"/>
    <row r="43" spans="1:16" ht="14.25" customHeight="1" x14ac:dyDescent="0.2">
      <c r="B43" s="906"/>
      <c r="H43" s="905"/>
      <c r="I43" s="62"/>
      <c r="J43" s="914" t="s">
        <v>123</v>
      </c>
      <c r="L43" s="900" t="s">
        <v>124</v>
      </c>
      <c r="M43" s="1032"/>
      <c r="N43" s="902" t="s">
        <v>125</v>
      </c>
      <c r="O43" s="1033"/>
      <c r="P43" s="25">
        <f>ROUND(IF(M43="",0,G41*M43*O43/1000),2)</f>
        <v>0</v>
      </c>
    </row>
    <row r="44" spans="1:16" ht="14.25" customHeight="1" x14ac:dyDescent="0.2">
      <c r="H44" s="907"/>
      <c r="I44" s="42"/>
      <c r="M44" s="915" t="s">
        <v>129</v>
      </c>
      <c r="N44" s="80" t="s">
        <v>125</v>
      </c>
      <c r="O44" s="1034"/>
      <c r="P44" s="25">
        <f>ROUND(IF(O44="",0,G41*O44/1000),2)</f>
        <v>0</v>
      </c>
    </row>
    <row r="45" spans="1:16" ht="14.25" customHeight="1" x14ac:dyDescent="0.2">
      <c r="H45" s="912" t="s">
        <v>126</v>
      </c>
      <c r="I45" s="960" t="s">
        <v>127</v>
      </c>
      <c r="J45" s="1037"/>
      <c r="K45" s="902" t="s">
        <v>128</v>
      </c>
      <c r="L45" s="1036"/>
      <c r="M45" s="16"/>
      <c r="N45" s="900" t="s">
        <v>132</v>
      </c>
      <c r="O45" s="1035"/>
      <c r="P45" s="25">
        <f>ROUND(IF(J45="",0,(J45*L45/O45)/M9*M10),2)</f>
        <v>0</v>
      </c>
    </row>
    <row r="46" spans="1:16" ht="14.25" customHeight="1" x14ac:dyDescent="0.2">
      <c r="D46" s="16"/>
      <c r="I46" s="16"/>
      <c r="J46" s="961" t="s">
        <v>176</v>
      </c>
      <c r="K46" s="1312"/>
      <c r="L46" s="1312"/>
      <c r="M46" s="1312"/>
      <c r="N46" s="80" t="s">
        <v>131</v>
      </c>
      <c r="O46" s="904"/>
      <c r="P46" s="21">
        <f>ROUND(IF(G41=0,0,O46/M7*M8),2)</f>
        <v>0</v>
      </c>
    </row>
    <row r="47" spans="1:16" ht="14.25" customHeight="1" x14ac:dyDescent="0.2">
      <c r="A47" s="16"/>
      <c r="B47" s="16"/>
      <c r="I47" s="905"/>
      <c r="O47" s="26" t="s">
        <v>0</v>
      </c>
      <c r="P47" s="25">
        <f>P41+SUM(P43:P46)</f>
        <v>0</v>
      </c>
    </row>
    <row r="48" spans="1:16" ht="14.25" customHeight="1" x14ac:dyDescent="0.2">
      <c r="A48" s="908"/>
      <c r="B48" s="908"/>
      <c r="C48" s="960"/>
      <c r="D48" s="960"/>
      <c r="I48" s="913"/>
      <c r="J48" s="913"/>
      <c r="K48" s="916"/>
      <c r="L48" s="27"/>
      <c r="M48" s="27"/>
      <c r="N48" s="27"/>
    </row>
    <row r="49" spans="1:16" s="10" customFormat="1" ht="13.5" customHeight="1" x14ac:dyDescent="0.2">
      <c r="A49" s="1321" t="s">
        <v>17</v>
      </c>
      <c r="B49" s="1321"/>
      <c r="C49" s="1321"/>
      <c r="D49" s="1320" t="str">
        <f>IF('päd.Personal - Leitung'!$D$1="","",'päd.Personal - Leitung'!$D$1)</f>
        <v/>
      </c>
      <c r="E49" s="1320"/>
      <c r="F49" s="1320"/>
      <c r="G49" s="1320"/>
      <c r="H49" s="1320"/>
      <c r="I49" s="1320"/>
      <c r="J49" s="1320"/>
      <c r="K49" s="1320"/>
      <c r="L49" s="1320"/>
      <c r="M49" s="1320"/>
      <c r="N49" s="1320"/>
    </row>
    <row r="50" spans="1:16" s="10" customFormat="1" ht="15" customHeight="1" x14ac:dyDescent="0.2">
      <c r="A50" s="1321" t="s">
        <v>16</v>
      </c>
      <c r="B50" s="1321"/>
      <c r="C50" s="1321" t="s">
        <v>14</v>
      </c>
      <c r="D50" s="1320" t="str">
        <f>IF('päd.Personal - Leitung'!$D$2="","",'päd.Personal - Leitung'!$D$2)</f>
        <v/>
      </c>
      <c r="E50" s="1320"/>
      <c r="F50" s="1320"/>
      <c r="G50" s="1320"/>
      <c r="H50" s="1320"/>
      <c r="I50" s="1320"/>
      <c r="J50" s="1320"/>
      <c r="K50" s="1320"/>
      <c r="L50" s="1320"/>
      <c r="M50" s="1320"/>
      <c r="N50" s="1320"/>
    </row>
    <row r="51" spans="1:16" s="10" customFormat="1" ht="15" customHeight="1" x14ac:dyDescent="0.2">
      <c r="A51" s="1321" t="s">
        <v>15</v>
      </c>
      <c r="B51" s="1321"/>
      <c r="C51" s="1321" t="s">
        <v>14</v>
      </c>
      <c r="D51" s="1320" t="str">
        <f>IF('päd.Personal - Leitung'!$D$3="","",'päd.Personal - Leitung'!$D$3)</f>
        <v/>
      </c>
      <c r="E51" s="1320"/>
      <c r="F51" s="1320"/>
      <c r="G51" s="1320"/>
      <c r="H51" s="1320"/>
      <c r="I51" s="1320"/>
      <c r="J51" s="1320"/>
      <c r="K51" s="1321" t="s">
        <v>100</v>
      </c>
      <c r="L51" s="1321"/>
      <c r="M51" s="1321"/>
      <c r="N51" s="38" t="str">
        <f>IF('päd.Personal - Leitung'!$N$3="","",'päd.Personal - Leitung'!$N$3)</f>
        <v/>
      </c>
    </row>
    <row r="52" spans="1:16" s="923" customFormat="1" ht="7.5" customHeight="1" x14ac:dyDescent="0.15">
      <c r="A52" s="1353"/>
      <c r="B52" s="1353"/>
      <c r="C52" s="1353"/>
      <c r="D52" s="1354"/>
      <c r="E52" s="1354"/>
      <c r="F52" s="1354"/>
      <c r="G52" s="1354"/>
      <c r="H52" s="1354"/>
      <c r="I52" s="1354"/>
      <c r="J52" s="1354"/>
      <c r="K52" s="922"/>
      <c r="L52" s="922"/>
      <c r="M52" s="922"/>
      <c r="N52" s="922"/>
      <c r="O52" s="922"/>
      <c r="P52" s="922"/>
    </row>
    <row r="53" spans="1:16" s="13" customFormat="1" ht="13.5" customHeight="1" x14ac:dyDescent="0.2">
      <c r="A53" s="1355" t="s">
        <v>167</v>
      </c>
      <c r="B53" s="1355"/>
      <c r="C53" s="1355"/>
      <c r="D53" s="1355"/>
      <c r="E53" s="1355"/>
      <c r="F53" s="1355"/>
      <c r="G53" s="1355"/>
      <c r="H53" s="1355"/>
      <c r="I53" s="1355"/>
      <c r="J53" s="1355"/>
      <c r="K53" s="1355"/>
      <c r="L53" s="7"/>
      <c r="M53" s="7"/>
      <c r="N53" s="52"/>
      <c r="O53" s="138">
        <f>'päd.Personal - Leitung'!$O$5</f>
        <v>2025</v>
      </c>
      <c r="P53" s="52" t="s">
        <v>140</v>
      </c>
    </row>
    <row r="54" spans="1:16" s="8" customFormat="1" ht="13.5" customHeight="1" x14ac:dyDescent="0.25">
      <c r="B54" s="29"/>
      <c r="C54" s="29"/>
      <c r="D54" s="3" t="s">
        <v>713</v>
      </c>
      <c r="E54" s="28"/>
      <c r="F54" s="28"/>
      <c r="G54" s="28"/>
      <c r="H54" s="28"/>
      <c r="I54" s="24"/>
      <c r="J54" s="1370"/>
      <c r="K54" s="1370"/>
      <c r="L54" s="81"/>
      <c r="O54" s="928" t="str">
        <f>A77</f>
        <v>Jan 2025</v>
      </c>
      <c r="P54" s="1402">
        <f>IF(M56="","",M56)</f>
        <v>0</v>
      </c>
    </row>
    <row r="55" spans="1:16" s="5" customFormat="1" ht="13.5" customHeight="1" x14ac:dyDescent="0.25">
      <c r="A55" s="1328" t="s">
        <v>754</v>
      </c>
      <c r="B55" s="1328"/>
      <c r="C55" s="1328"/>
      <c r="D55" s="1329"/>
      <c r="E55" s="1329"/>
      <c r="F55" s="1329"/>
      <c r="G55" s="1329"/>
      <c r="H55" s="1329"/>
      <c r="I55" s="1329"/>
      <c r="K55" s="1327" t="s">
        <v>101</v>
      </c>
      <c r="L55" s="1327"/>
      <c r="M55" s="101"/>
      <c r="O55" s="928" t="str">
        <f t="shared" ref="O55:O65" si="9">A78</f>
        <v>Feb 2025</v>
      </c>
      <c r="P55" s="1403">
        <f t="shared" ref="P55:P62" si="10">IF(P54="","",P54)</f>
        <v>0</v>
      </c>
    </row>
    <row r="56" spans="1:16" ht="13.5" customHeight="1" x14ac:dyDescent="0.2">
      <c r="A56" s="1328" t="s">
        <v>12</v>
      </c>
      <c r="B56" s="1328"/>
      <c r="C56" s="1328"/>
      <c r="D56" s="1345"/>
      <c r="E56" s="1345"/>
      <c r="F56" s="1345"/>
      <c r="G56" s="1345"/>
      <c r="H56" s="1345"/>
      <c r="I56" s="1345"/>
      <c r="J56" s="14"/>
      <c r="K56" s="1327" t="s">
        <v>149</v>
      </c>
      <c r="L56" s="1327"/>
      <c r="M56" s="101">
        <f>IF((M57+M58)&gt;M55,0,M55-M57-M58)</f>
        <v>0</v>
      </c>
      <c r="N56" s="14"/>
      <c r="O56" s="928" t="str">
        <f t="shared" si="9"/>
        <v>Mrz 2025</v>
      </c>
      <c r="P56" s="1403">
        <f t="shared" si="10"/>
        <v>0</v>
      </c>
    </row>
    <row r="57" spans="1:16" ht="13.5" customHeight="1" x14ac:dyDescent="0.2">
      <c r="A57" s="1328" t="s">
        <v>11</v>
      </c>
      <c r="B57" s="1328"/>
      <c r="C57" s="1328"/>
      <c r="D57" s="1345"/>
      <c r="E57" s="1345"/>
      <c r="F57" s="1345"/>
      <c r="G57" s="1345"/>
      <c r="H57" s="1345"/>
      <c r="I57" s="1345"/>
      <c r="J57" s="14"/>
      <c r="K57" s="1327" t="s">
        <v>150</v>
      </c>
      <c r="L57" s="1327"/>
      <c r="M57" s="101"/>
      <c r="N57" s="14"/>
      <c r="O57" s="928" t="str">
        <f t="shared" si="9"/>
        <v>Apr 2025</v>
      </c>
      <c r="P57" s="1403">
        <f t="shared" si="10"/>
        <v>0</v>
      </c>
    </row>
    <row r="58" spans="1:16" ht="13.5" customHeight="1" x14ac:dyDescent="0.2">
      <c r="A58" s="1328" t="s">
        <v>18</v>
      </c>
      <c r="B58" s="1328"/>
      <c r="C58" s="1328"/>
      <c r="D58" s="1345"/>
      <c r="E58" s="1345"/>
      <c r="F58" s="1345"/>
      <c r="G58" s="1345"/>
      <c r="H58" s="1345"/>
      <c r="I58" s="1345"/>
      <c r="J58" s="1313" t="s">
        <v>222</v>
      </c>
      <c r="K58" s="1313"/>
      <c r="L58" s="1313"/>
      <c r="M58" s="101"/>
      <c r="N58" s="14"/>
      <c r="O58" s="928" t="str">
        <f t="shared" si="9"/>
        <v>Mai 2025</v>
      </c>
      <c r="P58" s="1403">
        <f t="shared" si="10"/>
        <v>0</v>
      </c>
    </row>
    <row r="59" spans="1:16" ht="13.5" customHeight="1" x14ac:dyDescent="0.2">
      <c r="B59" s="6"/>
      <c r="C59" s="959" t="s">
        <v>147</v>
      </c>
      <c r="D59" s="1324"/>
      <c r="E59" s="1324"/>
      <c r="F59" s="1359" t="s">
        <v>748</v>
      </c>
      <c r="G59" s="1359"/>
      <c r="H59" s="1361"/>
      <c r="I59" s="1361"/>
      <c r="J59" s="14"/>
      <c r="K59" s="1327" t="s">
        <v>94</v>
      </c>
      <c r="L59" s="1327"/>
      <c r="M59" s="15" t="str">
        <f>IF(IF((COUNTIF(B74:B88,"&gt;0"))=0,0,(COUNTIF(B74:B88,"&gt;0")))&gt;Grundlagen!$C$26,Grundlagen!$C$26,IF((COUNTIF(B74:B88,"&gt;0"))=0,"",(COUNTIF(B74:B88,"&gt;0"))))</f>
        <v/>
      </c>
      <c r="N59" s="14"/>
      <c r="O59" s="928" t="str">
        <f t="shared" si="9"/>
        <v>Jun 2025</v>
      </c>
      <c r="P59" s="1403">
        <f t="shared" si="10"/>
        <v>0</v>
      </c>
    </row>
    <row r="60" spans="1:16" ht="13.5" customHeight="1" x14ac:dyDescent="0.2">
      <c r="F60" s="1359" t="s">
        <v>749</v>
      </c>
      <c r="G60" s="1359"/>
      <c r="H60" s="1361"/>
      <c r="I60" s="1361"/>
      <c r="J60" s="14"/>
      <c r="K60" s="14"/>
      <c r="L60" s="14"/>
      <c r="M60" s="102" t="str">
        <f>IF((SUM(F62:F65))=0,"",IF(P66&gt;M56,M56,IF(M56="","",IF(M59="","",P66))))</f>
        <v/>
      </c>
      <c r="O60" s="928" t="str">
        <f t="shared" si="9"/>
        <v>Jul 2025</v>
      </c>
      <c r="P60" s="1403">
        <f t="shared" si="10"/>
        <v>0</v>
      </c>
    </row>
    <row r="61" spans="1:16" s="46" customFormat="1" ht="13.5" customHeight="1" x14ac:dyDescent="0.2">
      <c r="A61" s="54" t="s">
        <v>134</v>
      </c>
      <c r="B61" s="1356" t="s">
        <v>135</v>
      </c>
      <c r="C61" s="1356"/>
      <c r="D61" s="55" t="s">
        <v>136</v>
      </c>
      <c r="E61" s="56" t="s">
        <v>137</v>
      </c>
      <c r="F61" s="57" t="str">
        <f>CONCATENATE("Entg. ",N51," h/Wo")</f>
        <v>Entg.  h/Wo</v>
      </c>
      <c r="G61" s="58" t="s">
        <v>138</v>
      </c>
      <c r="I61" s="58" t="s">
        <v>139</v>
      </c>
      <c r="K61" s="970"/>
      <c r="L61" s="970"/>
      <c r="M61" s="59"/>
      <c r="N61" s="968"/>
      <c r="O61" s="928" t="str">
        <f t="shared" si="9"/>
        <v>Aug 2025</v>
      </c>
      <c r="P61" s="1403">
        <f t="shared" si="10"/>
        <v>0</v>
      </c>
    </row>
    <row r="62" spans="1:16" s="46" customFormat="1" ht="13.5" customHeight="1" x14ac:dyDescent="0.25">
      <c r="A62" s="48" t="str">
        <f>A77</f>
        <v>Jan 2025</v>
      </c>
      <c r="B62" s="1371"/>
      <c r="C62" s="1372"/>
      <c r="D62" s="132"/>
      <c r="E62" s="132"/>
      <c r="F62" s="71"/>
      <c r="G62" s="50">
        <f>IF(N51="",0,F62/N51/4.348)</f>
        <v>0</v>
      </c>
      <c r="I62" s="51">
        <f>SUM(J62:M62)</f>
        <v>0</v>
      </c>
      <c r="J62" s="70"/>
      <c r="K62" s="70"/>
      <c r="L62" s="70"/>
      <c r="M62" s="70"/>
      <c r="N62" s="983"/>
      <c r="O62" s="928" t="str">
        <f t="shared" si="9"/>
        <v>Sep 2025</v>
      </c>
      <c r="P62" s="1403">
        <f t="shared" si="10"/>
        <v>0</v>
      </c>
    </row>
    <row r="63" spans="1:16" s="46" customFormat="1" ht="13.5" customHeight="1" x14ac:dyDescent="0.25">
      <c r="A63" s="49"/>
      <c r="B63" s="1322" t="str">
        <f>IF(A63="","",B62)</f>
        <v/>
      </c>
      <c r="C63" s="1323"/>
      <c r="D63" s="132"/>
      <c r="E63" s="132"/>
      <c r="F63" s="71"/>
      <c r="G63" s="50">
        <f>IF(N51="",0,F63/N51/4.348)</f>
        <v>0</v>
      </c>
      <c r="I63" s="51">
        <f t="shared" ref="I63:I65" si="11">SUM(J63:M63)</f>
        <v>0</v>
      </c>
      <c r="J63" s="70"/>
      <c r="K63" s="70"/>
      <c r="L63" s="70"/>
      <c r="M63" s="70"/>
      <c r="N63" s="983"/>
      <c r="O63" s="928" t="str">
        <f t="shared" si="9"/>
        <v>Okt 2025</v>
      </c>
      <c r="P63" s="1403">
        <f t="shared" ref="P63:P65" si="12">IF(P62="","",P62)</f>
        <v>0</v>
      </c>
    </row>
    <row r="64" spans="1:16" s="46" customFormat="1" ht="13.5" customHeight="1" x14ac:dyDescent="0.25">
      <c r="A64" s="49"/>
      <c r="B64" s="1322" t="str">
        <f>IF(A64="","",B63)</f>
        <v/>
      </c>
      <c r="C64" s="1323"/>
      <c r="D64" s="132"/>
      <c r="E64" s="132"/>
      <c r="F64" s="71"/>
      <c r="G64" s="50">
        <f>IF(N51="",0,F64/N51/4.348)</f>
        <v>0</v>
      </c>
      <c r="I64" s="51">
        <f t="shared" si="11"/>
        <v>0</v>
      </c>
      <c r="J64" s="70"/>
      <c r="K64" s="70"/>
      <c r="L64" s="70"/>
      <c r="M64" s="70"/>
      <c r="N64" s="983"/>
      <c r="O64" s="928" t="str">
        <f t="shared" si="9"/>
        <v>Nov 2025</v>
      </c>
      <c r="P64" s="1403">
        <f t="shared" si="12"/>
        <v>0</v>
      </c>
    </row>
    <row r="65" spans="1:16" s="46" customFormat="1" ht="13.5" customHeight="1" x14ac:dyDescent="0.25">
      <c r="A65" s="49"/>
      <c r="B65" s="1322" t="str">
        <f>IF(A65="","",B64)</f>
        <v/>
      </c>
      <c r="C65" s="1323"/>
      <c r="D65" s="132"/>
      <c r="E65" s="132"/>
      <c r="F65" s="71"/>
      <c r="G65" s="50">
        <f>IF(N51="",0,F65/N51/4.348)</f>
        <v>0</v>
      </c>
      <c r="I65" s="51">
        <f t="shared" si="11"/>
        <v>0</v>
      </c>
      <c r="J65" s="70"/>
      <c r="K65" s="70"/>
      <c r="L65" s="70"/>
      <c r="M65" s="70"/>
      <c r="N65" s="983"/>
      <c r="O65" s="928" t="str">
        <f t="shared" si="9"/>
        <v>Dez 2025</v>
      </c>
      <c r="P65" s="1403">
        <f t="shared" si="12"/>
        <v>0</v>
      </c>
    </row>
    <row r="66" spans="1:16" s="46" customFormat="1" ht="13.5" customHeight="1" x14ac:dyDescent="0.25">
      <c r="B66" s="972"/>
      <c r="C66" s="972"/>
      <c r="E66" s="972"/>
      <c r="F66" s="972"/>
      <c r="I66" s="993" t="s">
        <v>730</v>
      </c>
      <c r="J66" s="1052"/>
      <c r="K66" s="1052"/>
      <c r="L66" s="1052"/>
      <c r="M66" s="1052"/>
      <c r="N66" s="994"/>
      <c r="O66" s="126" t="s">
        <v>221</v>
      </c>
      <c r="P66" s="127">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924" t="s">
        <v>732</v>
      </c>
      <c r="D67" s="55" t="s">
        <v>369</v>
      </c>
      <c r="E67" s="56" t="s">
        <v>368</v>
      </c>
      <c r="F67" s="58"/>
      <c r="J67" s="61"/>
    </row>
    <row r="68" spans="1:16" s="46" customFormat="1" ht="13.5" customHeight="1" x14ac:dyDescent="0.25">
      <c r="A68" s="60"/>
      <c r="B68" s="1314" t="str">
        <f>IF($B$20="","",$B$20)</f>
        <v>Jahressonderzahlung (JSZ)</v>
      </c>
      <c r="C68" s="1315"/>
      <c r="D68" s="926"/>
      <c r="E68" s="929" t="str">
        <f>IF(A68="","",ROUND((((SUM(B83:B85)+SUM(F83:F85))/3)*D68)/Grundlagen!$C$26*M59,2))</f>
        <v/>
      </c>
      <c r="G68" s="986"/>
      <c r="H68" s="995"/>
      <c r="I68" s="988"/>
      <c r="J68" s="988"/>
      <c r="K68" s="988"/>
      <c r="L68" s="989"/>
      <c r="M68" s="989"/>
      <c r="N68" s="984"/>
      <c r="O68" s="990"/>
      <c r="P68" s="990"/>
    </row>
    <row r="69" spans="1:16" ht="14.25" customHeight="1" x14ac:dyDescent="0.2">
      <c r="A69" s="60"/>
      <c r="B69" s="1314" t="str">
        <f>IF($B$21="","",$B$21)</f>
        <v>Leistungsentgelt (LOB)</v>
      </c>
      <c r="C69" s="1315"/>
      <c r="D69" s="926"/>
      <c r="E69" s="929" t="str">
        <f>IF(A69="","",ROUND(((B89+F89)*D69)/Grundlagen!$C$26*M59,2))</f>
        <v/>
      </c>
      <c r="G69" s="986"/>
      <c r="H69" s="987"/>
      <c r="I69" s="988"/>
      <c r="J69" s="988"/>
      <c r="K69" s="988"/>
      <c r="L69" s="991"/>
      <c r="M69" s="991"/>
      <c r="N69" s="985"/>
      <c r="O69" s="65"/>
      <c r="P69" s="65"/>
    </row>
    <row r="70" spans="1:16" ht="14.25" customHeight="1" x14ac:dyDescent="0.2">
      <c r="C70" s="925" t="s">
        <v>731</v>
      </c>
      <c r="L70" s="991"/>
      <c r="M70" s="991"/>
      <c r="N70" s="985"/>
      <c r="O70" s="992"/>
      <c r="P70" s="992"/>
    </row>
    <row r="71" spans="1:16" ht="14.25" customHeight="1" x14ac:dyDescent="0.2">
      <c r="A71" s="53" t="s">
        <v>141</v>
      </c>
      <c r="B71" s="46"/>
      <c r="C71" s="46"/>
      <c r="D71" s="46"/>
      <c r="E71" s="46"/>
      <c r="F71" s="46"/>
      <c r="G71" s="46"/>
      <c r="H71" s="46"/>
      <c r="I71" s="46"/>
      <c r="J71" s="46"/>
      <c r="K71" s="46"/>
      <c r="L71" s="46"/>
      <c r="M71" s="46"/>
      <c r="N71" s="46"/>
      <c r="O71" s="46"/>
      <c r="P71" s="46"/>
    </row>
    <row r="72" spans="1:16" x14ac:dyDescent="0.2">
      <c r="A72" s="1346"/>
      <c r="B72" s="1348" t="s">
        <v>8</v>
      </c>
      <c r="C72" s="1349"/>
      <c r="D72" s="1349"/>
      <c r="E72" s="1349"/>
      <c r="F72" s="1349"/>
      <c r="G72" s="1350"/>
      <c r="H72" s="1351" t="s">
        <v>113</v>
      </c>
      <c r="I72" s="1352"/>
      <c r="J72" s="1352"/>
      <c r="K72" s="1352"/>
      <c r="L72" s="1352"/>
      <c r="M72" s="1352"/>
      <c r="N72" s="1352"/>
      <c r="O72" s="30"/>
      <c r="P72" s="1330" t="s">
        <v>0</v>
      </c>
    </row>
    <row r="73" spans="1:16" ht="14.25" customHeight="1" x14ac:dyDescent="0.2">
      <c r="A73" s="1347"/>
      <c r="B73" s="1333" t="s">
        <v>111</v>
      </c>
      <c r="C73" s="1335" t="s">
        <v>743</v>
      </c>
      <c r="D73" s="1337" t="s">
        <v>226</v>
      </c>
      <c r="E73" s="1339" t="s">
        <v>133</v>
      </c>
      <c r="F73" s="962" t="s">
        <v>6</v>
      </c>
      <c r="G73" s="1340" t="s">
        <v>5</v>
      </c>
      <c r="H73" s="1339" t="s">
        <v>119</v>
      </c>
      <c r="I73" s="1339" t="s">
        <v>4</v>
      </c>
      <c r="J73" s="1339" t="s">
        <v>3</v>
      </c>
      <c r="K73" s="1339" t="s">
        <v>2</v>
      </c>
      <c r="L73" s="1339" t="s">
        <v>114</v>
      </c>
      <c r="M73" s="1339" t="s">
        <v>115</v>
      </c>
      <c r="N73" s="1339" t="s">
        <v>116</v>
      </c>
      <c r="O73" s="1338" t="s">
        <v>109</v>
      </c>
      <c r="P73" s="1331"/>
    </row>
    <row r="74" spans="1:16" x14ac:dyDescent="0.2">
      <c r="A74" s="1347"/>
      <c r="B74" s="1333"/>
      <c r="C74" s="1335"/>
      <c r="D74" s="1338"/>
      <c r="E74" s="1339"/>
      <c r="F74" s="1343" t="str">
        <f>I66</f>
        <v>Zuschläge / Zulagen / o.ä.:</v>
      </c>
      <c r="G74" s="1340"/>
      <c r="H74" s="1342" t="s">
        <v>117</v>
      </c>
      <c r="I74" s="1342"/>
      <c r="J74" s="1342"/>
      <c r="K74" s="1342"/>
      <c r="L74" s="1342"/>
      <c r="M74" s="1342"/>
      <c r="N74" s="1342"/>
      <c r="O74" s="1338"/>
      <c r="P74" s="1331"/>
    </row>
    <row r="75" spans="1:16" ht="14.25" customHeight="1" x14ac:dyDescent="0.2">
      <c r="A75" s="1347"/>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row>
    <row r="76" spans="1:16" x14ac:dyDescent="0.2">
      <c r="A76" s="1347"/>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row>
    <row r="77" spans="1:16"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 si="13">SUM(B77+C77+E77+F77)</f>
        <v>0</v>
      </c>
      <c r="H77" s="64">
        <f>ROUND(SUM(B77:F77)*H76,2)</f>
        <v>0</v>
      </c>
      <c r="I77" s="64">
        <f>ROUND(SUM(B77:F77)*I76,2)</f>
        <v>0</v>
      </c>
      <c r="J77" s="64">
        <f>ROUND(SUM(B77:F77)*J76,2)</f>
        <v>0</v>
      </c>
      <c r="K77" s="64">
        <f>ROUND(SUM(B77:F77)*K76,2)</f>
        <v>0</v>
      </c>
      <c r="L77" s="64">
        <f>ROUND((SUM(B77:F77)-C77)*L76,2)</f>
        <v>0</v>
      </c>
      <c r="M77" s="64">
        <f>ROUND((SUM(B77:F77)-C77)*M76,2)</f>
        <v>0</v>
      </c>
      <c r="N77" s="64">
        <f>ROUND(SUM(B77:F77)*N76,2)</f>
        <v>0</v>
      </c>
      <c r="O77" s="21">
        <f>ROUND(SUM(B77+C77+F77)*O76,2)</f>
        <v>0</v>
      </c>
      <c r="P77" s="25">
        <f>SUM(G77:O77)</f>
        <v>0</v>
      </c>
    </row>
    <row r="78" spans="1:16" x14ac:dyDescent="0.2">
      <c r="A78" s="76" t="str">
        <f>'päd.Personal - Leitung'!$A$30</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ref="G78:G80" si="14">SUM(B78+C78+E78+F78)</f>
        <v>0</v>
      </c>
      <c r="H78" s="64">
        <f>ROUND(SUM(B78:F78)*H76,2)</f>
        <v>0</v>
      </c>
      <c r="I78" s="64">
        <f>ROUND(SUM(B78:F78)*I76,2)</f>
        <v>0</v>
      </c>
      <c r="J78" s="64">
        <f>ROUND(SUM(B78:F78)*J76,2)</f>
        <v>0</v>
      </c>
      <c r="K78" s="64">
        <f>ROUND(SUM(B78:F78)*K76,2)</f>
        <v>0</v>
      </c>
      <c r="L78" s="64">
        <f>ROUND((SUM(B78:F78)-C78)*L76,2)</f>
        <v>0</v>
      </c>
      <c r="M78" s="64">
        <f>ROUND((SUM(B78:F78)-C78)*M76,2)</f>
        <v>0</v>
      </c>
      <c r="N78" s="64">
        <f>ROUND(SUM(B78:F78)*N76,2)</f>
        <v>0</v>
      </c>
      <c r="O78" s="21">
        <f>ROUND(SUM(B78+C78+F78)*O76,2)</f>
        <v>0</v>
      </c>
      <c r="P78" s="25">
        <f t="shared" ref="P78:P88" si="15">SUM(G78:O78)</f>
        <v>0</v>
      </c>
    </row>
    <row r="79" spans="1:16" x14ac:dyDescent="0.2">
      <c r="A79" s="76" t="str">
        <f>'päd.Personal - Leitung'!$A$31</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4"/>
        <v>0</v>
      </c>
      <c r="H79" s="64">
        <f>ROUND(SUM(B79:F79)*H76,2)</f>
        <v>0</v>
      </c>
      <c r="I79" s="64">
        <f>ROUND(SUM(B79:F79)*I76,2)</f>
        <v>0</v>
      </c>
      <c r="J79" s="64">
        <f>ROUND(SUM(B79:F79)*J76,2)</f>
        <v>0</v>
      </c>
      <c r="K79" s="64">
        <f>ROUND(SUM(B79:F79)*K76,2)</f>
        <v>0</v>
      </c>
      <c r="L79" s="64">
        <f>ROUND((SUM(B79:F79)-C79)*L76,2)</f>
        <v>0</v>
      </c>
      <c r="M79" s="64">
        <f>ROUND((SUM(B79:F79)-C79)*M76,2)</f>
        <v>0</v>
      </c>
      <c r="N79" s="64">
        <f>ROUND(SUM(B79:F79)*N76,2)</f>
        <v>0</v>
      </c>
      <c r="O79" s="21">
        <f>ROUND(SUM(B79+C79+F79)*O76,2)</f>
        <v>0</v>
      </c>
      <c r="P79" s="25">
        <f t="shared" si="15"/>
        <v>0</v>
      </c>
    </row>
    <row r="80" spans="1:16" x14ac:dyDescent="0.2">
      <c r="A80" s="76" t="str">
        <f>'päd.Personal - Leitung'!$A$32</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4"/>
        <v>0</v>
      </c>
      <c r="H80" s="64">
        <f>ROUND(SUM(B80:F80)*H76,2)</f>
        <v>0</v>
      </c>
      <c r="I80" s="64">
        <f>ROUND(SUM(B80:F80)*I76,2)</f>
        <v>0</v>
      </c>
      <c r="J80" s="64">
        <f>ROUND(SUM(B80:F80)*J76,2)</f>
        <v>0</v>
      </c>
      <c r="K80" s="64">
        <f>ROUND(SUM(B80:F80)*K76,2)</f>
        <v>0</v>
      </c>
      <c r="L80" s="64">
        <f>ROUND((SUM(B80:F80)-C80)*L76,2)</f>
        <v>0</v>
      </c>
      <c r="M80" s="64">
        <f>ROUND((SUM(B80:F80)-C80)*M76,2)</f>
        <v>0</v>
      </c>
      <c r="N80" s="64">
        <f>ROUND(SUM(B80:F80)*N76,2)</f>
        <v>0</v>
      </c>
      <c r="O80" s="21">
        <f>ROUND(SUM(B80+C80+F80)*O76,2)</f>
        <v>0</v>
      </c>
      <c r="P80" s="25">
        <f t="shared" si="15"/>
        <v>0</v>
      </c>
    </row>
    <row r="81" spans="1:16" x14ac:dyDescent="0.2">
      <c r="A81" s="76" t="str">
        <f>'päd.Personal - Leitung'!$A$33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ref="G81:G88" si="16">SUM(B81+C81+E81+F81)</f>
        <v>0</v>
      </c>
      <c r="H81" s="64">
        <f>ROUND(SUM(B81:F81)*H76,2)</f>
        <v>0</v>
      </c>
      <c r="I81" s="64">
        <f>ROUND(SUM(B81:F81)*I76,2)</f>
        <v>0</v>
      </c>
      <c r="J81" s="64">
        <f>ROUND(SUM(B81:F81)*J76,2)</f>
        <v>0</v>
      </c>
      <c r="K81" s="64">
        <f>ROUND(SUM(B81:F81)*K76,2)</f>
        <v>0</v>
      </c>
      <c r="L81" s="64">
        <f>ROUND((SUM(B81:F81)-C81)*L76,2)</f>
        <v>0</v>
      </c>
      <c r="M81" s="64">
        <f>ROUND((SUM(B81:F81)-C81)*M76,2)</f>
        <v>0</v>
      </c>
      <c r="N81" s="64">
        <f>ROUND(SUM(B81:F81)*N76,2)</f>
        <v>0</v>
      </c>
      <c r="O81" s="21">
        <f>ROUND(SUM(B81+C81+F81)*O76,2)</f>
        <v>0</v>
      </c>
      <c r="P81" s="25">
        <f t="shared" si="15"/>
        <v>0</v>
      </c>
    </row>
    <row r="82" spans="1:16" x14ac:dyDescent="0.2">
      <c r="A82" s="76" t="str">
        <f>'päd.Personal - Leitung'!$A$34</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6"/>
        <v>0</v>
      </c>
      <c r="H82" s="64">
        <f>ROUND(SUM(B82:F82)*H76,2)</f>
        <v>0</v>
      </c>
      <c r="I82" s="64">
        <f>ROUND(SUM(B82:F82)*I76,2)</f>
        <v>0</v>
      </c>
      <c r="J82" s="64">
        <f>ROUND(SUM(B82:F82)*J76,2)</f>
        <v>0</v>
      </c>
      <c r="K82" s="64">
        <f>ROUND(SUM(B82:F82)*K76,2)</f>
        <v>0</v>
      </c>
      <c r="L82" s="64">
        <f>ROUND((SUM(B82:F82)-C82)*L76,2)</f>
        <v>0</v>
      </c>
      <c r="M82" s="64">
        <f>ROUND((SUM(B82:F82)-C82)*M76,2)</f>
        <v>0</v>
      </c>
      <c r="N82" s="64">
        <f>ROUND(SUM(B82:F82)*N76,2)</f>
        <v>0</v>
      </c>
      <c r="O82" s="21">
        <f>ROUND(SUM(B82+C82+F82)*O76,2)</f>
        <v>0</v>
      </c>
      <c r="P82" s="25">
        <f t="shared" si="15"/>
        <v>0</v>
      </c>
    </row>
    <row r="83" spans="1:16" x14ac:dyDescent="0.2">
      <c r="A83" s="76" t="str">
        <f>'päd.Personal - Leitung'!$A$35</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6"/>
        <v>0</v>
      </c>
      <c r="H83" s="64">
        <f>ROUND(SUM(B83:F83)*H76,2)</f>
        <v>0</v>
      </c>
      <c r="I83" s="64">
        <f>ROUND(SUM(B83:F83)*I76,2)</f>
        <v>0</v>
      </c>
      <c r="J83" s="64">
        <f>ROUND(SUM(B83:F83)*J76,2)</f>
        <v>0</v>
      </c>
      <c r="K83" s="64">
        <f>ROUND(SUM(B83:F83)*K76,2)</f>
        <v>0</v>
      </c>
      <c r="L83" s="64">
        <f>ROUND((SUM(B83:F83)-C83)*L76,2)</f>
        <v>0</v>
      </c>
      <c r="M83" s="64">
        <f>ROUND((SUM(B83:F83)-C83)*M76,2)</f>
        <v>0</v>
      </c>
      <c r="N83" s="64">
        <f>ROUND(SUM(B83:F83)*N76,2)</f>
        <v>0</v>
      </c>
      <c r="O83" s="21">
        <f>ROUND(SUM(B83+C83+F83)*O76,2)</f>
        <v>0</v>
      </c>
      <c r="P83" s="25">
        <f t="shared" si="15"/>
        <v>0</v>
      </c>
    </row>
    <row r="84" spans="1:16" x14ac:dyDescent="0.2">
      <c r="A84" s="76" t="str">
        <f>'päd.Personal - Leitung'!$A$36</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6"/>
        <v>0</v>
      </c>
      <c r="H84" s="64">
        <f>ROUND(SUM(B84:F84)*H76,2)</f>
        <v>0</v>
      </c>
      <c r="I84" s="64">
        <f>ROUND(SUM(B84:F84)*I76,2)</f>
        <v>0</v>
      </c>
      <c r="J84" s="64">
        <f>ROUND(SUM(B84:F84)*J76,2)</f>
        <v>0</v>
      </c>
      <c r="K84" s="64">
        <f>ROUND(SUM(B84:F84)*K76,2)</f>
        <v>0</v>
      </c>
      <c r="L84" s="64">
        <f>ROUND((SUM(B84:F84)-C84)*L76,2)</f>
        <v>0</v>
      </c>
      <c r="M84" s="64">
        <f>ROUND((SUM(B84:F84)-C84)*M76,2)</f>
        <v>0</v>
      </c>
      <c r="N84" s="64">
        <f>ROUND(SUM(B84:F84)*N76,2)</f>
        <v>0</v>
      </c>
      <c r="O84" s="21">
        <f>ROUND(SUM(B84+C84+F84)*O76,2)</f>
        <v>0</v>
      </c>
      <c r="P84" s="25">
        <f t="shared" si="15"/>
        <v>0</v>
      </c>
    </row>
    <row r="85" spans="1:16" x14ac:dyDescent="0.2">
      <c r="A85" s="76" t="str">
        <f>'päd.Personal - Leitung'!$A$37</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6"/>
        <v>0</v>
      </c>
      <c r="H85" s="64">
        <f>ROUND(SUM(B85:F85)*H76,2)</f>
        <v>0</v>
      </c>
      <c r="I85" s="64">
        <f>ROUND(SUM(B85:F85)*I76,2)</f>
        <v>0</v>
      </c>
      <c r="J85" s="64">
        <f>ROUND(SUM(B85:F85)*J76,2)</f>
        <v>0</v>
      </c>
      <c r="K85" s="64">
        <f>ROUND(SUM(B85:F85)*K76,2)</f>
        <v>0</v>
      </c>
      <c r="L85" s="64">
        <f>ROUND((SUM(B85:F85)-C85)*L76,2)</f>
        <v>0</v>
      </c>
      <c r="M85" s="64">
        <f>ROUND((SUM(B85:F85)-C85)*M76,2)</f>
        <v>0</v>
      </c>
      <c r="N85" s="64">
        <f>ROUND(SUM(B85:F85)*N76,2)</f>
        <v>0</v>
      </c>
      <c r="O85" s="21">
        <f>ROUND(SUM(B85+C85+F85)*O76,2)</f>
        <v>0</v>
      </c>
      <c r="P85" s="25">
        <f t="shared" si="15"/>
        <v>0</v>
      </c>
    </row>
    <row r="86" spans="1:16" x14ac:dyDescent="0.2">
      <c r="A86" s="76" t="str">
        <f>'päd.Personal - Leitung'!$A$38</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6"/>
        <v>0</v>
      </c>
      <c r="H86" s="64">
        <f>ROUND(SUM(B86:F86)*H76,2)</f>
        <v>0</v>
      </c>
      <c r="I86" s="64">
        <f>ROUND(SUM(B86:F86)*I76,2)</f>
        <v>0</v>
      </c>
      <c r="J86" s="64">
        <f>ROUND(SUM(B86:F86)*J76,2)</f>
        <v>0</v>
      </c>
      <c r="K86" s="64">
        <f>ROUND(SUM(B86:F86)*K76,2)</f>
        <v>0</v>
      </c>
      <c r="L86" s="64">
        <f>ROUND((SUM(B86:F86)-C86)*L76,2)</f>
        <v>0</v>
      </c>
      <c r="M86" s="64">
        <f>ROUND((SUM(B86:F86)-C86)*M76,2)</f>
        <v>0</v>
      </c>
      <c r="N86" s="64">
        <f>ROUND(SUM(B86:F86)*N76,2)</f>
        <v>0</v>
      </c>
      <c r="O86" s="21">
        <f>ROUND(SUM(B86+C86+F86)*O76,2)</f>
        <v>0</v>
      </c>
      <c r="P86" s="25">
        <f t="shared" si="15"/>
        <v>0</v>
      </c>
    </row>
    <row r="87" spans="1:16" x14ac:dyDescent="0.2">
      <c r="A87" s="76" t="str">
        <f>'päd.Personal - Leitung'!$A$39</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6"/>
        <v>0</v>
      </c>
      <c r="H87" s="64">
        <f>ROUND(SUM(B87:F87)*H76,2)</f>
        <v>0</v>
      </c>
      <c r="I87" s="64">
        <f>ROUND(SUM(B87:F87)*I76,2)</f>
        <v>0</v>
      </c>
      <c r="J87" s="64">
        <f>ROUND(SUM(B87:F87)*J76,2)</f>
        <v>0</v>
      </c>
      <c r="K87" s="64">
        <f>ROUND(SUM(B87:F87)*K76,2)</f>
        <v>0</v>
      </c>
      <c r="L87" s="64">
        <f>ROUND((SUM(B87:F87)-C87)*L76,2)</f>
        <v>0</v>
      </c>
      <c r="M87" s="64">
        <f>ROUND((SUM(B87:F87)-C87)*M76,2)</f>
        <v>0</v>
      </c>
      <c r="N87" s="64">
        <f>ROUND(SUM(B87:F87)*N76,2)</f>
        <v>0</v>
      </c>
      <c r="O87" s="21">
        <f>ROUND(SUM(B87+C87+F87)*O76,2)</f>
        <v>0</v>
      </c>
      <c r="P87" s="25">
        <f t="shared" si="15"/>
        <v>0</v>
      </c>
    </row>
    <row r="88" spans="1:16" x14ac:dyDescent="0.2">
      <c r="A88" s="76" t="str">
        <f>'päd.Personal - Leitung'!$A$40</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6"/>
        <v>0</v>
      </c>
      <c r="H88" s="64">
        <f>ROUND(SUM(B88:F88)*H76,2)</f>
        <v>0</v>
      </c>
      <c r="I88" s="64">
        <f>ROUND(SUM(B88:F88)*I76,2)</f>
        <v>0</v>
      </c>
      <c r="J88" s="64">
        <f>ROUND(SUM(B88:F88)*J76,2)</f>
        <v>0</v>
      </c>
      <c r="K88" s="64">
        <f>ROUND(SUM(B88:F88)*K76,2)</f>
        <v>0</v>
      </c>
      <c r="L88" s="64">
        <f>ROUND((SUM(B88:F88)-C88)*L76,2)</f>
        <v>0</v>
      </c>
      <c r="M88" s="64">
        <f>ROUND((SUM(B88:F88)-C88)*M76,2)</f>
        <v>0</v>
      </c>
      <c r="N88" s="64">
        <f>ROUND(SUM(B88:F88)*N76,2)</f>
        <v>0</v>
      </c>
      <c r="O88" s="21">
        <f>ROUND(SUM(B88+C88+F88)*O76,2)</f>
        <v>0</v>
      </c>
      <c r="P88" s="25">
        <f t="shared" si="15"/>
        <v>0</v>
      </c>
    </row>
    <row r="89" spans="1:16" s="12" customFormat="1" ht="15" x14ac:dyDescent="0.25">
      <c r="A89" s="2" t="s">
        <v>1</v>
      </c>
      <c r="B89" s="25">
        <f t="shared" ref="B89:G89" si="17">SUM(B77:B88)</f>
        <v>0</v>
      </c>
      <c r="C89" s="25">
        <f t="shared" si="17"/>
        <v>0</v>
      </c>
      <c r="D89" s="25">
        <f t="shared" si="17"/>
        <v>0</v>
      </c>
      <c r="E89" s="25">
        <f t="shared" si="17"/>
        <v>0</v>
      </c>
      <c r="F89" s="25">
        <f t="shared" si="17"/>
        <v>0</v>
      </c>
      <c r="G89" s="25">
        <f t="shared" si="17"/>
        <v>0</v>
      </c>
      <c r="H89" s="1309">
        <f>SUM(H77:N88)</f>
        <v>0</v>
      </c>
      <c r="I89" s="1310"/>
      <c r="J89" s="1310"/>
      <c r="K89" s="1310"/>
      <c r="L89" s="1310"/>
      <c r="M89" s="1310"/>
      <c r="N89" s="1311"/>
      <c r="O89" s="25">
        <f>SUM(O77:O88)</f>
        <v>0</v>
      </c>
      <c r="P89" s="25">
        <f>SUM(P77:P88)</f>
        <v>0</v>
      </c>
    </row>
    <row r="90" spans="1:16" ht="12" customHeight="1" x14ac:dyDescent="0.2"/>
    <row r="91" spans="1:16" ht="14.25" customHeight="1" x14ac:dyDescent="0.2">
      <c r="B91" s="906"/>
      <c r="H91" s="905"/>
      <c r="I91" s="62"/>
      <c r="J91" s="914" t="s">
        <v>123</v>
      </c>
      <c r="L91" s="900" t="s">
        <v>124</v>
      </c>
      <c r="M91" s="974" t="str">
        <f>IF(IF(G89=0,"",$M$43)=0,"",IF(G89=0,"",$M$43))</f>
        <v/>
      </c>
      <c r="N91" s="902" t="s">
        <v>125</v>
      </c>
      <c r="O91" s="963" t="str">
        <f>IF(IF(G89=0,"",$O$43)=0,"",IF(G89=0,"",$O$43))</f>
        <v/>
      </c>
      <c r="P91" s="25">
        <f>ROUND(IF(M91="",0,G89*M91*O91/1000),2)</f>
        <v>0</v>
      </c>
    </row>
    <row r="92" spans="1:16" ht="14.25" customHeight="1" x14ac:dyDescent="0.2">
      <c r="H92" s="907"/>
      <c r="I92" s="42"/>
      <c r="M92" s="915" t="s">
        <v>129</v>
      </c>
      <c r="N92" s="80" t="s">
        <v>125</v>
      </c>
      <c r="O92" s="75" t="str">
        <f>IF(IF(G89=0,"",$O$44)=0,"",IF(G89=0,"",$O$44))</f>
        <v/>
      </c>
      <c r="P92" s="25">
        <f>ROUND(IF(O92="",0,G89*O92/1000),2)</f>
        <v>0</v>
      </c>
    </row>
    <row r="93" spans="1:16" ht="14.25" customHeight="1" x14ac:dyDescent="0.2">
      <c r="H93" s="912" t="s">
        <v>126</v>
      </c>
      <c r="I93" s="1013" t="s">
        <v>127</v>
      </c>
      <c r="J93" s="975" t="str">
        <f>IF(IF(G89=0,"",$J$45)=0,"",IF(G89=0,"",$J$45))</f>
        <v/>
      </c>
      <c r="K93" s="902" t="s">
        <v>128</v>
      </c>
      <c r="L93" s="964" t="str">
        <f>IF(IF(G89=0,"",$L$45)=0,"",IF(G89=0,"",$L$45))</f>
        <v/>
      </c>
      <c r="M93" s="16"/>
      <c r="N93" s="900" t="s">
        <v>132</v>
      </c>
      <c r="O93" s="965" t="str">
        <f>IF(IF(G89=0,"",$O$45)=0,"",IF(G89=0,"",$O$45))</f>
        <v/>
      </c>
      <c r="P93" s="25">
        <f>ROUND(IF(J93="",0,(J93*L93/O93)/M57*M58),2)</f>
        <v>0</v>
      </c>
    </row>
    <row r="94" spans="1:16" ht="14.25" customHeight="1" x14ac:dyDescent="0.2">
      <c r="D94" s="16"/>
      <c r="I94" s="16"/>
      <c r="J94" s="961" t="s">
        <v>176</v>
      </c>
      <c r="K94" s="1312" t="str">
        <f>IF($K$46="","",$K$46)</f>
        <v/>
      </c>
      <c r="L94" s="1312"/>
      <c r="M94" s="1312"/>
      <c r="N94" s="80" t="s">
        <v>131</v>
      </c>
      <c r="O94" s="904">
        <f>IF(IF(M60="",0,$O$46)=0,0,IF(M60="",0,$O$46))</f>
        <v>0</v>
      </c>
      <c r="P94" s="21">
        <f>ROUND(IF(G89=0,0,O94/M55*M56),2)</f>
        <v>0</v>
      </c>
    </row>
    <row r="95" spans="1:16" ht="14.25" customHeight="1" x14ac:dyDescent="0.2">
      <c r="A95" s="16"/>
      <c r="B95" s="16"/>
      <c r="I95" s="905"/>
      <c r="O95" s="26" t="s">
        <v>0</v>
      </c>
      <c r="P95" s="25">
        <f>P89+SUM(P91:P94)</f>
        <v>0</v>
      </c>
    </row>
    <row r="96" spans="1:16" ht="14.25" customHeight="1" x14ac:dyDescent="0.2">
      <c r="A96" s="908"/>
      <c r="B96" s="908"/>
      <c r="C96" s="960"/>
      <c r="D96" s="960"/>
      <c r="I96" s="913"/>
      <c r="J96" s="913"/>
      <c r="K96" s="916"/>
      <c r="L96" s="27"/>
      <c r="M96" s="27"/>
      <c r="N96" s="27"/>
    </row>
    <row r="97" spans="1:16" s="10" customFormat="1" ht="13.5" customHeight="1" x14ac:dyDescent="0.2">
      <c r="A97" s="1321" t="s">
        <v>17</v>
      </c>
      <c r="B97" s="1321"/>
      <c r="C97" s="1321"/>
      <c r="D97" s="1320" t="str">
        <f>IF('päd.Personal - Leitung'!$D$1="","",'päd.Personal - Leitung'!$D$1)</f>
        <v/>
      </c>
      <c r="E97" s="1320"/>
      <c r="F97" s="1320"/>
      <c r="G97" s="1320"/>
      <c r="H97" s="1320"/>
      <c r="I97" s="1320"/>
      <c r="J97" s="1320"/>
      <c r="K97" s="1320"/>
      <c r="L97" s="1320"/>
      <c r="M97" s="1320"/>
      <c r="N97" s="1320"/>
    </row>
    <row r="98" spans="1:16" s="10" customFormat="1" ht="15" customHeight="1" x14ac:dyDescent="0.2">
      <c r="A98" s="1321" t="s">
        <v>16</v>
      </c>
      <c r="B98" s="1321"/>
      <c r="C98" s="1321" t="s">
        <v>14</v>
      </c>
      <c r="D98" s="1320" t="str">
        <f>IF('päd.Personal - Leitung'!$D$2="","",'päd.Personal - Leitung'!$D$2)</f>
        <v/>
      </c>
      <c r="E98" s="1320"/>
      <c r="F98" s="1320"/>
      <c r="G98" s="1320"/>
      <c r="H98" s="1320"/>
      <c r="I98" s="1320"/>
      <c r="J98" s="1320"/>
      <c r="K98" s="1320"/>
      <c r="L98" s="1320"/>
      <c r="M98" s="1320"/>
      <c r="N98" s="1320"/>
    </row>
    <row r="99" spans="1:16" s="10" customFormat="1" ht="15" customHeight="1" x14ac:dyDescent="0.2">
      <c r="A99" s="1321" t="s">
        <v>15</v>
      </c>
      <c r="B99" s="1321"/>
      <c r="C99" s="1321" t="s">
        <v>14</v>
      </c>
      <c r="D99" s="1320" t="str">
        <f>IF('päd.Personal - Leitung'!$D$3="","",'päd.Personal - Leitung'!$D$3)</f>
        <v/>
      </c>
      <c r="E99" s="1320"/>
      <c r="F99" s="1320"/>
      <c r="G99" s="1320"/>
      <c r="H99" s="1320"/>
      <c r="I99" s="1320"/>
      <c r="J99" s="1320"/>
      <c r="K99" s="1321" t="s">
        <v>100</v>
      </c>
      <c r="L99" s="1321"/>
      <c r="M99" s="1321"/>
      <c r="N99" s="38" t="str">
        <f>IF('päd.Personal - Leitung'!$N$3="","",'päd.Personal - Leitung'!$N$3)</f>
        <v/>
      </c>
    </row>
    <row r="100" spans="1:16" s="923" customFormat="1" ht="7.5" customHeight="1" x14ac:dyDescent="0.15">
      <c r="A100" s="1353"/>
      <c r="B100" s="1353"/>
      <c r="C100" s="1353"/>
      <c r="D100" s="1354"/>
      <c r="E100" s="1354"/>
      <c r="F100" s="1354"/>
      <c r="G100" s="1354"/>
      <c r="H100" s="1354"/>
      <c r="I100" s="1354"/>
      <c r="J100" s="1354"/>
      <c r="K100" s="922"/>
      <c r="L100" s="922"/>
      <c r="M100" s="922"/>
      <c r="N100" s="922"/>
      <c r="O100" s="922"/>
      <c r="P100" s="922"/>
    </row>
    <row r="101" spans="1:16" s="13" customFormat="1" ht="13.5" customHeight="1" x14ac:dyDescent="0.2">
      <c r="A101" s="1355" t="s">
        <v>167</v>
      </c>
      <c r="B101" s="1355"/>
      <c r="C101" s="1355"/>
      <c r="D101" s="1355"/>
      <c r="E101" s="1355"/>
      <c r="F101" s="1355"/>
      <c r="G101" s="1355"/>
      <c r="H101" s="1355"/>
      <c r="I101" s="1355"/>
      <c r="J101" s="1355"/>
      <c r="K101" s="1355"/>
      <c r="L101" s="7"/>
      <c r="M101" s="7"/>
      <c r="N101" s="52"/>
      <c r="O101" s="138">
        <f>'päd.Personal - Leitung'!$O$5</f>
        <v>2025</v>
      </c>
      <c r="P101" s="52" t="s">
        <v>140</v>
      </c>
    </row>
    <row r="102" spans="1:16" s="8" customFormat="1" ht="13.5" customHeight="1" x14ac:dyDescent="0.25">
      <c r="B102" s="29"/>
      <c r="C102" s="29"/>
      <c r="D102" s="3" t="s">
        <v>714</v>
      </c>
      <c r="E102" s="28"/>
      <c r="F102" s="28"/>
      <c r="G102" s="28"/>
      <c r="H102" s="28"/>
      <c r="I102" s="24"/>
      <c r="J102" s="1370"/>
      <c r="K102" s="1370"/>
      <c r="L102" s="81"/>
      <c r="O102" s="928" t="str">
        <f>A125</f>
        <v>Jan 2025</v>
      </c>
      <c r="P102" s="1402">
        <f>IF(M104="","",M104)</f>
        <v>0</v>
      </c>
    </row>
    <row r="103" spans="1:16" s="5" customFormat="1" ht="13.5" customHeight="1" x14ac:dyDescent="0.25">
      <c r="A103" s="1328" t="s">
        <v>754</v>
      </c>
      <c r="B103" s="1328"/>
      <c r="C103" s="1328"/>
      <c r="D103" s="1329"/>
      <c r="E103" s="1329"/>
      <c r="F103" s="1329"/>
      <c r="G103" s="1329"/>
      <c r="H103" s="1329"/>
      <c r="I103" s="1329"/>
      <c r="K103" s="1327" t="s">
        <v>101</v>
      </c>
      <c r="L103" s="1327"/>
      <c r="M103" s="101"/>
      <c r="O103" s="928" t="str">
        <f t="shared" ref="O103:O113" si="18">A126</f>
        <v>Feb 2025</v>
      </c>
      <c r="P103" s="1403">
        <f t="shared" ref="P103:P110" si="19">IF(P102="","",P102)</f>
        <v>0</v>
      </c>
    </row>
    <row r="104" spans="1:16" ht="13.5" customHeight="1" x14ac:dyDescent="0.2">
      <c r="A104" s="1328" t="s">
        <v>12</v>
      </c>
      <c r="B104" s="1328"/>
      <c r="C104" s="1328"/>
      <c r="D104" s="1345"/>
      <c r="E104" s="1345"/>
      <c r="F104" s="1345"/>
      <c r="G104" s="1345"/>
      <c r="H104" s="1345"/>
      <c r="I104" s="1345"/>
      <c r="J104" s="14"/>
      <c r="K104" s="1327" t="s">
        <v>149</v>
      </c>
      <c r="L104" s="1327"/>
      <c r="M104" s="101">
        <f>IF((M105+M106)&gt;M103,0,M103-M105-M106)</f>
        <v>0</v>
      </c>
      <c r="N104" s="14"/>
      <c r="O104" s="928" t="str">
        <f t="shared" si="18"/>
        <v>Mrz 2025</v>
      </c>
      <c r="P104" s="1403">
        <f t="shared" si="19"/>
        <v>0</v>
      </c>
    </row>
    <row r="105" spans="1:16" ht="13.5" customHeight="1" x14ac:dyDescent="0.2">
      <c r="A105" s="1328" t="s">
        <v>11</v>
      </c>
      <c r="B105" s="1328"/>
      <c r="C105" s="1328"/>
      <c r="D105" s="1345"/>
      <c r="E105" s="1345"/>
      <c r="F105" s="1345"/>
      <c r="G105" s="1345"/>
      <c r="H105" s="1345"/>
      <c r="I105" s="1345"/>
      <c r="J105" s="14"/>
      <c r="K105" s="1327" t="s">
        <v>150</v>
      </c>
      <c r="L105" s="1327"/>
      <c r="M105" s="101"/>
      <c r="N105" s="14"/>
      <c r="O105" s="928" t="str">
        <f t="shared" si="18"/>
        <v>Apr 2025</v>
      </c>
      <c r="P105" s="1403">
        <f t="shared" si="19"/>
        <v>0</v>
      </c>
    </row>
    <row r="106" spans="1:16" ht="13.5" customHeight="1" x14ac:dyDescent="0.2">
      <c r="A106" s="1328" t="s">
        <v>18</v>
      </c>
      <c r="B106" s="1328"/>
      <c r="C106" s="1328"/>
      <c r="D106" s="1345"/>
      <c r="E106" s="1345"/>
      <c r="F106" s="1345"/>
      <c r="G106" s="1345"/>
      <c r="H106" s="1345"/>
      <c r="I106" s="1345"/>
      <c r="J106" s="1313" t="s">
        <v>222</v>
      </c>
      <c r="K106" s="1313"/>
      <c r="L106" s="1313"/>
      <c r="M106" s="101"/>
      <c r="N106" s="14"/>
      <c r="O106" s="928" t="str">
        <f t="shared" si="18"/>
        <v>Mai 2025</v>
      </c>
      <c r="P106" s="1403">
        <f t="shared" si="19"/>
        <v>0</v>
      </c>
    </row>
    <row r="107" spans="1:16" ht="13.5" customHeight="1" x14ac:dyDescent="0.2">
      <c r="B107" s="6"/>
      <c r="C107" s="959" t="s">
        <v>147</v>
      </c>
      <c r="D107" s="1324"/>
      <c r="E107" s="1324"/>
      <c r="F107" s="1359" t="s">
        <v>748</v>
      </c>
      <c r="G107" s="1359"/>
      <c r="H107" s="1361"/>
      <c r="I107" s="1361"/>
      <c r="J107" s="14"/>
      <c r="K107" s="1327" t="s">
        <v>94</v>
      </c>
      <c r="L107" s="1327"/>
      <c r="M107" s="15" t="str">
        <f>IF(IF((COUNTIF(B122:B136,"&gt;0"))=0,0,(COUNTIF(B122:B136,"&gt;0")))&gt;Grundlagen!$C$26,Grundlagen!$C$26,IF((COUNTIF(B122:B136,"&gt;0"))=0,"",(COUNTIF(B122:B136,"&gt;0"))))</f>
        <v/>
      </c>
      <c r="N107" s="14"/>
      <c r="O107" s="928" t="str">
        <f t="shared" si="18"/>
        <v>Jun 2025</v>
      </c>
      <c r="P107" s="1403">
        <f t="shared" si="19"/>
        <v>0</v>
      </c>
    </row>
    <row r="108" spans="1:16" ht="13.5" customHeight="1" x14ac:dyDescent="0.2">
      <c r="F108" s="1359" t="s">
        <v>749</v>
      </c>
      <c r="G108" s="1359"/>
      <c r="H108" s="1361"/>
      <c r="I108" s="1361"/>
      <c r="J108" s="14"/>
      <c r="K108" s="14"/>
      <c r="L108" s="14"/>
      <c r="M108" s="102" t="str">
        <f>IF((SUM(F110:F113))=0,"",IF(P114&gt;M104,M104,IF(M104="","",IF(M107="","",P114))))</f>
        <v/>
      </c>
      <c r="O108" s="928" t="str">
        <f t="shared" si="18"/>
        <v>Jul 2025</v>
      </c>
      <c r="P108" s="1403">
        <f t="shared" si="19"/>
        <v>0</v>
      </c>
    </row>
    <row r="109" spans="1:16" s="46" customFormat="1" ht="13.5" customHeight="1" x14ac:dyDescent="0.2">
      <c r="A109" s="54" t="s">
        <v>134</v>
      </c>
      <c r="B109" s="1356" t="s">
        <v>135</v>
      </c>
      <c r="C109" s="1356"/>
      <c r="D109" s="55" t="s">
        <v>136</v>
      </c>
      <c r="E109" s="56" t="s">
        <v>137</v>
      </c>
      <c r="F109" s="57" t="str">
        <f>CONCATENATE("Entg. ",N99," h/Wo")</f>
        <v>Entg.  h/Wo</v>
      </c>
      <c r="G109" s="58" t="s">
        <v>138</v>
      </c>
      <c r="I109" s="58" t="s">
        <v>139</v>
      </c>
      <c r="K109" s="970"/>
      <c r="L109" s="970"/>
      <c r="M109" s="59"/>
      <c r="N109" s="968"/>
      <c r="O109" s="928" t="str">
        <f t="shared" si="18"/>
        <v>Aug 2025</v>
      </c>
      <c r="P109" s="1403">
        <f t="shared" si="19"/>
        <v>0</v>
      </c>
    </row>
    <row r="110" spans="1:16" s="46" customFormat="1" ht="13.5" customHeight="1" x14ac:dyDescent="0.25">
      <c r="A110" s="48" t="str">
        <f>A125</f>
        <v>Jan 2025</v>
      </c>
      <c r="B110" s="1371"/>
      <c r="C110" s="1372"/>
      <c r="D110" s="132"/>
      <c r="E110" s="132"/>
      <c r="F110" s="71"/>
      <c r="G110" s="50">
        <f>IF(N99="",0,F110/N99/4.348)</f>
        <v>0</v>
      </c>
      <c r="I110" s="51">
        <f>SUM(J110:M110)</f>
        <v>0</v>
      </c>
      <c r="J110" s="70"/>
      <c r="K110" s="70"/>
      <c r="L110" s="70"/>
      <c r="M110" s="70"/>
      <c r="N110" s="983"/>
      <c r="O110" s="928" t="str">
        <f t="shared" si="18"/>
        <v>Sep 2025</v>
      </c>
      <c r="P110" s="1403">
        <f t="shared" si="19"/>
        <v>0</v>
      </c>
    </row>
    <row r="111" spans="1:16" s="46" customFormat="1" ht="13.5" customHeight="1" x14ac:dyDescent="0.25">
      <c r="A111" s="49"/>
      <c r="B111" s="1322" t="str">
        <f>IF(A111="","",B110)</f>
        <v/>
      </c>
      <c r="C111" s="1323"/>
      <c r="D111" s="132"/>
      <c r="E111" s="132"/>
      <c r="F111" s="71"/>
      <c r="G111" s="50">
        <f>IF(N99="",0,F111/N99/4.348)</f>
        <v>0</v>
      </c>
      <c r="I111" s="51">
        <f t="shared" ref="I111:I113" si="20">SUM(J111:M111)</f>
        <v>0</v>
      </c>
      <c r="J111" s="70"/>
      <c r="K111" s="70"/>
      <c r="L111" s="70"/>
      <c r="M111" s="70"/>
      <c r="N111" s="983"/>
      <c r="O111" s="928" t="str">
        <f t="shared" si="18"/>
        <v>Okt 2025</v>
      </c>
      <c r="P111" s="1403">
        <f t="shared" ref="P111:P113" si="21">IF(P110="","",P110)</f>
        <v>0</v>
      </c>
    </row>
    <row r="112" spans="1:16" s="46" customFormat="1" ht="13.5" customHeight="1" x14ac:dyDescent="0.25">
      <c r="A112" s="49"/>
      <c r="B112" s="1322" t="str">
        <f>IF(A112="","",B111)</f>
        <v/>
      </c>
      <c r="C112" s="1323"/>
      <c r="D112" s="132"/>
      <c r="E112" s="132"/>
      <c r="F112" s="71"/>
      <c r="G112" s="50">
        <f>IF(N99="",0,F112/N99/4.348)</f>
        <v>0</v>
      </c>
      <c r="I112" s="51">
        <f t="shared" si="20"/>
        <v>0</v>
      </c>
      <c r="J112" s="70"/>
      <c r="K112" s="70"/>
      <c r="L112" s="70"/>
      <c r="M112" s="70"/>
      <c r="N112" s="983"/>
      <c r="O112" s="928" t="str">
        <f t="shared" si="18"/>
        <v>Nov 2025</v>
      </c>
      <c r="P112" s="1403">
        <f t="shared" si="21"/>
        <v>0</v>
      </c>
    </row>
    <row r="113" spans="1:16" s="46" customFormat="1" ht="13.5" customHeight="1" x14ac:dyDescent="0.25">
      <c r="A113" s="49"/>
      <c r="B113" s="1322" t="str">
        <f>IF(A113="","",B112)</f>
        <v/>
      </c>
      <c r="C113" s="1323"/>
      <c r="D113" s="132"/>
      <c r="E113" s="132"/>
      <c r="F113" s="71"/>
      <c r="G113" s="50">
        <f>IF(N99="",0,F113/N99/4.348)</f>
        <v>0</v>
      </c>
      <c r="I113" s="51">
        <f t="shared" si="20"/>
        <v>0</v>
      </c>
      <c r="J113" s="70"/>
      <c r="K113" s="70"/>
      <c r="L113" s="70"/>
      <c r="M113" s="70"/>
      <c r="N113" s="983"/>
      <c r="O113" s="928" t="str">
        <f t="shared" si="18"/>
        <v>Dez 2025</v>
      </c>
      <c r="P113" s="1403">
        <f t="shared" si="21"/>
        <v>0</v>
      </c>
    </row>
    <row r="114" spans="1:16" s="46" customFormat="1" ht="13.5" customHeight="1" x14ac:dyDescent="0.25">
      <c r="B114" s="972"/>
      <c r="C114" s="972"/>
      <c r="E114" s="972"/>
      <c r="F114" s="972"/>
      <c r="I114" s="993" t="s">
        <v>730</v>
      </c>
      <c r="J114" s="1052"/>
      <c r="K114" s="1052"/>
      <c r="L114" s="1052"/>
      <c r="M114" s="1052"/>
      <c r="N114" s="994"/>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924" t="s">
        <v>732</v>
      </c>
      <c r="D115" s="55" t="s">
        <v>369</v>
      </c>
      <c r="E115" s="56" t="s">
        <v>368</v>
      </c>
      <c r="F115" s="58"/>
      <c r="J115" s="61"/>
    </row>
    <row r="116" spans="1:16" s="46" customFormat="1" ht="13.5" customHeight="1" x14ac:dyDescent="0.25">
      <c r="A116" s="60"/>
      <c r="B116" s="1314" t="str">
        <f>IF($B$20="","",$B$20)</f>
        <v>Jahressonderzahlung (JSZ)</v>
      </c>
      <c r="C116" s="1315"/>
      <c r="D116" s="926"/>
      <c r="E116" s="929" t="str">
        <f>IF(A116="","",ROUND((((SUM(B131:B133)+SUM(F131:F133))/3)*D116)/Grundlagen!$C$26*M107,2))</f>
        <v/>
      </c>
      <c r="G116" s="986"/>
      <c r="H116" s="995"/>
      <c r="I116" s="988"/>
      <c r="J116" s="988"/>
      <c r="K116" s="988"/>
      <c r="L116" s="989"/>
      <c r="M116" s="989"/>
      <c r="N116" s="984"/>
      <c r="O116" s="990"/>
      <c r="P116" s="990"/>
    </row>
    <row r="117" spans="1:16" ht="14.25" customHeight="1" x14ac:dyDescent="0.2">
      <c r="A117" s="60"/>
      <c r="B117" s="1314" t="str">
        <f>IF($B$21="","",$B$21)</f>
        <v>Leistungsentgelt (LOB)</v>
      </c>
      <c r="C117" s="1315"/>
      <c r="D117" s="926"/>
      <c r="E117" s="929" t="str">
        <f>IF(A117="","",ROUND(((B137+F137)*D117)/Grundlagen!$C$26*M107,2))</f>
        <v/>
      </c>
      <c r="G117" s="986"/>
      <c r="H117" s="987"/>
      <c r="I117" s="988"/>
      <c r="J117" s="988"/>
      <c r="K117" s="988"/>
      <c r="L117" s="991"/>
      <c r="M117" s="991"/>
      <c r="N117" s="985"/>
      <c r="O117" s="65"/>
      <c r="P117" s="65"/>
    </row>
    <row r="118" spans="1:16" ht="14.25" customHeight="1" x14ac:dyDescent="0.2">
      <c r="C118" s="925" t="s">
        <v>731</v>
      </c>
      <c r="L118" s="991"/>
      <c r="M118" s="991"/>
      <c r="N118" s="985"/>
      <c r="O118" s="992"/>
      <c r="P118" s="992"/>
    </row>
    <row r="119" spans="1:16" ht="14.25" customHeight="1" x14ac:dyDescent="0.2">
      <c r="A119" s="53" t="s">
        <v>141</v>
      </c>
      <c r="B119" s="46"/>
      <c r="C119" s="46"/>
      <c r="D119" s="46"/>
      <c r="E119" s="46"/>
      <c r="F119" s="46"/>
      <c r="G119" s="46"/>
      <c r="H119" s="46"/>
      <c r="I119" s="46"/>
      <c r="J119" s="46"/>
      <c r="K119" s="46"/>
      <c r="L119" s="46"/>
      <c r="M119" s="46"/>
      <c r="N119" s="46"/>
      <c r="O119" s="46"/>
      <c r="P119" s="46"/>
    </row>
    <row r="120" spans="1:16" x14ac:dyDescent="0.2">
      <c r="A120" s="1346"/>
      <c r="B120" s="1348" t="s">
        <v>8</v>
      </c>
      <c r="C120" s="1349"/>
      <c r="D120" s="1349"/>
      <c r="E120" s="1349"/>
      <c r="F120" s="1349"/>
      <c r="G120" s="1350"/>
      <c r="H120" s="1351" t="s">
        <v>113</v>
      </c>
      <c r="I120" s="1352"/>
      <c r="J120" s="1352"/>
      <c r="K120" s="1352"/>
      <c r="L120" s="1352"/>
      <c r="M120" s="1352"/>
      <c r="N120" s="1352"/>
      <c r="O120" s="30"/>
      <c r="P120" s="1330" t="s">
        <v>0</v>
      </c>
    </row>
    <row r="121" spans="1:16" ht="14.25" customHeight="1" x14ac:dyDescent="0.2">
      <c r="A121" s="1347"/>
      <c r="B121" s="1333" t="s">
        <v>111</v>
      </c>
      <c r="C121" s="1335" t="s">
        <v>743</v>
      </c>
      <c r="D121" s="1337" t="s">
        <v>226</v>
      </c>
      <c r="E121" s="1339" t="s">
        <v>133</v>
      </c>
      <c r="F121" s="962" t="s">
        <v>6</v>
      </c>
      <c r="G121" s="1340" t="s">
        <v>5</v>
      </c>
      <c r="H121" s="1339" t="s">
        <v>119</v>
      </c>
      <c r="I121" s="1339" t="s">
        <v>4</v>
      </c>
      <c r="J121" s="1339" t="s">
        <v>3</v>
      </c>
      <c r="K121" s="1339" t="s">
        <v>2</v>
      </c>
      <c r="L121" s="1339" t="s">
        <v>114</v>
      </c>
      <c r="M121" s="1339" t="s">
        <v>115</v>
      </c>
      <c r="N121" s="1339" t="s">
        <v>116</v>
      </c>
      <c r="O121" s="1338" t="s">
        <v>109</v>
      </c>
      <c r="P121" s="1331"/>
    </row>
    <row r="122" spans="1:16" x14ac:dyDescent="0.2">
      <c r="A122" s="1347"/>
      <c r="B122" s="1333"/>
      <c r="C122" s="1335"/>
      <c r="D122" s="1338"/>
      <c r="E122" s="1339"/>
      <c r="F122" s="1343" t="str">
        <f>I114</f>
        <v>Zuschläge / Zulagen / o.ä.:</v>
      </c>
      <c r="G122" s="1340"/>
      <c r="H122" s="1342" t="s">
        <v>117</v>
      </c>
      <c r="I122" s="1342"/>
      <c r="J122" s="1342"/>
      <c r="K122" s="1342"/>
      <c r="L122" s="1342"/>
      <c r="M122" s="1342"/>
      <c r="N122" s="1342"/>
      <c r="O122" s="1338"/>
      <c r="P122" s="1331"/>
    </row>
    <row r="123" spans="1:16" ht="14.25" customHeight="1" x14ac:dyDescent="0.2">
      <c r="A123" s="1347"/>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row>
    <row r="124" spans="1:16" x14ac:dyDescent="0.2">
      <c r="A124" s="1347"/>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row>
    <row r="125" spans="1:16"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 si="22">SUM(B125+C125+E125+F125)</f>
        <v>0</v>
      </c>
      <c r="H125" s="64">
        <f>ROUND(SUM(B125:F125)*H124,2)</f>
        <v>0</v>
      </c>
      <c r="I125" s="64">
        <f>ROUND(SUM(B125:F125)*I124,2)</f>
        <v>0</v>
      </c>
      <c r="J125" s="64">
        <f>ROUND(SUM(B125:F125)*J124,2)</f>
        <v>0</v>
      </c>
      <c r="K125" s="64">
        <f>ROUND(SUM(B125:F125)*K124,2)</f>
        <v>0</v>
      </c>
      <c r="L125" s="64">
        <f>ROUND((SUM(B125:F125)-C125)*L124,2)</f>
        <v>0</v>
      </c>
      <c r="M125" s="64">
        <f>ROUND((SUM(B125:F125)-C125)*M124,2)</f>
        <v>0</v>
      </c>
      <c r="N125" s="64">
        <f>ROUND(SUM(B125:F125)*N124,2)</f>
        <v>0</v>
      </c>
      <c r="O125" s="21">
        <f>ROUND(SUM(B125+C125+F125)*O124,2)</f>
        <v>0</v>
      </c>
      <c r="P125" s="25">
        <f>SUM(G125:O125)</f>
        <v>0</v>
      </c>
    </row>
    <row r="126" spans="1:16" x14ac:dyDescent="0.2">
      <c r="A126" s="76" t="str">
        <f>'päd.Personal - Leitung'!$A$30</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ref="G126:G128" si="23">SUM(B126+C126+E126+F126)</f>
        <v>0</v>
      </c>
      <c r="H126" s="64">
        <f>ROUND(SUM(B126:F126)*H124,2)</f>
        <v>0</v>
      </c>
      <c r="I126" s="64">
        <f>ROUND(SUM(B126:F126)*I124,2)</f>
        <v>0</v>
      </c>
      <c r="J126" s="64">
        <f>ROUND(SUM(B126:F126)*J124,2)</f>
        <v>0</v>
      </c>
      <c r="K126" s="64">
        <f>ROUND(SUM(B126:F126)*K124,2)</f>
        <v>0</v>
      </c>
      <c r="L126" s="64">
        <f>ROUND((SUM(B126:F126)-C126)*L124,2)</f>
        <v>0</v>
      </c>
      <c r="M126" s="64">
        <f>ROUND((SUM(B126:F126)-C126)*M124,2)</f>
        <v>0</v>
      </c>
      <c r="N126" s="64">
        <f>ROUND(SUM(B126:F126)*N124,2)</f>
        <v>0</v>
      </c>
      <c r="O126" s="21">
        <f>ROUND(SUM(B126+C126+F126)*O124,2)</f>
        <v>0</v>
      </c>
      <c r="P126" s="25">
        <f t="shared" ref="P126:P136" si="24">SUM(G126:O126)</f>
        <v>0</v>
      </c>
    </row>
    <row r="127" spans="1:16" x14ac:dyDescent="0.2">
      <c r="A127" s="76" t="str">
        <f>'päd.Personal - Leitung'!$A$31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3"/>
        <v>0</v>
      </c>
      <c r="H127" s="64">
        <f>ROUND(SUM(B127:F127)*H124,2)</f>
        <v>0</v>
      </c>
      <c r="I127" s="64">
        <f>ROUND(SUM(B127:F127)*I124,2)</f>
        <v>0</v>
      </c>
      <c r="J127" s="64">
        <f>ROUND(SUM(B127:F127)*J124,2)</f>
        <v>0</v>
      </c>
      <c r="K127" s="64">
        <f>ROUND(SUM(B127:F127)*K124,2)</f>
        <v>0</v>
      </c>
      <c r="L127" s="64">
        <f>ROUND((SUM(B127:F127)-C127)*L124,2)</f>
        <v>0</v>
      </c>
      <c r="M127" s="64">
        <f>ROUND((SUM(B127:F127)-C127)*M124,2)</f>
        <v>0</v>
      </c>
      <c r="N127" s="64">
        <f>ROUND(SUM(B127:F127)*N124,2)</f>
        <v>0</v>
      </c>
      <c r="O127" s="21">
        <f>ROUND(SUM(B127+C127+F127)*O124,2)</f>
        <v>0</v>
      </c>
      <c r="P127" s="25">
        <f t="shared" si="24"/>
        <v>0</v>
      </c>
    </row>
    <row r="128" spans="1:16" x14ac:dyDescent="0.2">
      <c r="A128" s="76" t="str">
        <f>'päd.Personal - Leitung'!$A$32</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3"/>
        <v>0</v>
      </c>
      <c r="H128" s="64">
        <f>ROUND(SUM(B128:F128)*H124,2)</f>
        <v>0</v>
      </c>
      <c r="I128" s="64">
        <f>ROUND(SUM(B128:F128)*I124,2)</f>
        <v>0</v>
      </c>
      <c r="J128" s="64">
        <f>ROUND(SUM(B128:F128)*J124,2)</f>
        <v>0</v>
      </c>
      <c r="K128" s="64">
        <f>ROUND(SUM(B128:F128)*K124,2)</f>
        <v>0</v>
      </c>
      <c r="L128" s="64">
        <f>ROUND((SUM(B128:F128)-C128)*L124,2)</f>
        <v>0</v>
      </c>
      <c r="M128" s="64">
        <f>ROUND((SUM(B128:F128)-C128)*M124,2)</f>
        <v>0</v>
      </c>
      <c r="N128" s="64">
        <f>ROUND(SUM(B128:F128)*N124,2)</f>
        <v>0</v>
      </c>
      <c r="O128" s="21">
        <f>ROUND(SUM(B128+C128+F128)*O124,2)</f>
        <v>0</v>
      </c>
      <c r="P128" s="25">
        <f t="shared" si="24"/>
        <v>0</v>
      </c>
    </row>
    <row r="129" spans="1:16" x14ac:dyDescent="0.2">
      <c r="A129" s="76" t="str">
        <f>'päd.Personal - Leitung'!$A$33</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ref="G129:G136" si="25">SUM(B129+C129+E129+F129)</f>
        <v>0</v>
      </c>
      <c r="H129" s="64">
        <f>ROUND(SUM(B129:F129)*H124,2)</f>
        <v>0</v>
      </c>
      <c r="I129" s="64">
        <f>ROUND(SUM(B129:F129)*I124,2)</f>
        <v>0</v>
      </c>
      <c r="J129" s="64">
        <f>ROUND(SUM(B129:F129)*J124,2)</f>
        <v>0</v>
      </c>
      <c r="K129" s="64">
        <f>ROUND(SUM(B129:F129)*K124,2)</f>
        <v>0</v>
      </c>
      <c r="L129" s="64">
        <f>ROUND((SUM(B129:F129)-C129)*L124,2)</f>
        <v>0</v>
      </c>
      <c r="M129" s="64">
        <f>ROUND((SUM(B129:F129)-C129)*M124,2)</f>
        <v>0</v>
      </c>
      <c r="N129" s="64">
        <f>ROUND(SUM(B129:F129)*N124,2)</f>
        <v>0</v>
      </c>
      <c r="O129" s="21">
        <f>ROUND(SUM(B129+C129+F129)*O124,2)</f>
        <v>0</v>
      </c>
      <c r="P129" s="25">
        <f t="shared" si="24"/>
        <v>0</v>
      </c>
    </row>
    <row r="130" spans="1:16" x14ac:dyDescent="0.2">
      <c r="A130" s="76" t="str">
        <f>'päd.Personal - Leitung'!$A$34</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5"/>
        <v>0</v>
      </c>
      <c r="H130" s="64">
        <f>ROUND(SUM(B130:F130)*H124,2)</f>
        <v>0</v>
      </c>
      <c r="I130" s="64">
        <f>ROUND(SUM(B130:F130)*I124,2)</f>
        <v>0</v>
      </c>
      <c r="J130" s="64">
        <f>ROUND(SUM(B130:F130)*J124,2)</f>
        <v>0</v>
      </c>
      <c r="K130" s="64">
        <f>ROUND(SUM(B130:F130)*K124,2)</f>
        <v>0</v>
      </c>
      <c r="L130" s="64">
        <f>ROUND((SUM(B130:F130)-C130)*L124,2)</f>
        <v>0</v>
      </c>
      <c r="M130" s="64">
        <f>ROUND((SUM(B130:F130)-C130)*M124,2)</f>
        <v>0</v>
      </c>
      <c r="N130" s="64">
        <f>ROUND(SUM(B130:F130)*N124,2)</f>
        <v>0</v>
      </c>
      <c r="O130" s="21">
        <f>ROUND(SUM(B130+C130+F130)*O124,2)</f>
        <v>0</v>
      </c>
      <c r="P130" s="25">
        <f t="shared" si="24"/>
        <v>0</v>
      </c>
    </row>
    <row r="131" spans="1:16" x14ac:dyDescent="0.2">
      <c r="A131" s="76" t="str">
        <f>'päd.Personal - Leitung'!$A$35</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5"/>
        <v>0</v>
      </c>
      <c r="H131" s="64">
        <f>ROUND(SUM(B131:F131)*H124,2)</f>
        <v>0</v>
      </c>
      <c r="I131" s="64">
        <f>ROUND(SUM(B131:F131)*I124,2)</f>
        <v>0</v>
      </c>
      <c r="J131" s="64">
        <f>ROUND(SUM(B131:F131)*J124,2)</f>
        <v>0</v>
      </c>
      <c r="K131" s="64">
        <f>ROUND(SUM(B131:F131)*K124,2)</f>
        <v>0</v>
      </c>
      <c r="L131" s="64">
        <f>ROUND((SUM(B131:F131)-C131)*L124,2)</f>
        <v>0</v>
      </c>
      <c r="M131" s="64">
        <f>ROUND((SUM(B131:F131)-C131)*M124,2)</f>
        <v>0</v>
      </c>
      <c r="N131" s="64">
        <f>ROUND(SUM(B131:F131)*N124,2)</f>
        <v>0</v>
      </c>
      <c r="O131" s="21">
        <f>ROUND(SUM(B131+C131+F131)*O124,2)</f>
        <v>0</v>
      </c>
      <c r="P131" s="25">
        <f t="shared" si="24"/>
        <v>0</v>
      </c>
    </row>
    <row r="132" spans="1:16" x14ac:dyDescent="0.2">
      <c r="A132" s="76" t="str">
        <f>'päd.Personal - Leitung'!$A$36</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5"/>
        <v>0</v>
      </c>
      <c r="H132" s="64">
        <f>ROUND(SUM(B132:F132)*H124,2)</f>
        <v>0</v>
      </c>
      <c r="I132" s="64">
        <f>ROUND(SUM(B132:F132)*I124,2)</f>
        <v>0</v>
      </c>
      <c r="J132" s="64">
        <f>ROUND(SUM(B132:F132)*J124,2)</f>
        <v>0</v>
      </c>
      <c r="K132" s="64">
        <f>ROUND(SUM(B132:F132)*K124,2)</f>
        <v>0</v>
      </c>
      <c r="L132" s="64">
        <f>ROUND((SUM(B132:F132)-C132)*L124,2)</f>
        <v>0</v>
      </c>
      <c r="M132" s="64">
        <f>ROUND((SUM(B132:F132)-C132)*M124,2)</f>
        <v>0</v>
      </c>
      <c r="N132" s="64">
        <f>ROUND(SUM(B132:F132)*N124,2)</f>
        <v>0</v>
      </c>
      <c r="O132" s="21">
        <f>ROUND(SUM(B132+C132+F132)*O124,2)</f>
        <v>0</v>
      </c>
      <c r="P132" s="25">
        <f t="shared" si="24"/>
        <v>0</v>
      </c>
    </row>
    <row r="133" spans="1:16" x14ac:dyDescent="0.2">
      <c r="A133" s="76" t="str">
        <f>'päd.Personal - Leitung'!$A$37</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5"/>
        <v>0</v>
      </c>
      <c r="H133" s="64">
        <f>ROUND(SUM(B133:F133)*H124,2)</f>
        <v>0</v>
      </c>
      <c r="I133" s="64">
        <f>ROUND(SUM(B133:F133)*I124,2)</f>
        <v>0</v>
      </c>
      <c r="J133" s="64">
        <f>ROUND(SUM(B133:F133)*J124,2)</f>
        <v>0</v>
      </c>
      <c r="K133" s="64">
        <f>ROUND(SUM(B133:F133)*K124,2)</f>
        <v>0</v>
      </c>
      <c r="L133" s="64">
        <f>ROUND((SUM(B133:F133)-C133)*L124,2)</f>
        <v>0</v>
      </c>
      <c r="M133" s="64">
        <f>ROUND((SUM(B133:F133)-C133)*M124,2)</f>
        <v>0</v>
      </c>
      <c r="N133" s="64">
        <f>ROUND(SUM(B133:F133)*N124,2)</f>
        <v>0</v>
      </c>
      <c r="O133" s="21">
        <f>ROUND(SUM(B133+C133+F133)*O124,2)</f>
        <v>0</v>
      </c>
      <c r="P133" s="25">
        <f t="shared" si="24"/>
        <v>0</v>
      </c>
    </row>
    <row r="134" spans="1:16" x14ac:dyDescent="0.2">
      <c r="A134" s="76" t="str">
        <f>'päd.Personal - Leitung'!$A$38</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5"/>
        <v>0</v>
      </c>
      <c r="H134" s="64">
        <f>ROUND(SUM(B134:F134)*H124,2)</f>
        <v>0</v>
      </c>
      <c r="I134" s="64">
        <f>ROUND(SUM(B134:F134)*I124,2)</f>
        <v>0</v>
      </c>
      <c r="J134" s="64">
        <f>ROUND(SUM(B134:F134)*J124,2)</f>
        <v>0</v>
      </c>
      <c r="K134" s="64">
        <f>ROUND(SUM(B134:F134)*K124,2)</f>
        <v>0</v>
      </c>
      <c r="L134" s="64">
        <f>ROUND((SUM(B134:F134)-C134)*L124,2)</f>
        <v>0</v>
      </c>
      <c r="M134" s="64">
        <f>ROUND((SUM(B134:F134)-C134)*M124,2)</f>
        <v>0</v>
      </c>
      <c r="N134" s="64">
        <f>ROUND(SUM(B134:F134)*N124,2)</f>
        <v>0</v>
      </c>
      <c r="O134" s="21">
        <f>ROUND(SUM(B134+C134+F134)*O124,2)</f>
        <v>0</v>
      </c>
      <c r="P134" s="25">
        <f t="shared" si="24"/>
        <v>0</v>
      </c>
    </row>
    <row r="135" spans="1:16" x14ac:dyDescent="0.2">
      <c r="A135" s="76" t="str">
        <f>'päd.Personal - Leitung'!$A$39</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5"/>
        <v>0</v>
      </c>
      <c r="H135" s="64">
        <f>ROUND(SUM(B135:F135)*H124,2)</f>
        <v>0</v>
      </c>
      <c r="I135" s="64">
        <f>ROUND(SUM(B135:F135)*I124,2)</f>
        <v>0</v>
      </c>
      <c r="J135" s="64">
        <f>ROUND(SUM(B135:F135)*J124,2)</f>
        <v>0</v>
      </c>
      <c r="K135" s="64">
        <f>ROUND(SUM(B135:F135)*K124,2)</f>
        <v>0</v>
      </c>
      <c r="L135" s="64">
        <f>ROUND((SUM(B135:F135)-C135)*L124,2)</f>
        <v>0</v>
      </c>
      <c r="M135" s="64">
        <f>ROUND((SUM(B135:F135)-C135)*M124,2)</f>
        <v>0</v>
      </c>
      <c r="N135" s="64">
        <f>ROUND(SUM(B135:F135)*N124,2)</f>
        <v>0</v>
      </c>
      <c r="O135" s="21">
        <f>ROUND(SUM(B135+C135+F135)*O124,2)</f>
        <v>0</v>
      </c>
      <c r="P135" s="25">
        <f t="shared" si="24"/>
        <v>0</v>
      </c>
    </row>
    <row r="136" spans="1:16" x14ac:dyDescent="0.2">
      <c r="A136" s="76" t="str">
        <f>'päd.Personal - Leitung'!$A$40</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5"/>
        <v>0</v>
      </c>
      <c r="H136" s="64">
        <f>ROUND(SUM(B136:F136)*H124,2)</f>
        <v>0</v>
      </c>
      <c r="I136" s="64">
        <f>ROUND(SUM(B136:F136)*I124,2)</f>
        <v>0</v>
      </c>
      <c r="J136" s="64">
        <f>ROUND(SUM(B136:F136)*J124,2)</f>
        <v>0</v>
      </c>
      <c r="K136" s="64">
        <f>ROUND(SUM(B136:F136)*K124,2)</f>
        <v>0</v>
      </c>
      <c r="L136" s="64">
        <f>ROUND((SUM(B136:F136)-C136)*L124,2)</f>
        <v>0</v>
      </c>
      <c r="M136" s="64">
        <f>ROUND((SUM(B136:F136)-C136)*M124,2)</f>
        <v>0</v>
      </c>
      <c r="N136" s="64">
        <f>ROUND(SUM(B136:F136)*N124,2)</f>
        <v>0</v>
      </c>
      <c r="O136" s="21">
        <f>ROUND(SUM(B136+C136+F136)*O124,2)</f>
        <v>0</v>
      </c>
      <c r="P136" s="25">
        <f t="shared" si="24"/>
        <v>0</v>
      </c>
    </row>
    <row r="137" spans="1:16" s="12" customFormat="1" ht="15" x14ac:dyDescent="0.25">
      <c r="A137" s="2" t="s">
        <v>1</v>
      </c>
      <c r="B137" s="25">
        <f t="shared" ref="B137:G137" si="26">SUM(B125:B136)</f>
        <v>0</v>
      </c>
      <c r="C137" s="25">
        <f t="shared" si="26"/>
        <v>0</v>
      </c>
      <c r="D137" s="25">
        <f t="shared" si="26"/>
        <v>0</v>
      </c>
      <c r="E137" s="25">
        <f t="shared" si="26"/>
        <v>0</v>
      </c>
      <c r="F137" s="25">
        <f t="shared" si="26"/>
        <v>0</v>
      </c>
      <c r="G137" s="25">
        <f t="shared" si="26"/>
        <v>0</v>
      </c>
      <c r="H137" s="1309">
        <f>SUM(H125:N136)</f>
        <v>0</v>
      </c>
      <c r="I137" s="1310"/>
      <c r="J137" s="1310"/>
      <c r="K137" s="1310"/>
      <c r="L137" s="1310"/>
      <c r="M137" s="1310"/>
      <c r="N137" s="1311"/>
      <c r="O137" s="25">
        <f>SUM(O125:O136)</f>
        <v>0</v>
      </c>
      <c r="P137" s="25">
        <f>SUM(P125:P136)</f>
        <v>0</v>
      </c>
    </row>
    <row r="138" spans="1:16" ht="12" customHeight="1" x14ac:dyDescent="0.2"/>
    <row r="139" spans="1:16" ht="14.25" customHeight="1" x14ac:dyDescent="0.2">
      <c r="B139" s="906"/>
      <c r="H139" s="905"/>
      <c r="I139" s="62"/>
      <c r="J139" s="914" t="s">
        <v>123</v>
      </c>
      <c r="L139" s="900" t="s">
        <v>124</v>
      </c>
      <c r="M139" s="974" t="str">
        <f>IF(IF(G137=0,"",$M$43)=0,"",IF(G137=0,"",$M$43))</f>
        <v/>
      </c>
      <c r="N139" s="902" t="s">
        <v>125</v>
      </c>
      <c r="O139" s="963" t="str">
        <f>IF(IF(G137=0,"",$O$43)=0,"",IF(G137=0,"",$O$43))</f>
        <v/>
      </c>
      <c r="P139" s="25">
        <f>ROUND(IF(M139="",0,G137*M139*O139/1000),2)</f>
        <v>0</v>
      </c>
    </row>
    <row r="140" spans="1:16" ht="14.25" customHeight="1" x14ac:dyDescent="0.2">
      <c r="H140" s="907"/>
      <c r="I140" s="42"/>
      <c r="M140" s="915" t="s">
        <v>129</v>
      </c>
      <c r="N140" s="80" t="s">
        <v>125</v>
      </c>
      <c r="O140" s="75" t="str">
        <f>IF(IF(G137=0,"",$O$44)=0,"",IF(G137=0,"",$O$44))</f>
        <v/>
      </c>
      <c r="P140" s="25">
        <f>ROUND(IF(O140="",0,G137*O140/1000),2)</f>
        <v>0</v>
      </c>
    </row>
    <row r="141" spans="1:16" ht="14.25" customHeight="1" x14ac:dyDescent="0.2">
      <c r="H141" s="912" t="s">
        <v>126</v>
      </c>
      <c r="I141" s="1013" t="s">
        <v>127</v>
      </c>
      <c r="J141" s="975" t="str">
        <f>IF(IF(G137=0,"",$J$45)=0,"",IF(G137=0,"",$J$45))</f>
        <v/>
      </c>
      <c r="K141" s="902" t="s">
        <v>128</v>
      </c>
      <c r="L141" s="964" t="str">
        <f>IF(IF(G137=0,"",$L$45)=0,"",IF(G137=0,"",$L$45))</f>
        <v/>
      </c>
      <c r="M141" s="16"/>
      <c r="N141" s="900" t="s">
        <v>132</v>
      </c>
      <c r="O141" s="965" t="str">
        <f>IF(IF(G137=0,"",$O$45)=0,"",IF(G137=0,"",$O$45))</f>
        <v/>
      </c>
      <c r="P141" s="25">
        <f>ROUND(IF(J141="",0,(J141*L141/O141)/M105*M106),2)</f>
        <v>0</v>
      </c>
    </row>
    <row r="142" spans="1:16" ht="14.25" customHeight="1" x14ac:dyDescent="0.2">
      <c r="D142" s="16"/>
      <c r="I142" s="16"/>
      <c r="J142" s="961" t="s">
        <v>176</v>
      </c>
      <c r="K142" s="1312" t="str">
        <f>IF($K$46="","",$K$46)</f>
        <v/>
      </c>
      <c r="L142" s="1312"/>
      <c r="M142" s="1312"/>
      <c r="N142" s="80" t="s">
        <v>131</v>
      </c>
      <c r="O142" s="904">
        <f>IF(IF(M108="",0,$O$46)=0,0,IF(M108="",0,$O$46))</f>
        <v>0</v>
      </c>
      <c r="P142" s="21">
        <f>ROUND(IF(G137=0,0,O142/M103*M104),2)</f>
        <v>0</v>
      </c>
    </row>
    <row r="143" spans="1:16" ht="14.25" customHeight="1" x14ac:dyDescent="0.2">
      <c r="A143" s="16"/>
      <c r="B143" s="16"/>
      <c r="I143" s="905"/>
      <c r="O143" s="26" t="s">
        <v>0</v>
      </c>
      <c r="P143" s="25">
        <f>P137+SUM(P139:P142)</f>
        <v>0</v>
      </c>
    </row>
    <row r="144" spans="1:16" ht="14.25" customHeight="1" x14ac:dyDescent="0.2">
      <c r="A144" s="908"/>
      <c r="B144" s="908"/>
      <c r="C144" s="960"/>
      <c r="D144" s="960"/>
      <c r="I144" s="913"/>
      <c r="J144" s="913"/>
      <c r="K144" s="916"/>
      <c r="L144" s="27"/>
      <c r="M144" s="27"/>
      <c r="N144" s="27"/>
    </row>
    <row r="145" spans="1:16" s="10" customFormat="1" ht="13.5" customHeight="1" x14ac:dyDescent="0.2">
      <c r="A145" s="1321" t="s">
        <v>17</v>
      </c>
      <c r="B145" s="1321"/>
      <c r="C145" s="1321"/>
      <c r="D145" s="1320" t="str">
        <f>IF('päd.Personal - Leitung'!$D$1="","",'päd.Personal - Leitung'!$D$1)</f>
        <v/>
      </c>
      <c r="E145" s="1320"/>
      <c r="F145" s="1320"/>
      <c r="G145" s="1320"/>
      <c r="H145" s="1320"/>
      <c r="I145" s="1320"/>
      <c r="J145" s="1320"/>
      <c r="K145" s="1320"/>
      <c r="L145" s="1320"/>
      <c r="M145" s="1320"/>
      <c r="N145" s="1320"/>
    </row>
    <row r="146" spans="1:16" s="10" customFormat="1" ht="15" customHeight="1" x14ac:dyDescent="0.2">
      <c r="A146" s="1321" t="s">
        <v>16</v>
      </c>
      <c r="B146" s="1321"/>
      <c r="C146" s="1321" t="s">
        <v>14</v>
      </c>
      <c r="D146" s="1320" t="str">
        <f>IF('päd.Personal - Leitung'!$D$2="","",'päd.Personal - Leitung'!$D$2)</f>
        <v/>
      </c>
      <c r="E146" s="1320"/>
      <c r="F146" s="1320"/>
      <c r="G146" s="1320"/>
      <c r="H146" s="1320"/>
      <c r="I146" s="1320"/>
      <c r="J146" s="1320"/>
      <c r="K146" s="1320"/>
      <c r="L146" s="1320"/>
      <c r="M146" s="1320"/>
      <c r="N146" s="1320"/>
    </row>
    <row r="147" spans="1:16" s="10" customFormat="1" ht="15" customHeight="1" x14ac:dyDescent="0.2">
      <c r="A147" s="1321" t="s">
        <v>15</v>
      </c>
      <c r="B147" s="1321"/>
      <c r="C147" s="1321" t="s">
        <v>14</v>
      </c>
      <c r="D147" s="1320" t="str">
        <f>IF('päd.Personal - Leitung'!$D$3="","",'päd.Personal - Leitung'!$D$3)</f>
        <v/>
      </c>
      <c r="E147" s="1320"/>
      <c r="F147" s="1320"/>
      <c r="G147" s="1320"/>
      <c r="H147" s="1320"/>
      <c r="I147" s="1320"/>
      <c r="J147" s="1320"/>
      <c r="K147" s="1321" t="s">
        <v>100</v>
      </c>
      <c r="L147" s="1321"/>
      <c r="M147" s="1321"/>
      <c r="N147" s="38" t="str">
        <f>IF('päd.Personal - Leitung'!$N$3="","",'päd.Personal - Leitung'!$N$3)</f>
        <v/>
      </c>
    </row>
    <row r="148" spans="1:16" s="923" customFormat="1" ht="7.5" customHeight="1" x14ac:dyDescent="0.15">
      <c r="A148" s="1353"/>
      <c r="B148" s="1353"/>
      <c r="C148" s="1353"/>
      <c r="D148" s="1354"/>
      <c r="E148" s="1354"/>
      <c r="F148" s="1354"/>
      <c r="G148" s="1354"/>
      <c r="H148" s="1354"/>
      <c r="I148" s="1354"/>
      <c r="J148" s="1354"/>
      <c r="K148" s="922"/>
      <c r="L148" s="922"/>
      <c r="M148" s="922"/>
      <c r="N148" s="922"/>
      <c r="O148" s="922"/>
      <c r="P148" s="922"/>
    </row>
    <row r="149" spans="1:16" s="13" customFormat="1" ht="13.5" customHeight="1" x14ac:dyDescent="0.2">
      <c r="A149" s="1355" t="s">
        <v>167</v>
      </c>
      <c r="B149" s="1355"/>
      <c r="C149" s="1355"/>
      <c r="D149" s="1355"/>
      <c r="E149" s="1355"/>
      <c r="F149" s="1355"/>
      <c r="G149" s="1355"/>
      <c r="H149" s="1355"/>
      <c r="I149" s="1355"/>
      <c r="J149" s="1355"/>
      <c r="K149" s="1355"/>
      <c r="L149" s="7"/>
      <c r="M149" s="7"/>
      <c r="N149" s="52"/>
      <c r="O149" s="138">
        <f>'päd.Personal - Leitung'!$O$5</f>
        <v>2025</v>
      </c>
      <c r="P149" s="52" t="s">
        <v>140</v>
      </c>
    </row>
    <row r="150" spans="1:16" s="8" customFormat="1" ht="13.5" customHeight="1" x14ac:dyDescent="0.25">
      <c r="B150" s="29"/>
      <c r="C150" s="29"/>
      <c r="D150" s="3" t="s">
        <v>715</v>
      </c>
      <c r="E150" s="28"/>
      <c r="F150" s="28"/>
      <c r="G150" s="28"/>
      <c r="H150" s="28"/>
      <c r="I150" s="24"/>
      <c r="J150" s="1370"/>
      <c r="K150" s="1370"/>
      <c r="L150" s="81"/>
      <c r="O150" s="928" t="str">
        <f>A173</f>
        <v>Jan 2025</v>
      </c>
      <c r="P150" s="1402">
        <f>IF(M152="","",M152)</f>
        <v>0</v>
      </c>
    </row>
    <row r="151" spans="1:16" s="5" customFormat="1" ht="13.5" customHeight="1" x14ac:dyDescent="0.25">
      <c r="A151" s="1328" t="s">
        <v>754</v>
      </c>
      <c r="B151" s="1328"/>
      <c r="C151" s="1328"/>
      <c r="D151" s="1329"/>
      <c r="E151" s="1329"/>
      <c r="F151" s="1329"/>
      <c r="G151" s="1329"/>
      <c r="H151" s="1329"/>
      <c r="I151" s="1329"/>
      <c r="K151" s="1327" t="s">
        <v>101</v>
      </c>
      <c r="L151" s="1327"/>
      <c r="M151" s="101"/>
      <c r="O151" s="928" t="str">
        <f t="shared" ref="O151:O161" si="27">A174</f>
        <v>Feb 2025</v>
      </c>
      <c r="P151" s="1403">
        <f t="shared" ref="P151:P158" si="28">IF(P150="","",P150)</f>
        <v>0</v>
      </c>
    </row>
    <row r="152" spans="1:16" ht="13.5" customHeight="1" x14ac:dyDescent="0.2">
      <c r="A152" s="1328" t="s">
        <v>12</v>
      </c>
      <c r="B152" s="1328"/>
      <c r="C152" s="1328"/>
      <c r="D152" s="1345"/>
      <c r="E152" s="1345"/>
      <c r="F152" s="1345"/>
      <c r="G152" s="1345"/>
      <c r="H152" s="1345"/>
      <c r="I152" s="1345"/>
      <c r="J152" s="14"/>
      <c r="K152" s="1327" t="s">
        <v>149</v>
      </c>
      <c r="L152" s="1327"/>
      <c r="M152" s="101">
        <f>IF((M153+M154)&gt;M151,0,M151-M153-M154)</f>
        <v>0</v>
      </c>
      <c r="N152" s="14"/>
      <c r="O152" s="928" t="str">
        <f t="shared" si="27"/>
        <v>Mrz 2025</v>
      </c>
      <c r="P152" s="1403">
        <f t="shared" si="28"/>
        <v>0</v>
      </c>
    </row>
    <row r="153" spans="1:16" ht="13.5" customHeight="1" x14ac:dyDescent="0.2">
      <c r="A153" s="1328" t="s">
        <v>11</v>
      </c>
      <c r="B153" s="1328"/>
      <c r="C153" s="1328"/>
      <c r="D153" s="1345"/>
      <c r="E153" s="1345"/>
      <c r="F153" s="1345"/>
      <c r="G153" s="1345"/>
      <c r="H153" s="1345"/>
      <c r="I153" s="1345"/>
      <c r="J153" s="14"/>
      <c r="K153" s="1327" t="s">
        <v>150</v>
      </c>
      <c r="L153" s="1327"/>
      <c r="M153" s="101"/>
      <c r="N153" s="14"/>
      <c r="O153" s="928" t="str">
        <f t="shared" si="27"/>
        <v>Apr 2025</v>
      </c>
      <c r="P153" s="1403">
        <f t="shared" si="28"/>
        <v>0</v>
      </c>
    </row>
    <row r="154" spans="1:16" ht="13.5" customHeight="1" x14ac:dyDescent="0.2">
      <c r="A154" s="1328" t="s">
        <v>18</v>
      </c>
      <c r="B154" s="1328"/>
      <c r="C154" s="1328"/>
      <c r="D154" s="1345"/>
      <c r="E154" s="1345"/>
      <c r="F154" s="1345"/>
      <c r="G154" s="1345"/>
      <c r="H154" s="1345"/>
      <c r="I154" s="1345"/>
      <c r="J154" s="1313" t="s">
        <v>222</v>
      </c>
      <c r="K154" s="1313"/>
      <c r="L154" s="1313"/>
      <c r="M154" s="101"/>
      <c r="N154" s="14"/>
      <c r="O154" s="928" t="str">
        <f t="shared" si="27"/>
        <v>Mai 2025</v>
      </c>
      <c r="P154" s="1403">
        <f t="shared" si="28"/>
        <v>0</v>
      </c>
    </row>
    <row r="155" spans="1:16" ht="13.5" customHeight="1" x14ac:dyDescent="0.2">
      <c r="B155" s="6"/>
      <c r="C155" s="959" t="s">
        <v>147</v>
      </c>
      <c r="D155" s="1324"/>
      <c r="E155" s="1324"/>
      <c r="F155" s="1359" t="s">
        <v>748</v>
      </c>
      <c r="G155" s="1359"/>
      <c r="H155" s="1361"/>
      <c r="I155" s="1361"/>
      <c r="J155" s="14"/>
      <c r="K155" s="1327" t="s">
        <v>94</v>
      </c>
      <c r="L155" s="1327"/>
      <c r="M155" s="15" t="str">
        <f>IF(IF((COUNTIF(B170:B184,"&gt;0"))=0,0,(COUNTIF(B170:B184,"&gt;0")))&gt;Grundlagen!$C$26,Grundlagen!$C$26,IF((COUNTIF(B170:B184,"&gt;0"))=0,"",(COUNTIF(B170:B184,"&gt;0"))))</f>
        <v/>
      </c>
      <c r="N155" s="14"/>
      <c r="O155" s="928" t="str">
        <f t="shared" si="27"/>
        <v>Jun 2025</v>
      </c>
      <c r="P155" s="1403">
        <f t="shared" si="28"/>
        <v>0</v>
      </c>
    </row>
    <row r="156" spans="1:16" ht="13.5" customHeight="1" x14ac:dyDescent="0.2">
      <c r="F156" s="1359" t="s">
        <v>749</v>
      </c>
      <c r="G156" s="1359"/>
      <c r="H156" s="1361"/>
      <c r="I156" s="1361"/>
      <c r="J156" s="14"/>
      <c r="K156" s="14"/>
      <c r="L156" s="14"/>
      <c r="M156" s="102" t="str">
        <f>IF((SUM(F158:F161))=0,"",IF(P162&gt;M152,M152,IF(M152="","",IF(M155="","",P162))))</f>
        <v/>
      </c>
      <c r="O156" s="928" t="str">
        <f t="shared" si="27"/>
        <v>Jul 2025</v>
      </c>
      <c r="P156" s="1403">
        <f t="shared" si="28"/>
        <v>0</v>
      </c>
    </row>
    <row r="157" spans="1:16" s="46" customFormat="1" ht="13.5" customHeight="1" x14ac:dyDescent="0.2">
      <c r="A157" s="54" t="s">
        <v>134</v>
      </c>
      <c r="B157" s="1356" t="s">
        <v>135</v>
      </c>
      <c r="C157" s="1356"/>
      <c r="D157" s="55" t="s">
        <v>136</v>
      </c>
      <c r="E157" s="56" t="s">
        <v>137</v>
      </c>
      <c r="F157" s="57" t="str">
        <f>CONCATENATE("Entg. ",N147," h/Wo")</f>
        <v>Entg.  h/Wo</v>
      </c>
      <c r="G157" s="58" t="s">
        <v>138</v>
      </c>
      <c r="I157" s="58" t="s">
        <v>139</v>
      </c>
      <c r="K157" s="970"/>
      <c r="L157" s="970"/>
      <c r="M157" s="59"/>
      <c r="N157" s="968"/>
      <c r="O157" s="928" t="str">
        <f t="shared" si="27"/>
        <v>Aug 2025</v>
      </c>
      <c r="P157" s="1403">
        <f t="shared" si="28"/>
        <v>0</v>
      </c>
    </row>
    <row r="158" spans="1:16" s="46" customFormat="1" ht="13.5" customHeight="1" x14ac:dyDescent="0.25">
      <c r="A158" s="48" t="str">
        <f>A173</f>
        <v>Jan 2025</v>
      </c>
      <c r="B158" s="1371"/>
      <c r="C158" s="1372"/>
      <c r="D158" s="132"/>
      <c r="E158" s="132"/>
      <c r="F158" s="71"/>
      <c r="G158" s="50">
        <f>IF(N147="",0,F158/N147/4.348)</f>
        <v>0</v>
      </c>
      <c r="I158" s="51">
        <f>SUM(J158:M158)</f>
        <v>0</v>
      </c>
      <c r="J158" s="70"/>
      <c r="K158" s="70"/>
      <c r="L158" s="70"/>
      <c r="M158" s="70"/>
      <c r="N158" s="983"/>
      <c r="O158" s="928" t="str">
        <f t="shared" si="27"/>
        <v>Sep 2025</v>
      </c>
      <c r="P158" s="1403">
        <f t="shared" si="28"/>
        <v>0</v>
      </c>
    </row>
    <row r="159" spans="1:16" s="46" customFormat="1" ht="13.5" customHeight="1" x14ac:dyDescent="0.25">
      <c r="A159" s="49"/>
      <c r="B159" s="1322" t="str">
        <f>IF(A159="","",B158)</f>
        <v/>
      </c>
      <c r="C159" s="1323"/>
      <c r="D159" s="132"/>
      <c r="E159" s="132"/>
      <c r="F159" s="71"/>
      <c r="G159" s="50">
        <f>IF(N147="",0,F159/N147/4.348)</f>
        <v>0</v>
      </c>
      <c r="I159" s="51">
        <f t="shared" ref="I159:I161" si="29">SUM(J159:M159)</f>
        <v>0</v>
      </c>
      <c r="J159" s="70"/>
      <c r="K159" s="70"/>
      <c r="L159" s="70"/>
      <c r="M159" s="70"/>
      <c r="N159" s="983"/>
      <c r="O159" s="928" t="str">
        <f t="shared" si="27"/>
        <v>Okt 2025</v>
      </c>
      <c r="P159" s="1403">
        <f t="shared" ref="P159:P161" si="30">IF(P158="","",P158)</f>
        <v>0</v>
      </c>
    </row>
    <row r="160" spans="1:16" s="46" customFormat="1" ht="13.5" customHeight="1" x14ac:dyDescent="0.25">
      <c r="A160" s="49"/>
      <c r="B160" s="1322" t="str">
        <f>IF(A160="","",B159)</f>
        <v/>
      </c>
      <c r="C160" s="1323"/>
      <c r="D160" s="132"/>
      <c r="E160" s="132"/>
      <c r="F160" s="71"/>
      <c r="G160" s="50">
        <f>IF(N147="",0,F160/N147/4.348)</f>
        <v>0</v>
      </c>
      <c r="I160" s="51">
        <f t="shared" si="29"/>
        <v>0</v>
      </c>
      <c r="J160" s="70"/>
      <c r="K160" s="70"/>
      <c r="L160" s="70"/>
      <c r="M160" s="70"/>
      <c r="N160" s="983"/>
      <c r="O160" s="928" t="str">
        <f t="shared" si="27"/>
        <v>Nov 2025</v>
      </c>
      <c r="P160" s="1403">
        <f t="shared" si="30"/>
        <v>0</v>
      </c>
    </row>
    <row r="161" spans="1:16" s="46" customFormat="1" ht="13.5" customHeight="1" x14ac:dyDescent="0.25">
      <c r="A161" s="49"/>
      <c r="B161" s="1322" t="str">
        <f>IF(A161="","",B160)</f>
        <v/>
      </c>
      <c r="C161" s="1323"/>
      <c r="D161" s="132"/>
      <c r="E161" s="132"/>
      <c r="F161" s="71"/>
      <c r="G161" s="50">
        <f>IF(N147="",0,F161/N147/4.348)</f>
        <v>0</v>
      </c>
      <c r="I161" s="51">
        <f t="shared" si="29"/>
        <v>0</v>
      </c>
      <c r="J161" s="70"/>
      <c r="K161" s="70"/>
      <c r="L161" s="70"/>
      <c r="M161" s="70"/>
      <c r="N161" s="983"/>
      <c r="O161" s="928" t="str">
        <f t="shared" si="27"/>
        <v>Dez 2025</v>
      </c>
      <c r="P161" s="1403">
        <f t="shared" si="30"/>
        <v>0</v>
      </c>
    </row>
    <row r="162" spans="1:16" s="46" customFormat="1" ht="13.5" customHeight="1" x14ac:dyDescent="0.25">
      <c r="B162" s="972"/>
      <c r="C162" s="972"/>
      <c r="E162" s="972"/>
      <c r="F162" s="972"/>
      <c r="I162" s="993" t="s">
        <v>730</v>
      </c>
      <c r="J162" s="1052"/>
      <c r="K162" s="1052"/>
      <c r="L162" s="1052"/>
      <c r="M162" s="1052"/>
      <c r="N162" s="994"/>
      <c r="O162" s="126" t="s">
        <v>221</v>
      </c>
      <c r="P162" s="127">
        <f>IF(M155="",0,((IF(SUMIF(B173,"&gt;0"),P150,0))+(IF(SUMIF(B174,"&gt;0"),P151,0))+(IF(SUMIF(B175,"&gt;0"),P152,0))+(IF(SUMIF(B176,"&gt;0"),P153,0))+(IF(SUMIF(B177,"&gt;0"),P154,0))+(IF(SUMIF(B178,"&gt;0"),P155,0))+(IF(SUMIF(B179,"&gt;0"),P156,0))+(IF(SUMIF(B180,"&gt;0"),P157,0))+(IF(SUMIF(B181,"&gt;0"),P158,0))+(IF(SUMIF(B182,"&gt;0"),P159,0))+(IF(SUMIF(B183,"&gt;0"),P160,0))+(IF(SUMIF(B184,"&gt;0"),P161,0)))/Grundlagen!$C$26)</f>
        <v>0</v>
      </c>
    </row>
    <row r="163" spans="1:16" s="46" customFormat="1" ht="13.5" customHeight="1" x14ac:dyDescent="0.2">
      <c r="A163" s="924" t="s">
        <v>732</v>
      </c>
      <c r="D163" s="55" t="s">
        <v>369</v>
      </c>
      <c r="E163" s="56" t="s">
        <v>368</v>
      </c>
      <c r="F163" s="58"/>
      <c r="J163" s="61"/>
    </row>
    <row r="164" spans="1:16" s="46" customFormat="1" ht="13.5" customHeight="1" x14ac:dyDescent="0.25">
      <c r="A164" s="60"/>
      <c r="B164" s="1314" t="str">
        <f>IF($B$20="","",$B$20)</f>
        <v>Jahressonderzahlung (JSZ)</v>
      </c>
      <c r="C164" s="1315"/>
      <c r="D164" s="926"/>
      <c r="E164" s="929" t="str">
        <f>IF(A164="","",ROUND((((SUM(B179:B181)+SUM(F179:F181))/3)*D164)/Grundlagen!$C$26*M155,2))</f>
        <v/>
      </c>
      <c r="G164" s="986"/>
      <c r="H164" s="995"/>
      <c r="I164" s="988"/>
      <c r="J164" s="988"/>
      <c r="K164" s="988"/>
      <c r="L164" s="989"/>
      <c r="M164" s="989"/>
      <c r="N164" s="984"/>
      <c r="O164" s="990"/>
      <c r="P164" s="990"/>
    </row>
    <row r="165" spans="1:16" ht="14.25" customHeight="1" x14ac:dyDescent="0.2">
      <c r="A165" s="60"/>
      <c r="B165" s="1314" t="str">
        <f>IF($B$21="","",$B$21)</f>
        <v>Leistungsentgelt (LOB)</v>
      </c>
      <c r="C165" s="1315"/>
      <c r="D165" s="926"/>
      <c r="E165" s="929" t="str">
        <f>IF(A165="","",ROUND(((B185+F185)*D165)/Grundlagen!$C$26*M155,2))</f>
        <v/>
      </c>
      <c r="G165" s="986"/>
      <c r="H165" s="987"/>
      <c r="I165" s="988"/>
      <c r="J165" s="988"/>
      <c r="K165" s="988"/>
      <c r="L165" s="991"/>
      <c r="M165" s="991"/>
      <c r="N165" s="985"/>
      <c r="O165" s="65"/>
      <c r="P165" s="65"/>
    </row>
    <row r="166" spans="1:16" ht="14.25" customHeight="1" x14ac:dyDescent="0.2">
      <c r="C166" s="925" t="s">
        <v>731</v>
      </c>
      <c r="L166" s="991"/>
      <c r="M166" s="991"/>
      <c r="N166" s="985"/>
      <c r="O166" s="992"/>
      <c r="P166" s="992"/>
    </row>
    <row r="167" spans="1:16" ht="14.25" customHeight="1" x14ac:dyDescent="0.2">
      <c r="A167" s="53" t="s">
        <v>141</v>
      </c>
      <c r="B167" s="46"/>
      <c r="C167" s="46"/>
      <c r="D167" s="46"/>
      <c r="E167" s="46"/>
      <c r="F167" s="46"/>
      <c r="G167" s="46"/>
      <c r="H167" s="46"/>
      <c r="I167" s="46"/>
      <c r="J167" s="46"/>
      <c r="K167" s="46"/>
      <c r="L167" s="46"/>
      <c r="M167" s="46"/>
      <c r="N167" s="46"/>
      <c r="O167" s="46"/>
      <c r="P167" s="46"/>
    </row>
    <row r="168" spans="1:16" x14ac:dyDescent="0.2">
      <c r="A168" s="1346"/>
      <c r="B168" s="1348" t="s">
        <v>8</v>
      </c>
      <c r="C168" s="1349"/>
      <c r="D168" s="1349"/>
      <c r="E168" s="1349"/>
      <c r="F168" s="1349"/>
      <c r="G168" s="1350"/>
      <c r="H168" s="1351" t="s">
        <v>113</v>
      </c>
      <c r="I168" s="1352"/>
      <c r="J168" s="1352"/>
      <c r="K168" s="1352"/>
      <c r="L168" s="1352"/>
      <c r="M168" s="1352"/>
      <c r="N168" s="1352"/>
      <c r="O168" s="30"/>
      <c r="P168" s="1330" t="s">
        <v>0</v>
      </c>
    </row>
    <row r="169" spans="1:16" ht="14.25" customHeight="1" x14ac:dyDescent="0.2">
      <c r="A169" s="1347"/>
      <c r="B169" s="1333" t="s">
        <v>111</v>
      </c>
      <c r="C169" s="1335" t="s">
        <v>743</v>
      </c>
      <c r="D169" s="1337" t="s">
        <v>226</v>
      </c>
      <c r="E169" s="1339" t="s">
        <v>133</v>
      </c>
      <c r="F169" s="962" t="s">
        <v>6</v>
      </c>
      <c r="G169" s="1340" t="s">
        <v>5</v>
      </c>
      <c r="H169" s="1339" t="s">
        <v>119</v>
      </c>
      <c r="I169" s="1339" t="s">
        <v>4</v>
      </c>
      <c r="J169" s="1339" t="s">
        <v>3</v>
      </c>
      <c r="K169" s="1339" t="s">
        <v>2</v>
      </c>
      <c r="L169" s="1339" t="s">
        <v>114</v>
      </c>
      <c r="M169" s="1339" t="s">
        <v>115</v>
      </c>
      <c r="N169" s="1339" t="s">
        <v>116</v>
      </c>
      <c r="O169" s="1338" t="s">
        <v>109</v>
      </c>
      <c r="P169" s="1331"/>
    </row>
    <row r="170" spans="1:16" x14ac:dyDescent="0.2">
      <c r="A170" s="1347"/>
      <c r="B170" s="1333"/>
      <c r="C170" s="1335"/>
      <c r="D170" s="1338"/>
      <c r="E170" s="1339"/>
      <c r="F170" s="1343" t="str">
        <f>I162</f>
        <v>Zuschläge / Zulagen / o.ä.:</v>
      </c>
      <c r="G170" s="1340"/>
      <c r="H170" s="1342" t="s">
        <v>117</v>
      </c>
      <c r="I170" s="1342"/>
      <c r="J170" s="1342"/>
      <c r="K170" s="1342"/>
      <c r="L170" s="1342"/>
      <c r="M170" s="1342"/>
      <c r="N170" s="1342"/>
      <c r="O170" s="1338"/>
      <c r="P170" s="1331"/>
    </row>
    <row r="171" spans="1:16" ht="14.25" customHeight="1" x14ac:dyDescent="0.2">
      <c r="A171" s="1347"/>
      <c r="B171" s="1333"/>
      <c r="C171" s="1335"/>
      <c r="D171" s="1338"/>
      <c r="E171" s="1339"/>
      <c r="F171" s="1343"/>
      <c r="G171" s="1340"/>
      <c r="H171" s="39" t="str">
        <f>'päd.Personal - Leitung'!$H$27</f>
        <v>(7,30% + Zusatz)</v>
      </c>
      <c r="I171" s="39" t="str">
        <f>'päd.Personal - Leitung'!$I$27</f>
        <v xml:space="preserve"> (2024: 9,30%)</v>
      </c>
      <c r="J171" s="39" t="str">
        <f>'päd.Personal - Leitung'!$J$27</f>
        <v>(2024: 1,30%)</v>
      </c>
      <c r="K171" s="39" t="str">
        <f>'päd.Personal - Leitung'!$K$27</f>
        <v>(2024: 1,700%)</v>
      </c>
      <c r="L171" s="39"/>
      <c r="M171" s="39"/>
      <c r="N171" s="39" t="str">
        <f>'päd.Personal - Leitung'!$N$27</f>
        <v>(2024: 0,06%)</v>
      </c>
      <c r="O171" s="1338"/>
      <c r="P171" s="1331"/>
    </row>
    <row r="172" spans="1:16" x14ac:dyDescent="0.2">
      <c r="A172" s="1347"/>
      <c r="B172" s="1334"/>
      <c r="C172" s="1336"/>
      <c r="D172" s="45"/>
      <c r="E172" s="45"/>
      <c r="F172" s="1344"/>
      <c r="G172" s="1341"/>
      <c r="H172" s="74"/>
      <c r="I172" s="99">
        <f>'päd.Personal - Leitung'!$I$28</f>
        <v>0</v>
      </c>
      <c r="J172" s="99">
        <f>'päd.Personal - Leitung'!$J$28</f>
        <v>0</v>
      </c>
      <c r="K172" s="40">
        <f>'päd.Personal - Leitung'!$K$28</f>
        <v>0</v>
      </c>
      <c r="L172" s="19"/>
      <c r="M172" s="19"/>
      <c r="N172" s="99">
        <f>'päd.Personal - Leitung'!$N$28</f>
        <v>0</v>
      </c>
      <c r="O172" s="23"/>
      <c r="P172" s="1332"/>
    </row>
    <row r="173" spans="1:16" x14ac:dyDescent="0.2">
      <c r="A173" s="76" t="str">
        <f>CONCATENATE("Jan ",O149)</f>
        <v>Jan 2025</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 si="31">SUM(B173+C173+E173+F173)</f>
        <v>0</v>
      </c>
      <c r="H173" s="64">
        <f>ROUND(SUM(B173:F173)*H172,2)</f>
        <v>0</v>
      </c>
      <c r="I173" s="64">
        <f>ROUND(SUM(B173:F173)*I172,2)</f>
        <v>0</v>
      </c>
      <c r="J173" s="64">
        <f>ROUND(SUM(B173:F173)*J172,2)</f>
        <v>0</v>
      </c>
      <c r="K173" s="64">
        <f>ROUND(SUM(B173:F173)*K172,2)</f>
        <v>0</v>
      </c>
      <c r="L173" s="64">
        <f>ROUND((SUM(B173:F173)-C173)*L172,2)</f>
        <v>0</v>
      </c>
      <c r="M173" s="64">
        <f>ROUND((SUM(B173:F173)-C173)*M172,2)</f>
        <v>0</v>
      </c>
      <c r="N173" s="64">
        <f>ROUND(SUM(B173:F173)*N172,2)</f>
        <v>0</v>
      </c>
      <c r="O173" s="21">
        <f>ROUND(SUM(B173+C173+F173)*O172,2)</f>
        <v>0</v>
      </c>
      <c r="P173" s="25">
        <f>SUM(G173:O173)</f>
        <v>0</v>
      </c>
    </row>
    <row r="174" spans="1:16" x14ac:dyDescent="0.2">
      <c r="A174" s="76" t="str">
        <f>'päd.Personal - Leitung'!$A$30</f>
        <v>Feb 2025</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ref="G174:G176" si="32">SUM(B174+C174+E174+F174)</f>
        <v>0</v>
      </c>
      <c r="H174" s="64">
        <f>ROUND(SUM(B174:F174)*H172,2)</f>
        <v>0</v>
      </c>
      <c r="I174" s="64">
        <f>ROUND(SUM(B174:F174)*I172,2)</f>
        <v>0</v>
      </c>
      <c r="J174" s="64">
        <f>ROUND(SUM(B174:F174)*J172,2)</f>
        <v>0</v>
      </c>
      <c r="K174" s="64">
        <f>ROUND(SUM(B174:F174)*K172,2)</f>
        <v>0</v>
      </c>
      <c r="L174" s="64">
        <f>ROUND((SUM(B174:F174)-C174)*L172,2)</f>
        <v>0</v>
      </c>
      <c r="M174" s="64">
        <f>ROUND((SUM(B174:F174)-C174)*M172,2)</f>
        <v>0</v>
      </c>
      <c r="N174" s="64">
        <f>ROUND(SUM(B174:F174)*N172,2)</f>
        <v>0</v>
      </c>
      <c r="O174" s="21">
        <f>ROUND(SUM(B174+C174+F174)*O172,2)</f>
        <v>0</v>
      </c>
      <c r="P174" s="25">
        <f t="shared" ref="P174:P184" si="33">SUM(G174:O174)</f>
        <v>0</v>
      </c>
    </row>
    <row r="175" spans="1:16" x14ac:dyDescent="0.2">
      <c r="A175" s="76" t="str">
        <f>'päd.Personal - Leitung'!$A$31</f>
        <v>Mrz 2025</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32"/>
        <v>0</v>
      </c>
      <c r="H175" s="64">
        <f>ROUND(SUM(B175:F175)*H172,2)</f>
        <v>0</v>
      </c>
      <c r="I175" s="64">
        <f>ROUND(SUM(B175:F175)*I172,2)</f>
        <v>0</v>
      </c>
      <c r="J175" s="64">
        <f>ROUND(SUM(B175:F175)*J172,2)</f>
        <v>0</v>
      </c>
      <c r="K175" s="64">
        <f>ROUND(SUM(B175:F175)*K172,2)</f>
        <v>0</v>
      </c>
      <c r="L175" s="64">
        <f>ROUND((SUM(B175:F175)-C175)*L172,2)</f>
        <v>0</v>
      </c>
      <c r="M175" s="64">
        <f>ROUND((SUM(B175:F175)-C175)*M172,2)</f>
        <v>0</v>
      </c>
      <c r="N175" s="64">
        <f>ROUND(SUM(B175:F175)*N172,2)</f>
        <v>0</v>
      </c>
      <c r="O175" s="21">
        <f>ROUND(SUM(B175+C175+F175)*O172,2)</f>
        <v>0</v>
      </c>
      <c r="P175" s="25">
        <f t="shared" si="33"/>
        <v>0</v>
      </c>
    </row>
    <row r="176" spans="1:16" x14ac:dyDescent="0.2">
      <c r="A176" s="76" t="str">
        <f>'päd.Personal - Leitung'!$A$32</f>
        <v>Apr 2025</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32"/>
        <v>0</v>
      </c>
      <c r="H176" s="64">
        <f>ROUND(SUM(B176:F176)*H172,2)</f>
        <v>0</v>
      </c>
      <c r="I176" s="64">
        <f>ROUND(SUM(B176:F176)*I172,2)</f>
        <v>0</v>
      </c>
      <c r="J176" s="64">
        <f>ROUND(SUM(B176:F176)*J172,2)</f>
        <v>0</v>
      </c>
      <c r="K176" s="64">
        <f>ROUND(SUM(B176:F176)*K172,2)</f>
        <v>0</v>
      </c>
      <c r="L176" s="64">
        <f>ROUND((SUM(B176:F176)-C176)*L172,2)</f>
        <v>0</v>
      </c>
      <c r="M176" s="64">
        <f>ROUND((SUM(B176:F176)-C176)*M172,2)</f>
        <v>0</v>
      </c>
      <c r="N176" s="64">
        <f>ROUND(SUM(B176:F176)*N172,2)</f>
        <v>0</v>
      </c>
      <c r="O176" s="21">
        <f>ROUND(SUM(B176+C176+F176)*O172,2)</f>
        <v>0</v>
      </c>
      <c r="P176" s="25">
        <f t="shared" si="33"/>
        <v>0</v>
      </c>
    </row>
    <row r="177" spans="1:16" x14ac:dyDescent="0.2">
      <c r="A177" s="76" t="str">
        <f>'päd.Personal - Leitung'!$A$33</f>
        <v>Mai 2025</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ref="G177:G184" si="34">SUM(B177+C177+E177+F177)</f>
        <v>0</v>
      </c>
      <c r="H177" s="64">
        <f>ROUND(SUM(B177:F177)*H172,2)</f>
        <v>0</v>
      </c>
      <c r="I177" s="64">
        <f>ROUND(SUM(B177:F177)*I172,2)</f>
        <v>0</v>
      </c>
      <c r="J177" s="64">
        <f>ROUND(SUM(B177:F177)*J172,2)</f>
        <v>0</v>
      </c>
      <c r="K177" s="64">
        <f>ROUND(SUM(B177:F177)*K172,2)</f>
        <v>0</v>
      </c>
      <c r="L177" s="64">
        <f>ROUND((SUM(B177:F177)-C177)*L172,2)</f>
        <v>0</v>
      </c>
      <c r="M177" s="64">
        <f>ROUND((SUM(B177:F177)-C177)*M172,2)</f>
        <v>0</v>
      </c>
      <c r="N177" s="64">
        <f>ROUND(SUM(B177:F177)*N172,2)</f>
        <v>0</v>
      </c>
      <c r="O177" s="21">
        <f>ROUND(SUM(B177+C177+F177)*O172,2)</f>
        <v>0</v>
      </c>
      <c r="P177" s="25">
        <f t="shared" si="33"/>
        <v>0</v>
      </c>
    </row>
    <row r="178" spans="1:16" x14ac:dyDescent="0.2">
      <c r="A178" s="76" t="str">
        <f>'päd.Personal - Leitung'!$A$34</f>
        <v>Jun 2025</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34"/>
        <v>0</v>
      </c>
      <c r="H178" s="64">
        <f>ROUND(SUM(B178:F178)*H172,2)</f>
        <v>0</v>
      </c>
      <c r="I178" s="64">
        <f>ROUND(SUM(B178:F178)*I172,2)</f>
        <v>0</v>
      </c>
      <c r="J178" s="64">
        <f>ROUND(SUM(B178:F178)*J172,2)</f>
        <v>0</v>
      </c>
      <c r="K178" s="64">
        <f>ROUND(SUM(B178:F178)*K172,2)</f>
        <v>0</v>
      </c>
      <c r="L178" s="64">
        <f>ROUND((SUM(B178:F178)-C178)*L172,2)</f>
        <v>0</v>
      </c>
      <c r="M178" s="64">
        <f>ROUND((SUM(B178:F178)-C178)*M172,2)</f>
        <v>0</v>
      </c>
      <c r="N178" s="64">
        <f>ROUND(SUM(B178:F178)*N172,2)</f>
        <v>0</v>
      </c>
      <c r="O178" s="21">
        <f>ROUND(SUM(B178+C178+F178)*O172,2)</f>
        <v>0</v>
      </c>
      <c r="P178" s="25">
        <f t="shared" si="33"/>
        <v>0</v>
      </c>
    </row>
    <row r="179" spans="1:16" x14ac:dyDescent="0.2">
      <c r="A179" s="76" t="str">
        <f>'päd.Personal - Leitung'!$A$35</f>
        <v>Jul 2025</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34"/>
        <v>0</v>
      </c>
      <c r="H179" s="64">
        <f>ROUND(SUM(B179:F179)*H172,2)</f>
        <v>0</v>
      </c>
      <c r="I179" s="64">
        <f>ROUND(SUM(B179:F179)*I172,2)</f>
        <v>0</v>
      </c>
      <c r="J179" s="64">
        <f>ROUND(SUM(B179:F179)*J172,2)</f>
        <v>0</v>
      </c>
      <c r="K179" s="64">
        <f>ROUND(SUM(B179:F179)*K172,2)</f>
        <v>0</v>
      </c>
      <c r="L179" s="64">
        <f>ROUND((SUM(B179:F179)-C179)*L172,2)</f>
        <v>0</v>
      </c>
      <c r="M179" s="64">
        <f>ROUND((SUM(B179:F179)-C179)*M172,2)</f>
        <v>0</v>
      </c>
      <c r="N179" s="64">
        <f>ROUND(SUM(B179:F179)*N172,2)</f>
        <v>0</v>
      </c>
      <c r="O179" s="21">
        <f>ROUND(SUM(B179+C179+F179)*O172,2)</f>
        <v>0</v>
      </c>
      <c r="P179" s="25">
        <f t="shared" si="33"/>
        <v>0</v>
      </c>
    </row>
    <row r="180" spans="1:16" x14ac:dyDescent="0.2">
      <c r="A180" s="76" t="str">
        <f>'päd.Personal - Leitung'!$A$36</f>
        <v>Aug 2025</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34"/>
        <v>0</v>
      </c>
      <c r="H180" s="64">
        <f>ROUND(SUM(B180:F180)*H172,2)</f>
        <v>0</v>
      </c>
      <c r="I180" s="64">
        <f>ROUND(SUM(B180:F180)*I172,2)</f>
        <v>0</v>
      </c>
      <c r="J180" s="64">
        <f>ROUND(SUM(B180:F180)*J172,2)</f>
        <v>0</v>
      </c>
      <c r="K180" s="64">
        <f>ROUND(SUM(B180:F180)*K172,2)</f>
        <v>0</v>
      </c>
      <c r="L180" s="64">
        <f>ROUND((SUM(B180:F180)-C180)*L172,2)</f>
        <v>0</v>
      </c>
      <c r="M180" s="64">
        <f>ROUND((SUM(B180:F180)-C180)*M172,2)</f>
        <v>0</v>
      </c>
      <c r="N180" s="64">
        <f>ROUND(SUM(B180:F180)*N172,2)</f>
        <v>0</v>
      </c>
      <c r="O180" s="21">
        <f>ROUND(SUM(B180+C180+F180)*O172,2)</f>
        <v>0</v>
      </c>
      <c r="P180" s="25">
        <f t="shared" si="33"/>
        <v>0</v>
      </c>
    </row>
    <row r="181" spans="1:16" x14ac:dyDescent="0.2">
      <c r="A181" s="76" t="str">
        <f>'päd.Personal - Leitung'!$A$37</f>
        <v>Sep 2025</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34"/>
        <v>0</v>
      </c>
      <c r="H181" s="64">
        <f>ROUND(SUM(B181:F181)*H172,2)</f>
        <v>0</v>
      </c>
      <c r="I181" s="64">
        <f>ROUND(SUM(B181:F181)*I172,2)</f>
        <v>0</v>
      </c>
      <c r="J181" s="64">
        <f>ROUND(SUM(B181:F181)*J172,2)</f>
        <v>0</v>
      </c>
      <c r="K181" s="64">
        <f>ROUND(SUM(B181:F181)*K172,2)</f>
        <v>0</v>
      </c>
      <c r="L181" s="64">
        <f>ROUND((SUM(B181:F181)-C181)*L172,2)</f>
        <v>0</v>
      </c>
      <c r="M181" s="64">
        <f>ROUND((SUM(B181:F181)-C181)*M172,2)</f>
        <v>0</v>
      </c>
      <c r="N181" s="64">
        <f>ROUND(SUM(B181:F181)*N172,2)</f>
        <v>0</v>
      </c>
      <c r="O181" s="21">
        <f>ROUND(SUM(B181+C181+F181)*O172,2)</f>
        <v>0</v>
      </c>
      <c r="P181" s="25">
        <f t="shared" si="33"/>
        <v>0</v>
      </c>
    </row>
    <row r="182" spans="1:16" x14ac:dyDescent="0.2">
      <c r="A182" s="76" t="str">
        <f>'päd.Personal - Leitung'!$A$38</f>
        <v>Okt 2025</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34"/>
        <v>0</v>
      </c>
      <c r="H182" s="64">
        <f>ROUND(SUM(B182:F182)*H172,2)</f>
        <v>0</v>
      </c>
      <c r="I182" s="64">
        <f>ROUND(SUM(B182:F182)*I172,2)</f>
        <v>0</v>
      </c>
      <c r="J182" s="64">
        <f>ROUND(SUM(B182:F182)*J172,2)</f>
        <v>0</v>
      </c>
      <c r="K182" s="64">
        <f>ROUND(SUM(B182:F182)*K172,2)</f>
        <v>0</v>
      </c>
      <c r="L182" s="64">
        <f>ROUND((SUM(B182:F182)-C182)*L172,2)</f>
        <v>0</v>
      </c>
      <c r="M182" s="64">
        <f>ROUND((SUM(B182:F182)-C182)*M172,2)</f>
        <v>0</v>
      </c>
      <c r="N182" s="64">
        <f>ROUND(SUM(B182:F182)*N172,2)</f>
        <v>0</v>
      </c>
      <c r="O182" s="21">
        <f>ROUND(SUM(B182+C182+F182)*O172,2)</f>
        <v>0</v>
      </c>
      <c r="P182" s="25">
        <f t="shared" si="33"/>
        <v>0</v>
      </c>
    </row>
    <row r="183" spans="1:16" x14ac:dyDescent="0.2">
      <c r="A183" s="76" t="str">
        <f>'päd.Personal - Leitung'!$A$39</f>
        <v>Nov 2025</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34"/>
        <v>0</v>
      </c>
      <c r="H183" s="64">
        <f>ROUND(SUM(B183:F183)*H172,2)</f>
        <v>0</v>
      </c>
      <c r="I183" s="64">
        <f>ROUND(SUM(B183:F183)*I172,2)</f>
        <v>0</v>
      </c>
      <c r="J183" s="64">
        <f>ROUND(SUM(B183:F183)*J172,2)</f>
        <v>0</v>
      </c>
      <c r="K183" s="64">
        <f>ROUND(SUM(B183:F183)*K172,2)</f>
        <v>0</v>
      </c>
      <c r="L183" s="64">
        <f>ROUND((SUM(B183:F183)-C183)*L172,2)</f>
        <v>0</v>
      </c>
      <c r="M183" s="64">
        <f>ROUND((SUM(B183:F183)-C183)*M172,2)</f>
        <v>0</v>
      </c>
      <c r="N183" s="64">
        <f>ROUND(SUM(B183:F183)*N172,2)</f>
        <v>0</v>
      </c>
      <c r="O183" s="21">
        <f>ROUND(SUM(B183+C183+F183)*O172,2)</f>
        <v>0</v>
      </c>
      <c r="P183" s="25">
        <f t="shared" si="33"/>
        <v>0</v>
      </c>
    </row>
    <row r="184" spans="1:16" x14ac:dyDescent="0.2">
      <c r="A184" s="76" t="str">
        <f>'päd.Personal - Leitung'!$A$40</f>
        <v>Dez 2025</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34"/>
        <v>0</v>
      </c>
      <c r="H184" s="64">
        <f>ROUND(SUM(B184:F184)*H172,2)</f>
        <v>0</v>
      </c>
      <c r="I184" s="64">
        <f>ROUND(SUM(B184:F184)*I172,2)</f>
        <v>0</v>
      </c>
      <c r="J184" s="64">
        <f>ROUND(SUM(B184:F184)*J172,2)</f>
        <v>0</v>
      </c>
      <c r="K184" s="64">
        <f>ROUND(SUM(B184:F184)*K172,2)</f>
        <v>0</v>
      </c>
      <c r="L184" s="64">
        <f>ROUND((SUM(B184:F184)-C184)*L172,2)</f>
        <v>0</v>
      </c>
      <c r="M184" s="64">
        <f>ROUND((SUM(B184:F184)-C184)*M172,2)</f>
        <v>0</v>
      </c>
      <c r="N184" s="64">
        <f>ROUND(SUM(B184:F184)*N172,2)</f>
        <v>0</v>
      </c>
      <c r="O184" s="21">
        <f>ROUND(SUM(B184+C184+F184)*O172,2)</f>
        <v>0</v>
      </c>
      <c r="P184" s="25">
        <f t="shared" si="33"/>
        <v>0</v>
      </c>
    </row>
    <row r="185" spans="1:16" s="12" customFormat="1" ht="15" x14ac:dyDescent="0.25">
      <c r="A185" s="2" t="s">
        <v>1</v>
      </c>
      <c r="B185" s="25">
        <f t="shared" ref="B185:G185" si="35">SUM(B173:B184)</f>
        <v>0</v>
      </c>
      <c r="C185" s="25">
        <f t="shared" si="35"/>
        <v>0</v>
      </c>
      <c r="D185" s="25">
        <f t="shared" si="35"/>
        <v>0</v>
      </c>
      <c r="E185" s="25">
        <f t="shared" si="35"/>
        <v>0</v>
      </c>
      <c r="F185" s="25">
        <f t="shared" si="35"/>
        <v>0</v>
      </c>
      <c r="G185" s="25">
        <f t="shared" si="35"/>
        <v>0</v>
      </c>
      <c r="H185" s="1309">
        <f>SUM(H173:N184)</f>
        <v>0</v>
      </c>
      <c r="I185" s="1310"/>
      <c r="J185" s="1310"/>
      <c r="K185" s="1310"/>
      <c r="L185" s="1310"/>
      <c r="M185" s="1310"/>
      <c r="N185" s="1311"/>
      <c r="O185" s="25">
        <f>SUM(O173:O184)</f>
        <v>0</v>
      </c>
      <c r="P185" s="25">
        <f>SUM(P173:P184)</f>
        <v>0</v>
      </c>
    </row>
    <row r="186" spans="1:16" ht="12" customHeight="1" x14ac:dyDescent="0.2"/>
    <row r="187" spans="1:16" ht="14.25" customHeight="1" x14ac:dyDescent="0.2">
      <c r="B187" s="906"/>
      <c r="H187" s="905"/>
      <c r="I187" s="62"/>
      <c r="J187" s="914" t="s">
        <v>123</v>
      </c>
      <c r="L187" s="900" t="s">
        <v>124</v>
      </c>
      <c r="M187" s="974" t="str">
        <f>IF(IF(G185=0,"",$M$43)=0,"",IF(G185=0,"",$M$43))</f>
        <v/>
      </c>
      <c r="N187" s="902" t="s">
        <v>125</v>
      </c>
      <c r="O187" s="963" t="str">
        <f>IF(IF(G185=0,"",$O$43)=0,"",IF(G185=0,"",$O$43))</f>
        <v/>
      </c>
      <c r="P187" s="25">
        <f>ROUND(IF(M187="",0,G185*M187*O187/1000),2)</f>
        <v>0</v>
      </c>
    </row>
    <row r="188" spans="1:16" ht="14.25" customHeight="1" x14ac:dyDescent="0.2">
      <c r="H188" s="907"/>
      <c r="I188" s="42"/>
      <c r="M188" s="915" t="s">
        <v>129</v>
      </c>
      <c r="N188" s="80" t="s">
        <v>125</v>
      </c>
      <c r="O188" s="75" t="str">
        <f>IF(IF(G185=0,"",$O$44)=0,"",IF(G185=0,"",$O$44))</f>
        <v/>
      </c>
      <c r="P188" s="25">
        <f>ROUND(IF(O188="",0,G185*O188/1000),2)</f>
        <v>0</v>
      </c>
    </row>
    <row r="189" spans="1:16" ht="14.25" customHeight="1" x14ac:dyDescent="0.2">
      <c r="H189" s="912" t="s">
        <v>126</v>
      </c>
      <c r="I189" s="1013" t="s">
        <v>127</v>
      </c>
      <c r="J189" s="975" t="str">
        <f>IF(IF(G185=0,"",$J$45)=0,"",IF(G185=0,"",$J$45))</f>
        <v/>
      </c>
      <c r="K189" s="902" t="s">
        <v>128</v>
      </c>
      <c r="L189" s="964" t="str">
        <f>IF(IF(G185=0,"",$L$45)=0,"",IF(G185=0,"",$L$45))</f>
        <v/>
      </c>
      <c r="M189" s="16"/>
      <c r="N189" s="900" t="s">
        <v>132</v>
      </c>
      <c r="O189" s="965" t="str">
        <f>IF(IF(G185=0,"",$O$45)=0,"",IF(G185=0,"",$O$45))</f>
        <v/>
      </c>
      <c r="P189" s="25">
        <f>ROUND(IF(J189="",0,(J189*L189/O189)/M153*M154),2)</f>
        <v>0</v>
      </c>
    </row>
    <row r="190" spans="1:16" ht="14.25" customHeight="1" x14ac:dyDescent="0.2">
      <c r="D190" s="16"/>
      <c r="I190" s="16"/>
      <c r="J190" s="961" t="s">
        <v>176</v>
      </c>
      <c r="K190" s="1312" t="str">
        <f>IF($K$46="","",$K$46)</f>
        <v/>
      </c>
      <c r="L190" s="1312"/>
      <c r="M190" s="1312"/>
      <c r="N190" s="80" t="s">
        <v>131</v>
      </c>
      <c r="O190" s="904">
        <f>IF(IF(M156="",0,$O$46)=0,0,IF(M156="",0,$O$46))</f>
        <v>0</v>
      </c>
      <c r="P190" s="21">
        <f>ROUND(IF(G185=0,0,O190/M151*M152),2)</f>
        <v>0</v>
      </c>
    </row>
    <row r="191" spans="1:16" ht="14.25" customHeight="1" x14ac:dyDescent="0.2">
      <c r="A191" s="16"/>
      <c r="B191" s="16"/>
      <c r="I191" s="905"/>
      <c r="O191" s="26" t="s">
        <v>0</v>
      </c>
      <c r="P191" s="25">
        <f>P185+SUM(P187:P190)</f>
        <v>0</v>
      </c>
    </row>
    <row r="192" spans="1:16" ht="14.25" customHeight="1" x14ac:dyDescent="0.2">
      <c r="A192" s="908"/>
      <c r="B192" s="908"/>
      <c r="C192" s="960"/>
      <c r="D192" s="960"/>
      <c r="I192" s="913"/>
      <c r="J192" s="913"/>
      <c r="K192" s="916"/>
      <c r="L192" s="27"/>
      <c r="M192" s="27"/>
      <c r="N192" s="27"/>
    </row>
  </sheetData>
  <sheetProtection algorithmName="SHA-512" hashValue="9CZ5hX3GjAgV1r9SFCD3igY+jYmG+g8f/LKIhg2kPmRZw1vTOq6v0Vf/Fmw1W/u3/WY/Xq+p+jCtFPh/1qGp7A==" saltValue="p8j548iuFQ7b5+TTtR+11w==" spinCount="100000" sheet="1" objects="1" scenarios="1"/>
  <mergeCells count="224">
    <mergeCell ref="B113:C113"/>
    <mergeCell ref="B111:C111"/>
    <mergeCell ref="B112:C112"/>
    <mergeCell ref="A120:A124"/>
    <mergeCell ref="B120:G120"/>
    <mergeCell ref="H120:N120"/>
    <mergeCell ref="B157:C157"/>
    <mergeCell ref="B158:C158"/>
    <mergeCell ref="A145:C145"/>
    <mergeCell ref="D145:N145"/>
    <mergeCell ref="D146:N146"/>
    <mergeCell ref="D147:J147"/>
    <mergeCell ref="D148:J148"/>
    <mergeCell ref="A149:K149"/>
    <mergeCell ref="J150:K150"/>
    <mergeCell ref="A152:C152"/>
    <mergeCell ref="D152:I152"/>
    <mergeCell ref="A153:C153"/>
    <mergeCell ref="D153:I153"/>
    <mergeCell ref="A154:C154"/>
    <mergeCell ref="A100:C100"/>
    <mergeCell ref="F12:G12"/>
    <mergeCell ref="H12:I12"/>
    <mergeCell ref="F60:G60"/>
    <mergeCell ref="H60:I60"/>
    <mergeCell ref="B61:C61"/>
    <mergeCell ref="D52:J52"/>
    <mergeCell ref="B63:C63"/>
    <mergeCell ref="B64:C64"/>
    <mergeCell ref="B15:C15"/>
    <mergeCell ref="B16:C16"/>
    <mergeCell ref="B17:C17"/>
    <mergeCell ref="B20:C20"/>
    <mergeCell ref="B21:C21"/>
    <mergeCell ref="A24:A28"/>
    <mergeCell ref="B24:G24"/>
    <mergeCell ref="B65:C65"/>
    <mergeCell ref="A58:C58"/>
    <mergeCell ref="A50:C50"/>
    <mergeCell ref="D50:N50"/>
    <mergeCell ref="A49:C49"/>
    <mergeCell ref="A55:C55"/>
    <mergeCell ref="A57:C57"/>
    <mergeCell ref="D58:I58"/>
    <mergeCell ref="A51:C51"/>
    <mergeCell ref="B62:C62"/>
    <mergeCell ref="H59:I59"/>
    <mergeCell ref="D57:I57"/>
    <mergeCell ref="J10:L10"/>
    <mergeCell ref="K11:L11"/>
    <mergeCell ref="A10:C10"/>
    <mergeCell ref="A8:C8"/>
    <mergeCell ref="A9:C9"/>
    <mergeCell ref="H24:N24"/>
    <mergeCell ref="H41:N41"/>
    <mergeCell ref="K46:M46"/>
    <mergeCell ref="K55:L55"/>
    <mergeCell ref="K56:L56"/>
    <mergeCell ref="K57:L57"/>
    <mergeCell ref="J58:L58"/>
    <mergeCell ref="K59:L59"/>
    <mergeCell ref="A4:C4"/>
    <mergeCell ref="A7:C7"/>
    <mergeCell ref="B13:C13"/>
    <mergeCell ref="B14:C14"/>
    <mergeCell ref="J6:K6"/>
    <mergeCell ref="D7:I7"/>
    <mergeCell ref="A1:C1"/>
    <mergeCell ref="A2:C2"/>
    <mergeCell ref="A3:C3"/>
    <mergeCell ref="D8:I8"/>
    <mergeCell ref="D9:I9"/>
    <mergeCell ref="K7:L7"/>
    <mergeCell ref="K8:L8"/>
    <mergeCell ref="K9:L9"/>
    <mergeCell ref="A97:C97"/>
    <mergeCell ref="A104:C104"/>
    <mergeCell ref="A105:C105"/>
    <mergeCell ref="A98:C98"/>
    <mergeCell ref="A106:C106"/>
    <mergeCell ref="D1:N1"/>
    <mergeCell ref="D2:N2"/>
    <mergeCell ref="D3:J3"/>
    <mergeCell ref="K3:M3"/>
    <mergeCell ref="D10:I10"/>
    <mergeCell ref="D11:E11"/>
    <mergeCell ref="F11:G11"/>
    <mergeCell ref="H11:I11"/>
    <mergeCell ref="D49:N49"/>
    <mergeCell ref="D51:J51"/>
    <mergeCell ref="K51:M51"/>
    <mergeCell ref="J54:K54"/>
    <mergeCell ref="A53:K53"/>
    <mergeCell ref="A52:C52"/>
    <mergeCell ref="D56:I56"/>
    <mergeCell ref="A56:C56"/>
    <mergeCell ref="D55:I55"/>
    <mergeCell ref="D4:J4"/>
    <mergeCell ref="A5:K5"/>
    <mergeCell ref="K99:M99"/>
    <mergeCell ref="F156:G156"/>
    <mergeCell ref="D100:J100"/>
    <mergeCell ref="H107:I107"/>
    <mergeCell ref="F108:G108"/>
    <mergeCell ref="H108:I108"/>
    <mergeCell ref="D154:I154"/>
    <mergeCell ref="D155:E155"/>
    <mergeCell ref="F155:G155"/>
    <mergeCell ref="H155:I155"/>
    <mergeCell ref="D151:I151"/>
    <mergeCell ref="K147:M147"/>
    <mergeCell ref="H137:N137"/>
    <mergeCell ref="K142:M142"/>
    <mergeCell ref="K151:L151"/>
    <mergeCell ref="K152:L152"/>
    <mergeCell ref="K153:L153"/>
    <mergeCell ref="J154:L154"/>
    <mergeCell ref="K155:L155"/>
    <mergeCell ref="P24:P28"/>
    <mergeCell ref="B25:B28"/>
    <mergeCell ref="C25:C28"/>
    <mergeCell ref="D25:D27"/>
    <mergeCell ref="E25:E27"/>
    <mergeCell ref="G25:G28"/>
    <mergeCell ref="H25:H26"/>
    <mergeCell ref="I25:I26"/>
    <mergeCell ref="J25:J26"/>
    <mergeCell ref="K25:K26"/>
    <mergeCell ref="L25:L26"/>
    <mergeCell ref="M25:M26"/>
    <mergeCell ref="N25:N26"/>
    <mergeCell ref="O25:O27"/>
    <mergeCell ref="F26:F28"/>
    <mergeCell ref="B68:C68"/>
    <mergeCell ref="B69:C69"/>
    <mergeCell ref="D59:E59"/>
    <mergeCell ref="F59:G59"/>
    <mergeCell ref="A72:A76"/>
    <mergeCell ref="B72:G72"/>
    <mergeCell ref="H72:N72"/>
    <mergeCell ref="P72:P76"/>
    <mergeCell ref="B73:B76"/>
    <mergeCell ref="C73:C76"/>
    <mergeCell ref="D73:D75"/>
    <mergeCell ref="E73:E75"/>
    <mergeCell ref="G73:G76"/>
    <mergeCell ref="H73:H74"/>
    <mergeCell ref="I73:I74"/>
    <mergeCell ref="J73:J74"/>
    <mergeCell ref="K73:K74"/>
    <mergeCell ref="L73:L74"/>
    <mergeCell ref="M73:M74"/>
    <mergeCell ref="N73:N74"/>
    <mergeCell ref="O73:O75"/>
    <mergeCell ref="F74:F76"/>
    <mergeCell ref="H89:N89"/>
    <mergeCell ref="K94:M94"/>
    <mergeCell ref="K103:L103"/>
    <mergeCell ref="K104:L104"/>
    <mergeCell ref="K105:L105"/>
    <mergeCell ref="J106:L106"/>
    <mergeCell ref="K107:L107"/>
    <mergeCell ref="B116:C116"/>
    <mergeCell ref="B117:C117"/>
    <mergeCell ref="D107:E107"/>
    <mergeCell ref="D98:N98"/>
    <mergeCell ref="B109:C109"/>
    <mergeCell ref="D97:N97"/>
    <mergeCell ref="A99:C99"/>
    <mergeCell ref="B110:C110"/>
    <mergeCell ref="A101:K101"/>
    <mergeCell ref="J102:K102"/>
    <mergeCell ref="A103:C103"/>
    <mergeCell ref="D103:I103"/>
    <mergeCell ref="D104:I104"/>
    <mergeCell ref="D105:I105"/>
    <mergeCell ref="D106:I106"/>
    <mergeCell ref="F107:G107"/>
    <mergeCell ref="D99:J99"/>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B164:C164"/>
    <mergeCell ref="B165:C165"/>
    <mergeCell ref="H156:I156"/>
    <mergeCell ref="A151:C151"/>
    <mergeCell ref="A148:C148"/>
    <mergeCell ref="A147:C147"/>
    <mergeCell ref="A146:C146"/>
    <mergeCell ref="B159:C159"/>
    <mergeCell ref="B160:C160"/>
    <mergeCell ref="B161:C161"/>
    <mergeCell ref="H185:N185"/>
    <mergeCell ref="K190:M190"/>
    <mergeCell ref="A168:A172"/>
    <mergeCell ref="B168:G168"/>
    <mergeCell ref="H168:N168"/>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O169:O171"/>
    <mergeCell ref="F170:F172"/>
  </mergeCells>
  <dataValidations count="1">
    <dataValidation type="list" allowBlank="1" showInputMessage="1" showErrorMessage="1" sqref="A20:A21 A68:A69 A116:A117 A164:A165">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Praktikanten&amp;R&amp;G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A15:A17 A111:A113 A63:A65 A159:A161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3" tint="0.39997558519241921"/>
  </sheetPr>
  <dimension ref="A1:G556"/>
  <sheetViews>
    <sheetView showGridLines="0" view="pageLayout" zoomScaleNormal="100" workbookViewId="0">
      <selection activeCell="B11" sqref="B11"/>
    </sheetView>
  </sheetViews>
  <sheetFormatPr baseColWidth="10" defaultRowHeight="14.25" x14ac:dyDescent="0.25"/>
  <cols>
    <col min="1" max="1" width="15.7109375" style="17" customWidth="1"/>
    <col min="2" max="2" width="33.28515625" style="17" customWidth="1"/>
    <col min="3" max="3" width="10.7109375" style="17" customWidth="1"/>
    <col min="4" max="4" width="43" style="17" customWidth="1"/>
    <col min="5" max="6" width="15.28515625" style="17" customWidth="1"/>
    <col min="7" max="7" width="41" style="17" customWidth="1"/>
    <col min="8" max="16384" width="11.42578125" style="17"/>
  </cols>
  <sheetData>
    <row r="1" spans="1:7" s="10" customFormat="1" ht="13.5" customHeight="1" x14ac:dyDescent="0.2">
      <c r="A1" s="32" t="s">
        <v>17</v>
      </c>
      <c r="B1" s="1375" t="str">
        <f>IF('päd.Personal - Leitung'!$D$1="","",'päd.Personal - Leitung'!$D$1)</f>
        <v/>
      </c>
      <c r="C1" s="1375"/>
      <c r="D1" s="1375"/>
      <c r="E1" s="1375"/>
      <c r="F1" s="1375"/>
      <c r="G1" s="84"/>
    </row>
    <row r="2" spans="1:7" s="10" customFormat="1" ht="15" customHeight="1" x14ac:dyDescent="0.2">
      <c r="A2" s="32" t="s">
        <v>16</v>
      </c>
      <c r="B2" s="1375" t="str">
        <f>IF('päd.Personal - Leitung'!$D$2="","",'päd.Personal - Leitung'!$D$2)</f>
        <v/>
      </c>
      <c r="C2" s="1375"/>
      <c r="D2" s="1375"/>
      <c r="E2" s="1375"/>
      <c r="F2" s="1375"/>
      <c r="G2" s="84"/>
    </row>
    <row r="3" spans="1:7" s="10" customFormat="1" ht="15" customHeight="1" x14ac:dyDescent="0.2">
      <c r="A3" s="32" t="s">
        <v>15</v>
      </c>
      <c r="B3" s="1375" t="str">
        <f>IF('päd.Personal - Leitung'!$D$3="","",'päd.Personal - Leitung'!$D$3)</f>
        <v/>
      </c>
      <c r="C3" s="1375"/>
      <c r="D3" s="84"/>
      <c r="E3" s="32" t="s">
        <v>100</v>
      </c>
      <c r="F3" s="38" t="str">
        <f>IF('päd.Personal - Leitung'!$N$3="","",'päd.Personal - Leitung'!$N$3)</f>
        <v/>
      </c>
      <c r="G3" s="84"/>
    </row>
    <row r="4" spans="1:7" s="11" customFormat="1" ht="15" customHeight="1" x14ac:dyDescent="0.2">
      <c r="D4" s="83"/>
      <c r="E4" s="83"/>
      <c r="F4" s="83"/>
      <c r="G4" s="83"/>
    </row>
    <row r="5" spans="1:7" x14ac:dyDescent="0.25">
      <c r="A5" s="33"/>
      <c r="B5" s="128" t="s">
        <v>225</v>
      </c>
      <c r="C5" s="33"/>
      <c r="D5" s="33"/>
      <c r="E5" s="34"/>
      <c r="F5" s="34"/>
      <c r="G5" s="34"/>
    </row>
    <row r="6" spans="1:7" x14ac:dyDescent="0.25">
      <c r="A6" s="33"/>
      <c r="B6" s="33"/>
      <c r="C6" s="33"/>
      <c r="D6" s="33"/>
      <c r="E6" s="34"/>
      <c r="F6" s="34"/>
      <c r="G6" s="34"/>
    </row>
    <row r="7" spans="1:7" x14ac:dyDescent="0.25">
      <c r="A7" s="129" t="s">
        <v>10</v>
      </c>
    </row>
    <row r="8" spans="1:7" x14ac:dyDescent="0.25">
      <c r="A8" s="130" t="s">
        <v>9</v>
      </c>
    </row>
    <row r="9" spans="1:7" s="113" customFormat="1" ht="18" customHeight="1" x14ac:dyDescent="0.25">
      <c r="A9" s="1376"/>
      <c r="B9" s="1376" t="s">
        <v>756</v>
      </c>
      <c r="C9" s="1376" t="s">
        <v>215</v>
      </c>
      <c r="D9" s="1376" t="s">
        <v>716</v>
      </c>
      <c r="E9" s="1376" t="s">
        <v>224</v>
      </c>
      <c r="F9" s="1376" t="str">
        <f>CONCATENATE("Beschäftigungsdauer ",'päd.Personal - Leitung'!O5)</f>
        <v>Beschäftigungsdauer 2025</v>
      </c>
      <c r="G9" s="1376"/>
    </row>
    <row r="10" spans="1:7" s="113" customFormat="1" ht="18" customHeight="1" x14ac:dyDescent="0.25">
      <c r="A10" s="1377"/>
      <c r="B10" s="1377"/>
      <c r="C10" s="1377"/>
      <c r="D10" s="1377"/>
      <c r="E10" s="1377"/>
      <c r="F10" s="135" t="s">
        <v>219</v>
      </c>
      <c r="G10" s="135" t="s">
        <v>220</v>
      </c>
    </row>
    <row r="11" spans="1:7" s="113" customFormat="1" ht="18.75" customHeight="1" x14ac:dyDescent="0.25">
      <c r="A11" s="114" t="s">
        <v>79</v>
      </c>
      <c r="B11" s="35"/>
      <c r="C11" s="136"/>
      <c r="D11" s="35"/>
      <c r="E11" s="137"/>
      <c r="F11" s="36"/>
      <c r="G11" s="36"/>
    </row>
    <row r="12" spans="1:7" s="113" customFormat="1" ht="18.75" customHeight="1" x14ac:dyDescent="0.25">
      <c r="A12" s="114" t="s">
        <v>80</v>
      </c>
      <c r="B12" s="35"/>
      <c r="C12" s="136"/>
      <c r="D12" s="35"/>
      <c r="E12" s="137"/>
      <c r="F12" s="36"/>
      <c r="G12" s="36"/>
    </row>
    <row r="13" spans="1:7" s="113" customFormat="1" ht="18.75" customHeight="1" x14ac:dyDescent="0.25">
      <c r="A13" s="114" t="s">
        <v>81</v>
      </c>
      <c r="B13" s="35"/>
      <c r="C13" s="136"/>
      <c r="D13" s="35"/>
      <c r="E13" s="137"/>
      <c r="F13" s="36"/>
      <c r="G13" s="36"/>
    </row>
    <row r="14" spans="1:7" s="113" customFormat="1" ht="18.75" customHeight="1" x14ac:dyDescent="0.25">
      <c r="A14" s="114" t="s">
        <v>82</v>
      </c>
      <c r="B14" s="35"/>
      <c r="C14" s="136"/>
      <c r="D14" s="35"/>
      <c r="E14" s="137"/>
      <c r="F14" s="36"/>
      <c r="G14" s="36"/>
    </row>
    <row r="15" spans="1:7" s="113" customFormat="1" ht="18.75" customHeight="1" x14ac:dyDescent="0.25">
      <c r="A15" s="114" t="s">
        <v>83</v>
      </c>
      <c r="B15" s="35"/>
      <c r="C15" s="136"/>
      <c r="D15" s="35"/>
      <c r="E15" s="137"/>
      <c r="F15" s="36"/>
      <c r="G15" s="36"/>
    </row>
    <row r="16" spans="1:7" s="113" customFormat="1" ht="18.75" customHeight="1" x14ac:dyDescent="0.25">
      <c r="A16" s="114" t="s">
        <v>84</v>
      </c>
      <c r="B16" s="35"/>
      <c r="C16" s="136"/>
      <c r="D16" s="35"/>
      <c r="E16" s="137"/>
      <c r="F16" s="36"/>
      <c r="G16" s="36"/>
    </row>
    <row r="17" spans="1:7" s="113" customFormat="1" ht="18.75" customHeight="1" x14ac:dyDescent="0.25">
      <c r="A17" s="114" t="s">
        <v>85</v>
      </c>
      <c r="B17" s="35"/>
      <c r="C17" s="136"/>
      <c r="D17" s="35"/>
      <c r="E17" s="137"/>
      <c r="F17" s="36"/>
      <c r="G17" s="36"/>
    </row>
    <row r="18" spans="1:7" s="113" customFormat="1" ht="18.75" customHeight="1" x14ac:dyDescent="0.25">
      <c r="A18" s="114" t="s">
        <v>86</v>
      </c>
      <c r="B18" s="35"/>
      <c r="C18" s="136"/>
      <c r="D18" s="35"/>
      <c r="E18" s="137"/>
      <c r="F18" s="36"/>
      <c r="G18" s="36"/>
    </row>
    <row r="19" spans="1:7" s="113" customFormat="1" ht="18.75" customHeight="1" x14ac:dyDescent="0.25">
      <c r="A19" s="114" t="s">
        <v>87</v>
      </c>
      <c r="B19" s="35"/>
      <c r="C19" s="136"/>
      <c r="D19" s="35"/>
      <c r="E19" s="137"/>
      <c r="F19" s="36"/>
      <c r="G19" s="36"/>
    </row>
    <row r="20" spans="1:7" s="113" customFormat="1" ht="18.75" customHeight="1" x14ac:dyDescent="0.25">
      <c r="A20" s="114" t="s">
        <v>88</v>
      </c>
      <c r="B20" s="35"/>
      <c r="C20" s="136"/>
      <c r="D20" s="35"/>
      <c r="E20" s="137"/>
      <c r="F20" s="36"/>
      <c r="G20" s="36"/>
    </row>
    <row r="21" spans="1:7" s="113" customFormat="1" ht="18.75" customHeight="1" x14ac:dyDescent="0.25">
      <c r="A21" s="114" t="s">
        <v>89</v>
      </c>
      <c r="B21" s="35"/>
      <c r="C21" s="136"/>
      <c r="D21" s="35"/>
      <c r="E21" s="137"/>
      <c r="F21" s="36"/>
      <c r="G21" s="36"/>
    </row>
    <row r="22" spans="1:7" s="113" customFormat="1" ht="18.75" customHeight="1" x14ac:dyDescent="0.25">
      <c r="A22" s="114" t="s">
        <v>90</v>
      </c>
      <c r="B22" s="35"/>
      <c r="C22" s="136"/>
      <c r="D22" s="35"/>
      <c r="E22" s="137"/>
      <c r="F22" s="36"/>
      <c r="G22" s="36"/>
    </row>
    <row r="23" spans="1:7" s="113" customFormat="1" ht="18.75" customHeight="1" x14ac:dyDescent="0.25">
      <c r="A23" s="114" t="s">
        <v>91</v>
      </c>
      <c r="B23" s="35"/>
      <c r="C23" s="136"/>
      <c r="D23" s="35"/>
      <c r="E23" s="137"/>
      <c r="F23" s="36"/>
      <c r="G23" s="36"/>
    </row>
    <row r="24" spans="1:7" s="113" customFormat="1" ht="18.75" customHeight="1" thickBot="1" x14ac:dyDescent="0.3">
      <c r="A24" s="114" t="s">
        <v>92</v>
      </c>
      <c r="B24" s="35"/>
      <c r="C24" s="136"/>
      <c r="D24" s="35"/>
      <c r="E24" s="137"/>
      <c r="F24" s="36"/>
      <c r="G24" s="36"/>
    </row>
    <row r="25" spans="1:7" s="113" customFormat="1" ht="18.75" hidden="1" customHeight="1" thickBot="1" x14ac:dyDescent="0.3">
      <c r="A25" s="114" t="s">
        <v>93</v>
      </c>
      <c r="B25" s="35"/>
      <c r="C25" s="136"/>
      <c r="D25" s="35"/>
      <c r="E25" s="137"/>
      <c r="F25" s="36"/>
      <c r="G25" s="36"/>
    </row>
    <row r="26" spans="1:7" s="113" customFormat="1" ht="18.75" customHeight="1" thickBot="1" x14ac:dyDescent="0.3">
      <c r="A26" s="115"/>
      <c r="B26" s="116">
        <f>COUNTA(B11:B25)</f>
        <v>0</v>
      </c>
      <c r="C26" s="115"/>
      <c r="D26" s="115"/>
      <c r="F26" s="116">
        <f>SUM(F11:F25)</f>
        <v>0</v>
      </c>
    </row>
    <row r="27" spans="1:7" x14ac:dyDescent="0.25">
      <c r="A27" s="1373"/>
      <c r="B27" s="1374"/>
      <c r="C27" s="1374"/>
      <c r="D27" s="1374"/>
    </row>
    <row r="28" spans="1:7" x14ac:dyDescent="0.25">
      <c r="A28" s="1373"/>
      <c r="B28" s="1374"/>
      <c r="C28" s="1374"/>
      <c r="D28" s="1374"/>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NJ9hwW83aTjfmz0H/STz8JiQOU0gDDs3ABonhgX4DRjhFm91ssYlzB7hTPbK932FDfHWOllWpF09XLMMG5FKnQ==" saltValue="BOiRiyKWZMx/Cug0nMSO5Q==" spinCount="100000" sheet="1" objects="1" scenarios="1"/>
  <mergeCells count="11">
    <mergeCell ref="A27:D27"/>
    <mergeCell ref="A28:D28"/>
    <mergeCell ref="B1:F1"/>
    <mergeCell ref="B2:F2"/>
    <mergeCell ref="B3:C3"/>
    <mergeCell ref="A9:A10"/>
    <mergeCell ref="B9:B10"/>
    <mergeCell ref="C9:C10"/>
    <mergeCell ref="D9:D10"/>
    <mergeCell ref="E9:E10"/>
    <mergeCell ref="F9:G9"/>
  </mergeCell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&amp;10&amp;KFF0000Praktikanten (unentgeltlich)&amp;R&amp;G</oddHeader>
    <oddFooter>&amp;C&amp;"Arial,Standard"&amp;8Ausfertigung vom &amp;D &amp;T&amp;R&amp;"Arial,Standard"&amp;8&amp;P von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3" tint="0.39997558519241921"/>
  </sheetPr>
  <dimension ref="A1:P19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1.140625" style="1" customWidth="1"/>
    <col min="5" max="5" width="11.42578125" style="1" customWidth="1"/>
    <col min="6" max="6" width="10.140625" style="1" customWidth="1"/>
    <col min="7" max="7" width="11.5703125" style="1" customWidth="1"/>
    <col min="8" max="11" width="11.42578125" style="1"/>
    <col min="12" max="12" width="10.28515625" style="1" customWidth="1"/>
    <col min="13" max="13" width="11.140625" style="1" customWidth="1"/>
    <col min="14" max="14" width="11.42578125" style="1" customWidth="1"/>
    <col min="15" max="15" width="11.5703125" style="1" customWidth="1"/>
    <col min="16" max="16" width="10.85546875" style="1" customWidth="1"/>
    <col min="17" max="16384" width="11.42578125" style="1"/>
  </cols>
  <sheetData>
    <row r="1" spans="1:16" s="10" customFormat="1" ht="13.5" customHeight="1" x14ac:dyDescent="0.2">
      <c r="A1" s="1321" t="s">
        <v>17</v>
      </c>
      <c r="B1" s="1321"/>
      <c r="C1" s="1321"/>
      <c r="D1" s="1320" t="str">
        <f>IF('päd.Personal - Leitung'!$D$1="","",'päd.Personal - Leitung'!$D$1)</f>
        <v/>
      </c>
      <c r="E1" s="1320"/>
      <c r="F1" s="1320"/>
      <c r="G1" s="1320"/>
      <c r="H1" s="1320"/>
      <c r="I1" s="1320"/>
      <c r="J1" s="1320"/>
      <c r="K1" s="1320"/>
      <c r="L1" s="1320"/>
      <c r="M1" s="1320"/>
      <c r="N1" s="1320"/>
    </row>
    <row r="2" spans="1:16" s="10" customFormat="1" ht="15" customHeight="1" x14ac:dyDescent="0.2">
      <c r="A2" s="1321" t="s">
        <v>16</v>
      </c>
      <c r="B2" s="1321"/>
      <c r="C2" s="1321" t="s">
        <v>14</v>
      </c>
      <c r="D2" s="1320" t="str">
        <f>IF('päd.Personal - Leitung'!$D$2="","",'päd.Personal - Leitung'!$D$2)</f>
        <v/>
      </c>
      <c r="E2" s="1320"/>
      <c r="F2" s="1320"/>
      <c r="G2" s="1320"/>
      <c r="H2" s="1320"/>
      <c r="I2" s="1320"/>
      <c r="J2" s="1320"/>
      <c r="K2" s="1320"/>
      <c r="L2" s="1320"/>
      <c r="M2" s="1320"/>
      <c r="N2" s="1320"/>
    </row>
    <row r="3" spans="1:16" s="10" customFormat="1" ht="15" customHeight="1" x14ac:dyDescent="0.2">
      <c r="A3" s="1321" t="s">
        <v>15</v>
      </c>
      <c r="B3" s="1321"/>
      <c r="C3" s="1321" t="s">
        <v>14</v>
      </c>
      <c r="D3" s="1320" t="str">
        <f>IF('päd.Personal - Leitung'!$D$3="","",'päd.Personal - Leitung'!$D$3)</f>
        <v/>
      </c>
      <c r="E3" s="1320"/>
      <c r="F3" s="1320"/>
      <c r="G3" s="1320"/>
      <c r="H3" s="1320"/>
      <c r="I3" s="1320"/>
      <c r="J3" s="1320"/>
      <c r="K3" s="1321" t="s">
        <v>100</v>
      </c>
      <c r="L3" s="1321"/>
      <c r="M3" s="1321"/>
      <c r="N3" s="38" t="str">
        <f>IF('päd.Personal - Leitung'!$N$3="","",'päd.Personal - Leitung'!$N$3)</f>
        <v/>
      </c>
    </row>
    <row r="4" spans="1:16" s="923" customFormat="1" ht="7.5" customHeight="1" x14ac:dyDescent="0.15">
      <c r="A4" s="1353"/>
      <c r="B4" s="1353"/>
      <c r="C4" s="1353"/>
      <c r="D4" s="1354"/>
      <c r="E4" s="1354"/>
      <c r="F4" s="1354"/>
      <c r="G4" s="1354"/>
      <c r="H4" s="1354"/>
      <c r="I4" s="1354"/>
      <c r="J4" s="1354"/>
      <c r="K4" s="922"/>
      <c r="L4" s="922"/>
      <c r="M4" s="922"/>
      <c r="N4" s="922"/>
      <c r="O4" s="922"/>
      <c r="P4" s="922"/>
    </row>
    <row r="5" spans="1:16" s="13" customFormat="1" ht="13.5" customHeight="1" x14ac:dyDescent="0.2">
      <c r="A5" s="1355" t="s">
        <v>183</v>
      </c>
      <c r="B5" s="1355"/>
      <c r="C5" s="1355"/>
      <c r="D5" s="1355"/>
      <c r="E5" s="1355"/>
      <c r="F5" s="1355"/>
      <c r="G5" s="1355"/>
      <c r="H5" s="1355"/>
      <c r="I5" s="1355"/>
      <c r="J5" s="1355"/>
      <c r="K5" s="1355"/>
      <c r="L5" s="1355"/>
      <c r="M5" s="1355"/>
      <c r="N5" s="138">
        <f>'päd.Personal - Leitung'!$O$5</f>
        <v>2025</v>
      </c>
      <c r="O5" s="52" t="s">
        <v>140</v>
      </c>
    </row>
    <row r="6" spans="1:16" s="8" customFormat="1" ht="13.5" customHeight="1" x14ac:dyDescent="0.25">
      <c r="B6" s="29"/>
      <c r="C6" s="29"/>
      <c r="D6" s="3" t="s">
        <v>72</v>
      </c>
      <c r="E6" s="28"/>
      <c r="F6" s="28"/>
      <c r="G6" s="28"/>
      <c r="H6" s="28"/>
      <c r="I6" s="24"/>
      <c r="J6" s="1370"/>
      <c r="K6" s="1370"/>
      <c r="L6" s="81"/>
      <c r="N6" s="928" t="str">
        <f>A29</f>
        <v>Jan 2025</v>
      </c>
      <c r="O6" s="68">
        <f>IF(L8="","",L8)</f>
        <v>0</v>
      </c>
    </row>
    <row r="7" spans="1:16" s="5" customFormat="1" ht="13.5" customHeight="1" x14ac:dyDescent="0.25">
      <c r="A7" s="1328" t="s">
        <v>754</v>
      </c>
      <c r="B7" s="1328"/>
      <c r="C7" s="1328"/>
      <c r="D7" s="1329"/>
      <c r="E7" s="1329"/>
      <c r="F7" s="1329"/>
      <c r="G7" s="1329"/>
      <c r="H7" s="1329"/>
      <c r="I7" s="1329"/>
      <c r="J7" s="1327" t="s">
        <v>101</v>
      </c>
      <c r="K7" s="1327"/>
      <c r="L7" s="101"/>
      <c r="N7" s="928" t="str">
        <f t="shared" ref="N7:N17" si="0">A30</f>
        <v>Feb 2025</v>
      </c>
      <c r="O7" s="69">
        <f t="shared" ref="O7:O14" si="1">IF(O6="","",O6)</f>
        <v>0</v>
      </c>
    </row>
    <row r="8" spans="1:16" ht="13.5" customHeight="1" x14ac:dyDescent="0.2">
      <c r="A8" s="1328" t="s">
        <v>78</v>
      </c>
      <c r="B8" s="1328"/>
      <c r="C8" s="1328"/>
      <c r="D8" s="1345"/>
      <c r="E8" s="1345"/>
      <c r="F8" s="1345"/>
      <c r="G8" s="1345"/>
      <c r="H8" s="1345"/>
      <c r="I8" s="1345"/>
      <c r="J8" s="1327" t="s">
        <v>149</v>
      </c>
      <c r="K8" s="1327"/>
      <c r="L8" s="101">
        <f>IF((L9+L10)&gt;L7,0,L7-L9-L10)</f>
        <v>0</v>
      </c>
      <c r="N8" s="928" t="str">
        <f t="shared" si="0"/>
        <v>Mrz 2025</v>
      </c>
      <c r="O8" s="69">
        <f t="shared" si="1"/>
        <v>0</v>
      </c>
    </row>
    <row r="9" spans="1:16" ht="13.5" customHeight="1" x14ac:dyDescent="0.2">
      <c r="A9" s="1328" t="s">
        <v>77</v>
      </c>
      <c r="B9" s="1328"/>
      <c r="C9" s="1328"/>
      <c r="D9" s="1345"/>
      <c r="E9" s="1345"/>
      <c r="F9" s="1345"/>
      <c r="G9" s="1345"/>
      <c r="H9" s="1345"/>
      <c r="I9" s="1345"/>
      <c r="J9" s="1327" t="s">
        <v>150</v>
      </c>
      <c r="K9" s="1327"/>
      <c r="L9" s="101"/>
      <c r="N9" s="928" t="str">
        <f t="shared" si="0"/>
        <v>Apr 2025</v>
      </c>
      <c r="O9" s="69">
        <f t="shared" si="1"/>
        <v>0</v>
      </c>
    </row>
    <row r="10" spans="1:16" ht="13.5" customHeight="1" x14ac:dyDescent="0.2">
      <c r="A10" s="1328" t="s">
        <v>18</v>
      </c>
      <c r="B10" s="1328"/>
      <c r="C10" s="1328"/>
      <c r="D10" s="1345"/>
      <c r="E10" s="1345"/>
      <c r="F10" s="1345"/>
      <c r="G10" s="1345"/>
      <c r="H10" s="1345"/>
      <c r="I10" s="1345"/>
      <c r="J10" s="1327" t="s">
        <v>222</v>
      </c>
      <c r="K10" s="1327"/>
      <c r="L10" s="101"/>
      <c r="M10" s="73"/>
      <c r="N10" s="928" t="str">
        <f t="shared" si="0"/>
        <v>Mai 2025</v>
      </c>
      <c r="O10" s="69">
        <f t="shared" si="1"/>
        <v>0</v>
      </c>
    </row>
    <row r="11" spans="1:16" ht="13.5" customHeight="1" x14ac:dyDescent="0.2">
      <c r="B11" s="6"/>
      <c r="C11" s="95" t="s">
        <v>147</v>
      </c>
      <c r="D11" s="1324"/>
      <c r="E11" s="1324"/>
      <c r="F11" s="1359" t="s">
        <v>104</v>
      </c>
      <c r="G11" s="1359"/>
      <c r="H11" s="1361"/>
      <c r="I11" s="1361"/>
      <c r="J11" s="1327" t="s">
        <v>94</v>
      </c>
      <c r="K11" s="1327"/>
      <c r="L11" s="15" t="str">
        <f>IF(IF((COUNTIF(N29:O40,"&gt;0"))=0,0,(COUNTIF(N29:O40,"&gt;0")))&gt;Grundlagen!$C$26,Grundlagen!$C$26,IF((COUNTIF(N29:O40,"&gt;0"))=0,"",(COUNTIF(N29:O40,"&gt;0"))))</f>
        <v/>
      </c>
      <c r="N11" s="928" t="str">
        <f t="shared" si="0"/>
        <v>Jun 2025</v>
      </c>
      <c r="O11" s="69">
        <f t="shared" si="1"/>
        <v>0</v>
      </c>
    </row>
    <row r="12" spans="1:16" ht="13.5" customHeight="1" x14ac:dyDescent="0.2">
      <c r="F12" s="1359" t="s">
        <v>105</v>
      </c>
      <c r="G12" s="1359"/>
      <c r="H12" s="1361"/>
      <c r="I12" s="1361"/>
      <c r="L12" s="102" t="str">
        <f>IF(O18&gt;L8,L8,IF(L8="","",IF(L11="","",O18)))</f>
        <v/>
      </c>
      <c r="N12" s="928" t="str">
        <f t="shared" si="0"/>
        <v>Jul 2025</v>
      </c>
      <c r="O12" s="69">
        <f t="shared" si="1"/>
        <v>0</v>
      </c>
    </row>
    <row r="13" spans="1:16" s="109" customFormat="1" ht="14.25" customHeight="1" x14ac:dyDescent="0.25">
      <c r="H13" s="86"/>
      <c r="I13" s="105"/>
      <c r="J13" s="105"/>
      <c r="K13" s="106"/>
      <c r="L13" s="107"/>
      <c r="M13" s="106"/>
      <c r="N13" s="928" t="str">
        <f t="shared" si="0"/>
        <v>Aug 2025</v>
      </c>
      <c r="O13" s="69">
        <f t="shared" si="1"/>
        <v>0</v>
      </c>
    </row>
    <row r="14" spans="1:16" s="109" customFormat="1" ht="14.25" customHeight="1" x14ac:dyDescent="0.25">
      <c r="A14" s="103" t="s">
        <v>170</v>
      </c>
      <c r="B14" s="56"/>
      <c r="C14" s="104"/>
      <c r="D14" s="56"/>
      <c r="E14" s="1394" t="s">
        <v>171</v>
      </c>
      <c r="F14" s="1394"/>
      <c r="G14" s="58" t="s">
        <v>138</v>
      </c>
      <c r="N14" s="928" t="str">
        <f t="shared" si="0"/>
        <v>Sep 2025</v>
      </c>
      <c r="O14" s="69">
        <f t="shared" si="1"/>
        <v>0</v>
      </c>
    </row>
    <row r="15" spans="1:16" s="109" customFormat="1" ht="14.25" customHeight="1" x14ac:dyDescent="0.25">
      <c r="A15" s="1383" t="s">
        <v>69</v>
      </c>
      <c r="B15" s="1384"/>
      <c r="C15" s="1384"/>
      <c r="D15" s="1385"/>
      <c r="E15" s="1386"/>
      <c r="F15" s="1387"/>
      <c r="G15" s="110">
        <f>IF(L8=0,0,E15/N3/4.348)</f>
        <v>0</v>
      </c>
      <c r="H15" s="58"/>
      <c r="J15" s="1359" t="s">
        <v>120</v>
      </c>
      <c r="K15" s="1359"/>
      <c r="L15" s="41"/>
      <c r="N15" s="928" t="str">
        <f t="shared" si="0"/>
        <v>Okt 2025</v>
      </c>
      <c r="O15" s="69">
        <f t="shared" ref="O15:O17" si="2">IF(O14="","",O14)</f>
        <v>0</v>
      </c>
    </row>
    <row r="16" spans="1:16" s="109" customFormat="1" ht="14.25" customHeight="1" x14ac:dyDescent="0.25">
      <c r="A16" s="1383" t="s">
        <v>172</v>
      </c>
      <c r="B16" s="1384"/>
      <c r="C16" s="1384"/>
      <c r="D16" s="1385"/>
      <c r="E16" s="1386"/>
      <c r="F16" s="1387"/>
      <c r="G16" s="110">
        <f>IF(L8=0,0,E16/N3/4.348)</f>
        <v>0</v>
      </c>
      <c r="H16" s="85"/>
      <c r="J16" s="1359" t="s">
        <v>121</v>
      </c>
      <c r="K16" s="1359"/>
      <c r="L16" s="41"/>
      <c r="N16" s="928" t="str">
        <f t="shared" si="0"/>
        <v>Nov 2025</v>
      </c>
      <c r="O16" s="69">
        <f t="shared" si="2"/>
        <v>0</v>
      </c>
    </row>
    <row r="17" spans="1:15" s="109" customFormat="1" ht="14.25" customHeight="1" x14ac:dyDescent="0.25">
      <c r="A17" s="1383" t="s">
        <v>71</v>
      </c>
      <c r="B17" s="1384"/>
      <c r="C17" s="1384"/>
      <c r="D17" s="1385"/>
      <c r="E17" s="1386"/>
      <c r="F17" s="1387"/>
      <c r="G17" s="110">
        <f>IF(L8=0,0,E17/N3/4.348)</f>
        <v>0</v>
      </c>
      <c r="H17" s="86"/>
      <c r="J17" s="1359" t="s">
        <v>122</v>
      </c>
      <c r="K17" s="1359"/>
      <c r="L17" s="41"/>
      <c r="M17" s="106"/>
      <c r="N17" s="928" t="str">
        <f t="shared" si="0"/>
        <v>Dez 2025</v>
      </c>
      <c r="O17" s="69">
        <f t="shared" si="2"/>
        <v>0</v>
      </c>
    </row>
    <row r="18" spans="1:15" s="109" customFormat="1" ht="14.25" customHeight="1" x14ac:dyDescent="0.25">
      <c r="A18" s="1383" t="s">
        <v>6</v>
      </c>
      <c r="B18" s="1384"/>
      <c r="C18" s="1384"/>
      <c r="D18" s="1385"/>
      <c r="E18" s="1386"/>
      <c r="F18" s="1387"/>
      <c r="G18" s="110">
        <f>IF(L8=0,0,E18/N3/4.348)</f>
        <v>0</v>
      </c>
      <c r="H18" s="86"/>
      <c r="I18" s="111"/>
      <c r="J18" s="105"/>
      <c r="K18" s="106"/>
      <c r="L18" s="107"/>
      <c r="M18" s="106"/>
      <c r="N18" s="126" t="s">
        <v>221</v>
      </c>
      <c r="O18" s="127">
        <f>IF(L8=0,0,((IF(SUMIF(N29,"&gt;0"),O6,0))+(IF(SUMIF(N30,"&gt;0"),O7,0))+(IF(SUMIF(N31,"&gt;0"),O8,0))+(IF(SUMIF(N32,"&gt;0"),O9,0))+(IF(SUMIF(N33,"&gt;0"),O10,0))+(IF(SUMIF(N34,"&gt;0"),O11,0))+(IF(SUMIF(N35,"&gt;0"),O12,0))+(IF(SUMIF(N36,"&gt;0"),O13,0))+(IF(SUMIF(N37,"&gt;0"),O14,0))+(IF(SUMIF(N38,"&gt;0"),O15,0))+(IF(SUMIF(N39,"&gt;0"),O16,0))+(IF(SUMIF(N40,"&gt;0"),O17,0))+(IF(SUMIF(O29,"&gt;0"),O6,0))+(IF(SUMIF(O30,"&gt;0"),O7,0))+(IF(SUMIF(O31,"&gt;0"),O8,0))+(IF(SUMIF(O32,"&gt;0"),O9,0))+(IF(SUMIF(O33,"&gt;0"),O10,0))+(IF(SUMIF(O34,"&gt;0"),O11,0))+(IF(SUMIF(O35,"&gt;0"),O12,0))+(IF(SUMIF(O36,"&gt;0"),O13,0))+(IF(SUMIF(O37,"&gt;0"),O14,0))+(IF(SUMIF(O38,"&gt;0"),O15,0))+(IF(SUMIF(O39,"&gt;0"),O16,0))+(IF(SUMIF(O40,"&gt;0"),O17,0)))/Grundlagen!$C$26)</f>
        <v>0</v>
      </c>
    </row>
    <row r="19" spans="1:15" s="109" customFormat="1" ht="14.25" customHeight="1" x14ac:dyDescent="0.25">
      <c r="A19" s="1383" t="s">
        <v>173</v>
      </c>
      <c r="B19" s="1384"/>
      <c r="C19" s="1384"/>
      <c r="D19" s="1385"/>
      <c r="E19" s="1386"/>
      <c r="F19" s="1387"/>
      <c r="G19" s="110">
        <f>IF(L8=0,0,E19/N3/4.348)</f>
        <v>0</v>
      </c>
      <c r="H19" s="86"/>
      <c r="L19" s="105"/>
      <c r="M19" s="105"/>
      <c r="N19" s="112"/>
      <c r="O19" s="105"/>
    </row>
    <row r="20" spans="1:15" ht="12" customHeight="1" x14ac:dyDescent="0.2"/>
    <row r="21" spans="1:15" ht="12" customHeight="1" x14ac:dyDescent="0.2"/>
    <row r="22" spans="1:15" ht="12" customHeight="1" x14ac:dyDescent="0.2"/>
    <row r="23" spans="1:15" ht="12" customHeight="1" x14ac:dyDescent="0.2">
      <c r="A23" s="53" t="s">
        <v>141</v>
      </c>
    </row>
    <row r="24" spans="1:15" ht="14.25" customHeight="1" x14ac:dyDescent="0.2">
      <c r="A24" s="1346"/>
      <c r="B24" s="1348" t="s">
        <v>76</v>
      </c>
      <c r="C24" s="1349"/>
      <c r="D24" s="1349"/>
      <c r="E24" s="1349"/>
      <c r="F24" s="1350"/>
      <c r="G24" s="1351" t="s">
        <v>113</v>
      </c>
      <c r="H24" s="1352"/>
      <c r="I24" s="1352"/>
      <c r="J24" s="1352"/>
      <c r="K24" s="1352"/>
      <c r="L24" s="1389"/>
      <c r="M24" s="1390" t="s">
        <v>110</v>
      </c>
      <c r="N24" s="1393" t="s">
        <v>0</v>
      </c>
      <c r="O24" s="1378" t="s">
        <v>175</v>
      </c>
    </row>
    <row r="25" spans="1:15" ht="14.25" customHeight="1" x14ac:dyDescent="0.2">
      <c r="A25" s="1347"/>
      <c r="B25" s="1339" t="s">
        <v>69</v>
      </c>
      <c r="C25" s="1339" t="s">
        <v>70</v>
      </c>
      <c r="D25" s="1338" t="s">
        <v>71</v>
      </c>
      <c r="E25" s="96" t="s">
        <v>6</v>
      </c>
      <c r="F25" s="1340" t="s">
        <v>5</v>
      </c>
      <c r="G25" s="1339" t="s">
        <v>119</v>
      </c>
      <c r="H25" s="1339" t="s">
        <v>4</v>
      </c>
      <c r="I25" s="1339" t="s">
        <v>3</v>
      </c>
      <c r="J25" s="1339" t="s">
        <v>2</v>
      </c>
      <c r="K25" s="1339" t="s">
        <v>115</v>
      </c>
      <c r="L25" s="1339" t="s">
        <v>116</v>
      </c>
      <c r="M25" s="1391"/>
      <c r="N25" s="1339"/>
      <c r="O25" s="1379"/>
    </row>
    <row r="26" spans="1:15" ht="14.25" customHeight="1" x14ac:dyDescent="0.2">
      <c r="A26" s="1347"/>
      <c r="B26" s="1339"/>
      <c r="C26" s="1339"/>
      <c r="D26" s="1338"/>
      <c r="E26" s="1382"/>
      <c r="F26" s="1340"/>
      <c r="G26" s="1342" t="s">
        <v>117</v>
      </c>
      <c r="H26" s="1342"/>
      <c r="I26" s="1342"/>
      <c r="J26" s="1342"/>
      <c r="K26" s="1342"/>
      <c r="L26" s="1342"/>
      <c r="M26" s="1391"/>
      <c r="N26" s="1339"/>
      <c r="O26" s="1382"/>
    </row>
    <row r="27" spans="1:15" x14ac:dyDescent="0.2">
      <c r="A27" s="1347"/>
      <c r="B27" s="1339"/>
      <c r="C27" s="1339"/>
      <c r="D27" s="1338"/>
      <c r="E27" s="1382"/>
      <c r="F27" s="1340"/>
      <c r="G27" s="39" t="s">
        <v>174</v>
      </c>
      <c r="H27" s="39" t="s">
        <v>722</v>
      </c>
      <c r="I27" s="39" t="s">
        <v>723</v>
      </c>
      <c r="J27" s="39" t="s">
        <v>724</v>
      </c>
      <c r="K27" s="39"/>
      <c r="L27" s="39" t="s">
        <v>719</v>
      </c>
      <c r="M27" s="1391"/>
      <c r="N27" s="1339"/>
      <c r="O27" s="1382"/>
    </row>
    <row r="28" spans="1:15" x14ac:dyDescent="0.2">
      <c r="A28" s="1388"/>
      <c r="B28" s="1380"/>
      <c r="C28" s="1380"/>
      <c r="D28" s="1381"/>
      <c r="E28" s="20"/>
      <c r="F28" s="1341"/>
      <c r="G28" s="19"/>
      <c r="H28" s="19"/>
      <c r="I28" s="19"/>
      <c r="J28" s="19"/>
      <c r="K28" s="19"/>
      <c r="L28" s="19"/>
      <c r="M28" s="1392"/>
      <c r="N28" s="1380"/>
      <c r="O28" s="45"/>
    </row>
    <row r="29" spans="1:15" x14ac:dyDescent="0.2">
      <c r="A29" s="76" t="str">
        <f>'päd.Personal - Leitung'!$A$29</f>
        <v>Jan 2025</v>
      </c>
      <c r="B29" s="22">
        <f>ROUND(IF(O6="",0,IF(O29&gt;0,0,G15*O6*4.348)),2)</f>
        <v>0</v>
      </c>
      <c r="C29" s="22">
        <f>ROUND(IF(O6="",0,IF(O29&gt;0,0,G16*O6*4.348)),2)</f>
        <v>0</v>
      </c>
      <c r="D29" s="22">
        <f>ROUND(IF(O6="",0,IF(O29&gt;0,0,G17*O6*4.348)),2)</f>
        <v>0</v>
      </c>
      <c r="E29" s="22">
        <f>ROUND(IF(O6="",0,IF(O29&gt;0,0,G18*O6*4.348)),2)</f>
        <v>0</v>
      </c>
      <c r="F29" s="25">
        <f>SUM(B29:E29)</f>
        <v>0</v>
      </c>
      <c r="G29" s="25">
        <f>F29*G28</f>
        <v>0</v>
      </c>
      <c r="H29" s="25">
        <f>F29*H28</f>
        <v>0</v>
      </c>
      <c r="I29" s="25">
        <f>F29*I28</f>
        <v>0</v>
      </c>
      <c r="J29" s="25">
        <f>F29*J28</f>
        <v>0</v>
      </c>
      <c r="K29" s="25">
        <f>F29*K28</f>
        <v>0</v>
      </c>
      <c r="L29" s="25">
        <f>F29*L28</f>
        <v>0</v>
      </c>
      <c r="M29" s="25">
        <f>ROUND(IF(O6=0,0,IF((SUM(B29,G29,H29,I29,J29)+(E19/L7*O6))&gt;0,(E19/L7*O6),(E19/L7*O6)-((E19/L7*O6)+SUM(B29,G29,H29,I29,J29)))),2)</f>
        <v>0</v>
      </c>
      <c r="N29" s="25">
        <f>SUM(F29:M29)</f>
        <v>0</v>
      </c>
      <c r="O29" s="21">
        <f>IF(O6="",0,O28)</f>
        <v>0</v>
      </c>
    </row>
    <row r="30" spans="1:15" x14ac:dyDescent="0.2">
      <c r="A30" s="76" t="str">
        <f>'päd.Personal - Leitung'!$A$30</f>
        <v>Feb 2025</v>
      </c>
      <c r="B30" s="22">
        <f>ROUND(IF(O7="",0,IF(O30&gt;0,0,G15*O7*4.348)),2)</f>
        <v>0</v>
      </c>
      <c r="C30" s="22">
        <f>ROUND(IF(O7="",0,IF(O30&gt;0,0,G16*O7*4.348)),2)</f>
        <v>0</v>
      </c>
      <c r="D30" s="22">
        <f>ROUND(IF(O7="",0,IF(O30&gt;0,0,G17*O7*4.348)),2)</f>
        <v>0</v>
      </c>
      <c r="E30" s="22">
        <f>ROUND(IF(O7="",0,IF(O30&gt;0,0,G18*O7*4.348)),2)</f>
        <v>0</v>
      </c>
      <c r="F30" s="25">
        <f t="shared" ref="F30:F33" si="3">SUM(B30:E30)</f>
        <v>0</v>
      </c>
      <c r="G30" s="25">
        <f>F30*G28</f>
        <v>0</v>
      </c>
      <c r="H30" s="25">
        <f>F30*H28</f>
        <v>0</v>
      </c>
      <c r="I30" s="25">
        <f>F30*I28</f>
        <v>0</v>
      </c>
      <c r="J30" s="25">
        <f>F30*J28</f>
        <v>0</v>
      </c>
      <c r="K30" s="25">
        <f>F30*K28</f>
        <v>0</v>
      </c>
      <c r="L30" s="25">
        <f>F30*L28</f>
        <v>0</v>
      </c>
      <c r="M30" s="25">
        <f>ROUND(IF(O7=0,0,IF((SUM(B30,G30,H30,I30,J30)+(E19/L7*O7))&gt;0,(E19/L7*O7),(E19/L7*O7)-((E19/L7*O7)+SUM(B30,G30,H30,I30,J30)))),2)</f>
        <v>0</v>
      </c>
      <c r="N30" s="25">
        <f t="shared" ref="N30:N33" si="4">SUM(F30:M30)</f>
        <v>0</v>
      </c>
      <c r="O30" s="21">
        <f>IF(O7="",0,O28)</f>
        <v>0</v>
      </c>
    </row>
    <row r="31" spans="1:15" x14ac:dyDescent="0.2">
      <c r="A31" s="76" t="str">
        <f>'päd.Personal - Leitung'!$A$31</f>
        <v>Mrz 2025</v>
      </c>
      <c r="B31" s="22">
        <f>ROUND(IF(O8="",0,IF(O31&gt;0,0,G15*O8*4.348)),2)</f>
        <v>0</v>
      </c>
      <c r="C31" s="22">
        <f>ROUND(IF(O8="",0,IF(O31&gt;0,0,G16*O8*4.348)),2)</f>
        <v>0</v>
      </c>
      <c r="D31" s="22">
        <f>ROUND(IF(O8="",0,IF(O31&gt;0,0,G17*O8*4.348)),2)</f>
        <v>0</v>
      </c>
      <c r="E31" s="22">
        <f>ROUND(IF(O8="",0,IF(O31&gt;0,0,G18*O8*4.348)),2)</f>
        <v>0</v>
      </c>
      <c r="F31" s="25">
        <f t="shared" si="3"/>
        <v>0</v>
      </c>
      <c r="G31" s="25">
        <f>F31*G28</f>
        <v>0</v>
      </c>
      <c r="H31" s="25">
        <f>F31*H28</f>
        <v>0</v>
      </c>
      <c r="I31" s="25">
        <f>F31*I28</f>
        <v>0</v>
      </c>
      <c r="J31" s="25">
        <f>F31*J28</f>
        <v>0</v>
      </c>
      <c r="K31" s="25">
        <f>F31*K28</f>
        <v>0</v>
      </c>
      <c r="L31" s="25">
        <f>F31*L28</f>
        <v>0</v>
      </c>
      <c r="M31" s="25">
        <f>ROUND(IF(O8=0,0,IF((SUM(B31,G31,H31,I31,J31)+(E19/L7*O8))&gt;0,(E19/L7*O8),(E19/L7*O8)-((E19/L7*O8)+SUM(B31,G31,H31,I31,J31)))),2)</f>
        <v>0</v>
      </c>
      <c r="N31" s="25">
        <f t="shared" si="4"/>
        <v>0</v>
      </c>
      <c r="O31" s="21">
        <f>IF(O8="",0,O28)</f>
        <v>0</v>
      </c>
    </row>
    <row r="32" spans="1:15" x14ac:dyDescent="0.2">
      <c r="A32" s="76" t="str">
        <f>'päd.Personal - Leitung'!$A$32</f>
        <v>Apr 2025</v>
      </c>
      <c r="B32" s="22">
        <f>ROUND(IF(O9="",0,IF(O32&gt;0,0,G15*O9*4.348)),2)</f>
        <v>0</v>
      </c>
      <c r="C32" s="22">
        <f>ROUND(IF(O9="",0,IF(O32&gt;0,0,G16*O9*4.348)),2)</f>
        <v>0</v>
      </c>
      <c r="D32" s="22">
        <f>ROUND(IF(O9="",0,IF(O32&gt;0,0,G17*O9*4.348)),2)</f>
        <v>0</v>
      </c>
      <c r="E32" s="22">
        <f>ROUND(IF(O9="",0,IF(O32&gt;0,0,G18*O9*4.348)),2)</f>
        <v>0</v>
      </c>
      <c r="F32" s="25">
        <f t="shared" si="3"/>
        <v>0</v>
      </c>
      <c r="G32" s="25">
        <f>F32*G28</f>
        <v>0</v>
      </c>
      <c r="H32" s="25">
        <f>F32*H28</f>
        <v>0</v>
      </c>
      <c r="I32" s="25">
        <f>F32*I28</f>
        <v>0</v>
      </c>
      <c r="J32" s="25">
        <f>F32*J28</f>
        <v>0</v>
      </c>
      <c r="K32" s="25">
        <f>F32*K28</f>
        <v>0</v>
      </c>
      <c r="L32" s="25">
        <f>F32*L28</f>
        <v>0</v>
      </c>
      <c r="M32" s="25">
        <f>ROUND(IF(O9=0,0,IF((SUM(B32,G32,H32,I32,J32)+(E19/L7*O9))&gt;0,(E19/L7*O9),(E19/L7*O9)-((E19/L7*O9)+SUM(B32,G32,H32,I32,J32)))),2)</f>
        <v>0</v>
      </c>
      <c r="N32" s="25">
        <f t="shared" si="4"/>
        <v>0</v>
      </c>
      <c r="O32" s="21">
        <f>IF(O9="",0,O28)</f>
        <v>0</v>
      </c>
    </row>
    <row r="33" spans="1:15" x14ac:dyDescent="0.2">
      <c r="A33" s="76" t="str">
        <f>'päd.Personal - Leitung'!$A$33</f>
        <v>Mai 2025</v>
      </c>
      <c r="B33" s="22">
        <f>ROUND(IF(O10="",0,IF(O33&gt;0,0,G15*O10*4.348)),2)</f>
        <v>0</v>
      </c>
      <c r="C33" s="22">
        <f>ROUND(IF(O10="",0,IF(O33&gt;0,0,G16*O10*4.348)),2)</f>
        <v>0</v>
      </c>
      <c r="D33" s="22">
        <f>ROUND(IF(O10="",0,IF(O33&gt;0,0,G17*O10*4.348)),2)</f>
        <v>0</v>
      </c>
      <c r="E33" s="22">
        <f>ROUND(IF(O10="",0,IF(O33&gt;0,0,G18*O10*4.348)),2)</f>
        <v>0</v>
      </c>
      <c r="F33" s="25">
        <f t="shared" si="3"/>
        <v>0</v>
      </c>
      <c r="G33" s="25">
        <f>F33*G28</f>
        <v>0</v>
      </c>
      <c r="H33" s="25">
        <f>F33*H28</f>
        <v>0</v>
      </c>
      <c r="I33" s="25">
        <f>F33*I28</f>
        <v>0</v>
      </c>
      <c r="J33" s="25">
        <f>F33*J28</f>
        <v>0</v>
      </c>
      <c r="K33" s="25">
        <f>F33*K28</f>
        <v>0</v>
      </c>
      <c r="L33" s="25">
        <f>F33*L28</f>
        <v>0</v>
      </c>
      <c r="M33" s="25">
        <f>ROUND(IF(O10=0,0,IF((SUM(B33,G33,H33,I33,J33)+(E19/L7*O10))&gt;0,(E19/L7*O10),(E19/L7*O10)-((E19/L7*O10)+SUM(B33,G33,H33,I33,J33)))),2)</f>
        <v>0</v>
      </c>
      <c r="N33" s="25">
        <f t="shared" si="4"/>
        <v>0</v>
      </c>
      <c r="O33" s="21">
        <f>IF(O10="",0,O28)</f>
        <v>0</v>
      </c>
    </row>
    <row r="34" spans="1:15" x14ac:dyDescent="0.2">
      <c r="A34" s="76" t="str">
        <f>'päd.Personal - Leitung'!$A$34</f>
        <v>Jun 2025</v>
      </c>
      <c r="B34" s="22">
        <f>ROUND(IF(O11="",0,IF(O34&gt;0,0,G15*O11*4.348)),2)</f>
        <v>0</v>
      </c>
      <c r="C34" s="22">
        <f>ROUND(IF(O11="",0,IF(O34&gt;0,0,G16*O11*4.348)),2)</f>
        <v>0</v>
      </c>
      <c r="D34" s="22">
        <f>ROUND(IF(O11="",0,IF(O34&gt;0,0,G17*O11*4.348)),2)</f>
        <v>0</v>
      </c>
      <c r="E34" s="22">
        <f>ROUND(IF(O11="",0,IF(O34&gt;0,0,G18*O11*4.348)),2)</f>
        <v>0</v>
      </c>
      <c r="F34" s="25">
        <f t="shared" ref="F34:F40" si="5">SUM(B34:E34)</f>
        <v>0</v>
      </c>
      <c r="G34" s="25">
        <f>F34*G28</f>
        <v>0</v>
      </c>
      <c r="H34" s="25">
        <f>F34*H28</f>
        <v>0</v>
      </c>
      <c r="I34" s="25">
        <f>F34*I28</f>
        <v>0</v>
      </c>
      <c r="J34" s="25">
        <f>F34*J28</f>
        <v>0</v>
      </c>
      <c r="K34" s="25">
        <f>F34*K28</f>
        <v>0</v>
      </c>
      <c r="L34" s="25">
        <f>F34*L28</f>
        <v>0</v>
      </c>
      <c r="M34" s="25">
        <f>ROUND(IF(O11=0,0,IF((SUM(B34,G34,H34,I34,J34)+(E19/L7*O11))&gt;0,(E19/L7*O11),(E19/L7*O11)-((E19/L7*O11)+SUM(B34,G34,H34,I34,J34)))),2)</f>
        <v>0</v>
      </c>
      <c r="N34" s="25">
        <f t="shared" ref="N34:N40" si="6">SUM(F34:M34)</f>
        <v>0</v>
      </c>
      <c r="O34" s="21">
        <f>IF(O11="",0,O28)</f>
        <v>0</v>
      </c>
    </row>
    <row r="35" spans="1:15" x14ac:dyDescent="0.2">
      <c r="A35" s="76" t="str">
        <f>'päd.Personal - Leitung'!$A$35</f>
        <v>Jul 2025</v>
      </c>
      <c r="B35" s="22">
        <f>ROUND(IF(O12="",0,IF(O35&gt;0,0,G15*O12*4.348)),2)</f>
        <v>0</v>
      </c>
      <c r="C35" s="22">
        <f>ROUND(IF(O12="",0,IF(O35&gt;0,0,G16*O12*4.348)),2)</f>
        <v>0</v>
      </c>
      <c r="D35" s="22">
        <f>ROUND(IF(O12="",0,IF(O35&gt;0,0,G17*O12*4.348)),2)</f>
        <v>0</v>
      </c>
      <c r="E35" s="22">
        <f>ROUND(IF(O12="",0,IF(O35&gt;0,0,G18*O12*4.348)),2)</f>
        <v>0</v>
      </c>
      <c r="F35" s="25">
        <f t="shared" si="5"/>
        <v>0</v>
      </c>
      <c r="G35" s="25">
        <f>F35*G28</f>
        <v>0</v>
      </c>
      <c r="H35" s="25">
        <f>F35*H28</f>
        <v>0</v>
      </c>
      <c r="I35" s="25">
        <f>F35*I28</f>
        <v>0</v>
      </c>
      <c r="J35" s="25">
        <f>F35*J28</f>
        <v>0</v>
      </c>
      <c r="K35" s="25">
        <f>F35*K28</f>
        <v>0</v>
      </c>
      <c r="L35" s="25">
        <f>F35*L28</f>
        <v>0</v>
      </c>
      <c r="M35" s="25">
        <f>ROUND(IF(O12=0,0,IF((SUM(B35,G35,H35,I35,J35)+(E19/L7*O12))&gt;0,(E19/L7*O12),(E19/L7*O12)-((E19/L7*O12)+SUM(B35,G35,H35,I35,J35)))),2)</f>
        <v>0</v>
      </c>
      <c r="N35" s="25">
        <f t="shared" si="6"/>
        <v>0</v>
      </c>
      <c r="O35" s="21">
        <f>IF(O12="",0,O28)</f>
        <v>0</v>
      </c>
    </row>
    <row r="36" spans="1:15" x14ac:dyDescent="0.2">
      <c r="A36" s="76" t="str">
        <f>'päd.Personal - Leitung'!$A$36</f>
        <v>Aug 2025</v>
      </c>
      <c r="B36" s="22">
        <f>ROUND(IF(O13="",0,IF(O36&gt;0,0,G15*O13*4.348)),2)</f>
        <v>0</v>
      </c>
      <c r="C36" s="22">
        <f>ROUND(IF(O13="",0,IF(O36&gt;0,0,G16*O13*4.348)),2)</f>
        <v>0</v>
      </c>
      <c r="D36" s="22">
        <f>ROUND(IF(O13="",0,IF(O36&gt;0,0,G17*O13*4.348)),2)</f>
        <v>0</v>
      </c>
      <c r="E36" s="22">
        <f>ROUND(IF(O13="",0,IF(O36&gt;0,0,G18*O13*4.348)),2)</f>
        <v>0</v>
      </c>
      <c r="F36" s="25">
        <f t="shared" si="5"/>
        <v>0</v>
      </c>
      <c r="G36" s="25">
        <f>F36*G28</f>
        <v>0</v>
      </c>
      <c r="H36" s="25">
        <f>F36*H28</f>
        <v>0</v>
      </c>
      <c r="I36" s="25">
        <f>F36*I28</f>
        <v>0</v>
      </c>
      <c r="J36" s="25">
        <f>F36*J28</f>
        <v>0</v>
      </c>
      <c r="K36" s="25">
        <f>F36*K28</f>
        <v>0</v>
      </c>
      <c r="L36" s="25">
        <f>F36*L28</f>
        <v>0</v>
      </c>
      <c r="M36" s="25">
        <f>ROUND(IF(O13=0,0,IF((SUM(B36,G36,H36,I36,J36)+(E19/L7*O13))&gt;0,(E19/L7*O13),(E19/L7*O13)-((E19/L7*O13)+SUM(B36,G36,H36,I36,J36)))),2)</f>
        <v>0</v>
      </c>
      <c r="N36" s="25">
        <f t="shared" si="6"/>
        <v>0</v>
      </c>
      <c r="O36" s="21">
        <f>IF(O13="",0,O28)</f>
        <v>0</v>
      </c>
    </row>
    <row r="37" spans="1:15" x14ac:dyDescent="0.2">
      <c r="A37" s="76" t="str">
        <f>'päd.Personal - Leitung'!$A$37</f>
        <v>Sep 2025</v>
      </c>
      <c r="B37" s="22">
        <f>ROUND(IF(O14="",0,IF(O37&gt;0,0,G15*O14*4.348)),2)</f>
        <v>0</v>
      </c>
      <c r="C37" s="22">
        <f>ROUND(IF(O14="",0,IF(O37&gt;0,0,G16*O14*4.348)),2)</f>
        <v>0</v>
      </c>
      <c r="D37" s="22">
        <f>ROUND(IF(O14="",0,IF(O37&gt;0,0,G17*O14*4.348)),2)</f>
        <v>0</v>
      </c>
      <c r="E37" s="22">
        <f>ROUND(IF(O14="",0,IF(O37&gt;0,0,G18*O14*4.348)),2)</f>
        <v>0</v>
      </c>
      <c r="F37" s="25">
        <f t="shared" si="5"/>
        <v>0</v>
      </c>
      <c r="G37" s="25">
        <f>F37*G28</f>
        <v>0</v>
      </c>
      <c r="H37" s="25">
        <f>F37*H28</f>
        <v>0</v>
      </c>
      <c r="I37" s="25">
        <f>F37*I28</f>
        <v>0</v>
      </c>
      <c r="J37" s="25">
        <f>F37*J28</f>
        <v>0</v>
      </c>
      <c r="K37" s="25">
        <f>F37*K28</f>
        <v>0</v>
      </c>
      <c r="L37" s="25">
        <f>F37*L28</f>
        <v>0</v>
      </c>
      <c r="M37" s="25">
        <f>ROUND(IF(O14=0,0,IF((SUM(B37,G37,H37,I37,J37)+(E19/L7*O14))&gt;0,(E19/L7*O14),(E19/L7*O14)-((E19/L7*O14)+SUM(B37,G37,H37,I37,J37)))),2)</f>
        <v>0</v>
      </c>
      <c r="N37" s="25">
        <f t="shared" si="6"/>
        <v>0</v>
      </c>
      <c r="O37" s="21">
        <f>IF(O14="",0,O28)</f>
        <v>0</v>
      </c>
    </row>
    <row r="38" spans="1:15" x14ac:dyDescent="0.2">
      <c r="A38" s="76" t="str">
        <f>'päd.Personal - Leitung'!$A$38</f>
        <v>Okt 2025</v>
      </c>
      <c r="B38" s="22">
        <f>ROUND(IF(O15="",0,IF(O38&gt;0,0,G15*O15*4.348)),2)</f>
        <v>0</v>
      </c>
      <c r="C38" s="22">
        <f>ROUND(IF(O15="",0,IF(O38&gt;0,0,G16*O15*4.348)),2)</f>
        <v>0</v>
      </c>
      <c r="D38" s="22">
        <f>ROUND(IF(O15="",0,IF(O38&gt;0,0,G17*O15*4.348)),2)</f>
        <v>0</v>
      </c>
      <c r="E38" s="22">
        <f>ROUND(IF(O15="",0,IF(O38&gt;0,0,G18*O15*4.348)),2)</f>
        <v>0</v>
      </c>
      <c r="F38" s="25">
        <f t="shared" si="5"/>
        <v>0</v>
      </c>
      <c r="G38" s="25">
        <f>F38*G28</f>
        <v>0</v>
      </c>
      <c r="H38" s="25">
        <f>F38*H28</f>
        <v>0</v>
      </c>
      <c r="I38" s="25">
        <f>F38*I28</f>
        <v>0</v>
      </c>
      <c r="J38" s="25">
        <f>F38*J28</f>
        <v>0</v>
      </c>
      <c r="K38" s="25">
        <f>F38*K28</f>
        <v>0</v>
      </c>
      <c r="L38" s="25">
        <f>F38*L28</f>
        <v>0</v>
      </c>
      <c r="M38" s="25">
        <f>ROUND(IF(O15=0,0,IF((SUM(B38,G38,H38,I38,J38)+(E19/L7*O15))&gt;0,(E19/L7*O15),(E19/L7*O15)-((E19/L7*O15)+SUM(B38,G38,H38,I38,J38)))),2)</f>
        <v>0</v>
      </c>
      <c r="N38" s="25">
        <f t="shared" si="6"/>
        <v>0</v>
      </c>
      <c r="O38" s="21">
        <f>IF(O15="",0,O28)</f>
        <v>0</v>
      </c>
    </row>
    <row r="39" spans="1:15" x14ac:dyDescent="0.2">
      <c r="A39" s="76" t="str">
        <f>'päd.Personal - Leitung'!$A$39</f>
        <v>Nov 2025</v>
      </c>
      <c r="B39" s="22">
        <f>ROUND(IF(O16="",0,IF(O39&gt;0,0,G15*O16*4.348)),2)</f>
        <v>0</v>
      </c>
      <c r="C39" s="22">
        <f>ROUND(IF(O16="",0,IF(O39&gt;0,0,G16*O16*4.348)),2)</f>
        <v>0</v>
      </c>
      <c r="D39" s="22">
        <f>ROUND(IF(O16="",0,IF(O39&gt;0,0,G17*O16*4.348)),2)</f>
        <v>0</v>
      </c>
      <c r="E39" s="22">
        <f>ROUND(IF(O16="",0,IF(O39&gt;0,0,G18*O16*4.348)),2)</f>
        <v>0</v>
      </c>
      <c r="F39" s="25">
        <f t="shared" si="5"/>
        <v>0</v>
      </c>
      <c r="G39" s="25">
        <f>F39*G28</f>
        <v>0</v>
      </c>
      <c r="H39" s="25">
        <f>F39*H28</f>
        <v>0</v>
      </c>
      <c r="I39" s="25">
        <f>F39*I28</f>
        <v>0</v>
      </c>
      <c r="J39" s="25">
        <f>F39*J28</f>
        <v>0</v>
      </c>
      <c r="K39" s="25">
        <f>F39*K28</f>
        <v>0</v>
      </c>
      <c r="L39" s="25">
        <f>F39*L28</f>
        <v>0</v>
      </c>
      <c r="M39" s="25">
        <f>ROUND(IF(O16=0,0,IF((SUM(B39,G39,H39,I39,J39)+(E19/L7*O16))&gt;0,(E19/L7*O16),(E19/L7*O16)-((E19/L7*O16)+SUM(B39,G39,H39,I39,J39)))),2)</f>
        <v>0</v>
      </c>
      <c r="N39" s="25">
        <f t="shared" si="6"/>
        <v>0</v>
      </c>
      <c r="O39" s="21">
        <f>IF(O16="",0,O28)</f>
        <v>0</v>
      </c>
    </row>
    <row r="40" spans="1:15" x14ac:dyDescent="0.2">
      <c r="A40" s="76" t="str">
        <f>'päd.Personal - Leitung'!$A$40</f>
        <v>Dez 2025</v>
      </c>
      <c r="B40" s="22">
        <f>ROUND(IF(O17="",0,IF(O40&gt;0,0,G15*O17*4.348)),2)</f>
        <v>0</v>
      </c>
      <c r="C40" s="22">
        <f>ROUND(IF(O17="",0,IF(O40&gt;0,0,G16*O17*4.348)),2)</f>
        <v>0</v>
      </c>
      <c r="D40" s="22">
        <f>ROUND(IF(O17="",0,IF(O40&gt;0,0,G17*O17*4.348)),2)</f>
        <v>0</v>
      </c>
      <c r="E40" s="22">
        <f>ROUND(IF(O17="",0,IF(O40&gt;0,0,G18*O17*4.348)),2)</f>
        <v>0</v>
      </c>
      <c r="F40" s="25">
        <f t="shared" si="5"/>
        <v>0</v>
      </c>
      <c r="G40" s="25">
        <f>F40*G28</f>
        <v>0</v>
      </c>
      <c r="H40" s="25">
        <f>F40*H28</f>
        <v>0</v>
      </c>
      <c r="I40" s="25">
        <f>F40*I28</f>
        <v>0</v>
      </c>
      <c r="J40" s="25">
        <f>F40*J28</f>
        <v>0</v>
      </c>
      <c r="K40" s="25">
        <f>F40*K28</f>
        <v>0</v>
      </c>
      <c r="L40" s="25">
        <f>F40*L28</f>
        <v>0</v>
      </c>
      <c r="M40" s="25">
        <f>ROUND(IF(O17=0,0,IF((SUM(B40,G40,H40,I40,J40)+(E19/L7*O17))&gt;0,(E19/L7*O17),(E19/L7*O17)-((E19/L7*O17)+SUM(B40,G40,H40,I40,J40)))),2)</f>
        <v>0</v>
      </c>
      <c r="N40" s="25">
        <f t="shared" si="6"/>
        <v>0</v>
      </c>
      <c r="O40" s="21">
        <f>IF(O17="",0,O28)</f>
        <v>0</v>
      </c>
    </row>
    <row r="41" spans="1:15" x14ac:dyDescent="0.2">
      <c r="A41" s="2" t="s">
        <v>1</v>
      </c>
      <c r="B41" s="25">
        <f>SUM(B29:B40)</f>
        <v>0</v>
      </c>
      <c r="C41" s="25">
        <f>SUM(C29:C40)</f>
        <v>0</v>
      </c>
      <c r="D41" s="25">
        <f>SUM(D29:D40)</f>
        <v>0</v>
      </c>
      <c r="E41" s="25">
        <f>SUM(E29:E40)</f>
        <v>0</v>
      </c>
      <c r="F41" s="25">
        <f>SUM(F29:F40)</f>
        <v>0</v>
      </c>
      <c r="G41" s="1309">
        <f>SUM(G29:L40)</f>
        <v>0</v>
      </c>
      <c r="H41" s="1310"/>
      <c r="I41" s="1310"/>
      <c r="J41" s="1310"/>
      <c r="K41" s="1310"/>
      <c r="L41" s="1311"/>
      <c r="M41" s="25">
        <f>SUM(M29:M40)</f>
        <v>0</v>
      </c>
      <c r="N41" s="25">
        <f>SUM(N29:N40)</f>
        <v>0</v>
      </c>
      <c r="O41" s="25">
        <f>SUM(O29:O40)</f>
        <v>0</v>
      </c>
    </row>
    <row r="42" spans="1:15" ht="12" customHeight="1" x14ac:dyDescent="0.2"/>
    <row r="43" spans="1:15" ht="14.25" customHeight="1" x14ac:dyDescent="0.2">
      <c r="B43" s="906"/>
      <c r="G43" s="905"/>
      <c r="H43" s="62"/>
      <c r="I43" s="914" t="s">
        <v>123</v>
      </c>
      <c r="K43" s="900" t="s">
        <v>124</v>
      </c>
      <c r="L43" s="1032"/>
      <c r="M43" s="902" t="s">
        <v>125</v>
      </c>
      <c r="N43" s="1033"/>
      <c r="O43" s="25">
        <f>ROUND(IF(L43="",0,F41*L43*N43/1000),2)</f>
        <v>0</v>
      </c>
    </row>
    <row r="44" spans="1:15" ht="14.25" customHeight="1" x14ac:dyDescent="0.2">
      <c r="G44" s="907"/>
      <c r="H44" s="42"/>
      <c r="L44" s="915" t="s">
        <v>129</v>
      </c>
      <c r="M44" s="80" t="s">
        <v>125</v>
      </c>
      <c r="N44" s="1034"/>
      <c r="O44" s="25">
        <f>ROUND(IF(N44="",0,F41*N44/1000),2)</f>
        <v>0</v>
      </c>
    </row>
    <row r="45" spans="1:15" ht="14.25" customHeight="1" x14ac:dyDescent="0.2">
      <c r="G45" s="996" t="s">
        <v>126</v>
      </c>
      <c r="H45" s="960" t="s">
        <v>127</v>
      </c>
      <c r="I45" s="1037"/>
      <c r="J45" s="902" t="s">
        <v>128</v>
      </c>
      <c r="K45" s="1036"/>
      <c r="L45" s="16"/>
      <c r="M45" s="900" t="s">
        <v>132</v>
      </c>
      <c r="N45" s="1035"/>
      <c r="O45" s="25">
        <f>ROUND(IF(I45="",0,(I45*K45/N45)/L7*L8),2)</f>
        <v>0</v>
      </c>
    </row>
    <row r="46" spans="1:15" ht="14.25" customHeight="1" x14ac:dyDescent="0.2">
      <c r="D46" s="16"/>
      <c r="H46" s="16"/>
      <c r="I46" s="961" t="s">
        <v>176</v>
      </c>
      <c r="J46" s="1312"/>
      <c r="K46" s="1312"/>
      <c r="L46" s="1312"/>
      <c r="M46" s="80" t="s">
        <v>131</v>
      </c>
      <c r="N46" s="904"/>
      <c r="O46" s="21">
        <f>ROUND(IF(L12="",0,N46/L7*L8),2)</f>
        <v>0</v>
      </c>
    </row>
    <row r="47" spans="1:15" ht="14.25" customHeight="1" x14ac:dyDescent="0.2">
      <c r="A47" s="16"/>
      <c r="B47" s="16"/>
      <c r="H47" s="905"/>
      <c r="N47" s="26" t="s">
        <v>0</v>
      </c>
      <c r="O47" s="82">
        <f>IF(N41&gt;0,N41+O41+SUM(O43:O46),N41+O41+SUM(O43:O46))</f>
        <v>0</v>
      </c>
    </row>
    <row r="48" spans="1:15" ht="14.25" customHeight="1" x14ac:dyDescent="0.2">
      <c r="A48" s="908"/>
      <c r="B48" s="908"/>
      <c r="C48" s="960"/>
      <c r="D48" s="960"/>
      <c r="I48" s="913"/>
      <c r="J48" s="913"/>
      <c r="K48" s="916"/>
      <c r="L48" s="27"/>
      <c r="M48" s="27"/>
      <c r="N48" s="27"/>
    </row>
    <row r="49" spans="1:16" s="10" customFormat="1" ht="13.5" customHeight="1" x14ac:dyDescent="0.2">
      <c r="A49" s="1321" t="s">
        <v>17</v>
      </c>
      <c r="B49" s="1321"/>
      <c r="C49" s="1321"/>
      <c r="D49" s="1320" t="str">
        <f>IF('päd.Personal - Leitung'!$D$1="","",'päd.Personal - Leitung'!$D$1)</f>
        <v/>
      </c>
      <c r="E49" s="1320"/>
      <c r="F49" s="1320"/>
      <c r="G49" s="1320"/>
      <c r="H49" s="1320"/>
      <c r="I49" s="1320"/>
      <c r="J49" s="1320"/>
      <c r="K49" s="1320"/>
      <c r="L49" s="1320"/>
      <c r="M49" s="1320"/>
      <c r="N49" s="1320"/>
    </row>
    <row r="50" spans="1:16" s="10" customFormat="1" ht="15" customHeight="1" x14ac:dyDescent="0.2">
      <c r="A50" s="1321" t="s">
        <v>16</v>
      </c>
      <c r="B50" s="1321"/>
      <c r="C50" s="1321" t="s">
        <v>14</v>
      </c>
      <c r="D50" s="1320" t="str">
        <f>IF('päd.Personal - Leitung'!$D$2="","",'päd.Personal - Leitung'!$D$2)</f>
        <v/>
      </c>
      <c r="E50" s="1320"/>
      <c r="F50" s="1320"/>
      <c r="G50" s="1320"/>
      <c r="H50" s="1320"/>
      <c r="I50" s="1320"/>
      <c r="J50" s="1320"/>
      <c r="K50" s="1320"/>
      <c r="L50" s="1320"/>
      <c r="M50" s="1320"/>
      <c r="N50" s="1320"/>
    </row>
    <row r="51" spans="1:16" s="10" customFormat="1" ht="15" customHeight="1" x14ac:dyDescent="0.2">
      <c r="A51" s="1321" t="s">
        <v>15</v>
      </c>
      <c r="B51" s="1321"/>
      <c r="C51" s="1321" t="s">
        <v>14</v>
      </c>
      <c r="D51" s="1320" t="str">
        <f>IF('päd.Personal - Leitung'!$D$3="","",'päd.Personal - Leitung'!$D$3)</f>
        <v/>
      </c>
      <c r="E51" s="1320"/>
      <c r="F51" s="1320"/>
      <c r="G51" s="1320"/>
      <c r="H51" s="1320"/>
      <c r="I51" s="1320"/>
      <c r="J51" s="1320"/>
      <c r="K51" s="1321" t="s">
        <v>100</v>
      </c>
      <c r="L51" s="1321"/>
      <c r="M51" s="1321"/>
      <c r="N51" s="38" t="str">
        <f>IF('päd.Personal - Leitung'!$N$3="","",'päd.Personal - Leitung'!$N$3)</f>
        <v/>
      </c>
    </row>
    <row r="52" spans="1:16" s="923" customFormat="1" ht="7.5" customHeight="1" x14ac:dyDescent="0.15">
      <c r="A52" s="1353"/>
      <c r="B52" s="1353"/>
      <c r="C52" s="1353"/>
      <c r="D52" s="1354"/>
      <c r="E52" s="1354"/>
      <c r="F52" s="1354"/>
      <c r="G52" s="1354"/>
      <c r="H52" s="1354"/>
      <c r="I52" s="1354"/>
      <c r="J52" s="1354"/>
      <c r="K52" s="922"/>
      <c r="L52" s="922"/>
      <c r="M52" s="922"/>
      <c r="N52" s="922"/>
      <c r="O52" s="922"/>
      <c r="P52" s="922"/>
    </row>
    <row r="53" spans="1:16" s="13" customFormat="1" ht="13.5" customHeight="1" x14ac:dyDescent="0.2">
      <c r="A53" s="1355" t="s">
        <v>183</v>
      </c>
      <c r="B53" s="1355"/>
      <c r="C53" s="1355"/>
      <c r="D53" s="1355"/>
      <c r="E53" s="1355"/>
      <c r="F53" s="1355"/>
      <c r="G53" s="1355"/>
      <c r="H53" s="1355"/>
      <c r="I53" s="1355"/>
      <c r="J53" s="1355"/>
      <c r="K53" s="1355"/>
      <c r="L53" s="1355"/>
      <c r="M53" s="1355"/>
      <c r="N53" s="138">
        <f>'päd.Personal - Leitung'!$O$5</f>
        <v>2025</v>
      </c>
      <c r="O53" s="52" t="s">
        <v>140</v>
      </c>
    </row>
    <row r="54" spans="1:16" s="8" customFormat="1" ht="13.5" customHeight="1" x14ac:dyDescent="0.25">
      <c r="B54" s="29"/>
      <c r="C54" s="29"/>
      <c r="D54" s="3" t="s">
        <v>73</v>
      </c>
      <c r="E54" s="28"/>
      <c r="F54" s="28"/>
      <c r="G54" s="28"/>
      <c r="H54" s="28"/>
      <c r="I54" s="24"/>
      <c r="J54" s="1370"/>
      <c r="K54" s="1370"/>
      <c r="L54" s="81"/>
      <c r="N54" s="928" t="str">
        <f>A77</f>
        <v>Jan 2025</v>
      </c>
      <c r="O54" s="68">
        <f>IF(L56="","",L56)</f>
        <v>0</v>
      </c>
    </row>
    <row r="55" spans="1:16" s="5" customFormat="1" ht="13.5" customHeight="1" x14ac:dyDescent="0.25">
      <c r="A55" s="1328" t="s">
        <v>754</v>
      </c>
      <c r="B55" s="1328"/>
      <c r="C55" s="1328"/>
      <c r="D55" s="1329"/>
      <c r="E55" s="1329"/>
      <c r="F55" s="1329"/>
      <c r="G55" s="1329"/>
      <c r="H55" s="1329"/>
      <c r="I55" s="1329"/>
      <c r="J55" s="1327" t="s">
        <v>101</v>
      </c>
      <c r="K55" s="1327"/>
      <c r="L55" s="101"/>
      <c r="N55" s="928" t="str">
        <f t="shared" ref="N55:N65" si="7">A78</f>
        <v>Feb 2025</v>
      </c>
      <c r="O55" s="69">
        <f t="shared" ref="O55:O62" si="8">IF(O54="","",O54)</f>
        <v>0</v>
      </c>
    </row>
    <row r="56" spans="1:16" ht="13.5" customHeight="1" x14ac:dyDescent="0.2">
      <c r="A56" s="1328" t="s">
        <v>78</v>
      </c>
      <c r="B56" s="1328"/>
      <c r="C56" s="1328"/>
      <c r="D56" s="1345"/>
      <c r="E56" s="1345"/>
      <c r="F56" s="1345"/>
      <c r="G56" s="1345"/>
      <c r="H56" s="1345"/>
      <c r="I56" s="1345"/>
      <c r="J56" s="1327" t="s">
        <v>149</v>
      </c>
      <c r="K56" s="1327"/>
      <c r="L56" s="101">
        <f>IF((L57+L58)&gt;L55,0,L55-L57-L58)</f>
        <v>0</v>
      </c>
      <c r="N56" s="928" t="str">
        <f t="shared" si="7"/>
        <v>Mrz 2025</v>
      </c>
      <c r="O56" s="69">
        <f t="shared" si="8"/>
        <v>0</v>
      </c>
    </row>
    <row r="57" spans="1:16" ht="13.5" customHeight="1" x14ac:dyDescent="0.2">
      <c r="A57" s="1328" t="s">
        <v>77</v>
      </c>
      <c r="B57" s="1328"/>
      <c r="C57" s="1328"/>
      <c r="D57" s="1345"/>
      <c r="E57" s="1345"/>
      <c r="F57" s="1345"/>
      <c r="G57" s="1345"/>
      <c r="H57" s="1345"/>
      <c r="I57" s="1345"/>
      <c r="J57" s="1327" t="s">
        <v>150</v>
      </c>
      <c r="K57" s="1327"/>
      <c r="L57" s="101"/>
      <c r="N57" s="928" t="str">
        <f t="shared" si="7"/>
        <v>Apr 2025</v>
      </c>
      <c r="O57" s="69">
        <f t="shared" si="8"/>
        <v>0</v>
      </c>
    </row>
    <row r="58" spans="1:16" ht="13.5" customHeight="1" x14ac:dyDescent="0.2">
      <c r="A58" s="1328" t="s">
        <v>18</v>
      </c>
      <c r="B58" s="1328"/>
      <c r="C58" s="1328"/>
      <c r="D58" s="1345"/>
      <c r="E58" s="1345"/>
      <c r="F58" s="1345"/>
      <c r="G58" s="1345"/>
      <c r="H58" s="1345"/>
      <c r="I58" s="1345"/>
      <c r="J58" s="1327" t="s">
        <v>222</v>
      </c>
      <c r="K58" s="1327"/>
      <c r="L58" s="101"/>
      <c r="M58" s="73"/>
      <c r="N58" s="928" t="str">
        <f t="shared" si="7"/>
        <v>Mai 2025</v>
      </c>
      <c r="O58" s="69">
        <f t="shared" si="8"/>
        <v>0</v>
      </c>
    </row>
    <row r="59" spans="1:16" ht="13.5" customHeight="1" x14ac:dyDescent="0.2">
      <c r="B59" s="6"/>
      <c r="C59" s="959" t="s">
        <v>147</v>
      </c>
      <c r="D59" s="1324"/>
      <c r="E59" s="1324"/>
      <c r="F59" s="1359" t="s">
        <v>104</v>
      </c>
      <c r="G59" s="1359"/>
      <c r="H59" s="1361"/>
      <c r="I59" s="1361"/>
      <c r="J59" s="1327" t="s">
        <v>94</v>
      </c>
      <c r="K59" s="1327"/>
      <c r="L59" s="15" t="str">
        <f>IF(IF((COUNTIF(N77:O88,"&gt;0"))=0,0,(COUNTIF(N77:O88,"&gt;0")))&gt;Grundlagen!$C$26,Grundlagen!$C$26,IF((COUNTIF(N77:O88,"&gt;0"))=0,"",(COUNTIF(N77:O88,"&gt;0"))))</f>
        <v/>
      </c>
      <c r="N59" s="928" t="str">
        <f t="shared" si="7"/>
        <v>Jun 2025</v>
      </c>
      <c r="O59" s="69">
        <f t="shared" si="8"/>
        <v>0</v>
      </c>
    </row>
    <row r="60" spans="1:16" ht="13.5" customHeight="1" x14ac:dyDescent="0.2">
      <c r="F60" s="1359" t="s">
        <v>105</v>
      </c>
      <c r="G60" s="1359"/>
      <c r="H60" s="1361"/>
      <c r="I60" s="1361"/>
      <c r="L60" s="102" t="str">
        <f>IF(O66&gt;L56,L56,IF(L56="","",IF(L59="","",O66)))</f>
        <v/>
      </c>
      <c r="N60" s="928" t="str">
        <f t="shared" si="7"/>
        <v>Jul 2025</v>
      </c>
      <c r="O60" s="69">
        <f t="shared" si="8"/>
        <v>0</v>
      </c>
    </row>
    <row r="61" spans="1:16" s="109" customFormat="1" ht="14.25" customHeight="1" x14ac:dyDescent="0.25">
      <c r="H61" s="86"/>
      <c r="I61" s="105"/>
      <c r="J61" s="105"/>
      <c r="K61" s="106"/>
      <c r="L61" s="107"/>
      <c r="M61" s="106"/>
      <c r="N61" s="928" t="str">
        <f t="shared" si="7"/>
        <v>Aug 2025</v>
      </c>
      <c r="O61" s="69">
        <f t="shared" si="8"/>
        <v>0</v>
      </c>
    </row>
    <row r="62" spans="1:16" s="109" customFormat="1" ht="14.25" customHeight="1" x14ac:dyDescent="0.25">
      <c r="A62" s="103" t="s">
        <v>170</v>
      </c>
      <c r="B62" s="56"/>
      <c r="C62" s="104"/>
      <c r="D62" s="56"/>
      <c r="E62" s="1394" t="s">
        <v>171</v>
      </c>
      <c r="F62" s="1394"/>
      <c r="G62" s="58" t="s">
        <v>138</v>
      </c>
      <c r="N62" s="928" t="str">
        <f t="shared" si="7"/>
        <v>Sep 2025</v>
      </c>
      <c r="O62" s="69">
        <f t="shared" si="8"/>
        <v>0</v>
      </c>
    </row>
    <row r="63" spans="1:16" s="109" customFormat="1" ht="14.25" customHeight="1" x14ac:dyDescent="0.25">
      <c r="A63" s="1383" t="s">
        <v>69</v>
      </c>
      <c r="B63" s="1384"/>
      <c r="C63" s="1384"/>
      <c r="D63" s="1385"/>
      <c r="E63" s="1386"/>
      <c r="F63" s="1387"/>
      <c r="G63" s="110">
        <f>IF(L56=0,0,E63/N51/4.348)</f>
        <v>0</v>
      </c>
      <c r="H63" s="58"/>
      <c r="J63" s="1359" t="s">
        <v>120</v>
      </c>
      <c r="K63" s="1359"/>
      <c r="L63" s="41"/>
      <c r="N63" s="928" t="str">
        <f t="shared" si="7"/>
        <v>Okt 2025</v>
      </c>
      <c r="O63" s="69">
        <f t="shared" ref="O63:O65" si="9">IF(O62="","",O62)</f>
        <v>0</v>
      </c>
    </row>
    <row r="64" spans="1:16" s="109" customFormat="1" ht="14.25" customHeight="1" x14ac:dyDescent="0.25">
      <c r="A64" s="1383" t="s">
        <v>172</v>
      </c>
      <c r="B64" s="1384"/>
      <c r="C64" s="1384"/>
      <c r="D64" s="1385"/>
      <c r="E64" s="1386"/>
      <c r="F64" s="1387"/>
      <c r="G64" s="110">
        <f>IF(L56=0,0,E64/N51/4.348)</f>
        <v>0</v>
      </c>
      <c r="H64" s="85"/>
      <c r="J64" s="1359" t="s">
        <v>121</v>
      </c>
      <c r="K64" s="1359"/>
      <c r="L64" s="41"/>
      <c r="N64" s="928" t="str">
        <f t="shared" si="7"/>
        <v>Nov 2025</v>
      </c>
      <c r="O64" s="69">
        <f t="shared" si="9"/>
        <v>0</v>
      </c>
    </row>
    <row r="65" spans="1:15" s="109" customFormat="1" ht="14.25" customHeight="1" x14ac:dyDescent="0.25">
      <c r="A65" s="1383" t="s">
        <v>71</v>
      </c>
      <c r="B65" s="1384"/>
      <c r="C65" s="1384"/>
      <c r="D65" s="1385"/>
      <c r="E65" s="1386"/>
      <c r="F65" s="1387"/>
      <c r="G65" s="110">
        <f>IF(L56=0,0,E65/N51/4.348)</f>
        <v>0</v>
      </c>
      <c r="H65" s="86"/>
      <c r="J65" s="1359" t="s">
        <v>122</v>
      </c>
      <c r="K65" s="1359"/>
      <c r="L65" s="41"/>
      <c r="M65" s="106"/>
      <c r="N65" s="928" t="str">
        <f t="shared" si="7"/>
        <v>Dez 2025</v>
      </c>
      <c r="O65" s="69">
        <f t="shared" si="9"/>
        <v>0</v>
      </c>
    </row>
    <row r="66" spans="1:15" s="109" customFormat="1" ht="14.25" customHeight="1" x14ac:dyDescent="0.25">
      <c r="A66" s="1383" t="s">
        <v>6</v>
      </c>
      <c r="B66" s="1384"/>
      <c r="C66" s="1384"/>
      <c r="D66" s="1385"/>
      <c r="E66" s="1386"/>
      <c r="F66" s="1387"/>
      <c r="G66" s="110">
        <f>IF(L56=0,0,E66/N51/4.348)</f>
        <v>0</v>
      </c>
      <c r="H66" s="86"/>
      <c r="I66" s="111"/>
      <c r="J66" s="105"/>
      <c r="K66" s="106"/>
      <c r="L66" s="107"/>
      <c r="M66" s="106"/>
      <c r="N66" s="126" t="s">
        <v>221</v>
      </c>
      <c r="O66" s="127">
        <f>IF(L56=0,0,((IF(SUMIF(N77,"&gt;0"),O54,0))+(IF(SUMIF(N78,"&gt;0"),O55,0))+(IF(SUMIF(N79,"&gt;0"),O56,0))+(IF(SUMIF(N80,"&gt;0"),O57,0))+(IF(SUMIF(N81,"&gt;0"),O58,0))+(IF(SUMIF(N82,"&gt;0"),O59,0))+(IF(SUMIF(N83,"&gt;0"),O60,0))+(IF(SUMIF(N84,"&gt;0"),O61,0))+(IF(SUMIF(N85,"&gt;0"),O62,0))+(IF(SUMIF(N86,"&gt;0"),O63,0))+(IF(SUMIF(N87,"&gt;0"),O64,0))+(IF(SUMIF(N88,"&gt;0"),O65,0))+(IF(SUMIF(O77,"&gt;0"),O54,0))+(IF(SUMIF(O78,"&gt;0"),O55,0))+(IF(SUMIF(O79,"&gt;0"),O56,0))+(IF(SUMIF(O80,"&gt;0"),O57,0))+(IF(SUMIF(O81,"&gt;0"),O58,0))+(IF(SUMIF(O82,"&gt;0"),O59,0))+(IF(SUMIF(O83,"&gt;0"),O60,0))+(IF(SUMIF(O84,"&gt;0"),O61,0))+(IF(SUMIF(O85,"&gt;0"),O62,0))+(IF(SUMIF(O86,"&gt;0"),O63,0))+(IF(SUMIF(O87,"&gt;0"),O64,0))+(IF(SUMIF(O88,"&gt;0"),O65,0)))/Grundlagen!$C$26)</f>
        <v>0</v>
      </c>
    </row>
    <row r="67" spans="1:15" s="109" customFormat="1" ht="14.25" customHeight="1" x14ac:dyDescent="0.25">
      <c r="A67" s="1383" t="s">
        <v>173</v>
      </c>
      <c r="B67" s="1384"/>
      <c r="C67" s="1384"/>
      <c r="D67" s="1385"/>
      <c r="E67" s="1386"/>
      <c r="F67" s="1387"/>
      <c r="G67" s="110">
        <f>IF(L56=0,0,E67/N51/4.348)</f>
        <v>0</v>
      </c>
      <c r="H67" s="86"/>
      <c r="L67" s="105"/>
      <c r="M67" s="105"/>
      <c r="N67" s="112"/>
      <c r="O67" s="105"/>
    </row>
    <row r="68" spans="1:15" ht="12" customHeight="1" x14ac:dyDescent="0.2"/>
    <row r="69" spans="1:15" ht="12" customHeight="1" x14ac:dyDescent="0.2"/>
    <row r="70" spans="1:15" ht="12" customHeight="1" x14ac:dyDescent="0.2"/>
    <row r="71" spans="1:15" ht="12" customHeight="1" x14ac:dyDescent="0.2"/>
    <row r="72" spans="1:15" ht="14.25" customHeight="1" x14ac:dyDescent="0.2">
      <c r="A72" s="1346"/>
      <c r="B72" s="1348" t="s">
        <v>76</v>
      </c>
      <c r="C72" s="1349"/>
      <c r="D72" s="1349"/>
      <c r="E72" s="1349"/>
      <c r="F72" s="1350"/>
      <c r="G72" s="1351" t="s">
        <v>113</v>
      </c>
      <c r="H72" s="1352"/>
      <c r="I72" s="1352"/>
      <c r="J72" s="1352"/>
      <c r="K72" s="1352"/>
      <c r="L72" s="1389"/>
      <c r="M72" s="1390" t="s">
        <v>110</v>
      </c>
      <c r="N72" s="1393" t="s">
        <v>0</v>
      </c>
      <c r="O72" s="1378" t="s">
        <v>175</v>
      </c>
    </row>
    <row r="73" spans="1:15" ht="14.25" customHeight="1" x14ac:dyDescent="0.2">
      <c r="A73" s="1347"/>
      <c r="B73" s="1339" t="s">
        <v>69</v>
      </c>
      <c r="C73" s="1339" t="s">
        <v>70</v>
      </c>
      <c r="D73" s="1338" t="s">
        <v>71</v>
      </c>
      <c r="E73" s="962" t="s">
        <v>6</v>
      </c>
      <c r="F73" s="1340" t="s">
        <v>5</v>
      </c>
      <c r="G73" s="1339" t="s">
        <v>119</v>
      </c>
      <c r="H73" s="1339" t="s">
        <v>4</v>
      </c>
      <c r="I73" s="1339" t="s">
        <v>3</v>
      </c>
      <c r="J73" s="1339" t="s">
        <v>2</v>
      </c>
      <c r="K73" s="1339" t="s">
        <v>115</v>
      </c>
      <c r="L73" s="1339" t="s">
        <v>116</v>
      </c>
      <c r="M73" s="1391"/>
      <c r="N73" s="1339"/>
      <c r="O73" s="1379"/>
    </row>
    <row r="74" spans="1:15" ht="14.25" customHeight="1" x14ac:dyDescent="0.2">
      <c r="A74" s="1347"/>
      <c r="B74" s="1339"/>
      <c r="C74" s="1339"/>
      <c r="D74" s="1338"/>
      <c r="E74" s="1382"/>
      <c r="F74" s="1340"/>
      <c r="G74" s="1342" t="s">
        <v>117</v>
      </c>
      <c r="H74" s="1342"/>
      <c r="I74" s="1342"/>
      <c r="J74" s="1342"/>
      <c r="K74" s="1342"/>
      <c r="L74" s="1342"/>
      <c r="M74" s="1391"/>
      <c r="N74" s="1339"/>
      <c r="O74" s="1382"/>
    </row>
    <row r="75" spans="1:15" x14ac:dyDescent="0.2">
      <c r="A75" s="1347"/>
      <c r="B75" s="1339"/>
      <c r="C75" s="1339"/>
      <c r="D75" s="1338"/>
      <c r="E75" s="1382"/>
      <c r="F75" s="1340"/>
      <c r="G75" s="39" t="s">
        <v>174</v>
      </c>
      <c r="H75" s="39" t="s">
        <v>722</v>
      </c>
      <c r="I75" s="39" t="s">
        <v>723</v>
      </c>
      <c r="J75" s="39" t="s">
        <v>724</v>
      </c>
      <c r="K75" s="39"/>
      <c r="L75" s="39" t="s">
        <v>719</v>
      </c>
      <c r="M75" s="1391"/>
      <c r="N75" s="1339"/>
      <c r="O75" s="1382"/>
    </row>
    <row r="76" spans="1:15" x14ac:dyDescent="0.2">
      <c r="A76" s="1388"/>
      <c r="B76" s="1380"/>
      <c r="C76" s="1380"/>
      <c r="D76" s="1381"/>
      <c r="E76" s="20"/>
      <c r="F76" s="1341"/>
      <c r="G76" s="19"/>
      <c r="H76" s="19"/>
      <c r="I76" s="19"/>
      <c r="J76" s="19"/>
      <c r="K76" s="19"/>
      <c r="L76" s="19"/>
      <c r="M76" s="1392"/>
      <c r="N76" s="1380"/>
      <c r="O76" s="45"/>
    </row>
    <row r="77" spans="1:15" x14ac:dyDescent="0.2">
      <c r="A77" s="76" t="str">
        <f>'päd.Personal - Leitung'!$A$29</f>
        <v>Jan 2025</v>
      </c>
      <c r="B77" s="22">
        <f>ROUND(IF(O54="",0,IF(O77&gt;0,0,G63*O54*4.348)),2)</f>
        <v>0</v>
      </c>
      <c r="C77" s="22">
        <f>ROUND(IF(O54="",0,IF(O77&gt;0,0,G64*O54*4.348)),2)</f>
        <v>0</v>
      </c>
      <c r="D77" s="22">
        <f>ROUND(IF(O54="",0,IF(O77&gt;0,0,G65*O54*4.348)),2)</f>
        <v>0</v>
      </c>
      <c r="E77" s="22">
        <f>ROUND(IF(O54="",0,IF(O77&gt;0,0,G66*O54*4.348)),2)</f>
        <v>0</v>
      </c>
      <c r="F77" s="25">
        <f>SUM(B77:E77)</f>
        <v>0</v>
      </c>
      <c r="G77" s="25">
        <f>F77*G76</f>
        <v>0</v>
      </c>
      <c r="H77" s="25">
        <f>F77*H76</f>
        <v>0</v>
      </c>
      <c r="I77" s="25">
        <f>F77*I76</f>
        <v>0</v>
      </c>
      <c r="J77" s="25">
        <f>F77*J76</f>
        <v>0</v>
      </c>
      <c r="K77" s="25">
        <f>F77*K76</f>
        <v>0</v>
      </c>
      <c r="L77" s="25">
        <f>F77*L76</f>
        <v>0</v>
      </c>
      <c r="M77" s="25">
        <f>ROUND(IF(O54=0,0,IF((SUM(B77,G77,H77,I77,J77)+(E67/L55*O54))&gt;0,(E67/L55*O54),(E67/L55*O54)-((E67/L55*O54)+SUM(B77,G77,H77,I77,J77)))),2)</f>
        <v>0</v>
      </c>
      <c r="N77" s="25">
        <f>SUM(F77:M77)</f>
        <v>0</v>
      </c>
      <c r="O77" s="21">
        <f>IF(O54="",0,O76)</f>
        <v>0</v>
      </c>
    </row>
    <row r="78" spans="1:15" x14ac:dyDescent="0.2">
      <c r="A78" s="76" t="str">
        <f>'päd.Personal - Leitung'!$A$30</f>
        <v>Feb 2025</v>
      </c>
      <c r="B78" s="22">
        <f>ROUND(IF(O55="",0,IF(O78&gt;0,0,G63*O55*4.348)),2)</f>
        <v>0</v>
      </c>
      <c r="C78" s="22">
        <f>ROUND(IF(O55="",0,IF(O78&gt;0,0,G64*O55*4.348)),2)</f>
        <v>0</v>
      </c>
      <c r="D78" s="22">
        <f>ROUND(IF(O55="",0,IF(O78&gt;0,0,G65*O55*4.348)),2)</f>
        <v>0</v>
      </c>
      <c r="E78" s="22">
        <f>ROUND(IF(O55="",0,IF(O78&gt;0,0,G66*O55*4.348)),2)</f>
        <v>0</v>
      </c>
      <c r="F78" s="25">
        <f t="shared" ref="F78:F81" si="10">SUM(B78:E78)</f>
        <v>0</v>
      </c>
      <c r="G78" s="25">
        <f>F78*G76</f>
        <v>0</v>
      </c>
      <c r="H78" s="25">
        <f>F78*H76</f>
        <v>0</v>
      </c>
      <c r="I78" s="25">
        <f>F78*I76</f>
        <v>0</v>
      </c>
      <c r="J78" s="25">
        <f>F78*J76</f>
        <v>0</v>
      </c>
      <c r="K78" s="25">
        <f>F78*K76</f>
        <v>0</v>
      </c>
      <c r="L78" s="25">
        <f>F78*L76</f>
        <v>0</v>
      </c>
      <c r="M78" s="25">
        <f>ROUND(IF(O55=0,0,IF((SUM(B78,G78,H78,I78,J78)+(E67/L55*O55))&gt;0,(E67/L55*O55),(E67/L55*O55)-((E67/L55*O55)+SUM(B78,G78,H78,I78,J78)))),2)</f>
        <v>0</v>
      </c>
      <c r="N78" s="25">
        <f t="shared" ref="N78:N81" si="11">SUM(F78:M78)</f>
        <v>0</v>
      </c>
      <c r="O78" s="21">
        <f>IF(O55="",0,O76)</f>
        <v>0</v>
      </c>
    </row>
    <row r="79" spans="1:15" x14ac:dyDescent="0.2">
      <c r="A79" s="76" t="str">
        <f>'päd.Personal - Leitung'!$A$31</f>
        <v>Mrz 2025</v>
      </c>
      <c r="B79" s="22">
        <f>ROUND(IF(O56="",0,IF(O79&gt;0,0,G63*O56*4.348)),2)</f>
        <v>0</v>
      </c>
      <c r="C79" s="22">
        <f>ROUND(IF(O56="",0,IF(O79&gt;0,0,G64*O56*4.348)),2)</f>
        <v>0</v>
      </c>
      <c r="D79" s="22">
        <f>ROUND(IF(O56="",0,IF(O79&gt;0,0,G65*O56*4.348)),2)</f>
        <v>0</v>
      </c>
      <c r="E79" s="22">
        <f>ROUND(IF(O56="",0,IF(O79&gt;0,0,G66*O56*4.348)),2)</f>
        <v>0</v>
      </c>
      <c r="F79" s="25">
        <f t="shared" si="10"/>
        <v>0</v>
      </c>
      <c r="G79" s="25">
        <f>F79*G76</f>
        <v>0</v>
      </c>
      <c r="H79" s="25">
        <f>F79*H76</f>
        <v>0</v>
      </c>
      <c r="I79" s="25">
        <f>F79*I76</f>
        <v>0</v>
      </c>
      <c r="J79" s="25">
        <f>F79*J76</f>
        <v>0</v>
      </c>
      <c r="K79" s="25">
        <f>F79*K76</f>
        <v>0</v>
      </c>
      <c r="L79" s="25">
        <f>F79*L76</f>
        <v>0</v>
      </c>
      <c r="M79" s="25">
        <f>ROUND(IF(O56=0,0,IF((SUM(B79,G79,H79,I79,J79)+(E67/L55*O56))&gt;0,(E67/L55*O56),(E67/L55*O56)-((E67/L55*O56)+SUM(B79,G79,H79,I79,J79)))),2)</f>
        <v>0</v>
      </c>
      <c r="N79" s="25">
        <f t="shared" si="11"/>
        <v>0</v>
      </c>
      <c r="O79" s="21">
        <f>IF(O56="",0,O76)</f>
        <v>0</v>
      </c>
    </row>
    <row r="80" spans="1:15" x14ac:dyDescent="0.2">
      <c r="A80" s="76" t="str">
        <f>'päd.Personal - Leitung'!$A$32</f>
        <v>Apr 2025</v>
      </c>
      <c r="B80" s="22">
        <f>ROUND(IF(O57="",0,IF(O80&gt;0,0,G63*O57*4.348)),2)</f>
        <v>0</v>
      </c>
      <c r="C80" s="22">
        <f>ROUND(IF(O57="",0,IF(O80&gt;0,0,G64*O57*4.348)),2)</f>
        <v>0</v>
      </c>
      <c r="D80" s="22">
        <f>ROUND(IF(O57="",0,IF(O80&gt;0,0,G65*O57*4.348)),2)</f>
        <v>0</v>
      </c>
      <c r="E80" s="22">
        <f>ROUND(IF(O57="",0,IF(O80&gt;0,0,G66*O57*4.348)),2)</f>
        <v>0</v>
      </c>
      <c r="F80" s="25">
        <f t="shared" si="10"/>
        <v>0</v>
      </c>
      <c r="G80" s="25">
        <f>F80*G76</f>
        <v>0</v>
      </c>
      <c r="H80" s="25">
        <f>F80*H76</f>
        <v>0</v>
      </c>
      <c r="I80" s="25">
        <f>F80*I76</f>
        <v>0</v>
      </c>
      <c r="J80" s="25">
        <f>F80*J76</f>
        <v>0</v>
      </c>
      <c r="K80" s="25">
        <f>F80*K76</f>
        <v>0</v>
      </c>
      <c r="L80" s="25">
        <f>F80*L76</f>
        <v>0</v>
      </c>
      <c r="M80" s="25">
        <f>ROUND(IF(O57=0,0,IF((SUM(B80,G80,H80,I80,J80)+(E67/L55*O57))&gt;0,(E67/L55*O57),(E67/L55*O57)-((E67/L55*O57)+SUM(B80,G80,H80,I80,J80)))),2)</f>
        <v>0</v>
      </c>
      <c r="N80" s="25">
        <f t="shared" si="11"/>
        <v>0</v>
      </c>
      <c r="O80" s="21">
        <f>IF(O57="",0,O76)</f>
        <v>0</v>
      </c>
    </row>
    <row r="81" spans="1:15" x14ac:dyDescent="0.2">
      <c r="A81" s="76" t="str">
        <f>'päd.Personal - Leitung'!$A$33</f>
        <v>Mai 2025</v>
      </c>
      <c r="B81" s="22">
        <f>ROUND(IF(O58="",0,IF(O81&gt;0,0,G63*O58*4.348)),2)</f>
        <v>0</v>
      </c>
      <c r="C81" s="22">
        <f>ROUND(IF(O58="",0,IF(O81&gt;0,0,G64*O58*4.348)),2)</f>
        <v>0</v>
      </c>
      <c r="D81" s="22">
        <f>ROUND(IF(O58="",0,IF(O81&gt;0,0,G65*O58*4.348)),2)</f>
        <v>0</v>
      </c>
      <c r="E81" s="22">
        <f>ROUND(IF(O58="",0,IF(O81&gt;0,0,G66*O58*4.348)),2)</f>
        <v>0</v>
      </c>
      <c r="F81" s="25">
        <f t="shared" si="10"/>
        <v>0</v>
      </c>
      <c r="G81" s="25">
        <f>F81*G76</f>
        <v>0</v>
      </c>
      <c r="H81" s="25">
        <f>F81*H76</f>
        <v>0</v>
      </c>
      <c r="I81" s="25">
        <f>F81*I76</f>
        <v>0</v>
      </c>
      <c r="J81" s="25">
        <f>F81*J76</f>
        <v>0</v>
      </c>
      <c r="K81" s="25">
        <f>F81*K76</f>
        <v>0</v>
      </c>
      <c r="L81" s="25">
        <f>F81*L76</f>
        <v>0</v>
      </c>
      <c r="M81" s="25">
        <f>ROUND(IF(O58=0,0,IF((SUM(B81,G81,H81,I81,J81)+(E67/L55*O58))&gt;0,(E67/L55*O58),(E67/L55*O58)-((E67/L55*O58)+SUM(B81,G81,H81,I81,J81)))),2)</f>
        <v>0</v>
      </c>
      <c r="N81" s="25">
        <f t="shared" si="11"/>
        <v>0</v>
      </c>
      <c r="O81" s="21">
        <f>IF(O58="",0,O76)</f>
        <v>0</v>
      </c>
    </row>
    <row r="82" spans="1:15" x14ac:dyDescent="0.2">
      <c r="A82" s="76" t="str">
        <f>'päd.Personal - Leitung'!$A$34</f>
        <v>Jun 2025</v>
      </c>
      <c r="B82" s="22">
        <f>ROUND(IF(O59="",0,IF(O82&gt;0,0,G63*O59*4.348)),2)</f>
        <v>0</v>
      </c>
      <c r="C82" s="22">
        <f>ROUND(IF(O59="",0,IF(O82&gt;0,0,G64*O59*4.348)),2)</f>
        <v>0</v>
      </c>
      <c r="D82" s="22">
        <f>ROUND(IF(O59="",0,IF(O82&gt;0,0,G65*O59*4.348)),2)</f>
        <v>0</v>
      </c>
      <c r="E82" s="22">
        <f>ROUND(IF(O59="",0,IF(O82&gt;0,0,G66*O59*4.348)),2)</f>
        <v>0</v>
      </c>
      <c r="F82" s="25">
        <f t="shared" ref="F82:F88" si="12">SUM(B82:E82)</f>
        <v>0</v>
      </c>
      <c r="G82" s="25">
        <f>F82*G76</f>
        <v>0</v>
      </c>
      <c r="H82" s="25">
        <f>F82*H76</f>
        <v>0</v>
      </c>
      <c r="I82" s="25">
        <f>F82*I76</f>
        <v>0</v>
      </c>
      <c r="J82" s="25">
        <f>F82*J76</f>
        <v>0</v>
      </c>
      <c r="K82" s="25">
        <f>F82*K76</f>
        <v>0</v>
      </c>
      <c r="L82" s="25">
        <f>F82*L76</f>
        <v>0</v>
      </c>
      <c r="M82" s="25">
        <f>ROUND(IF(O59=0,0,IF((SUM(B82,G82,H82,I82,J82)+(E67/L55*O59))&gt;0,(E67/L55*O59),(E67/L55*O59)-((E67/L55*O59)+SUM(B82,G82,H82,I82,J82)))),2)</f>
        <v>0</v>
      </c>
      <c r="N82" s="25">
        <f t="shared" ref="N82:N88" si="13">SUM(F82:M82)</f>
        <v>0</v>
      </c>
      <c r="O82" s="21">
        <f>IF(O59="",0,O76)</f>
        <v>0</v>
      </c>
    </row>
    <row r="83" spans="1:15" x14ac:dyDescent="0.2">
      <c r="A83" s="76" t="str">
        <f>'päd.Personal - Leitung'!$A$35</f>
        <v>Jul 2025</v>
      </c>
      <c r="B83" s="22">
        <f>ROUND(IF(O60="",0,IF(O83&gt;0,0,G63*O60*4.348)),2)</f>
        <v>0</v>
      </c>
      <c r="C83" s="22">
        <f>ROUND(IF(O60="",0,IF(O83&gt;0,0,G64*O60*4.348)),2)</f>
        <v>0</v>
      </c>
      <c r="D83" s="22">
        <f>ROUND(IF(O60="",0,IF(O83&gt;0,0,G65*O60*4.348)),2)</f>
        <v>0</v>
      </c>
      <c r="E83" s="22">
        <f>ROUND(IF(O60="",0,IF(O83&gt;0,0,G66*O60*4.348)),2)</f>
        <v>0</v>
      </c>
      <c r="F83" s="25">
        <f t="shared" si="12"/>
        <v>0</v>
      </c>
      <c r="G83" s="25">
        <f>F83*G76</f>
        <v>0</v>
      </c>
      <c r="H83" s="25">
        <f>F83*H76</f>
        <v>0</v>
      </c>
      <c r="I83" s="25">
        <f>F83*I76</f>
        <v>0</v>
      </c>
      <c r="J83" s="25">
        <f>F83*J76</f>
        <v>0</v>
      </c>
      <c r="K83" s="25">
        <f>F83*K76</f>
        <v>0</v>
      </c>
      <c r="L83" s="25">
        <f>F83*L76</f>
        <v>0</v>
      </c>
      <c r="M83" s="25">
        <f>ROUND(IF(O60=0,0,IF((SUM(B83,G83,H83,I83,J83)+(E67/L55*O60))&gt;0,(E67/L55*O60),(E67/L55*O60)-((E67/L55*O60)+SUM(B83,G83,H83,I83,J83)))),2)</f>
        <v>0</v>
      </c>
      <c r="N83" s="25">
        <f t="shared" si="13"/>
        <v>0</v>
      </c>
      <c r="O83" s="21">
        <f>IF(O60="",0,O76)</f>
        <v>0</v>
      </c>
    </row>
    <row r="84" spans="1:15" x14ac:dyDescent="0.2">
      <c r="A84" s="76" t="str">
        <f>'päd.Personal - Leitung'!$A$36</f>
        <v>Aug 2025</v>
      </c>
      <c r="B84" s="22">
        <f>ROUND(IF(O61="",0,IF(O84&gt;0,0,G63*O61*4.348)),2)</f>
        <v>0</v>
      </c>
      <c r="C84" s="22">
        <f>ROUND(IF(O61="",0,IF(O84&gt;0,0,G64*O61*4.348)),2)</f>
        <v>0</v>
      </c>
      <c r="D84" s="22">
        <f>ROUND(IF(O61="",0,IF(O84&gt;0,0,G65*O61*4.348)),2)</f>
        <v>0</v>
      </c>
      <c r="E84" s="22">
        <f>ROUND(IF(O61="",0,IF(O84&gt;0,0,G66*O61*4.348)),2)</f>
        <v>0</v>
      </c>
      <c r="F84" s="25">
        <f t="shared" si="12"/>
        <v>0</v>
      </c>
      <c r="G84" s="25">
        <f>F84*G76</f>
        <v>0</v>
      </c>
      <c r="H84" s="25">
        <f>F84*H76</f>
        <v>0</v>
      </c>
      <c r="I84" s="25">
        <f>F84*I76</f>
        <v>0</v>
      </c>
      <c r="J84" s="25">
        <f>F84*J76</f>
        <v>0</v>
      </c>
      <c r="K84" s="25">
        <f>F84*K76</f>
        <v>0</v>
      </c>
      <c r="L84" s="25">
        <f>F84*L76</f>
        <v>0</v>
      </c>
      <c r="M84" s="25">
        <f>ROUND(IF(O61=0,0,IF((SUM(B84,G84,H84,I84,J84)+(E67/L55*O61))&gt;0,(E67/L55*O61),(E67/L55*O61)-((E67/L55*O61)+SUM(B84,G84,H84,I84,J84)))),2)</f>
        <v>0</v>
      </c>
      <c r="N84" s="25">
        <f t="shared" si="13"/>
        <v>0</v>
      </c>
      <c r="O84" s="21">
        <f>IF(O61="",0,O76)</f>
        <v>0</v>
      </c>
    </row>
    <row r="85" spans="1:15" x14ac:dyDescent="0.2">
      <c r="A85" s="76" t="str">
        <f>'päd.Personal - Leitung'!$A$37</f>
        <v>Sep 2025</v>
      </c>
      <c r="B85" s="22">
        <f>ROUND(IF(O62="",0,IF(O85&gt;0,0,G63*O62*4.348)),2)</f>
        <v>0</v>
      </c>
      <c r="C85" s="22">
        <f>ROUND(IF(O62="",0,IF(O85&gt;0,0,G64*O62*4.348)),2)</f>
        <v>0</v>
      </c>
      <c r="D85" s="22">
        <f>ROUND(IF(O62="",0,IF(O85&gt;0,0,G65*O62*4.348)),2)</f>
        <v>0</v>
      </c>
      <c r="E85" s="22">
        <f>ROUND(IF(O62="",0,IF(O85&gt;0,0,G66*O62*4.348)),2)</f>
        <v>0</v>
      </c>
      <c r="F85" s="25">
        <f t="shared" si="12"/>
        <v>0</v>
      </c>
      <c r="G85" s="25">
        <f>F85*G76</f>
        <v>0</v>
      </c>
      <c r="H85" s="25">
        <f>F85*H76</f>
        <v>0</v>
      </c>
      <c r="I85" s="25">
        <f>F85*I76</f>
        <v>0</v>
      </c>
      <c r="J85" s="25">
        <f>F85*J76</f>
        <v>0</v>
      </c>
      <c r="K85" s="25">
        <f>F85*K76</f>
        <v>0</v>
      </c>
      <c r="L85" s="25">
        <f>F85*L76</f>
        <v>0</v>
      </c>
      <c r="M85" s="25">
        <f>ROUND(IF(O62=0,0,IF((SUM(B85,G85,H85,I85,J85)+(E67/L55*O62))&gt;0,(E67/L55*O62),(E67/L55*O62)-((E67/L55*O62)+SUM(B85,G85,H85,I85,J85)))),2)</f>
        <v>0</v>
      </c>
      <c r="N85" s="25">
        <f t="shared" si="13"/>
        <v>0</v>
      </c>
      <c r="O85" s="21">
        <f>IF(O62="",0,O76)</f>
        <v>0</v>
      </c>
    </row>
    <row r="86" spans="1:15" x14ac:dyDescent="0.2">
      <c r="A86" s="76" t="str">
        <f>'päd.Personal - Leitung'!$A$38</f>
        <v>Okt 2025</v>
      </c>
      <c r="B86" s="22">
        <f>ROUND(IF(O63="",0,IF(O86&gt;0,0,G63*O63*4.348)),2)</f>
        <v>0</v>
      </c>
      <c r="C86" s="22">
        <f>ROUND(IF(O63="",0,IF(O86&gt;0,0,G64*O63*4.348)),2)</f>
        <v>0</v>
      </c>
      <c r="D86" s="22">
        <f>ROUND(IF(O63="",0,IF(O86&gt;0,0,G65*O63*4.348)),2)</f>
        <v>0</v>
      </c>
      <c r="E86" s="22">
        <f>ROUND(IF(O63="",0,IF(O86&gt;0,0,G66*O63*4.348)),2)</f>
        <v>0</v>
      </c>
      <c r="F86" s="25">
        <f t="shared" si="12"/>
        <v>0</v>
      </c>
      <c r="G86" s="25">
        <f>F86*G76</f>
        <v>0</v>
      </c>
      <c r="H86" s="25">
        <f>F86*H76</f>
        <v>0</v>
      </c>
      <c r="I86" s="25">
        <f>F86*I76</f>
        <v>0</v>
      </c>
      <c r="J86" s="25">
        <f>F86*J76</f>
        <v>0</v>
      </c>
      <c r="K86" s="25">
        <f>F86*K76</f>
        <v>0</v>
      </c>
      <c r="L86" s="25">
        <f>F86*L76</f>
        <v>0</v>
      </c>
      <c r="M86" s="25">
        <f>ROUND(IF(O63=0,0,IF((SUM(B86,G86,H86,I86,J86)+(E67/L55*O63))&gt;0,(E67/L55*O63),(E67/L55*O63)-((E67/L55*O63)+SUM(B86,G86,H86,I86,J86)))),2)</f>
        <v>0</v>
      </c>
      <c r="N86" s="25">
        <f t="shared" si="13"/>
        <v>0</v>
      </c>
      <c r="O86" s="21">
        <f>IF(O63="",0,O76)</f>
        <v>0</v>
      </c>
    </row>
    <row r="87" spans="1:15" x14ac:dyDescent="0.2">
      <c r="A87" s="76" t="str">
        <f>'päd.Personal - Leitung'!$A$39</f>
        <v>Nov 2025</v>
      </c>
      <c r="B87" s="22">
        <f>ROUND(IF(O64="",0,IF(O87&gt;0,0,G63*O64*4.348)),2)</f>
        <v>0</v>
      </c>
      <c r="C87" s="22">
        <f>ROUND(IF(O64="",0,IF(O87&gt;0,0,G64*O64*4.348)),2)</f>
        <v>0</v>
      </c>
      <c r="D87" s="22">
        <f>ROUND(IF(O64="",0,IF(O87&gt;0,0,G65*O64*4.348)),2)</f>
        <v>0</v>
      </c>
      <c r="E87" s="22">
        <f>ROUND(IF(O64="",0,IF(O87&gt;0,0,G66*O64*4.348)),2)</f>
        <v>0</v>
      </c>
      <c r="F87" s="25">
        <f t="shared" si="12"/>
        <v>0</v>
      </c>
      <c r="G87" s="25">
        <f>F87*G76</f>
        <v>0</v>
      </c>
      <c r="H87" s="25">
        <f>F87*H76</f>
        <v>0</v>
      </c>
      <c r="I87" s="25">
        <f>F87*I76</f>
        <v>0</v>
      </c>
      <c r="J87" s="25">
        <f>F87*J76</f>
        <v>0</v>
      </c>
      <c r="K87" s="25">
        <f>F87*K76</f>
        <v>0</v>
      </c>
      <c r="L87" s="25">
        <f>F87*L76</f>
        <v>0</v>
      </c>
      <c r="M87" s="25">
        <f>ROUND(IF(O64=0,0,IF((SUM(B87,G87,H87,I87,J87)+(E67/L55*O64))&gt;0,(E67/L55*O64),(E67/L55*O64)-((E67/L55*O64)+SUM(B87,G87,H87,I87,J87)))),2)</f>
        <v>0</v>
      </c>
      <c r="N87" s="25">
        <f t="shared" si="13"/>
        <v>0</v>
      </c>
      <c r="O87" s="21">
        <f>IF(O64="",0,O76)</f>
        <v>0</v>
      </c>
    </row>
    <row r="88" spans="1:15" x14ac:dyDescent="0.2">
      <c r="A88" s="76" t="str">
        <f>'päd.Personal - Leitung'!$A$40</f>
        <v>Dez 2025</v>
      </c>
      <c r="B88" s="22">
        <f>ROUND(IF(O65="",0,IF(O88&gt;0,0,G63*O65*4.348)),2)</f>
        <v>0</v>
      </c>
      <c r="C88" s="22">
        <f>ROUND(IF(O65="",0,IF(O88&gt;0,0,G64*O65*4.348)),2)</f>
        <v>0</v>
      </c>
      <c r="D88" s="22">
        <f>ROUND(IF(O65="",0,IF(O88&gt;0,0,G65*O65*4.348)),2)</f>
        <v>0</v>
      </c>
      <c r="E88" s="22">
        <f>ROUND(IF(O65="",0,IF(O88&gt;0,0,G66*O65*4.348)),2)</f>
        <v>0</v>
      </c>
      <c r="F88" s="25">
        <f t="shared" si="12"/>
        <v>0</v>
      </c>
      <c r="G88" s="25">
        <f>F88*G76</f>
        <v>0</v>
      </c>
      <c r="H88" s="25">
        <f>F88*H76</f>
        <v>0</v>
      </c>
      <c r="I88" s="25">
        <f>F88*I76</f>
        <v>0</v>
      </c>
      <c r="J88" s="25">
        <f>F88*J76</f>
        <v>0</v>
      </c>
      <c r="K88" s="25">
        <f>F88*K76</f>
        <v>0</v>
      </c>
      <c r="L88" s="25">
        <f>F88*L76</f>
        <v>0</v>
      </c>
      <c r="M88" s="25">
        <f>ROUND(IF(O65=0,0,IF((SUM(B88,G88,H88,I88,J88)+(E67/L55*O65))&gt;0,(E67/L55*O65),(E67/L55*O65)-((E67/L55*O65)+SUM(B88,G88,H88,I88,J88)))),2)</f>
        <v>0</v>
      </c>
      <c r="N88" s="25">
        <f t="shared" si="13"/>
        <v>0</v>
      </c>
      <c r="O88" s="21">
        <f>IF(O65="",0,O76)</f>
        <v>0</v>
      </c>
    </row>
    <row r="89" spans="1:15" x14ac:dyDescent="0.2">
      <c r="A89" s="2" t="s">
        <v>1</v>
      </c>
      <c r="B89" s="25">
        <f>SUM(B77:B88)</f>
        <v>0</v>
      </c>
      <c r="C89" s="25">
        <f>SUM(C77:C88)</f>
        <v>0</v>
      </c>
      <c r="D89" s="25">
        <f>SUM(D77:D88)</f>
        <v>0</v>
      </c>
      <c r="E89" s="25">
        <f>SUM(E77:E88)</f>
        <v>0</v>
      </c>
      <c r="F89" s="25">
        <f>SUM(F77:F88)</f>
        <v>0</v>
      </c>
      <c r="G89" s="1309">
        <f>SUM(G77:L88)</f>
        <v>0</v>
      </c>
      <c r="H89" s="1310"/>
      <c r="I89" s="1310"/>
      <c r="J89" s="1310"/>
      <c r="K89" s="1310"/>
      <c r="L89" s="1311"/>
      <c r="M89" s="25">
        <f>SUM(M77:M88)</f>
        <v>0</v>
      </c>
      <c r="N89" s="25">
        <f>SUM(N77:N88)</f>
        <v>0</v>
      </c>
      <c r="O89" s="25">
        <f>SUM(O77:O88)</f>
        <v>0</v>
      </c>
    </row>
    <row r="90" spans="1:15" ht="12" customHeight="1" x14ac:dyDescent="0.2"/>
    <row r="91" spans="1:15" ht="14.25" customHeight="1" x14ac:dyDescent="0.2">
      <c r="B91" s="906"/>
      <c r="G91" s="905"/>
      <c r="H91" s="62"/>
      <c r="I91" s="914" t="s">
        <v>123</v>
      </c>
      <c r="K91" s="900" t="s">
        <v>124</v>
      </c>
      <c r="L91" s="974" t="str">
        <f>IF(IF(L60="","",$L$43)=0,"",IF(L60="","",$L$43))</f>
        <v/>
      </c>
      <c r="M91" s="902" t="s">
        <v>125</v>
      </c>
      <c r="N91" s="963" t="str">
        <f>IF(IF(L60="","",$N$43)=0,"",IF(L60="","",$N$43))</f>
        <v/>
      </c>
      <c r="O91" s="25">
        <f>ROUND(IF(L91="",0,F89*L91*N91/1000),2)</f>
        <v>0</v>
      </c>
    </row>
    <row r="92" spans="1:15" ht="14.25" customHeight="1" x14ac:dyDescent="0.2">
      <c r="G92" s="907"/>
      <c r="H92" s="42"/>
      <c r="L92" s="915" t="s">
        <v>129</v>
      </c>
      <c r="M92" s="80" t="s">
        <v>125</v>
      </c>
      <c r="N92" s="75" t="str">
        <f>IF(IF(L60="","",$N$44)=0,"",IF(L60="","",$N$44))</f>
        <v/>
      </c>
      <c r="O92" s="25">
        <f>ROUND(IF(N92="",0,F89*N92/1000),2)</f>
        <v>0</v>
      </c>
    </row>
    <row r="93" spans="1:15" ht="14.25" customHeight="1" x14ac:dyDescent="0.2">
      <c r="G93" s="996" t="s">
        <v>126</v>
      </c>
      <c r="H93" s="1013" t="s">
        <v>127</v>
      </c>
      <c r="I93" s="975" t="str">
        <f>IF(IF(L60="","",$I$45)=0,"",IF(L60="","",$I$45))</f>
        <v/>
      </c>
      <c r="J93" s="902" t="s">
        <v>128</v>
      </c>
      <c r="K93" s="964" t="str">
        <f>IF(IF(L60="","",$K$45)=0,"",IF(L60="","",$K$45))</f>
        <v/>
      </c>
      <c r="L93" s="16"/>
      <c r="M93" s="900" t="s">
        <v>132</v>
      </c>
      <c r="N93" s="965" t="str">
        <f>IF(IF(L60="","",$N$45)=0,"",IF(L60="","",$N$45))</f>
        <v/>
      </c>
      <c r="O93" s="25">
        <f>ROUND(IF(I93="",0,(I93*K93/N93)/L55*L56),2)</f>
        <v>0</v>
      </c>
    </row>
    <row r="94" spans="1:15" ht="14.25" customHeight="1" x14ac:dyDescent="0.2">
      <c r="D94" s="16"/>
      <c r="H94" s="16"/>
      <c r="I94" s="961" t="s">
        <v>176</v>
      </c>
      <c r="J94" s="1312" t="str">
        <f>IF($J$46="","",$J$46)</f>
        <v/>
      </c>
      <c r="K94" s="1312"/>
      <c r="L94" s="1312"/>
      <c r="M94" s="80" t="s">
        <v>131</v>
      </c>
      <c r="N94" s="904">
        <f>IF(IF(L60="",0,$O$47)=0,0,IF(L60="",0,$O$47))</f>
        <v>0</v>
      </c>
      <c r="O94" s="21">
        <f>ROUND(IF(L60="",0,N94/L55*L56),2)</f>
        <v>0</v>
      </c>
    </row>
    <row r="95" spans="1:15" ht="14.25" customHeight="1" x14ac:dyDescent="0.2">
      <c r="A95" s="16"/>
      <c r="B95" s="16"/>
      <c r="H95" s="905"/>
      <c r="N95" s="26" t="s">
        <v>0</v>
      </c>
      <c r="O95" s="82">
        <f>IF(N89&gt;0,N89+O89+SUM(O91:O94),N89+O89+SUM(O91:O94))</f>
        <v>0</v>
      </c>
    </row>
    <row r="96" spans="1:15" ht="14.25" customHeight="1" x14ac:dyDescent="0.2">
      <c r="A96" s="908"/>
      <c r="B96" s="908"/>
      <c r="C96" s="960"/>
      <c r="D96" s="960"/>
      <c r="I96" s="913"/>
      <c r="J96" s="913"/>
      <c r="K96" s="916"/>
      <c r="L96" s="27"/>
      <c r="M96" s="27"/>
      <c r="N96" s="27"/>
    </row>
    <row r="97" spans="1:16" s="10" customFormat="1" ht="13.5" customHeight="1" x14ac:dyDescent="0.2">
      <c r="A97" s="1321" t="s">
        <v>17</v>
      </c>
      <c r="B97" s="1321"/>
      <c r="C97" s="1321"/>
      <c r="D97" s="1320" t="str">
        <f>IF('päd.Personal - Leitung'!$D$1="","",'päd.Personal - Leitung'!$D$1)</f>
        <v/>
      </c>
      <c r="E97" s="1320"/>
      <c r="F97" s="1320"/>
      <c r="G97" s="1320"/>
      <c r="H97" s="1320"/>
      <c r="I97" s="1320"/>
      <c r="J97" s="1320"/>
      <c r="K97" s="1320"/>
      <c r="L97" s="1320"/>
      <c r="M97" s="1320"/>
      <c r="N97" s="1320"/>
    </row>
    <row r="98" spans="1:16" s="10" customFormat="1" ht="15" customHeight="1" x14ac:dyDescent="0.2">
      <c r="A98" s="1321" t="s">
        <v>16</v>
      </c>
      <c r="B98" s="1321"/>
      <c r="C98" s="1321" t="s">
        <v>14</v>
      </c>
      <c r="D98" s="1320" t="str">
        <f>IF('päd.Personal - Leitung'!$D$2="","",'päd.Personal - Leitung'!$D$2)</f>
        <v/>
      </c>
      <c r="E98" s="1320"/>
      <c r="F98" s="1320"/>
      <c r="G98" s="1320"/>
      <c r="H98" s="1320"/>
      <c r="I98" s="1320"/>
      <c r="J98" s="1320"/>
      <c r="K98" s="1320"/>
      <c r="L98" s="1320"/>
      <c r="M98" s="1320"/>
      <c r="N98" s="1320"/>
    </row>
    <row r="99" spans="1:16" s="10" customFormat="1" ht="15" customHeight="1" x14ac:dyDescent="0.2">
      <c r="A99" s="1321" t="s">
        <v>15</v>
      </c>
      <c r="B99" s="1321"/>
      <c r="C99" s="1321" t="s">
        <v>14</v>
      </c>
      <c r="D99" s="1320" t="str">
        <f>IF('päd.Personal - Leitung'!$D$3="","",'päd.Personal - Leitung'!$D$3)</f>
        <v/>
      </c>
      <c r="E99" s="1320"/>
      <c r="F99" s="1320"/>
      <c r="G99" s="1320"/>
      <c r="H99" s="1320"/>
      <c r="I99" s="1320"/>
      <c r="J99" s="1320"/>
      <c r="K99" s="1321" t="s">
        <v>100</v>
      </c>
      <c r="L99" s="1321"/>
      <c r="M99" s="1321"/>
      <c r="N99" s="38" t="str">
        <f>IF('päd.Personal - Leitung'!$N$3="","",'päd.Personal - Leitung'!$N$3)</f>
        <v/>
      </c>
    </row>
    <row r="100" spans="1:16" s="923" customFormat="1" ht="7.5" customHeight="1" x14ac:dyDescent="0.15">
      <c r="A100" s="1353"/>
      <c r="B100" s="1353"/>
      <c r="C100" s="1353"/>
      <c r="D100" s="1354"/>
      <c r="E100" s="1354"/>
      <c r="F100" s="1354"/>
      <c r="G100" s="1354"/>
      <c r="H100" s="1354"/>
      <c r="I100" s="1354"/>
      <c r="J100" s="1354"/>
      <c r="K100" s="922"/>
      <c r="L100" s="922"/>
      <c r="M100" s="922"/>
      <c r="N100" s="922"/>
      <c r="O100" s="922"/>
      <c r="P100" s="922"/>
    </row>
    <row r="101" spans="1:16" s="13" customFormat="1" ht="13.5" customHeight="1" x14ac:dyDescent="0.2">
      <c r="A101" s="1355" t="s">
        <v>183</v>
      </c>
      <c r="B101" s="1355"/>
      <c r="C101" s="1355"/>
      <c r="D101" s="1355"/>
      <c r="E101" s="1355"/>
      <c r="F101" s="1355"/>
      <c r="G101" s="1355"/>
      <c r="H101" s="1355"/>
      <c r="I101" s="1355"/>
      <c r="J101" s="1355"/>
      <c r="K101" s="1355"/>
      <c r="L101" s="1355"/>
      <c r="M101" s="1355"/>
      <c r="N101" s="138">
        <f>'päd.Personal - Leitung'!$O$5</f>
        <v>2025</v>
      </c>
      <c r="O101" s="52" t="s">
        <v>140</v>
      </c>
    </row>
    <row r="102" spans="1:16" s="8" customFormat="1" ht="13.5" customHeight="1" x14ac:dyDescent="0.25">
      <c r="B102" s="29"/>
      <c r="C102" s="29"/>
      <c r="D102" s="3" t="s">
        <v>74</v>
      </c>
      <c r="E102" s="28"/>
      <c r="F102" s="28"/>
      <c r="G102" s="28"/>
      <c r="H102" s="28"/>
      <c r="I102" s="24"/>
      <c r="J102" s="1370"/>
      <c r="K102" s="1370"/>
      <c r="L102" s="81"/>
      <c r="N102" s="928" t="str">
        <f>A125</f>
        <v>Jan 2025</v>
      </c>
      <c r="O102" s="68">
        <f>IF(L104="","",L104)</f>
        <v>0</v>
      </c>
    </row>
    <row r="103" spans="1:16" s="5" customFormat="1" ht="13.5" customHeight="1" x14ac:dyDescent="0.25">
      <c r="A103" s="1328" t="s">
        <v>754</v>
      </c>
      <c r="B103" s="1328"/>
      <c r="C103" s="1328"/>
      <c r="D103" s="1329"/>
      <c r="E103" s="1329"/>
      <c r="F103" s="1329"/>
      <c r="G103" s="1329"/>
      <c r="H103" s="1329"/>
      <c r="I103" s="1329"/>
      <c r="J103" s="1327" t="s">
        <v>101</v>
      </c>
      <c r="K103" s="1327"/>
      <c r="L103" s="101"/>
      <c r="N103" s="928" t="str">
        <f t="shared" ref="N103:N113" si="14">A126</f>
        <v>Feb 2025</v>
      </c>
      <c r="O103" s="69">
        <f t="shared" ref="O103:O110" si="15">IF(O102="","",O102)</f>
        <v>0</v>
      </c>
    </row>
    <row r="104" spans="1:16" ht="13.5" customHeight="1" x14ac:dyDescent="0.2">
      <c r="A104" s="1328" t="s">
        <v>78</v>
      </c>
      <c r="B104" s="1328"/>
      <c r="C104" s="1328"/>
      <c r="D104" s="1345"/>
      <c r="E104" s="1345"/>
      <c r="F104" s="1345"/>
      <c r="G104" s="1345"/>
      <c r="H104" s="1345"/>
      <c r="I104" s="1345"/>
      <c r="J104" s="1327" t="s">
        <v>149</v>
      </c>
      <c r="K104" s="1327"/>
      <c r="L104" s="101">
        <f>IF((L105+L106)&gt;L103,0,L103-L105-L106)</f>
        <v>0</v>
      </c>
      <c r="N104" s="928" t="str">
        <f t="shared" si="14"/>
        <v>Mrz 2025</v>
      </c>
      <c r="O104" s="69">
        <f t="shared" si="15"/>
        <v>0</v>
      </c>
    </row>
    <row r="105" spans="1:16" ht="13.5" customHeight="1" x14ac:dyDescent="0.2">
      <c r="A105" s="1328" t="s">
        <v>77</v>
      </c>
      <c r="B105" s="1328"/>
      <c r="C105" s="1328"/>
      <c r="D105" s="1345"/>
      <c r="E105" s="1345"/>
      <c r="F105" s="1345"/>
      <c r="G105" s="1345"/>
      <c r="H105" s="1345"/>
      <c r="I105" s="1345"/>
      <c r="J105" s="1327" t="s">
        <v>150</v>
      </c>
      <c r="K105" s="1327"/>
      <c r="L105" s="101"/>
      <c r="N105" s="928" t="str">
        <f t="shared" si="14"/>
        <v>Apr 2025</v>
      </c>
      <c r="O105" s="69">
        <f t="shared" si="15"/>
        <v>0</v>
      </c>
    </row>
    <row r="106" spans="1:16" ht="13.5" customHeight="1" x14ac:dyDescent="0.2">
      <c r="A106" s="1328" t="s">
        <v>18</v>
      </c>
      <c r="B106" s="1328"/>
      <c r="C106" s="1328"/>
      <c r="D106" s="1345"/>
      <c r="E106" s="1345"/>
      <c r="F106" s="1345"/>
      <c r="G106" s="1345"/>
      <c r="H106" s="1345"/>
      <c r="I106" s="1345"/>
      <c r="J106" s="1327" t="s">
        <v>222</v>
      </c>
      <c r="K106" s="1327"/>
      <c r="L106" s="101"/>
      <c r="M106" s="73"/>
      <c r="N106" s="928" t="str">
        <f t="shared" si="14"/>
        <v>Mai 2025</v>
      </c>
      <c r="O106" s="69">
        <f t="shared" si="15"/>
        <v>0</v>
      </c>
    </row>
    <row r="107" spans="1:16" ht="13.5" customHeight="1" x14ac:dyDescent="0.2">
      <c r="B107" s="6"/>
      <c r="C107" s="959" t="s">
        <v>147</v>
      </c>
      <c r="D107" s="1324"/>
      <c r="E107" s="1324"/>
      <c r="F107" s="1359" t="s">
        <v>104</v>
      </c>
      <c r="G107" s="1359"/>
      <c r="H107" s="1361"/>
      <c r="I107" s="1361"/>
      <c r="J107" s="1327" t="s">
        <v>94</v>
      </c>
      <c r="K107" s="1327"/>
      <c r="L107" s="15" t="str">
        <f>IF(IF((COUNTIF(N125:O136,"&gt;0"))=0,0,(COUNTIF(N125:O136,"&gt;0")))&gt;Grundlagen!$C$26,Grundlagen!$C$26,IF((COUNTIF(N125:O136,"&gt;0"))=0,"",(COUNTIF(N125:O136,"&gt;0"))))</f>
        <v/>
      </c>
      <c r="N107" s="928" t="str">
        <f t="shared" si="14"/>
        <v>Jun 2025</v>
      </c>
      <c r="O107" s="69">
        <f t="shared" si="15"/>
        <v>0</v>
      </c>
    </row>
    <row r="108" spans="1:16" ht="13.5" customHeight="1" x14ac:dyDescent="0.2">
      <c r="F108" s="1359" t="s">
        <v>105</v>
      </c>
      <c r="G108" s="1359"/>
      <c r="H108" s="1361"/>
      <c r="I108" s="1361"/>
      <c r="L108" s="102" t="str">
        <f>IF(O114&gt;L104,L104,IF(L104="","",IF(L107="","",O114)))</f>
        <v/>
      </c>
      <c r="N108" s="928" t="str">
        <f t="shared" si="14"/>
        <v>Jul 2025</v>
      </c>
      <c r="O108" s="69">
        <f t="shared" si="15"/>
        <v>0</v>
      </c>
    </row>
    <row r="109" spans="1:16" s="109" customFormat="1" ht="14.25" customHeight="1" x14ac:dyDescent="0.25">
      <c r="H109" s="86"/>
      <c r="I109" s="105"/>
      <c r="J109" s="105"/>
      <c r="K109" s="106"/>
      <c r="L109" s="107"/>
      <c r="M109" s="106"/>
      <c r="N109" s="928" t="str">
        <f t="shared" si="14"/>
        <v>Aug 2025</v>
      </c>
      <c r="O109" s="69">
        <f t="shared" si="15"/>
        <v>0</v>
      </c>
    </row>
    <row r="110" spans="1:16" s="109" customFormat="1" ht="14.25" customHeight="1" x14ac:dyDescent="0.25">
      <c r="A110" s="103" t="s">
        <v>170</v>
      </c>
      <c r="B110" s="56"/>
      <c r="C110" s="104"/>
      <c r="D110" s="56"/>
      <c r="E110" s="1394" t="s">
        <v>171</v>
      </c>
      <c r="F110" s="1394"/>
      <c r="G110" s="58" t="s">
        <v>138</v>
      </c>
      <c r="N110" s="928" t="str">
        <f t="shared" si="14"/>
        <v>Sep 2025</v>
      </c>
      <c r="O110" s="69">
        <f t="shared" si="15"/>
        <v>0</v>
      </c>
    </row>
    <row r="111" spans="1:16" s="109" customFormat="1" ht="14.25" customHeight="1" x14ac:dyDescent="0.25">
      <c r="A111" s="1383" t="s">
        <v>69</v>
      </c>
      <c r="B111" s="1384"/>
      <c r="C111" s="1384"/>
      <c r="D111" s="1385"/>
      <c r="E111" s="1386"/>
      <c r="F111" s="1387"/>
      <c r="G111" s="110">
        <f>IF(L104=0,0,E111/N99/4.348)</f>
        <v>0</v>
      </c>
      <c r="H111" s="58"/>
      <c r="J111" s="1359" t="s">
        <v>120</v>
      </c>
      <c r="K111" s="1359"/>
      <c r="L111" s="41"/>
      <c r="N111" s="928" t="str">
        <f t="shared" si="14"/>
        <v>Okt 2025</v>
      </c>
      <c r="O111" s="69">
        <f t="shared" ref="O111:O113" si="16">IF(O110="","",O110)</f>
        <v>0</v>
      </c>
    </row>
    <row r="112" spans="1:16" s="109" customFormat="1" ht="14.25" customHeight="1" x14ac:dyDescent="0.25">
      <c r="A112" s="1383" t="s">
        <v>172</v>
      </c>
      <c r="B112" s="1384"/>
      <c r="C112" s="1384"/>
      <c r="D112" s="1385"/>
      <c r="E112" s="1386"/>
      <c r="F112" s="1387"/>
      <c r="G112" s="110">
        <f>IF(L104=0,0,E112/N99/4.348)</f>
        <v>0</v>
      </c>
      <c r="H112" s="85"/>
      <c r="J112" s="1359" t="s">
        <v>121</v>
      </c>
      <c r="K112" s="1359"/>
      <c r="L112" s="41"/>
      <c r="N112" s="928" t="str">
        <f t="shared" si="14"/>
        <v>Nov 2025</v>
      </c>
      <c r="O112" s="69">
        <f t="shared" si="16"/>
        <v>0</v>
      </c>
    </row>
    <row r="113" spans="1:15" s="109" customFormat="1" ht="14.25" customHeight="1" x14ac:dyDescent="0.25">
      <c r="A113" s="1383" t="s">
        <v>71</v>
      </c>
      <c r="B113" s="1384"/>
      <c r="C113" s="1384"/>
      <c r="D113" s="1385"/>
      <c r="E113" s="1386"/>
      <c r="F113" s="1387"/>
      <c r="G113" s="110">
        <f>IF(L104=0,0,E113/N99/4.348)</f>
        <v>0</v>
      </c>
      <c r="H113" s="86"/>
      <c r="J113" s="1359" t="s">
        <v>122</v>
      </c>
      <c r="K113" s="1359"/>
      <c r="L113" s="41"/>
      <c r="M113" s="106"/>
      <c r="N113" s="928" t="str">
        <f t="shared" si="14"/>
        <v>Dez 2025</v>
      </c>
      <c r="O113" s="69">
        <f t="shared" si="16"/>
        <v>0</v>
      </c>
    </row>
    <row r="114" spans="1:15" s="109" customFormat="1" ht="14.25" customHeight="1" x14ac:dyDescent="0.25">
      <c r="A114" s="1383" t="s">
        <v>6</v>
      </c>
      <c r="B114" s="1384"/>
      <c r="C114" s="1384"/>
      <c r="D114" s="1385"/>
      <c r="E114" s="1386"/>
      <c r="F114" s="1387"/>
      <c r="G114" s="110">
        <f>IF(L104=0,0,E114/N99/4.348)</f>
        <v>0</v>
      </c>
      <c r="H114" s="86"/>
      <c r="I114" s="111"/>
      <c r="J114" s="105"/>
      <c r="K114" s="106"/>
      <c r="L114" s="107"/>
      <c r="M114" s="106"/>
      <c r="N114" s="126" t="s">
        <v>221</v>
      </c>
      <c r="O114" s="127">
        <f>IF(L104=0,0,((IF(SUMIF(N125,"&gt;0"),O102,0))+(IF(SUMIF(N126,"&gt;0"),O103,0))+(IF(SUMIF(N127,"&gt;0"),O104,0))+(IF(SUMIF(N128,"&gt;0"),O105,0))+(IF(SUMIF(N129,"&gt;0"),O106,0))+(IF(SUMIF(N130,"&gt;0"),O107,0))+(IF(SUMIF(N131,"&gt;0"),O108,0))+(IF(SUMIF(N132,"&gt;0"),O109,0))+(IF(SUMIF(N133,"&gt;0"),O110,0))+(IF(SUMIF(N134,"&gt;0"),O111,0))+(IF(SUMIF(N135,"&gt;0"),O112,0))+(IF(SUMIF(N136,"&gt;0"),O113,0))+(IF(SUMIF(O125,"&gt;0"),O102,0))+(IF(SUMIF(O126,"&gt;0"),O103,0))+(IF(SUMIF(O127,"&gt;0"),O104,0))+(IF(SUMIF(O128,"&gt;0"),O105,0))+(IF(SUMIF(O129,"&gt;0"),O106,0))+(IF(SUMIF(O130,"&gt;0"),O107,0))+(IF(SUMIF(O131,"&gt;0"),O108,0))+(IF(SUMIF(O132,"&gt;0"),O109,0))+(IF(SUMIF(O133,"&gt;0"),O110,0))+(IF(SUMIF(O134,"&gt;0"),O111,0))+(IF(SUMIF(O135,"&gt;0"),O112,0))+(IF(SUMIF(O136,"&gt;0"),O113,0)))/Grundlagen!$C$26)</f>
        <v>0</v>
      </c>
    </row>
    <row r="115" spans="1:15" s="109" customFormat="1" ht="14.25" customHeight="1" x14ac:dyDescent="0.25">
      <c r="A115" s="1383" t="s">
        <v>173</v>
      </c>
      <c r="B115" s="1384"/>
      <c r="C115" s="1384"/>
      <c r="D115" s="1385"/>
      <c r="E115" s="1386"/>
      <c r="F115" s="1387"/>
      <c r="G115" s="110">
        <f>IF(L104=0,0,E115/N99/4.348)</f>
        <v>0</v>
      </c>
      <c r="H115" s="86"/>
      <c r="L115" s="105"/>
      <c r="M115" s="105"/>
      <c r="N115" s="112"/>
      <c r="O115" s="105"/>
    </row>
    <row r="116" spans="1:15" ht="12" customHeight="1" x14ac:dyDescent="0.2"/>
    <row r="117" spans="1:15" ht="12" customHeight="1" x14ac:dyDescent="0.2"/>
    <row r="118" spans="1:15" ht="12" customHeight="1" x14ac:dyDescent="0.2"/>
    <row r="119" spans="1:15" ht="12" customHeight="1" x14ac:dyDescent="0.2"/>
    <row r="120" spans="1:15" ht="14.25" customHeight="1" x14ac:dyDescent="0.2">
      <c r="A120" s="1346"/>
      <c r="B120" s="1348" t="s">
        <v>76</v>
      </c>
      <c r="C120" s="1349"/>
      <c r="D120" s="1349"/>
      <c r="E120" s="1349"/>
      <c r="F120" s="1350"/>
      <c r="G120" s="1351" t="s">
        <v>113</v>
      </c>
      <c r="H120" s="1352"/>
      <c r="I120" s="1352"/>
      <c r="J120" s="1352"/>
      <c r="K120" s="1352"/>
      <c r="L120" s="1389"/>
      <c r="M120" s="1390" t="s">
        <v>110</v>
      </c>
      <c r="N120" s="1393" t="s">
        <v>0</v>
      </c>
      <c r="O120" s="1378" t="s">
        <v>175</v>
      </c>
    </row>
    <row r="121" spans="1:15" ht="14.25" customHeight="1" x14ac:dyDescent="0.2">
      <c r="A121" s="1347"/>
      <c r="B121" s="1339" t="s">
        <v>69</v>
      </c>
      <c r="C121" s="1339" t="s">
        <v>70</v>
      </c>
      <c r="D121" s="1338" t="s">
        <v>71</v>
      </c>
      <c r="E121" s="962" t="s">
        <v>6</v>
      </c>
      <c r="F121" s="1340" t="s">
        <v>5</v>
      </c>
      <c r="G121" s="1339" t="s">
        <v>119</v>
      </c>
      <c r="H121" s="1339" t="s">
        <v>4</v>
      </c>
      <c r="I121" s="1339" t="s">
        <v>3</v>
      </c>
      <c r="J121" s="1339" t="s">
        <v>2</v>
      </c>
      <c r="K121" s="1339" t="s">
        <v>115</v>
      </c>
      <c r="L121" s="1339" t="s">
        <v>116</v>
      </c>
      <c r="M121" s="1391"/>
      <c r="N121" s="1339"/>
      <c r="O121" s="1379"/>
    </row>
    <row r="122" spans="1:15" ht="14.25" customHeight="1" x14ac:dyDescent="0.2">
      <c r="A122" s="1347"/>
      <c r="B122" s="1339"/>
      <c r="C122" s="1339"/>
      <c r="D122" s="1338"/>
      <c r="E122" s="1382"/>
      <c r="F122" s="1340"/>
      <c r="G122" s="1342" t="s">
        <v>117</v>
      </c>
      <c r="H122" s="1342"/>
      <c r="I122" s="1342"/>
      <c r="J122" s="1342"/>
      <c r="K122" s="1342"/>
      <c r="L122" s="1342"/>
      <c r="M122" s="1391"/>
      <c r="N122" s="1339"/>
      <c r="O122" s="1382"/>
    </row>
    <row r="123" spans="1:15" x14ac:dyDescent="0.2">
      <c r="A123" s="1347"/>
      <c r="B123" s="1339"/>
      <c r="C123" s="1339"/>
      <c r="D123" s="1338"/>
      <c r="E123" s="1382"/>
      <c r="F123" s="1340"/>
      <c r="G123" s="39" t="s">
        <v>174</v>
      </c>
      <c r="H123" s="39" t="s">
        <v>722</v>
      </c>
      <c r="I123" s="39" t="s">
        <v>723</v>
      </c>
      <c r="J123" s="39" t="s">
        <v>724</v>
      </c>
      <c r="K123" s="39"/>
      <c r="L123" s="39" t="s">
        <v>719</v>
      </c>
      <c r="M123" s="1391"/>
      <c r="N123" s="1339"/>
      <c r="O123" s="1382"/>
    </row>
    <row r="124" spans="1:15" x14ac:dyDescent="0.2">
      <c r="A124" s="1388"/>
      <c r="B124" s="1380"/>
      <c r="C124" s="1380"/>
      <c r="D124" s="1381"/>
      <c r="E124" s="20"/>
      <c r="F124" s="1341"/>
      <c r="G124" s="19"/>
      <c r="H124" s="19"/>
      <c r="I124" s="19"/>
      <c r="J124" s="19"/>
      <c r="K124" s="19"/>
      <c r="L124" s="19"/>
      <c r="M124" s="1392"/>
      <c r="N124" s="1380"/>
      <c r="O124" s="45"/>
    </row>
    <row r="125" spans="1:15" x14ac:dyDescent="0.2">
      <c r="A125" s="76" t="str">
        <f>'päd.Personal - Leitung'!$A$29</f>
        <v>Jan 2025</v>
      </c>
      <c r="B125" s="22">
        <f>ROUND(IF(O102="",0,IF(O125&gt;0,0,G111*O102*4.348)),2)</f>
        <v>0</v>
      </c>
      <c r="C125" s="22">
        <f>ROUND(IF(O102="",0,IF(O125&gt;0,0,G112*O102*4.348)),2)</f>
        <v>0</v>
      </c>
      <c r="D125" s="22">
        <f>ROUND(IF(O102="",0,IF(O125&gt;0,0,G113*O102*4.348)),2)</f>
        <v>0</v>
      </c>
      <c r="E125" s="22">
        <f>ROUND(IF(O102="",0,IF(O125&gt;0,0,G114*O102*4.348)),2)</f>
        <v>0</v>
      </c>
      <c r="F125" s="25">
        <f>SUM(B125:E125)</f>
        <v>0</v>
      </c>
      <c r="G125" s="25">
        <f>F125*G124</f>
        <v>0</v>
      </c>
      <c r="H125" s="25">
        <f>F125*H124</f>
        <v>0</v>
      </c>
      <c r="I125" s="25">
        <f>F125*I124</f>
        <v>0</v>
      </c>
      <c r="J125" s="25">
        <f>F125*J124</f>
        <v>0</v>
      </c>
      <c r="K125" s="25">
        <f>F125*K124</f>
        <v>0</v>
      </c>
      <c r="L125" s="25">
        <f>F125*L124</f>
        <v>0</v>
      </c>
      <c r="M125" s="25">
        <f>ROUND(IF(O102=0,0,IF((SUM(B125,G125,H125,I125,J125)+(E115/L103*O102))&gt;0,(E115/L103*O102),(E115/L103*O102)-((E115/L103*O102)+SUM(B125,G125,H125,I125,J125)))),2)</f>
        <v>0</v>
      </c>
      <c r="N125" s="25">
        <f>SUM(F125:M125)</f>
        <v>0</v>
      </c>
      <c r="O125" s="21">
        <f>IF(O102="",0,O124)</f>
        <v>0</v>
      </c>
    </row>
    <row r="126" spans="1:15" x14ac:dyDescent="0.2">
      <c r="A126" s="76" t="str">
        <f>'päd.Personal - Leitung'!$A$30</f>
        <v>Feb 2025</v>
      </c>
      <c r="B126" s="22">
        <f>ROUND(IF(O103="",0,IF(O126&gt;0,0,G111*O103*4.348)),2)</f>
        <v>0</v>
      </c>
      <c r="C126" s="22">
        <f>ROUND(IF(O103="",0,IF(O126&gt;0,0,G112*O103*4.348)),2)</f>
        <v>0</v>
      </c>
      <c r="D126" s="22">
        <f>ROUND(IF(O103="",0,IF(O126&gt;0,0,G113*O103*4.348)),2)</f>
        <v>0</v>
      </c>
      <c r="E126" s="22">
        <f>ROUND(IF(O103="",0,IF(O126&gt;0,0,G114*O103*4.348)),2)</f>
        <v>0</v>
      </c>
      <c r="F126" s="25">
        <f t="shared" ref="F126:F129" si="17">SUM(B126:E126)</f>
        <v>0</v>
      </c>
      <c r="G126" s="25">
        <f>F126*G124</f>
        <v>0</v>
      </c>
      <c r="H126" s="25">
        <f>F126*H124</f>
        <v>0</v>
      </c>
      <c r="I126" s="25">
        <f>F126*I124</f>
        <v>0</v>
      </c>
      <c r="J126" s="25">
        <f>F126*J124</f>
        <v>0</v>
      </c>
      <c r="K126" s="25">
        <f>F126*K124</f>
        <v>0</v>
      </c>
      <c r="L126" s="25">
        <f>F126*L124</f>
        <v>0</v>
      </c>
      <c r="M126" s="25">
        <f>ROUND(IF(O103=0,0,IF((SUM(B126,G126,H126,I126,J126)+(E115/L103*O103))&gt;0,(E115/L103*O103),(E115/L103*O103)-((E115/L103*O103)+SUM(B126,G126,H126,I126,J126)))),2)</f>
        <v>0</v>
      </c>
      <c r="N126" s="25">
        <f t="shared" ref="N126:N129" si="18">SUM(F126:M126)</f>
        <v>0</v>
      </c>
      <c r="O126" s="21">
        <f>IF(O103="",0,O124)</f>
        <v>0</v>
      </c>
    </row>
    <row r="127" spans="1:15" x14ac:dyDescent="0.2">
      <c r="A127" s="76" t="str">
        <f>'päd.Personal - Leitung'!$A$31</f>
        <v>Mrz 2025</v>
      </c>
      <c r="B127" s="22">
        <f>ROUND(IF(O104="",0,IF(O127&gt;0,0,G111*O104*4.348)),2)</f>
        <v>0</v>
      </c>
      <c r="C127" s="22">
        <f>ROUND(IF(O104="",0,IF(O127&gt;0,0,G112*O104*4.348)),2)</f>
        <v>0</v>
      </c>
      <c r="D127" s="22">
        <f>ROUND(IF(O104="",0,IF(O127&gt;0,0,G113*O104*4.348)),2)</f>
        <v>0</v>
      </c>
      <c r="E127" s="22">
        <f>ROUND(IF(O104="",0,IF(O127&gt;0,0,G114*O104*4.348)),2)</f>
        <v>0</v>
      </c>
      <c r="F127" s="25">
        <f t="shared" si="17"/>
        <v>0</v>
      </c>
      <c r="G127" s="25">
        <f>F127*G124</f>
        <v>0</v>
      </c>
      <c r="H127" s="25">
        <f>F127*H124</f>
        <v>0</v>
      </c>
      <c r="I127" s="25">
        <f>F127*I124</f>
        <v>0</v>
      </c>
      <c r="J127" s="25">
        <f>F127*J124</f>
        <v>0</v>
      </c>
      <c r="K127" s="25">
        <f>F127*K124</f>
        <v>0</v>
      </c>
      <c r="L127" s="25">
        <f>F127*L124</f>
        <v>0</v>
      </c>
      <c r="M127" s="25">
        <f>ROUND(IF(O104=0,0,IF((SUM(B127,G127,H127,I127,J127)+(E115/L103*O104))&gt;0,(E115/L103*O104),(E115/L103*O104)-((E115/L103*O104)+SUM(B127,G127,H127,I127,J127)))),2)</f>
        <v>0</v>
      </c>
      <c r="N127" s="25">
        <f t="shared" si="18"/>
        <v>0</v>
      </c>
      <c r="O127" s="21">
        <f>IF(O104="",0,O124)</f>
        <v>0</v>
      </c>
    </row>
    <row r="128" spans="1:15" x14ac:dyDescent="0.2">
      <c r="A128" s="76" t="str">
        <f>'päd.Personal - Leitung'!$A$32</f>
        <v>Apr 2025</v>
      </c>
      <c r="B128" s="22">
        <f>ROUND(IF(O105="",0,IF(O128&gt;0,0,G111*O105*4.348)),2)</f>
        <v>0</v>
      </c>
      <c r="C128" s="22">
        <f>ROUND(IF(O105="",0,IF(O128&gt;0,0,G112*O105*4.348)),2)</f>
        <v>0</v>
      </c>
      <c r="D128" s="22">
        <f>ROUND(IF(O105="",0,IF(O128&gt;0,0,G113*O105*4.348)),2)</f>
        <v>0</v>
      </c>
      <c r="E128" s="22">
        <f>ROUND(IF(O105="",0,IF(O128&gt;0,0,G114*O105*4.348)),2)</f>
        <v>0</v>
      </c>
      <c r="F128" s="25">
        <f t="shared" si="17"/>
        <v>0</v>
      </c>
      <c r="G128" s="25">
        <f>F128*G124</f>
        <v>0</v>
      </c>
      <c r="H128" s="25">
        <f>F128*H124</f>
        <v>0</v>
      </c>
      <c r="I128" s="25">
        <f>F128*I124</f>
        <v>0</v>
      </c>
      <c r="J128" s="25">
        <f>F128*J124</f>
        <v>0</v>
      </c>
      <c r="K128" s="25">
        <f>F128*K124</f>
        <v>0</v>
      </c>
      <c r="L128" s="25">
        <f>F128*L124</f>
        <v>0</v>
      </c>
      <c r="M128" s="25">
        <f>ROUND(IF(O105=0,0,IF((SUM(B128,G128,H128,I128,J128)+(E115/L103*O105))&gt;0,(E115/L103*O105),(E115/L103*O105)-((E115/L103*O105)+SUM(B128,G128,H128,I128,J128)))),2)</f>
        <v>0</v>
      </c>
      <c r="N128" s="25">
        <f t="shared" si="18"/>
        <v>0</v>
      </c>
      <c r="O128" s="21">
        <f>IF(O105="",0,O124)</f>
        <v>0</v>
      </c>
    </row>
    <row r="129" spans="1:15" x14ac:dyDescent="0.2">
      <c r="A129" s="76" t="str">
        <f>'päd.Personal - Leitung'!$A$33</f>
        <v>Mai 2025</v>
      </c>
      <c r="B129" s="22">
        <f>ROUND(IF(O106="",0,IF(O129&gt;0,0,G111*O106*4.348)),2)</f>
        <v>0</v>
      </c>
      <c r="C129" s="22">
        <f>ROUND(IF(O106="",0,IF(O129&gt;0,0,G112*O106*4.348)),2)</f>
        <v>0</v>
      </c>
      <c r="D129" s="22">
        <f>ROUND(IF(O106="",0,IF(O129&gt;0,0,G113*O106*4.348)),2)</f>
        <v>0</v>
      </c>
      <c r="E129" s="22">
        <f>ROUND(IF(O106="",0,IF(O129&gt;0,0,G114*O106*4.348)),2)</f>
        <v>0</v>
      </c>
      <c r="F129" s="25">
        <f t="shared" si="17"/>
        <v>0</v>
      </c>
      <c r="G129" s="25">
        <f>F129*G124</f>
        <v>0</v>
      </c>
      <c r="H129" s="25">
        <f>F129*H124</f>
        <v>0</v>
      </c>
      <c r="I129" s="25">
        <f>F129*I124</f>
        <v>0</v>
      </c>
      <c r="J129" s="25">
        <f>F129*J124</f>
        <v>0</v>
      </c>
      <c r="K129" s="25">
        <f>F129*K124</f>
        <v>0</v>
      </c>
      <c r="L129" s="25">
        <f>F129*L124</f>
        <v>0</v>
      </c>
      <c r="M129" s="25">
        <f>ROUND(IF(O106=0,0,IF((SUM(B129,G129,H129,I129,J129)+(E115/L103*O106))&gt;0,(E115/L103*O106),(E115/L103*O106)-((E115/L103*O106)+SUM(B129,G129,H129,I129,J129)))),2)</f>
        <v>0</v>
      </c>
      <c r="N129" s="25">
        <f t="shared" si="18"/>
        <v>0</v>
      </c>
      <c r="O129" s="21">
        <f>IF(O106="",0,O124)</f>
        <v>0</v>
      </c>
    </row>
    <row r="130" spans="1:15" x14ac:dyDescent="0.2">
      <c r="A130" s="76" t="str">
        <f>'päd.Personal - Leitung'!$A$34</f>
        <v>Jun 2025</v>
      </c>
      <c r="B130" s="22">
        <f>ROUND(IF(O107="",0,IF(O130&gt;0,0,G111*O107*4.348)),2)</f>
        <v>0</v>
      </c>
      <c r="C130" s="22">
        <f>ROUND(IF(O107="",0,IF(O130&gt;0,0,G112*O107*4.348)),2)</f>
        <v>0</v>
      </c>
      <c r="D130" s="22">
        <f>ROUND(IF(O107="",0,IF(O130&gt;0,0,G113*O107*4.348)),2)</f>
        <v>0</v>
      </c>
      <c r="E130" s="22">
        <f>ROUND(IF(O107="",0,IF(O130&gt;0,0,G114*O107*4.348)),2)</f>
        <v>0</v>
      </c>
      <c r="F130" s="25">
        <f t="shared" ref="F130:F136" si="19">SUM(B130:E130)</f>
        <v>0</v>
      </c>
      <c r="G130" s="25">
        <f>F130*G124</f>
        <v>0</v>
      </c>
      <c r="H130" s="25">
        <f>F130*H124</f>
        <v>0</v>
      </c>
      <c r="I130" s="25">
        <f>F130*I124</f>
        <v>0</v>
      </c>
      <c r="J130" s="25">
        <f>F130*J124</f>
        <v>0</v>
      </c>
      <c r="K130" s="25">
        <f>F130*K124</f>
        <v>0</v>
      </c>
      <c r="L130" s="25">
        <f>F130*L124</f>
        <v>0</v>
      </c>
      <c r="M130" s="25">
        <f>ROUND(IF(O107=0,0,IF((SUM(B130,G130,H130,I130,J130)+(E115/L103*O107))&gt;0,(E115/L103*O107),(E115/L103*O107)-((E115/L103*O107)+SUM(B130,G130,H130,I130,J130)))),2)</f>
        <v>0</v>
      </c>
      <c r="N130" s="25">
        <f t="shared" ref="N130:N136" si="20">SUM(F130:M130)</f>
        <v>0</v>
      </c>
      <c r="O130" s="21">
        <f>IF(O107="",0,O124)</f>
        <v>0</v>
      </c>
    </row>
    <row r="131" spans="1:15" x14ac:dyDescent="0.2">
      <c r="A131" s="76" t="str">
        <f>'päd.Personal - Leitung'!$A$35</f>
        <v>Jul 2025</v>
      </c>
      <c r="B131" s="22">
        <f>ROUND(IF(O108="",0,IF(O131&gt;0,0,G111*O108*4.348)),2)</f>
        <v>0</v>
      </c>
      <c r="C131" s="22">
        <f>ROUND(IF(O108="",0,IF(O131&gt;0,0,G112*O108*4.348)),2)</f>
        <v>0</v>
      </c>
      <c r="D131" s="22">
        <f>ROUND(IF(O108="",0,IF(O131&gt;0,0,G113*O108*4.348)),2)</f>
        <v>0</v>
      </c>
      <c r="E131" s="22">
        <f>ROUND(IF(O108="",0,IF(O131&gt;0,0,G114*O108*4.348)),2)</f>
        <v>0</v>
      </c>
      <c r="F131" s="25">
        <f t="shared" si="19"/>
        <v>0</v>
      </c>
      <c r="G131" s="25">
        <f>F131*G124</f>
        <v>0</v>
      </c>
      <c r="H131" s="25">
        <f>F131*H124</f>
        <v>0</v>
      </c>
      <c r="I131" s="25">
        <f>F131*I124</f>
        <v>0</v>
      </c>
      <c r="J131" s="25">
        <f>F131*J124</f>
        <v>0</v>
      </c>
      <c r="K131" s="25">
        <f>F131*K124</f>
        <v>0</v>
      </c>
      <c r="L131" s="25">
        <f>F131*L124</f>
        <v>0</v>
      </c>
      <c r="M131" s="25">
        <f>ROUND(IF(O108=0,0,IF((SUM(B131,G131,H131,I131,J131)+(E115/L103*O108))&gt;0,(E115/L103*O108),(E115/L103*O108)-((E115/L103*O108)+SUM(B131,G131,H131,I131,J131)))),2)</f>
        <v>0</v>
      </c>
      <c r="N131" s="25">
        <f t="shared" si="20"/>
        <v>0</v>
      </c>
      <c r="O131" s="21">
        <f>IF(O108="",0,O124)</f>
        <v>0</v>
      </c>
    </row>
    <row r="132" spans="1:15" x14ac:dyDescent="0.2">
      <c r="A132" s="76" t="str">
        <f>'päd.Personal - Leitung'!$A$36</f>
        <v>Aug 2025</v>
      </c>
      <c r="B132" s="22">
        <f>ROUND(IF(O109="",0,IF(O132&gt;0,0,G111*O109*4.348)),2)</f>
        <v>0</v>
      </c>
      <c r="C132" s="22">
        <f>ROUND(IF(O109="",0,IF(O132&gt;0,0,G112*O109*4.348)),2)</f>
        <v>0</v>
      </c>
      <c r="D132" s="22">
        <f>ROUND(IF(O109="",0,IF(O132&gt;0,0,G113*O109*4.348)),2)</f>
        <v>0</v>
      </c>
      <c r="E132" s="22">
        <f>ROUND(IF(O109="",0,IF(O132&gt;0,0,G114*O109*4.348)),2)</f>
        <v>0</v>
      </c>
      <c r="F132" s="25">
        <f t="shared" si="19"/>
        <v>0</v>
      </c>
      <c r="G132" s="25">
        <f>F132*G124</f>
        <v>0</v>
      </c>
      <c r="H132" s="25">
        <f>F132*H124</f>
        <v>0</v>
      </c>
      <c r="I132" s="25">
        <f>F132*I124</f>
        <v>0</v>
      </c>
      <c r="J132" s="25">
        <f>F132*J124</f>
        <v>0</v>
      </c>
      <c r="K132" s="25">
        <f>F132*K124</f>
        <v>0</v>
      </c>
      <c r="L132" s="25">
        <f>F132*L124</f>
        <v>0</v>
      </c>
      <c r="M132" s="25">
        <f>ROUND(IF(O109=0,0,IF((SUM(B132,G132,H132,I132,J132)+(E115/L103*O109))&gt;0,(E115/L103*O109),(E115/L103*O109)-((E115/L103*O109)+SUM(B132,G132,H132,I132,J132)))),2)</f>
        <v>0</v>
      </c>
      <c r="N132" s="25">
        <f t="shared" si="20"/>
        <v>0</v>
      </c>
      <c r="O132" s="21">
        <f>IF(O109="",0,O124)</f>
        <v>0</v>
      </c>
    </row>
    <row r="133" spans="1:15" x14ac:dyDescent="0.2">
      <c r="A133" s="76" t="str">
        <f>'päd.Personal - Leitung'!$A$37</f>
        <v>Sep 2025</v>
      </c>
      <c r="B133" s="22">
        <f>ROUND(IF(O110="",0,IF(O133&gt;0,0,G111*O110*4.348)),2)</f>
        <v>0</v>
      </c>
      <c r="C133" s="22">
        <f>ROUND(IF(O110="",0,IF(O133&gt;0,0,G112*O110*4.348)),2)</f>
        <v>0</v>
      </c>
      <c r="D133" s="22">
        <f>ROUND(IF(O110="",0,IF(O133&gt;0,0,G113*O110*4.348)),2)</f>
        <v>0</v>
      </c>
      <c r="E133" s="22">
        <f>ROUND(IF(O110="",0,IF(O133&gt;0,0,G114*O110*4.348)),2)</f>
        <v>0</v>
      </c>
      <c r="F133" s="25">
        <f t="shared" si="19"/>
        <v>0</v>
      </c>
      <c r="G133" s="25">
        <f>F133*G124</f>
        <v>0</v>
      </c>
      <c r="H133" s="25">
        <f>F133*H124</f>
        <v>0</v>
      </c>
      <c r="I133" s="25">
        <f>F133*I124</f>
        <v>0</v>
      </c>
      <c r="J133" s="25">
        <f>F133*J124</f>
        <v>0</v>
      </c>
      <c r="K133" s="25">
        <f>F133*K124</f>
        <v>0</v>
      </c>
      <c r="L133" s="25">
        <f>F133*L124</f>
        <v>0</v>
      </c>
      <c r="M133" s="25">
        <f>ROUND(IF(O110=0,0,IF((SUM(B133,G133,H133,I133,J133)+(E115/L103*O110))&gt;0,(E115/L103*O110),(E115/L103*O110)-((E115/L103*O110)+SUM(B133,G133,H133,I133,J133)))),2)</f>
        <v>0</v>
      </c>
      <c r="N133" s="25">
        <f t="shared" si="20"/>
        <v>0</v>
      </c>
      <c r="O133" s="21">
        <f>IF(O110="",0,O124)</f>
        <v>0</v>
      </c>
    </row>
    <row r="134" spans="1:15" x14ac:dyDescent="0.2">
      <c r="A134" s="76" t="str">
        <f>'päd.Personal - Leitung'!$A$38</f>
        <v>Okt 2025</v>
      </c>
      <c r="B134" s="22">
        <f>ROUND(IF(O111="",0,IF(O134&gt;0,0,G111*O111*4.348)),2)</f>
        <v>0</v>
      </c>
      <c r="C134" s="22">
        <f>ROUND(IF(O111="",0,IF(O134&gt;0,0,G112*O111*4.348)),2)</f>
        <v>0</v>
      </c>
      <c r="D134" s="22">
        <f>ROUND(IF(O111="",0,IF(O134&gt;0,0,G113*O111*4.348)),2)</f>
        <v>0</v>
      </c>
      <c r="E134" s="22">
        <f>ROUND(IF(O111="",0,IF(O134&gt;0,0,G114*O111*4.348)),2)</f>
        <v>0</v>
      </c>
      <c r="F134" s="25">
        <f t="shared" si="19"/>
        <v>0</v>
      </c>
      <c r="G134" s="25">
        <f>F134*G124</f>
        <v>0</v>
      </c>
      <c r="H134" s="25">
        <f>F134*H124</f>
        <v>0</v>
      </c>
      <c r="I134" s="25">
        <f>F134*I124</f>
        <v>0</v>
      </c>
      <c r="J134" s="25">
        <f>F134*J124</f>
        <v>0</v>
      </c>
      <c r="K134" s="25">
        <f>F134*K124</f>
        <v>0</v>
      </c>
      <c r="L134" s="25">
        <f>F134*L124</f>
        <v>0</v>
      </c>
      <c r="M134" s="25">
        <f>ROUND(IF(O111=0,0,IF((SUM(B134,G134,H134,I134,J134)+(E115/L103*O111))&gt;0,(E115/L103*O111),(E115/L103*O111)-((E115/L103*O111)+SUM(B134,G134,H134,I134,J134)))),2)</f>
        <v>0</v>
      </c>
      <c r="N134" s="25">
        <f t="shared" si="20"/>
        <v>0</v>
      </c>
      <c r="O134" s="21">
        <f>IF(O111="",0,O124)</f>
        <v>0</v>
      </c>
    </row>
    <row r="135" spans="1:15" x14ac:dyDescent="0.2">
      <c r="A135" s="76" t="str">
        <f>'päd.Personal - Leitung'!$A$39</f>
        <v>Nov 2025</v>
      </c>
      <c r="B135" s="22">
        <f>ROUND(IF(O112="",0,IF(O135&gt;0,0,G111*O112*4.348)),2)</f>
        <v>0</v>
      </c>
      <c r="C135" s="22">
        <f>ROUND(IF(O112="",0,IF(O135&gt;0,0,G112*O112*4.348)),2)</f>
        <v>0</v>
      </c>
      <c r="D135" s="22">
        <f>ROUND(IF(O112="",0,IF(O135&gt;0,0,G113*O112*4.348)),2)</f>
        <v>0</v>
      </c>
      <c r="E135" s="22">
        <f>ROUND(IF(O112="",0,IF(O135&gt;0,0,G114*O112*4.348)),2)</f>
        <v>0</v>
      </c>
      <c r="F135" s="25">
        <f t="shared" si="19"/>
        <v>0</v>
      </c>
      <c r="G135" s="25">
        <f>F135*G124</f>
        <v>0</v>
      </c>
      <c r="H135" s="25">
        <f>F135*H124</f>
        <v>0</v>
      </c>
      <c r="I135" s="25">
        <f>F135*I124</f>
        <v>0</v>
      </c>
      <c r="J135" s="25">
        <f>F135*J124</f>
        <v>0</v>
      </c>
      <c r="K135" s="25">
        <f>F135*K124</f>
        <v>0</v>
      </c>
      <c r="L135" s="25">
        <f>F135*L124</f>
        <v>0</v>
      </c>
      <c r="M135" s="25">
        <f>ROUND(IF(O112=0,0,IF((SUM(B135,G135,H135,I135,J135)+(E115/L103*O112))&gt;0,(E115/L103*O112),(E115/L103*O112)-((E115/L103*O112)+SUM(B135,G135,H135,I135,J135)))),2)</f>
        <v>0</v>
      </c>
      <c r="N135" s="25">
        <f t="shared" si="20"/>
        <v>0</v>
      </c>
      <c r="O135" s="21">
        <f>IF(O112="",0,O124)</f>
        <v>0</v>
      </c>
    </row>
    <row r="136" spans="1:15" x14ac:dyDescent="0.2">
      <c r="A136" s="76" t="str">
        <f>'päd.Personal - Leitung'!$A$40</f>
        <v>Dez 2025</v>
      </c>
      <c r="B136" s="22">
        <f>ROUND(IF(O113="",0,IF(O136&gt;0,0,G111*O113*4.348)),2)</f>
        <v>0</v>
      </c>
      <c r="C136" s="22">
        <f>ROUND(IF(O113="",0,IF(O136&gt;0,0,G112*O113*4.348)),2)</f>
        <v>0</v>
      </c>
      <c r="D136" s="22">
        <f>ROUND(IF(O113="",0,IF(O136&gt;0,0,G113*O113*4.348)),2)</f>
        <v>0</v>
      </c>
      <c r="E136" s="22">
        <f>ROUND(IF(O113="",0,IF(O136&gt;0,0,G114*O113*4.348)),2)</f>
        <v>0</v>
      </c>
      <c r="F136" s="25">
        <f t="shared" si="19"/>
        <v>0</v>
      </c>
      <c r="G136" s="25">
        <f>F136*G124</f>
        <v>0</v>
      </c>
      <c r="H136" s="25">
        <f>F136*H124</f>
        <v>0</v>
      </c>
      <c r="I136" s="25">
        <f>F136*I124</f>
        <v>0</v>
      </c>
      <c r="J136" s="25">
        <f>F136*J124</f>
        <v>0</v>
      </c>
      <c r="K136" s="25">
        <f>F136*K124</f>
        <v>0</v>
      </c>
      <c r="L136" s="25">
        <f>F136*L124</f>
        <v>0</v>
      </c>
      <c r="M136" s="25">
        <f>ROUND(IF(O113=0,0,IF((SUM(B136,G136,H136,I136,J136)+(E115/L103*O113))&gt;0,(E115/L103*O113),(E115/L103*O113)-((E115/L103*O113)+SUM(B136,G136,H136,I136,J136)))),2)</f>
        <v>0</v>
      </c>
      <c r="N136" s="25">
        <f t="shared" si="20"/>
        <v>0</v>
      </c>
      <c r="O136" s="21">
        <f>IF(O113="",0,O124)</f>
        <v>0</v>
      </c>
    </row>
    <row r="137" spans="1:15" x14ac:dyDescent="0.2">
      <c r="A137" s="2" t="s">
        <v>1</v>
      </c>
      <c r="B137" s="25">
        <f>SUM(B125:B136)</f>
        <v>0</v>
      </c>
      <c r="C137" s="25">
        <f>SUM(C125:C136)</f>
        <v>0</v>
      </c>
      <c r="D137" s="25">
        <f>SUM(D125:D136)</f>
        <v>0</v>
      </c>
      <c r="E137" s="25">
        <f>SUM(E125:E136)</f>
        <v>0</v>
      </c>
      <c r="F137" s="25">
        <f>SUM(F125:F136)</f>
        <v>0</v>
      </c>
      <c r="G137" s="1309">
        <f>SUM(G125:L136)</f>
        <v>0</v>
      </c>
      <c r="H137" s="1310"/>
      <c r="I137" s="1310"/>
      <c r="J137" s="1310"/>
      <c r="K137" s="1310"/>
      <c r="L137" s="1311"/>
      <c r="M137" s="25">
        <f>SUM(M125:M136)</f>
        <v>0</v>
      </c>
      <c r="N137" s="25">
        <f>SUM(N125:N136)</f>
        <v>0</v>
      </c>
      <c r="O137" s="25">
        <f>SUM(O125:O136)</f>
        <v>0</v>
      </c>
    </row>
    <row r="138" spans="1:15" ht="12" customHeight="1" x14ac:dyDescent="0.2"/>
    <row r="139" spans="1:15" ht="14.25" customHeight="1" x14ac:dyDescent="0.2">
      <c r="B139" s="906"/>
      <c r="G139" s="905"/>
      <c r="H139" s="62"/>
      <c r="I139" s="914" t="s">
        <v>123</v>
      </c>
      <c r="K139" s="900" t="s">
        <v>124</v>
      </c>
      <c r="L139" s="974" t="str">
        <f>IF(IF(L108="","",$L$43)=0,"",IF(L108="","",$L$43))</f>
        <v/>
      </c>
      <c r="M139" s="902" t="s">
        <v>125</v>
      </c>
      <c r="N139" s="963" t="str">
        <f>IF(IF(L108="","",$N$43)=0,"",IF(L108="","",$N$43))</f>
        <v/>
      </c>
      <c r="O139" s="25">
        <f>ROUND(IF(L139="",0,F137*L139*N139/1000),2)</f>
        <v>0</v>
      </c>
    </row>
    <row r="140" spans="1:15" ht="14.25" customHeight="1" x14ac:dyDescent="0.2">
      <c r="G140" s="907"/>
      <c r="H140" s="42"/>
      <c r="L140" s="915" t="s">
        <v>129</v>
      </c>
      <c r="M140" s="80" t="s">
        <v>125</v>
      </c>
      <c r="N140" s="75" t="str">
        <f>IF(IF(L108="","",$N$44)=0,"",IF(L108="","",$N$44))</f>
        <v/>
      </c>
      <c r="O140" s="25">
        <f>ROUND(IF(N140="",0,F137*N140/1000),2)</f>
        <v>0</v>
      </c>
    </row>
    <row r="141" spans="1:15" ht="14.25" customHeight="1" x14ac:dyDescent="0.2">
      <c r="G141" s="996" t="s">
        <v>126</v>
      </c>
      <c r="H141" s="1013" t="s">
        <v>127</v>
      </c>
      <c r="I141" s="975" t="str">
        <f>IF(IF(L108="","",$I$45)=0,"",IF(L108="","",$I$45))</f>
        <v/>
      </c>
      <c r="J141" s="902" t="s">
        <v>128</v>
      </c>
      <c r="K141" s="964" t="str">
        <f>IF(IF(L108="","",$K$45)=0,"",IF(L108="","",$K$45))</f>
        <v/>
      </c>
      <c r="L141" s="16"/>
      <c r="M141" s="900" t="s">
        <v>132</v>
      </c>
      <c r="N141" s="965" t="str">
        <f>IF(IF(L108="","",$N$45)=0,"",IF(L108="","",$N$45))</f>
        <v/>
      </c>
      <c r="O141" s="25">
        <f>ROUND(IF(I141="",0,(I141*K141/N141)/L103*L104),2)</f>
        <v>0</v>
      </c>
    </row>
    <row r="142" spans="1:15" ht="14.25" customHeight="1" x14ac:dyDescent="0.2">
      <c r="D142" s="16"/>
      <c r="H142" s="16"/>
      <c r="I142" s="961" t="s">
        <v>176</v>
      </c>
      <c r="J142" s="1312" t="str">
        <f>IF($J$46="","",$J$46)</f>
        <v/>
      </c>
      <c r="K142" s="1312"/>
      <c r="L142" s="1312"/>
      <c r="M142" s="80" t="s">
        <v>131</v>
      </c>
      <c r="N142" s="904">
        <f>IF(IF(L108="",0,$O$47)=0,0,IF(L108="",0,$O$47))</f>
        <v>0</v>
      </c>
      <c r="O142" s="21">
        <f>ROUND(IF(L108="",0,N142/L103*L104),2)</f>
        <v>0</v>
      </c>
    </row>
    <row r="143" spans="1:15" ht="14.25" customHeight="1" x14ac:dyDescent="0.2">
      <c r="A143" s="16"/>
      <c r="B143" s="16"/>
      <c r="H143" s="905"/>
      <c r="N143" s="26" t="s">
        <v>0</v>
      </c>
      <c r="O143" s="82">
        <f>IF(N137&gt;0,N137+O137+SUM(O139:O142),N137+O137+SUM(O139:O142))</f>
        <v>0</v>
      </c>
    </row>
    <row r="144" spans="1:15" ht="14.25" customHeight="1" x14ac:dyDescent="0.2">
      <c r="A144" s="908"/>
      <c r="B144" s="908"/>
      <c r="C144" s="960"/>
      <c r="D144" s="960"/>
      <c r="I144" s="913"/>
      <c r="J144" s="913"/>
      <c r="K144" s="916"/>
      <c r="L144" s="27"/>
      <c r="M144" s="27"/>
      <c r="N144" s="27"/>
    </row>
    <row r="145" spans="1:16" s="10" customFormat="1" ht="13.5" customHeight="1" x14ac:dyDescent="0.2">
      <c r="A145" s="1321" t="s">
        <v>17</v>
      </c>
      <c r="B145" s="1321"/>
      <c r="C145" s="1321"/>
      <c r="D145" s="1320" t="str">
        <f>IF('päd.Personal - Leitung'!$D$1="","",'päd.Personal - Leitung'!$D$1)</f>
        <v/>
      </c>
      <c r="E145" s="1320"/>
      <c r="F145" s="1320"/>
      <c r="G145" s="1320"/>
      <c r="H145" s="1320"/>
      <c r="I145" s="1320"/>
      <c r="J145" s="1320"/>
      <c r="K145" s="1320"/>
      <c r="L145" s="1320"/>
      <c r="M145" s="1320"/>
      <c r="N145" s="1320"/>
    </row>
    <row r="146" spans="1:16" s="10" customFormat="1" ht="15" customHeight="1" x14ac:dyDescent="0.2">
      <c r="A146" s="1321" t="s">
        <v>16</v>
      </c>
      <c r="B146" s="1321"/>
      <c r="C146" s="1321" t="s">
        <v>14</v>
      </c>
      <c r="D146" s="1320" t="str">
        <f>IF('päd.Personal - Leitung'!$D$2="","",'päd.Personal - Leitung'!$D$2)</f>
        <v/>
      </c>
      <c r="E146" s="1320"/>
      <c r="F146" s="1320"/>
      <c r="G146" s="1320"/>
      <c r="H146" s="1320"/>
      <c r="I146" s="1320"/>
      <c r="J146" s="1320"/>
      <c r="K146" s="1320"/>
      <c r="L146" s="1320"/>
      <c r="M146" s="1320"/>
      <c r="N146" s="1320"/>
    </row>
    <row r="147" spans="1:16" s="10" customFormat="1" ht="15" customHeight="1" x14ac:dyDescent="0.2">
      <c r="A147" s="1321" t="s">
        <v>15</v>
      </c>
      <c r="B147" s="1321"/>
      <c r="C147" s="1321" t="s">
        <v>14</v>
      </c>
      <c r="D147" s="1320" t="str">
        <f>IF('päd.Personal - Leitung'!$D$3="","",'päd.Personal - Leitung'!$D$3)</f>
        <v/>
      </c>
      <c r="E147" s="1320"/>
      <c r="F147" s="1320"/>
      <c r="G147" s="1320"/>
      <c r="H147" s="1320"/>
      <c r="I147" s="1320"/>
      <c r="J147" s="1320"/>
      <c r="K147" s="1321" t="s">
        <v>100</v>
      </c>
      <c r="L147" s="1321"/>
      <c r="M147" s="1321"/>
      <c r="N147" s="38" t="str">
        <f>IF('päd.Personal - Leitung'!$N$3="","",'päd.Personal - Leitung'!$N$3)</f>
        <v/>
      </c>
    </row>
    <row r="148" spans="1:16" s="923" customFormat="1" ht="7.5" customHeight="1" x14ac:dyDescent="0.15">
      <c r="A148" s="1353"/>
      <c r="B148" s="1353"/>
      <c r="C148" s="1353"/>
      <c r="D148" s="1354"/>
      <c r="E148" s="1354"/>
      <c r="F148" s="1354"/>
      <c r="G148" s="1354"/>
      <c r="H148" s="1354"/>
      <c r="I148" s="1354"/>
      <c r="J148" s="1354"/>
      <c r="K148" s="922"/>
      <c r="L148" s="922"/>
      <c r="M148" s="922"/>
      <c r="N148" s="922"/>
      <c r="O148" s="922"/>
      <c r="P148" s="922"/>
    </row>
    <row r="149" spans="1:16" s="13" customFormat="1" ht="13.5" customHeight="1" x14ac:dyDescent="0.2">
      <c r="A149" s="1355" t="s">
        <v>183</v>
      </c>
      <c r="B149" s="1355"/>
      <c r="C149" s="1355"/>
      <c r="D149" s="1355"/>
      <c r="E149" s="1355"/>
      <c r="F149" s="1355"/>
      <c r="G149" s="1355"/>
      <c r="H149" s="1355"/>
      <c r="I149" s="1355"/>
      <c r="J149" s="1355"/>
      <c r="K149" s="1355"/>
      <c r="L149" s="1355"/>
      <c r="M149" s="1355"/>
      <c r="N149" s="138">
        <f>'päd.Personal - Leitung'!$O$5</f>
        <v>2025</v>
      </c>
      <c r="O149" s="52" t="s">
        <v>140</v>
      </c>
    </row>
    <row r="150" spans="1:16" s="8" customFormat="1" ht="13.5" customHeight="1" x14ac:dyDescent="0.25">
      <c r="B150" s="29"/>
      <c r="C150" s="29"/>
      <c r="D150" s="3" t="s">
        <v>75</v>
      </c>
      <c r="E150" s="28"/>
      <c r="F150" s="28"/>
      <c r="G150" s="28"/>
      <c r="H150" s="28"/>
      <c r="I150" s="24"/>
      <c r="J150" s="1370"/>
      <c r="K150" s="1370"/>
      <c r="L150" s="81"/>
      <c r="N150" s="928" t="str">
        <f>A173</f>
        <v>Jan 2025</v>
      </c>
      <c r="O150" s="68">
        <f>IF(L152="","",L152)</f>
        <v>0</v>
      </c>
    </row>
    <row r="151" spans="1:16" s="5" customFormat="1" ht="13.5" customHeight="1" x14ac:dyDescent="0.25">
      <c r="A151" s="1328" t="s">
        <v>754</v>
      </c>
      <c r="B151" s="1328"/>
      <c r="C151" s="1328"/>
      <c r="D151" s="1329"/>
      <c r="E151" s="1329"/>
      <c r="F151" s="1329"/>
      <c r="G151" s="1329"/>
      <c r="H151" s="1329"/>
      <c r="I151" s="1329"/>
      <c r="J151" s="1327" t="s">
        <v>101</v>
      </c>
      <c r="K151" s="1327"/>
      <c r="L151" s="101"/>
      <c r="N151" s="928" t="str">
        <f t="shared" ref="N151:N161" si="21">A174</f>
        <v>Feb 2025</v>
      </c>
      <c r="O151" s="69">
        <f t="shared" ref="O151:O158" si="22">IF(O150="","",O150)</f>
        <v>0</v>
      </c>
    </row>
    <row r="152" spans="1:16" ht="13.5" customHeight="1" x14ac:dyDescent="0.2">
      <c r="A152" s="1328" t="s">
        <v>78</v>
      </c>
      <c r="B152" s="1328"/>
      <c r="C152" s="1328"/>
      <c r="D152" s="1345"/>
      <c r="E152" s="1345"/>
      <c r="F152" s="1345"/>
      <c r="G152" s="1345"/>
      <c r="H152" s="1345"/>
      <c r="I152" s="1345"/>
      <c r="J152" s="1327" t="s">
        <v>149</v>
      </c>
      <c r="K152" s="1327"/>
      <c r="L152" s="101">
        <f>IF((L153+L154)&gt;L151,0,L151-L153-L154)</f>
        <v>0</v>
      </c>
      <c r="N152" s="928" t="str">
        <f t="shared" si="21"/>
        <v>Mrz 2025</v>
      </c>
      <c r="O152" s="69">
        <f t="shared" si="22"/>
        <v>0</v>
      </c>
    </row>
    <row r="153" spans="1:16" ht="13.5" customHeight="1" x14ac:dyDescent="0.2">
      <c r="A153" s="1328" t="s">
        <v>77</v>
      </c>
      <c r="B153" s="1328"/>
      <c r="C153" s="1328"/>
      <c r="D153" s="1345"/>
      <c r="E153" s="1345"/>
      <c r="F153" s="1345"/>
      <c r="G153" s="1345"/>
      <c r="H153" s="1345"/>
      <c r="I153" s="1345"/>
      <c r="J153" s="1327" t="s">
        <v>150</v>
      </c>
      <c r="K153" s="1327"/>
      <c r="L153" s="101"/>
      <c r="N153" s="928" t="str">
        <f t="shared" si="21"/>
        <v>Apr 2025</v>
      </c>
      <c r="O153" s="69">
        <f t="shared" si="22"/>
        <v>0</v>
      </c>
    </row>
    <row r="154" spans="1:16" ht="13.5" customHeight="1" x14ac:dyDescent="0.2">
      <c r="A154" s="1328" t="s">
        <v>18</v>
      </c>
      <c r="B154" s="1328"/>
      <c r="C154" s="1328"/>
      <c r="D154" s="1345"/>
      <c r="E154" s="1345"/>
      <c r="F154" s="1345"/>
      <c r="G154" s="1345"/>
      <c r="H154" s="1345"/>
      <c r="I154" s="1345"/>
      <c r="J154" s="1327" t="s">
        <v>222</v>
      </c>
      <c r="K154" s="1327"/>
      <c r="L154" s="101"/>
      <c r="M154" s="73"/>
      <c r="N154" s="928" t="str">
        <f t="shared" si="21"/>
        <v>Mai 2025</v>
      </c>
      <c r="O154" s="69">
        <f t="shared" si="22"/>
        <v>0</v>
      </c>
    </row>
    <row r="155" spans="1:16" ht="13.5" customHeight="1" x14ac:dyDescent="0.2">
      <c r="B155" s="6"/>
      <c r="C155" s="959" t="s">
        <v>147</v>
      </c>
      <c r="D155" s="1324"/>
      <c r="E155" s="1324"/>
      <c r="F155" s="1359" t="s">
        <v>104</v>
      </c>
      <c r="G155" s="1359"/>
      <c r="H155" s="1361"/>
      <c r="I155" s="1361"/>
      <c r="J155" s="1327" t="s">
        <v>94</v>
      </c>
      <c r="K155" s="1327"/>
      <c r="L155" s="15" t="str">
        <f>IF(IF((COUNTIF(N173:O184,"&gt;0"))=0,0,(COUNTIF(N173:O184,"&gt;0")))&gt;Grundlagen!$C$26,Grundlagen!$C$26,IF((COUNTIF(N173:O184,"&gt;0"))=0,"",(COUNTIF(N173:O184,"&gt;0"))))</f>
        <v/>
      </c>
      <c r="N155" s="928" t="str">
        <f t="shared" si="21"/>
        <v>Jun 2025</v>
      </c>
      <c r="O155" s="69">
        <f t="shared" si="22"/>
        <v>0</v>
      </c>
    </row>
    <row r="156" spans="1:16" ht="13.5" customHeight="1" x14ac:dyDescent="0.2">
      <c r="F156" s="1359" t="s">
        <v>105</v>
      </c>
      <c r="G156" s="1359"/>
      <c r="H156" s="1361"/>
      <c r="I156" s="1361"/>
      <c r="L156" s="102" t="str">
        <f>IF(O162&gt;L152,L152,IF(L152="","",IF(L155="","",O162)))</f>
        <v/>
      </c>
      <c r="N156" s="928" t="str">
        <f t="shared" si="21"/>
        <v>Jul 2025</v>
      </c>
      <c r="O156" s="69">
        <f t="shared" si="22"/>
        <v>0</v>
      </c>
    </row>
    <row r="157" spans="1:16" s="109" customFormat="1" ht="14.25" customHeight="1" x14ac:dyDescent="0.25">
      <c r="H157" s="86"/>
      <c r="I157" s="105"/>
      <c r="J157" s="105"/>
      <c r="K157" s="106"/>
      <c r="L157" s="107"/>
      <c r="M157" s="106"/>
      <c r="N157" s="928" t="str">
        <f t="shared" si="21"/>
        <v>Aug 2025</v>
      </c>
      <c r="O157" s="69">
        <f t="shared" si="22"/>
        <v>0</v>
      </c>
    </row>
    <row r="158" spans="1:16" s="109" customFormat="1" ht="14.25" customHeight="1" x14ac:dyDescent="0.25">
      <c r="A158" s="103" t="s">
        <v>170</v>
      </c>
      <c r="B158" s="56"/>
      <c r="C158" s="104"/>
      <c r="D158" s="56"/>
      <c r="E158" s="1394" t="s">
        <v>171</v>
      </c>
      <c r="F158" s="1394"/>
      <c r="G158" s="58" t="s">
        <v>138</v>
      </c>
      <c r="N158" s="928" t="str">
        <f t="shared" si="21"/>
        <v>Sep 2025</v>
      </c>
      <c r="O158" s="69">
        <f t="shared" si="22"/>
        <v>0</v>
      </c>
    </row>
    <row r="159" spans="1:16" s="109" customFormat="1" ht="14.25" customHeight="1" x14ac:dyDescent="0.25">
      <c r="A159" s="1383" t="s">
        <v>69</v>
      </c>
      <c r="B159" s="1384"/>
      <c r="C159" s="1384"/>
      <c r="D159" s="1385"/>
      <c r="E159" s="1386"/>
      <c r="F159" s="1387"/>
      <c r="G159" s="110">
        <f>IF(L152=0,0,E159/N147/4.348)</f>
        <v>0</v>
      </c>
      <c r="H159" s="58"/>
      <c r="J159" s="1359" t="s">
        <v>120</v>
      </c>
      <c r="K159" s="1359"/>
      <c r="L159" s="41"/>
      <c r="N159" s="928" t="str">
        <f t="shared" si="21"/>
        <v>Okt 2025</v>
      </c>
      <c r="O159" s="69">
        <f t="shared" ref="O159:O161" si="23">IF(O158="","",O158)</f>
        <v>0</v>
      </c>
    </row>
    <row r="160" spans="1:16" s="109" customFormat="1" ht="14.25" customHeight="1" x14ac:dyDescent="0.25">
      <c r="A160" s="1383" t="s">
        <v>172</v>
      </c>
      <c r="B160" s="1384"/>
      <c r="C160" s="1384"/>
      <c r="D160" s="1385"/>
      <c r="E160" s="1386"/>
      <c r="F160" s="1387"/>
      <c r="G160" s="110">
        <f>IF(L152=0,0,E160/N147/4.348)</f>
        <v>0</v>
      </c>
      <c r="H160" s="85"/>
      <c r="J160" s="1359" t="s">
        <v>121</v>
      </c>
      <c r="K160" s="1359"/>
      <c r="L160" s="41"/>
      <c r="N160" s="928" t="str">
        <f t="shared" si="21"/>
        <v>Nov 2025</v>
      </c>
      <c r="O160" s="69">
        <f t="shared" si="23"/>
        <v>0</v>
      </c>
    </row>
    <row r="161" spans="1:15" s="109" customFormat="1" ht="14.25" customHeight="1" x14ac:dyDescent="0.25">
      <c r="A161" s="1383" t="s">
        <v>71</v>
      </c>
      <c r="B161" s="1384"/>
      <c r="C161" s="1384"/>
      <c r="D161" s="1385"/>
      <c r="E161" s="1386"/>
      <c r="F161" s="1387"/>
      <c r="G161" s="110">
        <f>IF(L152=0,0,E161/N147/4.348)</f>
        <v>0</v>
      </c>
      <c r="H161" s="86"/>
      <c r="J161" s="1359" t="s">
        <v>122</v>
      </c>
      <c r="K161" s="1359"/>
      <c r="L161" s="41"/>
      <c r="M161" s="106"/>
      <c r="N161" s="928" t="str">
        <f t="shared" si="21"/>
        <v>Dez 2025</v>
      </c>
      <c r="O161" s="69">
        <f t="shared" si="23"/>
        <v>0</v>
      </c>
    </row>
    <row r="162" spans="1:15" s="109" customFormat="1" ht="14.25" customHeight="1" x14ac:dyDescent="0.25">
      <c r="A162" s="1383" t="s">
        <v>6</v>
      </c>
      <c r="B162" s="1384"/>
      <c r="C162" s="1384"/>
      <c r="D162" s="1385"/>
      <c r="E162" s="1386"/>
      <c r="F162" s="1387"/>
      <c r="G162" s="110">
        <f>IF(L152=0,0,E162/N147/4.348)</f>
        <v>0</v>
      </c>
      <c r="H162" s="86"/>
      <c r="I162" s="111"/>
      <c r="J162" s="105"/>
      <c r="K162" s="106"/>
      <c r="L162" s="107"/>
      <c r="M162" s="106"/>
      <c r="N162" s="126" t="s">
        <v>221</v>
      </c>
      <c r="O162" s="127">
        <f>IF(L152=0,0,((IF(SUMIF(N173,"&gt;0"),O150,0))+(IF(SUMIF(N174,"&gt;0"),O151,0))+(IF(SUMIF(N175,"&gt;0"),O152,0))+(IF(SUMIF(N176,"&gt;0"),O153,0))+(IF(SUMIF(N177,"&gt;0"),O154,0))+(IF(SUMIF(N178,"&gt;0"),O155,0))+(IF(SUMIF(N179,"&gt;0"),O156,0))+(IF(SUMIF(N180,"&gt;0"),O157,0))+(IF(SUMIF(N181,"&gt;0"),O158,0))+(IF(SUMIF(N182,"&gt;0"),O159,0))+(IF(SUMIF(N183,"&gt;0"),O160,0))+(IF(SUMIF(N184,"&gt;0"),O161,0))+(IF(SUMIF(O173,"&gt;0"),O150,0))+(IF(SUMIF(O174,"&gt;0"),O151,0))+(IF(SUMIF(O175,"&gt;0"),O152,0))+(IF(SUMIF(O176,"&gt;0"),O153,0))+(IF(SUMIF(O177,"&gt;0"),O154,0))+(IF(SUMIF(O178,"&gt;0"),O155,0))+(IF(SUMIF(O179,"&gt;0"),O156,0))+(IF(SUMIF(O180,"&gt;0"),O157,0))+(IF(SUMIF(O181,"&gt;0"),O158,0))+(IF(SUMIF(O182,"&gt;0"),O159,0))+(IF(SUMIF(O183,"&gt;0"),O160,0))+(IF(SUMIF(O184,"&gt;0"),O161,0)))/Grundlagen!$C$26)</f>
        <v>0</v>
      </c>
    </row>
    <row r="163" spans="1:15" s="109" customFormat="1" ht="14.25" customHeight="1" x14ac:dyDescent="0.25">
      <c r="A163" s="1383" t="s">
        <v>173</v>
      </c>
      <c r="B163" s="1384"/>
      <c r="C163" s="1384"/>
      <c r="D163" s="1385"/>
      <c r="E163" s="1386"/>
      <c r="F163" s="1387"/>
      <c r="G163" s="110">
        <f>IF(L152=0,0,E163/N147/4.348)</f>
        <v>0</v>
      </c>
      <c r="H163" s="86"/>
      <c r="L163" s="105"/>
      <c r="M163" s="105"/>
      <c r="N163" s="112"/>
      <c r="O163" s="105"/>
    </row>
    <row r="164" spans="1:15" ht="12" customHeight="1" x14ac:dyDescent="0.2"/>
    <row r="165" spans="1:15" ht="12" customHeight="1" x14ac:dyDescent="0.2"/>
    <row r="166" spans="1:15" ht="12" customHeight="1" x14ac:dyDescent="0.2"/>
    <row r="167" spans="1:15" ht="12" customHeight="1" x14ac:dyDescent="0.2"/>
    <row r="168" spans="1:15" ht="14.25" customHeight="1" x14ac:dyDescent="0.2">
      <c r="A168" s="1346"/>
      <c r="B168" s="1348" t="s">
        <v>76</v>
      </c>
      <c r="C168" s="1349"/>
      <c r="D168" s="1349"/>
      <c r="E168" s="1349"/>
      <c r="F168" s="1350"/>
      <c r="G168" s="1351" t="s">
        <v>113</v>
      </c>
      <c r="H168" s="1352"/>
      <c r="I168" s="1352"/>
      <c r="J168" s="1352"/>
      <c r="K168" s="1352"/>
      <c r="L168" s="1389"/>
      <c r="M168" s="1390" t="s">
        <v>110</v>
      </c>
      <c r="N168" s="1393" t="s">
        <v>0</v>
      </c>
      <c r="O168" s="1378" t="s">
        <v>175</v>
      </c>
    </row>
    <row r="169" spans="1:15" ht="14.25" customHeight="1" x14ac:dyDescent="0.2">
      <c r="A169" s="1347"/>
      <c r="B169" s="1339" t="s">
        <v>69</v>
      </c>
      <c r="C169" s="1339" t="s">
        <v>70</v>
      </c>
      <c r="D169" s="1338" t="s">
        <v>71</v>
      </c>
      <c r="E169" s="962" t="s">
        <v>6</v>
      </c>
      <c r="F169" s="1340" t="s">
        <v>5</v>
      </c>
      <c r="G169" s="1339" t="s">
        <v>119</v>
      </c>
      <c r="H169" s="1339" t="s">
        <v>4</v>
      </c>
      <c r="I169" s="1339" t="s">
        <v>3</v>
      </c>
      <c r="J169" s="1339" t="s">
        <v>2</v>
      </c>
      <c r="K169" s="1339" t="s">
        <v>115</v>
      </c>
      <c r="L169" s="1339" t="s">
        <v>116</v>
      </c>
      <c r="M169" s="1391"/>
      <c r="N169" s="1339"/>
      <c r="O169" s="1379"/>
    </row>
    <row r="170" spans="1:15" ht="14.25" customHeight="1" x14ac:dyDescent="0.2">
      <c r="A170" s="1347"/>
      <c r="B170" s="1339"/>
      <c r="C170" s="1339"/>
      <c r="D170" s="1338"/>
      <c r="E170" s="1382"/>
      <c r="F170" s="1340"/>
      <c r="G170" s="1342" t="s">
        <v>117</v>
      </c>
      <c r="H170" s="1342"/>
      <c r="I170" s="1342"/>
      <c r="J170" s="1342"/>
      <c r="K170" s="1342"/>
      <c r="L170" s="1342"/>
      <c r="M170" s="1391"/>
      <c r="N170" s="1339"/>
      <c r="O170" s="1382"/>
    </row>
    <row r="171" spans="1:15" x14ac:dyDescent="0.2">
      <c r="A171" s="1347"/>
      <c r="B171" s="1339"/>
      <c r="C171" s="1339"/>
      <c r="D171" s="1338"/>
      <c r="E171" s="1382"/>
      <c r="F171" s="1340"/>
      <c r="G171" s="39" t="s">
        <v>174</v>
      </c>
      <c r="H171" s="39" t="s">
        <v>722</v>
      </c>
      <c r="I171" s="39" t="s">
        <v>723</v>
      </c>
      <c r="J171" s="39" t="s">
        <v>724</v>
      </c>
      <c r="K171" s="39"/>
      <c r="L171" s="39" t="s">
        <v>719</v>
      </c>
      <c r="M171" s="1391"/>
      <c r="N171" s="1339"/>
      <c r="O171" s="1382"/>
    </row>
    <row r="172" spans="1:15" x14ac:dyDescent="0.2">
      <c r="A172" s="1388"/>
      <c r="B172" s="1380"/>
      <c r="C172" s="1380"/>
      <c r="D172" s="1381"/>
      <c r="E172" s="20"/>
      <c r="F172" s="1341"/>
      <c r="G172" s="19"/>
      <c r="H172" s="19"/>
      <c r="I172" s="19"/>
      <c r="J172" s="19"/>
      <c r="K172" s="19"/>
      <c r="L172" s="19"/>
      <c r="M172" s="1392"/>
      <c r="N172" s="1380"/>
      <c r="O172" s="45"/>
    </row>
    <row r="173" spans="1:15" x14ac:dyDescent="0.2">
      <c r="A173" s="76" t="str">
        <f>'päd.Personal - Leitung'!$A$29</f>
        <v>Jan 2025</v>
      </c>
      <c r="B173" s="22">
        <f>ROUND(IF(O150="",0,IF(O173&gt;0,0,G159*O150*4.348)),2)</f>
        <v>0</v>
      </c>
      <c r="C173" s="22">
        <f>ROUND(IF(O150="",0,IF(O173&gt;0,0,G160*O150*4.348)),2)</f>
        <v>0</v>
      </c>
      <c r="D173" s="22">
        <f>ROUND(IF(O150="",0,IF(O173&gt;0,0,G161*O150*4.348)),2)</f>
        <v>0</v>
      </c>
      <c r="E173" s="22">
        <f>ROUND(IF(O150="",0,IF(O173&gt;0,0,G162*O150*4.348)),2)</f>
        <v>0</v>
      </c>
      <c r="F173" s="25">
        <f>SUM(B173:E173)</f>
        <v>0</v>
      </c>
      <c r="G173" s="25">
        <f>F173*G172</f>
        <v>0</v>
      </c>
      <c r="H173" s="25">
        <f>F173*H172</f>
        <v>0</v>
      </c>
      <c r="I173" s="25">
        <f>F173*I172</f>
        <v>0</v>
      </c>
      <c r="J173" s="25">
        <f>F173*J172</f>
        <v>0</v>
      </c>
      <c r="K173" s="25">
        <f>F173*K172</f>
        <v>0</v>
      </c>
      <c r="L173" s="25">
        <f>F173*L172</f>
        <v>0</v>
      </c>
      <c r="M173" s="25">
        <f>ROUND(IF(O150=0,0,IF((SUM(B173,G173,H173,I173,J173)+(E163/L151*O150))&gt;0,(E163/L151*O150),(E163/L151*O150)-((E163/L151*O150)+SUM(B173,G173,H173,I173,J173)))),2)</f>
        <v>0</v>
      </c>
      <c r="N173" s="25">
        <f>SUM(F173:M173)</f>
        <v>0</v>
      </c>
      <c r="O173" s="21">
        <f>IF(O150="",0,O172)</f>
        <v>0</v>
      </c>
    </row>
    <row r="174" spans="1:15" x14ac:dyDescent="0.2">
      <c r="A174" s="76" t="str">
        <f>'päd.Personal - Leitung'!$A$30</f>
        <v>Feb 2025</v>
      </c>
      <c r="B174" s="22">
        <f>ROUND(IF(O151="",0,IF(O174&gt;0,0,G159*O151*4.348)),2)</f>
        <v>0</v>
      </c>
      <c r="C174" s="22">
        <f>ROUND(IF(O151="",0,IF(O174&gt;0,0,G160*O151*4.348)),2)</f>
        <v>0</v>
      </c>
      <c r="D174" s="22">
        <f>ROUND(IF(O151="",0,IF(O174&gt;0,0,G161*O151*4.348)),2)</f>
        <v>0</v>
      </c>
      <c r="E174" s="22">
        <f>ROUND(IF(O151="",0,IF(O174&gt;0,0,G162*O151*4.348)),2)</f>
        <v>0</v>
      </c>
      <c r="F174" s="25">
        <f t="shared" ref="F174:F177" si="24">SUM(B174:E174)</f>
        <v>0</v>
      </c>
      <c r="G174" s="25">
        <f>F174*G172</f>
        <v>0</v>
      </c>
      <c r="H174" s="25">
        <f>F174*H172</f>
        <v>0</v>
      </c>
      <c r="I174" s="25">
        <f>F174*I172</f>
        <v>0</v>
      </c>
      <c r="J174" s="25">
        <f>F174*J172</f>
        <v>0</v>
      </c>
      <c r="K174" s="25">
        <f>F174*K172</f>
        <v>0</v>
      </c>
      <c r="L174" s="25">
        <f>F174*L172</f>
        <v>0</v>
      </c>
      <c r="M174" s="25">
        <f>ROUND(IF(O151=0,0,IF((SUM(B174,G174,H174,I174,J174)+(E163/L151*O151))&gt;0,(E163/L151*O151),(E163/L151*O151)-((E163/L151*O151)+SUM(B174,G174,H174,I174,J174)))),2)</f>
        <v>0</v>
      </c>
      <c r="N174" s="25">
        <f t="shared" ref="N174:N177" si="25">SUM(F174:M174)</f>
        <v>0</v>
      </c>
      <c r="O174" s="21">
        <f>IF(O151="",0,O172)</f>
        <v>0</v>
      </c>
    </row>
    <row r="175" spans="1:15" x14ac:dyDescent="0.2">
      <c r="A175" s="76" t="str">
        <f>'päd.Personal - Leitung'!$A$31</f>
        <v>Mrz 2025</v>
      </c>
      <c r="B175" s="22">
        <f>ROUND(IF(O152="",0,IF(O175&gt;0,0,G159*O152*4.348)),2)</f>
        <v>0</v>
      </c>
      <c r="C175" s="22">
        <f>ROUND(IF(O152="",0,IF(O175&gt;0,0,G160*O152*4.348)),2)</f>
        <v>0</v>
      </c>
      <c r="D175" s="22">
        <f>ROUND(IF(O152="",0,IF(O175&gt;0,0,G161*O152*4.348)),2)</f>
        <v>0</v>
      </c>
      <c r="E175" s="22">
        <f>ROUND(IF(O152="",0,IF(O175&gt;0,0,G162*O152*4.348)),2)</f>
        <v>0</v>
      </c>
      <c r="F175" s="25">
        <f t="shared" si="24"/>
        <v>0</v>
      </c>
      <c r="G175" s="25">
        <f>F175*G172</f>
        <v>0</v>
      </c>
      <c r="H175" s="25">
        <f>F175*H172</f>
        <v>0</v>
      </c>
      <c r="I175" s="25">
        <f>F175*I172</f>
        <v>0</v>
      </c>
      <c r="J175" s="25">
        <f>F175*J172</f>
        <v>0</v>
      </c>
      <c r="K175" s="25">
        <f>F175*K172</f>
        <v>0</v>
      </c>
      <c r="L175" s="25">
        <f>F175*L172</f>
        <v>0</v>
      </c>
      <c r="M175" s="25">
        <f>ROUND(IF(O152=0,0,IF((SUM(B175,G175,H175,I175,J175)+(E163/L151*O152))&gt;0,(E163/L151*O152),(E163/L151*O152)-((E163/L151*O152)+SUM(B175,G175,H175,I175,J175)))),2)</f>
        <v>0</v>
      </c>
      <c r="N175" s="25">
        <f t="shared" si="25"/>
        <v>0</v>
      </c>
      <c r="O175" s="21">
        <f>IF(O152="",0,O172)</f>
        <v>0</v>
      </c>
    </row>
    <row r="176" spans="1:15" x14ac:dyDescent="0.2">
      <c r="A176" s="76" t="str">
        <f>'päd.Personal - Leitung'!$A$32</f>
        <v>Apr 2025</v>
      </c>
      <c r="B176" s="22">
        <f>ROUND(IF(O153="",0,IF(O176&gt;0,0,G159*O153*4.348)),2)</f>
        <v>0</v>
      </c>
      <c r="C176" s="22">
        <f>ROUND(IF(O153="",0,IF(O176&gt;0,0,G160*O153*4.348)),2)</f>
        <v>0</v>
      </c>
      <c r="D176" s="22">
        <f>ROUND(IF(O153="",0,IF(O176&gt;0,0,G161*O153*4.348)),2)</f>
        <v>0</v>
      </c>
      <c r="E176" s="22">
        <f>ROUND(IF(O153="",0,IF(O176&gt;0,0,G162*O153*4.348)),2)</f>
        <v>0</v>
      </c>
      <c r="F176" s="25">
        <f t="shared" si="24"/>
        <v>0</v>
      </c>
      <c r="G176" s="25">
        <f>F176*G172</f>
        <v>0</v>
      </c>
      <c r="H176" s="25">
        <f>F176*H172</f>
        <v>0</v>
      </c>
      <c r="I176" s="25">
        <f>F176*I172</f>
        <v>0</v>
      </c>
      <c r="J176" s="25">
        <f>F176*J172</f>
        <v>0</v>
      </c>
      <c r="K176" s="25">
        <f>F176*K172</f>
        <v>0</v>
      </c>
      <c r="L176" s="25">
        <f>F176*L172</f>
        <v>0</v>
      </c>
      <c r="M176" s="25">
        <f>ROUND(IF(O153=0,0,IF((SUM(B176,G176,H176,I176,J176)+(E163/L151*O153))&gt;0,(E163/L151*O153),(E163/L151*O153)-((E163/L151*O153)+SUM(B176,G176,H176,I176,J176)))),2)</f>
        <v>0</v>
      </c>
      <c r="N176" s="25">
        <f t="shared" si="25"/>
        <v>0</v>
      </c>
      <c r="O176" s="21">
        <f>IF(O153="",0,O172)</f>
        <v>0</v>
      </c>
    </row>
    <row r="177" spans="1:15" x14ac:dyDescent="0.2">
      <c r="A177" s="76" t="str">
        <f>'päd.Personal - Leitung'!$A$33</f>
        <v>Mai 2025</v>
      </c>
      <c r="B177" s="22">
        <f>ROUND(IF(O154="",0,IF(O177&gt;0,0,G159*O154*4.348)),2)</f>
        <v>0</v>
      </c>
      <c r="C177" s="22">
        <f>ROUND(IF(O154="",0,IF(O177&gt;0,0,G160*O154*4.348)),2)</f>
        <v>0</v>
      </c>
      <c r="D177" s="22">
        <f>ROUND(IF(O154="",0,IF(O177&gt;0,0,G161*O154*4.348)),2)</f>
        <v>0</v>
      </c>
      <c r="E177" s="22">
        <f>ROUND(IF(O154="",0,IF(O177&gt;0,0,G162*O154*4.348)),2)</f>
        <v>0</v>
      </c>
      <c r="F177" s="25">
        <f t="shared" si="24"/>
        <v>0</v>
      </c>
      <c r="G177" s="25">
        <f>F177*G172</f>
        <v>0</v>
      </c>
      <c r="H177" s="25">
        <f>F177*H172</f>
        <v>0</v>
      </c>
      <c r="I177" s="25">
        <f>F177*I172</f>
        <v>0</v>
      </c>
      <c r="J177" s="25">
        <f>F177*J172</f>
        <v>0</v>
      </c>
      <c r="K177" s="25">
        <f>F177*K172</f>
        <v>0</v>
      </c>
      <c r="L177" s="25">
        <f>F177*L172</f>
        <v>0</v>
      </c>
      <c r="M177" s="25">
        <f>ROUND(IF(O154=0,0,IF((SUM(B177,G177,H177,I177,J177)+(E163/L151*O154))&gt;0,(E163/L151*O154),(E163/L151*O154)-((E163/L151*O154)+SUM(B177,G177,H177,I177,J177)))),2)</f>
        <v>0</v>
      </c>
      <c r="N177" s="25">
        <f t="shared" si="25"/>
        <v>0</v>
      </c>
      <c r="O177" s="21">
        <f>IF(O154="",0,O172)</f>
        <v>0</v>
      </c>
    </row>
    <row r="178" spans="1:15" x14ac:dyDescent="0.2">
      <c r="A178" s="76" t="str">
        <f>'päd.Personal - Leitung'!$A$34</f>
        <v>Jun 2025</v>
      </c>
      <c r="B178" s="22">
        <f>ROUND(IF(O155="",0,IF(O178&gt;0,0,G159*O155*4.348)),2)</f>
        <v>0</v>
      </c>
      <c r="C178" s="22">
        <f>ROUND(IF(O155="",0,IF(O178&gt;0,0,G160*O155*4.348)),2)</f>
        <v>0</v>
      </c>
      <c r="D178" s="22">
        <f>ROUND(IF(O155="",0,IF(O178&gt;0,0,G161*O155*4.348)),2)</f>
        <v>0</v>
      </c>
      <c r="E178" s="22">
        <f>ROUND(IF(O155="",0,IF(O178&gt;0,0,G162*O155*4.348)),2)</f>
        <v>0</v>
      </c>
      <c r="F178" s="25">
        <f t="shared" ref="F178:F184" si="26">SUM(B178:E178)</f>
        <v>0</v>
      </c>
      <c r="G178" s="25">
        <f>F178*G172</f>
        <v>0</v>
      </c>
      <c r="H178" s="25">
        <f>F178*H172</f>
        <v>0</v>
      </c>
      <c r="I178" s="25">
        <f>F178*I172</f>
        <v>0</v>
      </c>
      <c r="J178" s="25">
        <f>F178*J172</f>
        <v>0</v>
      </c>
      <c r="K178" s="25">
        <f>F178*K172</f>
        <v>0</v>
      </c>
      <c r="L178" s="25">
        <f>F178*L172</f>
        <v>0</v>
      </c>
      <c r="M178" s="25">
        <f>ROUND(IF(O155=0,0,IF((SUM(B178,G178,H178,I178,J178)+(E163/L151*O155))&gt;0,(E163/L151*O155),(E163/L151*O155)-((E163/L151*O155)+SUM(B178,G178,H178,I178,J178)))),2)</f>
        <v>0</v>
      </c>
      <c r="N178" s="25">
        <f t="shared" ref="N178:N184" si="27">SUM(F178:M178)</f>
        <v>0</v>
      </c>
      <c r="O178" s="21">
        <f>IF(O155="",0,O172)</f>
        <v>0</v>
      </c>
    </row>
    <row r="179" spans="1:15" x14ac:dyDescent="0.2">
      <c r="A179" s="76" t="str">
        <f>'päd.Personal - Leitung'!$A$35</f>
        <v>Jul 2025</v>
      </c>
      <c r="B179" s="22">
        <f>ROUND(IF(O156="",0,IF(O179&gt;0,0,G159*O156*4.348)),2)</f>
        <v>0</v>
      </c>
      <c r="C179" s="22">
        <f>ROUND(IF(O156="",0,IF(O179&gt;0,0,G160*O156*4.348)),2)</f>
        <v>0</v>
      </c>
      <c r="D179" s="22">
        <f>ROUND(IF(O156="",0,IF(O179&gt;0,0,G161*O156*4.348)),2)</f>
        <v>0</v>
      </c>
      <c r="E179" s="22">
        <f>ROUND(IF(O156="",0,IF(O179&gt;0,0,G162*O156*4.348)),2)</f>
        <v>0</v>
      </c>
      <c r="F179" s="25">
        <f t="shared" si="26"/>
        <v>0</v>
      </c>
      <c r="G179" s="25">
        <f>F179*G172</f>
        <v>0</v>
      </c>
      <c r="H179" s="25">
        <f>F179*H172</f>
        <v>0</v>
      </c>
      <c r="I179" s="25">
        <f>F179*I172</f>
        <v>0</v>
      </c>
      <c r="J179" s="25">
        <f>F179*J172</f>
        <v>0</v>
      </c>
      <c r="K179" s="25">
        <f>F179*K172</f>
        <v>0</v>
      </c>
      <c r="L179" s="25">
        <f>F179*L172</f>
        <v>0</v>
      </c>
      <c r="M179" s="25">
        <f>ROUND(IF(O156=0,0,IF((SUM(B179,G179,H179,I179,J179)+(E163/L151*O156))&gt;0,(E163/L151*O156),(E163/L151*O156)-((E163/L151*O156)+SUM(B179,G179,H179,I179,J179)))),2)</f>
        <v>0</v>
      </c>
      <c r="N179" s="25">
        <f t="shared" si="27"/>
        <v>0</v>
      </c>
      <c r="O179" s="21">
        <f>IF(O156="",0,O172)</f>
        <v>0</v>
      </c>
    </row>
    <row r="180" spans="1:15" x14ac:dyDescent="0.2">
      <c r="A180" s="76" t="str">
        <f>'päd.Personal - Leitung'!$A$36</f>
        <v>Aug 2025</v>
      </c>
      <c r="B180" s="22">
        <f>ROUND(IF(O157="",0,IF(O180&gt;0,0,G159*O157*4.348)),2)</f>
        <v>0</v>
      </c>
      <c r="C180" s="22">
        <f>ROUND(IF(O157="",0,IF(O180&gt;0,0,G160*O157*4.348)),2)</f>
        <v>0</v>
      </c>
      <c r="D180" s="22">
        <f>ROUND(IF(O157="",0,IF(O180&gt;0,0,G161*O157*4.348)),2)</f>
        <v>0</v>
      </c>
      <c r="E180" s="22">
        <f>ROUND(IF(O157="",0,IF(O180&gt;0,0,G162*O157*4.348)),2)</f>
        <v>0</v>
      </c>
      <c r="F180" s="25">
        <f t="shared" si="26"/>
        <v>0</v>
      </c>
      <c r="G180" s="25">
        <f>F180*G172</f>
        <v>0</v>
      </c>
      <c r="H180" s="25">
        <f>F180*H172</f>
        <v>0</v>
      </c>
      <c r="I180" s="25">
        <f>F180*I172</f>
        <v>0</v>
      </c>
      <c r="J180" s="25">
        <f>F180*J172</f>
        <v>0</v>
      </c>
      <c r="K180" s="25">
        <f>F180*K172</f>
        <v>0</v>
      </c>
      <c r="L180" s="25">
        <f>F180*L172</f>
        <v>0</v>
      </c>
      <c r="M180" s="25">
        <f>ROUND(IF(O157=0,0,IF((SUM(B180,G180,H180,I180,J180)+(E163/L151*O157))&gt;0,(E163/L151*O157),(E163/L151*O157)-((E163/L151*O157)+SUM(B180,G180,H180,I180,J180)))),2)</f>
        <v>0</v>
      </c>
      <c r="N180" s="25">
        <f t="shared" si="27"/>
        <v>0</v>
      </c>
      <c r="O180" s="21">
        <f>IF(O157="",0,O172)</f>
        <v>0</v>
      </c>
    </row>
    <row r="181" spans="1:15" x14ac:dyDescent="0.2">
      <c r="A181" s="76" t="str">
        <f>'päd.Personal - Leitung'!$A$37</f>
        <v>Sep 2025</v>
      </c>
      <c r="B181" s="22">
        <f>ROUND(IF(O158="",0,IF(O181&gt;0,0,G159*O158*4.348)),2)</f>
        <v>0</v>
      </c>
      <c r="C181" s="22">
        <f>ROUND(IF(O158="",0,IF(O181&gt;0,0,G160*O158*4.348)),2)</f>
        <v>0</v>
      </c>
      <c r="D181" s="22">
        <f>ROUND(IF(O158="",0,IF(O181&gt;0,0,G161*O158*4.348)),2)</f>
        <v>0</v>
      </c>
      <c r="E181" s="22">
        <f>ROUND(IF(O158="",0,IF(O181&gt;0,0,G162*O158*4.348)),2)</f>
        <v>0</v>
      </c>
      <c r="F181" s="25">
        <f t="shared" si="26"/>
        <v>0</v>
      </c>
      <c r="G181" s="25">
        <f>F181*G172</f>
        <v>0</v>
      </c>
      <c r="H181" s="25">
        <f>F181*H172</f>
        <v>0</v>
      </c>
      <c r="I181" s="25">
        <f>F181*I172</f>
        <v>0</v>
      </c>
      <c r="J181" s="25">
        <f>F181*J172</f>
        <v>0</v>
      </c>
      <c r="K181" s="25">
        <f>F181*K172</f>
        <v>0</v>
      </c>
      <c r="L181" s="25">
        <f>F181*L172</f>
        <v>0</v>
      </c>
      <c r="M181" s="25">
        <f>ROUND(IF(O158=0,0,IF((SUM(B181,G181,H181,I181,J181)+(E163/L151*O158))&gt;0,(E163/L151*O158),(E163/L151*O158)-((E163/L151*O158)+SUM(B181,G181,H181,I181,J181)))),2)</f>
        <v>0</v>
      </c>
      <c r="N181" s="25">
        <f t="shared" si="27"/>
        <v>0</v>
      </c>
      <c r="O181" s="21">
        <f>IF(O158="",0,O172)</f>
        <v>0</v>
      </c>
    </row>
    <row r="182" spans="1:15" x14ac:dyDescent="0.2">
      <c r="A182" s="76" t="str">
        <f>'päd.Personal - Leitung'!$A$38</f>
        <v>Okt 2025</v>
      </c>
      <c r="B182" s="22">
        <f>ROUND(IF(O159="",0,IF(O182&gt;0,0,G159*O159*4.348)),2)</f>
        <v>0</v>
      </c>
      <c r="C182" s="22">
        <f>ROUND(IF(O159="",0,IF(O182&gt;0,0,G160*O159*4.348)),2)</f>
        <v>0</v>
      </c>
      <c r="D182" s="22">
        <f>ROUND(IF(O159="",0,IF(O182&gt;0,0,G161*O159*4.348)),2)</f>
        <v>0</v>
      </c>
      <c r="E182" s="22">
        <f>ROUND(IF(O159="",0,IF(O182&gt;0,0,G162*O159*4.348)),2)</f>
        <v>0</v>
      </c>
      <c r="F182" s="25">
        <f t="shared" si="26"/>
        <v>0</v>
      </c>
      <c r="G182" s="25">
        <f>F182*G172</f>
        <v>0</v>
      </c>
      <c r="H182" s="25">
        <f>F182*H172</f>
        <v>0</v>
      </c>
      <c r="I182" s="25">
        <f>F182*I172</f>
        <v>0</v>
      </c>
      <c r="J182" s="25">
        <f>F182*J172</f>
        <v>0</v>
      </c>
      <c r="K182" s="25">
        <f>F182*K172</f>
        <v>0</v>
      </c>
      <c r="L182" s="25">
        <f>F182*L172</f>
        <v>0</v>
      </c>
      <c r="M182" s="25">
        <f>ROUND(IF(O159=0,0,IF((SUM(B182,G182,H182,I182,J182)+(E163/L151*O159))&gt;0,(E163/L151*O159),(E163/L151*O159)-((E163/L151*O159)+SUM(B182,G182,H182,I182,J182)))),2)</f>
        <v>0</v>
      </c>
      <c r="N182" s="25">
        <f t="shared" si="27"/>
        <v>0</v>
      </c>
      <c r="O182" s="21">
        <f>IF(O159="",0,O172)</f>
        <v>0</v>
      </c>
    </row>
    <row r="183" spans="1:15" x14ac:dyDescent="0.2">
      <c r="A183" s="76" t="str">
        <f>'päd.Personal - Leitung'!$A$39</f>
        <v>Nov 2025</v>
      </c>
      <c r="B183" s="22">
        <f>ROUND(IF(O160="",0,IF(O183&gt;0,0,G159*O160*4.348)),2)</f>
        <v>0</v>
      </c>
      <c r="C183" s="22">
        <f>ROUND(IF(O160="",0,IF(O183&gt;0,0,G160*O160*4.348)),2)</f>
        <v>0</v>
      </c>
      <c r="D183" s="22">
        <f>ROUND(IF(O160="",0,IF(O183&gt;0,0,G161*O160*4.348)),2)</f>
        <v>0</v>
      </c>
      <c r="E183" s="22">
        <f>ROUND(IF(O160="",0,IF(O183&gt;0,0,G162*O160*4.348)),2)</f>
        <v>0</v>
      </c>
      <c r="F183" s="25">
        <f t="shared" si="26"/>
        <v>0</v>
      </c>
      <c r="G183" s="25">
        <f>F183*G172</f>
        <v>0</v>
      </c>
      <c r="H183" s="25">
        <f>F183*H172</f>
        <v>0</v>
      </c>
      <c r="I183" s="25">
        <f>F183*I172</f>
        <v>0</v>
      </c>
      <c r="J183" s="25">
        <f>F183*J172</f>
        <v>0</v>
      </c>
      <c r="K183" s="25">
        <f>F183*K172</f>
        <v>0</v>
      </c>
      <c r="L183" s="25">
        <f>F183*L172</f>
        <v>0</v>
      </c>
      <c r="M183" s="25">
        <f>ROUND(IF(O160=0,0,IF((SUM(B183,G183,H183,I183,J183)+(E163/L151*O160))&gt;0,(E163/L151*O160),(E163/L151*O160)-((E163/L151*O160)+SUM(B183,G183,H183,I183,J183)))),2)</f>
        <v>0</v>
      </c>
      <c r="N183" s="25">
        <f t="shared" si="27"/>
        <v>0</v>
      </c>
      <c r="O183" s="21">
        <f>IF(O160="",0,O172)</f>
        <v>0</v>
      </c>
    </row>
    <row r="184" spans="1:15" x14ac:dyDescent="0.2">
      <c r="A184" s="76" t="str">
        <f>'päd.Personal - Leitung'!$A$40</f>
        <v>Dez 2025</v>
      </c>
      <c r="B184" s="22">
        <f>ROUND(IF(O161="",0,IF(O184&gt;0,0,G159*O161*4.348)),2)</f>
        <v>0</v>
      </c>
      <c r="C184" s="22">
        <f>ROUND(IF(O161="",0,IF(O184&gt;0,0,G160*O161*4.348)),2)</f>
        <v>0</v>
      </c>
      <c r="D184" s="22">
        <f>ROUND(IF(O161="",0,IF(O184&gt;0,0,G161*O161*4.348)),2)</f>
        <v>0</v>
      </c>
      <c r="E184" s="22">
        <f>ROUND(IF(O161="",0,IF(O184&gt;0,0,G162*O161*4.348)),2)</f>
        <v>0</v>
      </c>
      <c r="F184" s="25">
        <f t="shared" si="26"/>
        <v>0</v>
      </c>
      <c r="G184" s="25">
        <f>F184*G172</f>
        <v>0</v>
      </c>
      <c r="H184" s="25">
        <f>F184*H172</f>
        <v>0</v>
      </c>
      <c r="I184" s="25">
        <f>F184*I172</f>
        <v>0</v>
      </c>
      <c r="J184" s="25">
        <f>F184*J172</f>
        <v>0</v>
      </c>
      <c r="K184" s="25">
        <f>F184*K172</f>
        <v>0</v>
      </c>
      <c r="L184" s="25">
        <f>F184*L172</f>
        <v>0</v>
      </c>
      <c r="M184" s="25">
        <f>ROUND(IF(O161=0,0,IF((SUM(B184,G184,H184,I184,J184)+(E163/L151*O161))&gt;0,(E163/L151*O161),(E163/L151*O161)-((E163/L151*O161)+SUM(B184,G184,H184,I184,J184)))),2)</f>
        <v>0</v>
      </c>
      <c r="N184" s="25">
        <f t="shared" si="27"/>
        <v>0</v>
      </c>
      <c r="O184" s="21">
        <f>IF(O161="",0,O172)</f>
        <v>0</v>
      </c>
    </row>
    <row r="185" spans="1:15" x14ac:dyDescent="0.2">
      <c r="A185" s="2" t="s">
        <v>1</v>
      </c>
      <c r="B185" s="25">
        <f>SUM(B173:B184)</f>
        <v>0</v>
      </c>
      <c r="C185" s="25">
        <f>SUM(C173:C184)</f>
        <v>0</v>
      </c>
      <c r="D185" s="25">
        <f>SUM(D173:D184)</f>
        <v>0</v>
      </c>
      <c r="E185" s="25">
        <f>SUM(E173:E184)</f>
        <v>0</v>
      </c>
      <c r="F185" s="25">
        <f>SUM(F173:F184)</f>
        <v>0</v>
      </c>
      <c r="G185" s="1309">
        <f>SUM(G173:L184)</f>
        <v>0</v>
      </c>
      <c r="H185" s="1310"/>
      <c r="I185" s="1310"/>
      <c r="J185" s="1310"/>
      <c r="K185" s="1310"/>
      <c r="L185" s="1311"/>
      <c r="M185" s="25">
        <f>SUM(M173:M184)</f>
        <v>0</v>
      </c>
      <c r="N185" s="25">
        <f>SUM(N173:N184)</f>
        <v>0</v>
      </c>
      <c r="O185" s="25">
        <f>SUM(O173:O184)</f>
        <v>0</v>
      </c>
    </row>
    <row r="186" spans="1:15" ht="12" customHeight="1" x14ac:dyDescent="0.2"/>
    <row r="187" spans="1:15" ht="14.25" customHeight="1" x14ac:dyDescent="0.2">
      <c r="B187" s="906"/>
      <c r="G187" s="905"/>
      <c r="H187" s="62"/>
      <c r="I187" s="914" t="s">
        <v>123</v>
      </c>
      <c r="K187" s="900" t="s">
        <v>124</v>
      </c>
      <c r="L187" s="974" t="str">
        <f>IF(IF(L156="","",$L$43)=0,"",IF(L156="","",$L$43))</f>
        <v/>
      </c>
      <c r="M187" s="902" t="s">
        <v>125</v>
      </c>
      <c r="N187" s="963" t="str">
        <f>IF(IF(L156="","",$N$43)=0,"",IF(L156="","",$N$43))</f>
        <v/>
      </c>
      <c r="O187" s="25">
        <f>ROUND(IF(L187="",0,F185*L187*N187/1000),2)</f>
        <v>0</v>
      </c>
    </row>
    <row r="188" spans="1:15" ht="14.25" customHeight="1" x14ac:dyDescent="0.2">
      <c r="G188" s="907"/>
      <c r="H188" s="42"/>
      <c r="L188" s="915" t="s">
        <v>129</v>
      </c>
      <c r="M188" s="80" t="s">
        <v>125</v>
      </c>
      <c r="N188" s="75" t="str">
        <f>IF(IF(L156="","",$N$44)=0,"",IF(L156="","",$N$44))</f>
        <v/>
      </c>
      <c r="O188" s="25">
        <f>ROUND(IF(N188="",0,F185*N188/1000),2)</f>
        <v>0</v>
      </c>
    </row>
    <row r="189" spans="1:15" ht="14.25" customHeight="1" x14ac:dyDescent="0.2">
      <c r="G189" s="996" t="s">
        <v>126</v>
      </c>
      <c r="H189" s="960" t="s">
        <v>127</v>
      </c>
      <c r="I189" s="975" t="str">
        <f>IF(IF(L156="","",$I$45)=0,"",IF(L156="","",$I$45))</f>
        <v/>
      </c>
      <c r="J189" s="902" t="s">
        <v>128</v>
      </c>
      <c r="K189" s="964" t="str">
        <f>IF(IF(L156="","",$K$45)=0,"",IF(L156="","",$K$45))</f>
        <v/>
      </c>
      <c r="L189" s="16"/>
      <c r="M189" s="900" t="s">
        <v>132</v>
      </c>
      <c r="N189" s="965" t="str">
        <f>IF(IF(L156="","",$N$45)=0,"",IF(L156="","",$N$45))</f>
        <v/>
      </c>
      <c r="O189" s="25">
        <f>ROUND(IF(I189="",0,(I189*K189/N189)/L151*L152),2)</f>
        <v>0</v>
      </c>
    </row>
    <row r="190" spans="1:15" ht="14.25" customHeight="1" x14ac:dyDescent="0.2">
      <c r="D190" s="16"/>
      <c r="H190" s="16"/>
      <c r="I190" s="961" t="s">
        <v>176</v>
      </c>
      <c r="J190" s="1312" t="str">
        <f>IF($J$46="","",$J$46)</f>
        <v/>
      </c>
      <c r="K190" s="1312"/>
      <c r="L190" s="1312"/>
      <c r="M190" s="80" t="s">
        <v>131</v>
      </c>
      <c r="N190" s="904">
        <f>IF(IF(L156="",0,$O$47)=0,0,IF(L156="",0,$O$47))</f>
        <v>0</v>
      </c>
      <c r="O190" s="21">
        <f>ROUND(IF(L156="",0,N190/L151*L152),2)</f>
        <v>0</v>
      </c>
    </row>
    <row r="191" spans="1:15" ht="14.25" customHeight="1" x14ac:dyDescent="0.2">
      <c r="A191" s="16"/>
      <c r="B191" s="16"/>
      <c r="H191" s="905"/>
      <c r="N191" s="26" t="s">
        <v>0</v>
      </c>
      <c r="O191" s="82">
        <f>IF(N185&gt;0,N185+O185+SUM(O187:O190),N185+O185+SUM(O187:O190))</f>
        <v>0</v>
      </c>
    </row>
    <row r="192" spans="1:15" ht="14.25" customHeight="1" x14ac:dyDescent="0.2">
      <c r="A192" s="908"/>
      <c r="B192" s="908"/>
      <c r="C192" s="960"/>
      <c r="D192" s="960"/>
      <c r="I192" s="913"/>
      <c r="J192" s="913"/>
      <c r="K192" s="916"/>
      <c r="L192" s="27"/>
      <c r="M192" s="27"/>
      <c r="N192" s="27"/>
    </row>
  </sheetData>
  <sheetProtection algorithmName="SHA-512" hashValue="MCb7275KTxdW/kW3bf9goqirJdWDaQt/Fu3KDidcvRGSkfcoaicqRrjHQqEHWkS9IBw6yxEAjLMHWXPCn4FJsw==" saltValue="fS4gGzP81KIF3ThfLeqLoQ==" spinCount="100000" sheet="1" objects="1" scenarios="1"/>
  <mergeCells count="252">
    <mergeCell ref="D155:E155"/>
    <mergeCell ref="F155:G155"/>
    <mergeCell ref="H155:I155"/>
    <mergeCell ref="J155:K155"/>
    <mergeCell ref="F156:G156"/>
    <mergeCell ref="H156:I156"/>
    <mergeCell ref="E158:F158"/>
    <mergeCell ref="A152:C152"/>
    <mergeCell ref="D152:I152"/>
    <mergeCell ref="J152:K152"/>
    <mergeCell ref="A153:C153"/>
    <mergeCell ref="D153:I153"/>
    <mergeCell ref="J153:K153"/>
    <mergeCell ref="A154:C154"/>
    <mergeCell ref="D154:I154"/>
    <mergeCell ref="J154:K154"/>
    <mergeCell ref="A114:D114"/>
    <mergeCell ref="E114:F114"/>
    <mergeCell ref="A115:D115"/>
    <mergeCell ref="E115:F115"/>
    <mergeCell ref="A148:C148"/>
    <mergeCell ref="D148:J148"/>
    <mergeCell ref="A149:M149"/>
    <mergeCell ref="J150:K150"/>
    <mergeCell ref="A151:C151"/>
    <mergeCell ref="D151:I151"/>
    <mergeCell ref="J151:K151"/>
    <mergeCell ref="A120:A124"/>
    <mergeCell ref="B120:F120"/>
    <mergeCell ref="G120:L120"/>
    <mergeCell ref="M120:M124"/>
    <mergeCell ref="G137:L137"/>
    <mergeCell ref="J142:L142"/>
    <mergeCell ref="A145:C145"/>
    <mergeCell ref="D145:N145"/>
    <mergeCell ref="A146:C146"/>
    <mergeCell ref="D146:N146"/>
    <mergeCell ref="A147:C147"/>
    <mergeCell ref="D147:J147"/>
    <mergeCell ref="K147:M147"/>
    <mergeCell ref="E110:F110"/>
    <mergeCell ref="A111:D111"/>
    <mergeCell ref="E111:F111"/>
    <mergeCell ref="J111:K111"/>
    <mergeCell ref="A112:D112"/>
    <mergeCell ref="E112:F112"/>
    <mergeCell ref="J112:K112"/>
    <mergeCell ref="A113:D113"/>
    <mergeCell ref="E113:F113"/>
    <mergeCell ref="J113:K113"/>
    <mergeCell ref="A106:C106"/>
    <mergeCell ref="D106:I106"/>
    <mergeCell ref="J106:K106"/>
    <mergeCell ref="D107:E107"/>
    <mergeCell ref="F107:G107"/>
    <mergeCell ref="H107:I107"/>
    <mergeCell ref="J107:K107"/>
    <mergeCell ref="F108:G108"/>
    <mergeCell ref="H108:I108"/>
    <mergeCell ref="J65:K65"/>
    <mergeCell ref="A103:C103"/>
    <mergeCell ref="D103:I103"/>
    <mergeCell ref="J103:K103"/>
    <mergeCell ref="A104:C104"/>
    <mergeCell ref="D104:I104"/>
    <mergeCell ref="J104:K104"/>
    <mergeCell ref="A105:C105"/>
    <mergeCell ref="D105:I105"/>
    <mergeCell ref="J105:K105"/>
    <mergeCell ref="A67:D67"/>
    <mergeCell ref="E67:F67"/>
    <mergeCell ref="A72:A76"/>
    <mergeCell ref="B72:F72"/>
    <mergeCell ref="G72:L72"/>
    <mergeCell ref="G89:L89"/>
    <mergeCell ref="J94:L94"/>
    <mergeCell ref="A97:C97"/>
    <mergeCell ref="D97:N97"/>
    <mergeCell ref="D98:N98"/>
    <mergeCell ref="D99:J99"/>
    <mergeCell ref="K99:M99"/>
    <mergeCell ref="D100:J100"/>
    <mergeCell ref="A101:M101"/>
    <mergeCell ref="A5:M5"/>
    <mergeCell ref="D51:J51"/>
    <mergeCell ref="K51:M51"/>
    <mergeCell ref="A53:M53"/>
    <mergeCell ref="A18:D18"/>
    <mergeCell ref="E18:F18"/>
    <mergeCell ref="A19:D19"/>
    <mergeCell ref="E19:F19"/>
    <mergeCell ref="J15:K15"/>
    <mergeCell ref="J16:K16"/>
    <mergeCell ref="J17:K17"/>
    <mergeCell ref="H12:I12"/>
    <mergeCell ref="E14:F14"/>
    <mergeCell ref="A15:D15"/>
    <mergeCell ref="E15:F15"/>
    <mergeCell ref="A16:D16"/>
    <mergeCell ref="E16:F16"/>
    <mergeCell ref="A17:D17"/>
    <mergeCell ref="E17:F17"/>
    <mergeCell ref="F12:G12"/>
    <mergeCell ref="J11:K11"/>
    <mergeCell ref="D52:J52"/>
    <mergeCell ref="O24:O25"/>
    <mergeCell ref="A1:C1"/>
    <mergeCell ref="D1:N1"/>
    <mergeCell ref="D2:N2"/>
    <mergeCell ref="A51:C51"/>
    <mergeCell ref="A52:C52"/>
    <mergeCell ref="A2:C2"/>
    <mergeCell ref="A3:C3"/>
    <mergeCell ref="D3:J3"/>
    <mergeCell ref="K3:M3"/>
    <mergeCell ref="A8:C8"/>
    <mergeCell ref="A9:C9"/>
    <mergeCell ref="A4:C4"/>
    <mergeCell ref="A7:C7"/>
    <mergeCell ref="A10:C10"/>
    <mergeCell ref="A24:A28"/>
    <mergeCell ref="B24:F24"/>
    <mergeCell ref="G24:L24"/>
    <mergeCell ref="M24:M28"/>
    <mergeCell ref="E26:E27"/>
    <mergeCell ref="H25:H26"/>
    <mergeCell ref="I25:I26"/>
    <mergeCell ref="J25:J26"/>
    <mergeCell ref="G25:G26"/>
    <mergeCell ref="D4:J4"/>
    <mergeCell ref="D7:I7"/>
    <mergeCell ref="D8:I8"/>
    <mergeCell ref="D9:I9"/>
    <mergeCell ref="A50:C50"/>
    <mergeCell ref="D50:N50"/>
    <mergeCell ref="O26:O27"/>
    <mergeCell ref="G41:L41"/>
    <mergeCell ref="N24:N28"/>
    <mergeCell ref="B25:B28"/>
    <mergeCell ref="C25:C28"/>
    <mergeCell ref="D25:D28"/>
    <mergeCell ref="F25:F28"/>
    <mergeCell ref="J6:K6"/>
    <mergeCell ref="J7:K7"/>
    <mergeCell ref="J8:K8"/>
    <mergeCell ref="J9:K9"/>
    <mergeCell ref="D10:I10"/>
    <mergeCell ref="J10:K10"/>
    <mergeCell ref="D11:E11"/>
    <mergeCell ref="F11:G11"/>
    <mergeCell ref="H11:I11"/>
    <mergeCell ref="K25:K26"/>
    <mergeCell ref="L25:L26"/>
    <mergeCell ref="J59:K59"/>
    <mergeCell ref="J102:K102"/>
    <mergeCell ref="A58:C58"/>
    <mergeCell ref="D59:E59"/>
    <mergeCell ref="A64:D64"/>
    <mergeCell ref="E64:F64"/>
    <mergeCell ref="A65:D65"/>
    <mergeCell ref="E65:F65"/>
    <mergeCell ref="A66:D66"/>
    <mergeCell ref="E66:F66"/>
    <mergeCell ref="A98:C98"/>
    <mergeCell ref="E62:F62"/>
    <mergeCell ref="A99:C99"/>
    <mergeCell ref="A100:C100"/>
    <mergeCell ref="F59:G59"/>
    <mergeCell ref="H59:I59"/>
    <mergeCell ref="F60:G60"/>
    <mergeCell ref="H60:I60"/>
    <mergeCell ref="J63:K63"/>
    <mergeCell ref="J64:K64"/>
    <mergeCell ref="D58:I58"/>
    <mergeCell ref="J58:K58"/>
    <mergeCell ref="A63:D63"/>
    <mergeCell ref="E63:F63"/>
    <mergeCell ref="A56:C56"/>
    <mergeCell ref="A57:C57"/>
    <mergeCell ref="J54:K54"/>
    <mergeCell ref="A55:C55"/>
    <mergeCell ref="D55:I55"/>
    <mergeCell ref="J55:K55"/>
    <mergeCell ref="D56:I56"/>
    <mergeCell ref="J56:K56"/>
    <mergeCell ref="J46:L46"/>
    <mergeCell ref="A49:C49"/>
    <mergeCell ref="D49:N49"/>
    <mergeCell ref="D57:I57"/>
    <mergeCell ref="J57:K57"/>
    <mergeCell ref="M72:M76"/>
    <mergeCell ref="N72:N76"/>
    <mergeCell ref="O72:O73"/>
    <mergeCell ref="B73:B76"/>
    <mergeCell ref="C73:C76"/>
    <mergeCell ref="D73:D76"/>
    <mergeCell ref="F73:F76"/>
    <mergeCell ref="G73:G74"/>
    <mergeCell ref="H73:H74"/>
    <mergeCell ref="I73:I74"/>
    <mergeCell ref="J73:J74"/>
    <mergeCell ref="K73:K74"/>
    <mergeCell ref="L73:L74"/>
    <mergeCell ref="E74:E75"/>
    <mergeCell ref="O74:O75"/>
    <mergeCell ref="N120:N124"/>
    <mergeCell ref="O120:O121"/>
    <mergeCell ref="B121:B124"/>
    <mergeCell ref="C121:C124"/>
    <mergeCell ref="D121:D124"/>
    <mergeCell ref="F121:F124"/>
    <mergeCell ref="G121:G122"/>
    <mergeCell ref="H121:H122"/>
    <mergeCell ref="I121:I122"/>
    <mergeCell ref="J121:J122"/>
    <mergeCell ref="K121:K122"/>
    <mergeCell ref="L121:L122"/>
    <mergeCell ref="E122:E123"/>
    <mergeCell ref="O122:O123"/>
    <mergeCell ref="A159:D159"/>
    <mergeCell ref="E159:F159"/>
    <mergeCell ref="J159:K159"/>
    <mergeCell ref="A160:D160"/>
    <mergeCell ref="E160:F160"/>
    <mergeCell ref="J160:K160"/>
    <mergeCell ref="A161:D161"/>
    <mergeCell ref="E161:F161"/>
    <mergeCell ref="J161:K161"/>
    <mergeCell ref="A162:D162"/>
    <mergeCell ref="E162:F162"/>
    <mergeCell ref="A163:D163"/>
    <mergeCell ref="E163:F163"/>
    <mergeCell ref="A168:A172"/>
    <mergeCell ref="B168:F168"/>
    <mergeCell ref="G168:L168"/>
    <mergeCell ref="M168:M172"/>
    <mergeCell ref="N168:N172"/>
    <mergeCell ref="G185:L185"/>
    <mergeCell ref="J190:L190"/>
    <mergeCell ref="O168:O169"/>
    <mergeCell ref="B169:B172"/>
    <mergeCell ref="C169:C172"/>
    <mergeCell ref="D169:D172"/>
    <mergeCell ref="F169:F172"/>
    <mergeCell ref="G169:G170"/>
    <mergeCell ref="H169:H170"/>
    <mergeCell ref="I169:I170"/>
    <mergeCell ref="J169:J170"/>
    <mergeCell ref="K169:K170"/>
    <mergeCell ref="L169:L170"/>
    <mergeCell ref="E170:E171"/>
    <mergeCell ref="O170:O171"/>
  </mergeCell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&amp;10&amp;KFF0000BFD, FSJ&amp;R&amp;G</oddHeader>
    <oddFoot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Grundlagen!$G$54:$G$56</xm:f>
          </x14:formula1>
          <xm:sqref>L15:L17 L63:L65 L111:L113 L159:L161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3" tint="0.39997558519241921"/>
  </sheetPr>
  <dimension ref="A1:J556"/>
  <sheetViews>
    <sheetView showGridLines="0" view="pageLayout" zoomScaleNormal="100" workbookViewId="0">
      <selection activeCell="B11" sqref="B11"/>
    </sheetView>
  </sheetViews>
  <sheetFormatPr baseColWidth="10" defaultRowHeight="14.25" x14ac:dyDescent="0.25"/>
  <cols>
    <col min="1" max="1" width="15.7109375" style="17" customWidth="1"/>
    <col min="2" max="2" width="33.28515625" style="17" customWidth="1"/>
    <col min="3" max="3" width="10.7109375" style="17" customWidth="1"/>
    <col min="4" max="5" width="27.7109375" style="17" customWidth="1"/>
    <col min="6" max="8" width="11.140625" style="17" customWidth="1"/>
    <col min="9" max="10" width="15.140625" style="17" customWidth="1"/>
    <col min="11" max="16384" width="11.42578125" style="17"/>
  </cols>
  <sheetData>
    <row r="1" spans="1:10" s="10" customFormat="1" ht="13.5" customHeight="1" x14ac:dyDescent="0.2">
      <c r="A1" s="32" t="s">
        <v>17</v>
      </c>
      <c r="B1" s="1375" t="str">
        <f>IF('päd.Personal - Leitung'!$D$1="","",'päd.Personal - Leitung'!$D$1)</f>
        <v/>
      </c>
      <c r="C1" s="1375"/>
      <c r="D1" s="1375"/>
      <c r="E1" s="1375"/>
      <c r="F1" s="1375"/>
      <c r="G1" s="1375"/>
      <c r="H1" s="1375"/>
      <c r="I1" s="1375"/>
      <c r="J1" s="84"/>
    </row>
    <row r="2" spans="1:10" s="10" customFormat="1" ht="15" customHeight="1" x14ac:dyDescent="0.2">
      <c r="A2" s="32" t="s">
        <v>16</v>
      </c>
      <c r="B2" s="1375" t="str">
        <f>IF('päd.Personal - Leitung'!$D$2="","",'päd.Personal - Leitung'!$D$2)</f>
        <v/>
      </c>
      <c r="C2" s="1375"/>
      <c r="D2" s="1375"/>
      <c r="E2" s="1375"/>
      <c r="F2" s="1375"/>
      <c r="G2" s="1375"/>
      <c r="H2" s="1375"/>
      <c r="I2" s="1375"/>
      <c r="J2" s="84"/>
    </row>
    <row r="3" spans="1:10" s="10" customFormat="1" ht="15" customHeight="1" x14ac:dyDescent="0.2">
      <c r="A3" s="32" t="s">
        <v>15</v>
      </c>
      <c r="B3" s="1375" t="str">
        <f>IF('päd.Personal - Leitung'!$D$3="","",'päd.Personal - Leitung'!$D$3)</f>
        <v/>
      </c>
      <c r="C3" s="1375"/>
      <c r="D3" s="84"/>
      <c r="G3" s="118"/>
      <c r="H3" s="32" t="s">
        <v>100</v>
      </c>
      <c r="I3" s="38" t="str">
        <f>IF('päd.Personal - Leitung'!$N$3="","",'päd.Personal - Leitung'!$N$3)</f>
        <v/>
      </c>
      <c r="J3" s="84"/>
    </row>
    <row r="4" spans="1:10" s="11" customFormat="1" ht="15" customHeight="1" x14ac:dyDescent="0.2">
      <c r="D4" s="83"/>
      <c r="E4" s="83"/>
      <c r="F4" s="83"/>
      <c r="G4" s="83"/>
      <c r="H4" s="83"/>
      <c r="I4" s="83"/>
      <c r="J4" s="83"/>
    </row>
    <row r="5" spans="1:10" x14ac:dyDescent="0.25">
      <c r="A5" s="33"/>
      <c r="B5" s="128" t="s">
        <v>223</v>
      </c>
      <c r="C5" s="33"/>
      <c r="D5" s="33"/>
      <c r="E5" s="33"/>
      <c r="F5" s="34"/>
      <c r="G5" s="34"/>
      <c r="H5" s="34"/>
      <c r="I5" s="34"/>
      <c r="J5" s="34"/>
    </row>
    <row r="6" spans="1:10" x14ac:dyDescent="0.25">
      <c r="A6" s="33"/>
      <c r="B6" s="33"/>
      <c r="C6" s="33"/>
      <c r="D6" s="33"/>
      <c r="E6" s="33"/>
      <c r="F6" s="34"/>
      <c r="G6" s="34"/>
      <c r="H6" s="34"/>
      <c r="I6" s="34"/>
      <c r="J6" s="34"/>
    </row>
    <row r="7" spans="1:10" x14ac:dyDescent="0.25">
      <c r="A7" s="129" t="s">
        <v>10</v>
      </c>
    </row>
    <row r="8" spans="1:10" x14ac:dyDescent="0.25">
      <c r="A8" s="130" t="s">
        <v>9</v>
      </c>
    </row>
    <row r="9" spans="1:10" s="113" customFormat="1" ht="18" customHeight="1" x14ac:dyDescent="0.25">
      <c r="A9" s="1376" t="s">
        <v>214</v>
      </c>
      <c r="B9" s="1376" t="s">
        <v>757</v>
      </c>
      <c r="C9" s="1376" t="s">
        <v>215</v>
      </c>
      <c r="D9" s="1376" t="s">
        <v>12</v>
      </c>
      <c r="E9" s="1376" t="s">
        <v>77</v>
      </c>
      <c r="F9" s="1395" t="s">
        <v>216</v>
      </c>
      <c r="G9" s="1396"/>
      <c r="H9" s="1397"/>
      <c r="I9" s="1376" t="str">
        <f>CONCATENATE("Beschäftigungsdauer ",'päd.Personal - Leitung'!O5)</f>
        <v>Beschäftigungsdauer 2025</v>
      </c>
      <c r="J9" s="1376"/>
    </row>
    <row r="10" spans="1:10" s="113" customFormat="1" ht="37.5" customHeight="1" x14ac:dyDescent="0.25">
      <c r="A10" s="1377"/>
      <c r="B10" s="1377"/>
      <c r="C10" s="1377"/>
      <c r="D10" s="1377"/>
      <c r="E10" s="1377"/>
      <c r="F10" s="120" t="s">
        <v>217</v>
      </c>
      <c r="G10" s="883" t="s">
        <v>690</v>
      </c>
      <c r="H10" s="120" t="s">
        <v>218</v>
      </c>
      <c r="I10" s="120" t="s">
        <v>219</v>
      </c>
      <c r="J10" s="120" t="s">
        <v>220</v>
      </c>
    </row>
    <row r="11" spans="1:10" s="113" customFormat="1" ht="18.75" customHeight="1" x14ac:dyDescent="0.25">
      <c r="A11" s="114" t="s">
        <v>79</v>
      </c>
      <c r="B11" s="35"/>
      <c r="C11" s="136"/>
      <c r="D11" s="35"/>
      <c r="E11" s="35"/>
      <c r="F11" s="119"/>
      <c r="G11" s="119"/>
      <c r="H11" s="121" t="str">
        <f>IF(B11="","",F11+G11)</f>
        <v/>
      </c>
      <c r="I11" s="36"/>
      <c r="J11" s="36"/>
    </row>
    <row r="12" spans="1:10" s="113" customFormat="1" ht="18.75" customHeight="1" x14ac:dyDescent="0.25">
      <c r="A12" s="114" t="s">
        <v>80</v>
      </c>
      <c r="B12" s="35"/>
      <c r="C12" s="136"/>
      <c r="D12" s="35"/>
      <c r="E12" s="35"/>
      <c r="F12" s="119"/>
      <c r="G12" s="119"/>
      <c r="H12" s="121" t="str">
        <f t="shared" ref="H12:H25" si="0">IF(B12="","",F12+G12)</f>
        <v/>
      </c>
      <c r="I12" s="36"/>
      <c r="J12" s="36"/>
    </row>
    <row r="13" spans="1:10" s="113" customFormat="1" ht="18.75" customHeight="1" x14ac:dyDescent="0.25">
      <c r="A13" s="114" t="s">
        <v>81</v>
      </c>
      <c r="B13" s="35"/>
      <c r="C13" s="136"/>
      <c r="D13" s="35"/>
      <c r="E13" s="35"/>
      <c r="F13" s="119"/>
      <c r="G13" s="119"/>
      <c r="H13" s="121" t="str">
        <f t="shared" si="0"/>
        <v/>
      </c>
      <c r="I13" s="36"/>
      <c r="J13" s="36"/>
    </row>
    <row r="14" spans="1:10" s="113" customFormat="1" ht="18.75" customHeight="1" x14ac:dyDescent="0.25">
      <c r="A14" s="114" t="s">
        <v>82</v>
      </c>
      <c r="B14" s="35"/>
      <c r="C14" s="136"/>
      <c r="D14" s="35"/>
      <c r="E14" s="35"/>
      <c r="F14" s="119"/>
      <c r="G14" s="119"/>
      <c r="H14" s="121" t="str">
        <f t="shared" si="0"/>
        <v/>
      </c>
      <c r="I14" s="36"/>
      <c r="J14" s="36"/>
    </row>
    <row r="15" spans="1:10" s="113" customFormat="1" ht="18.75" customHeight="1" x14ac:dyDescent="0.25">
      <c r="A15" s="114" t="s">
        <v>83</v>
      </c>
      <c r="B15" s="35"/>
      <c r="C15" s="136"/>
      <c r="D15" s="35"/>
      <c r="E15" s="35"/>
      <c r="F15" s="119"/>
      <c r="G15" s="119"/>
      <c r="H15" s="121" t="str">
        <f t="shared" si="0"/>
        <v/>
      </c>
      <c r="I15" s="36"/>
      <c r="J15" s="36"/>
    </row>
    <row r="16" spans="1:10" s="113" customFormat="1" ht="18.75" customHeight="1" x14ac:dyDescent="0.25">
      <c r="A16" s="114" t="s">
        <v>84</v>
      </c>
      <c r="B16" s="35"/>
      <c r="C16" s="136"/>
      <c r="D16" s="35"/>
      <c r="E16" s="35"/>
      <c r="F16" s="119"/>
      <c r="G16" s="119"/>
      <c r="H16" s="121" t="str">
        <f t="shared" si="0"/>
        <v/>
      </c>
      <c r="I16" s="36"/>
      <c r="J16" s="36"/>
    </row>
    <row r="17" spans="1:10" s="113" customFormat="1" ht="18.75" customHeight="1" x14ac:dyDescent="0.25">
      <c r="A17" s="114" t="s">
        <v>85</v>
      </c>
      <c r="B17" s="35"/>
      <c r="C17" s="136"/>
      <c r="D17" s="35"/>
      <c r="E17" s="35"/>
      <c r="F17" s="119"/>
      <c r="G17" s="119"/>
      <c r="H17" s="121" t="str">
        <f t="shared" si="0"/>
        <v/>
      </c>
      <c r="I17" s="36"/>
      <c r="J17" s="36"/>
    </row>
    <row r="18" spans="1:10" s="113" customFormat="1" ht="18.75" customHeight="1" x14ac:dyDescent="0.25">
      <c r="A18" s="114" t="s">
        <v>86</v>
      </c>
      <c r="B18" s="35"/>
      <c r="C18" s="136"/>
      <c r="D18" s="35"/>
      <c r="E18" s="35"/>
      <c r="F18" s="119"/>
      <c r="G18" s="119"/>
      <c r="H18" s="121" t="str">
        <f t="shared" si="0"/>
        <v/>
      </c>
      <c r="I18" s="36"/>
      <c r="J18" s="36"/>
    </row>
    <row r="19" spans="1:10" s="113" customFormat="1" ht="18.75" customHeight="1" x14ac:dyDescent="0.25">
      <c r="A19" s="114" t="s">
        <v>87</v>
      </c>
      <c r="B19" s="35"/>
      <c r="C19" s="136"/>
      <c r="D19" s="35"/>
      <c r="E19" s="35"/>
      <c r="F19" s="119"/>
      <c r="G19" s="119"/>
      <c r="H19" s="121" t="str">
        <f t="shared" si="0"/>
        <v/>
      </c>
      <c r="I19" s="36"/>
      <c r="J19" s="36"/>
    </row>
    <row r="20" spans="1:10" s="113" customFormat="1" ht="18.75" customHeight="1" x14ac:dyDescent="0.25">
      <c r="A20" s="114" t="s">
        <v>88</v>
      </c>
      <c r="B20" s="35"/>
      <c r="C20" s="136"/>
      <c r="D20" s="35"/>
      <c r="E20" s="35"/>
      <c r="F20" s="119"/>
      <c r="G20" s="119"/>
      <c r="H20" s="121" t="str">
        <f t="shared" si="0"/>
        <v/>
      </c>
      <c r="I20" s="36"/>
      <c r="J20" s="36"/>
    </row>
    <row r="21" spans="1:10" s="113" customFormat="1" ht="18.75" customHeight="1" x14ac:dyDescent="0.25">
      <c r="A21" s="114" t="s">
        <v>89</v>
      </c>
      <c r="B21" s="35"/>
      <c r="C21" s="136"/>
      <c r="D21" s="35"/>
      <c r="E21" s="35"/>
      <c r="F21" s="119"/>
      <c r="G21" s="119"/>
      <c r="H21" s="121" t="str">
        <f t="shared" si="0"/>
        <v/>
      </c>
      <c r="I21" s="36"/>
      <c r="J21" s="36"/>
    </row>
    <row r="22" spans="1:10" s="113" customFormat="1" ht="18.75" customHeight="1" x14ac:dyDescent="0.25">
      <c r="A22" s="114" t="s">
        <v>90</v>
      </c>
      <c r="B22" s="35"/>
      <c r="C22" s="136"/>
      <c r="D22" s="35"/>
      <c r="E22" s="35"/>
      <c r="F22" s="119"/>
      <c r="G22" s="119"/>
      <c r="H22" s="121" t="str">
        <f t="shared" si="0"/>
        <v/>
      </c>
      <c r="I22" s="36"/>
      <c r="J22" s="36"/>
    </row>
    <row r="23" spans="1:10" s="113" customFormat="1" ht="18.75" customHeight="1" x14ac:dyDescent="0.25">
      <c r="A23" s="114" t="s">
        <v>91</v>
      </c>
      <c r="B23" s="35"/>
      <c r="C23" s="136"/>
      <c r="D23" s="35"/>
      <c r="E23" s="35"/>
      <c r="F23" s="119"/>
      <c r="G23" s="119"/>
      <c r="H23" s="121" t="str">
        <f t="shared" si="0"/>
        <v/>
      </c>
      <c r="I23" s="36"/>
      <c r="J23" s="36"/>
    </row>
    <row r="24" spans="1:10" s="113" customFormat="1" ht="18.75" customHeight="1" thickBot="1" x14ac:dyDescent="0.3">
      <c r="A24" s="114" t="s">
        <v>92</v>
      </c>
      <c r="B24" s="35"/>
      <c r="C24" s="136"/>
      <c r="D24" s="35"/>
      <c r="E24" s="35"/>
      <c r="F24" s="119"/>
      <c r="G24" s="119"/>
      <c r="H24" s="121" t="str">
        <f t="shared" si="0"/>
        <v/>
      </c>
      <c r="I24" s="36"/>
      <c r="J24" s="36"/>
    </row>
    <row r="25" spans="1:10" s="113" customFormat="1" ht="18.75" hidden="1" customHeight="1" thickBot="1" x14ac:dyDescent="0.3">
      <c r="A25" s="114" t="s">
        <v>93</v>
      </c>
      <c r="B25" s="35"/>
      <c r="C25" s="136"/>
      <c r="D25" s="35"/>
      <c r="E25" s="35"/>
      <c r="F25" s="119"/>
      <c r="G25" s="119"/>
      <c r="H25" s="121" t="str">
        <f t="shared" si="0"/>
        <v/>
      </c>
      <c r="I25" s="36"/>
      <c r="J25" s="37"/>
    </row>
    <row r="26" spans="1:10" s="113" customFormat="1" ht="18.75" customHeight="1" thickBot="1" x14ac:dyDescent="0.3">
      <c r="A26" s="115"/>
      <c r="B26" s="116">
        <f>COUNTA(B11:B25)</f>
        <v>0</v>
      </c>
      <c r="C26" s="115"/>
      <c r="D26" s="115"/>
      <c r="E26" s="117"/>
      <c r="I26" s="116">
        <f>SUM(I11:I25)</f>
        <v>0</v>
      </c>
    </row>
    <row r="27" spans="1:10" x14ac:dyDescent="0.25">
      <c r="A27" s="1373"/>
      <c r="B27" s="1374"/>
      <c r="C27" s="1374"/>
      <c r="D27" s="1374"/>
      <c r="E27" s="97"/>
    </row>
    <row r="28" spans="1:10" x14ac:dyDescent="0.25">
      <c r="A28" s="1373"/>
      <c r="B28" s="1374"/>
      <c r="C28" s="1374"/>
      <c r="D28" s="1374"/>
      <c r="E28" s="97"/>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W7cfcSJ5Siocw0diLg0aIem116snAs+9k/M7bD3Ww3xEV2z2ck6M8Kx5JmH/5SXuEaw3HG3FqlTazwdTLnZYtQ==" saltValue="uieAdCM1CspNAXDHHGCmcA==" spinCount="100000" sheet="1" objects="1" scenarios="1"/>
  <mergeCells count="12">
    <mergeCell ref="F9:H9"/>
    <mergeCell ref="I9:J9"/>
    <mergeCell ref="B1:I1"/>
    <mergeCell ref="B2:I2"/>
    <mergeCell ref="B3:C3"/>
    <mergeCell ref="E9:E10"/>
    <mergeCell ref="A28:D28"/>
    <mergeCell ref="A27:D27"/>
    <mergeCell ref="A9:A10"/>
    <mergeCell ref="B9:B10"/>
    <mergeCell ref="C9:C10"/>
    <mergeCell ref="D9:D10"/>
  </mergeCell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&amp;10&amp;KFF0000heilpädagogische Fachkräfte&amp;R&amp;G</oddHeader>
    <oddFooter>&amp;C&amp;"Arial,Standard"&amp;8Ausfertigung vom &amp;D &amp;T&amp;R&amp;"Arial,Standard"&amp;8&amp;P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92D050"/>
  </sheetPr>
  <dimension ref="A1:O111"/>
  <sheetViews>
    <sheetView showGridLines="0" view="pageLayout" zoomScale="90" zoomScaleNormal="100" zoomScalePageLayoutView="90" workbookViewId="0">
      <selection activeCell="B1" sqref="B1:C1"/>
    </sheetView>
  </sheetViews>
  <sheetFormatPr baseColWidth="10" defaultRowHeight="15" x14ac:dyDescent="0.25"/>
  <cols>
    <col min="1" max="1" width="36.7109375" style="142" customWidth="1"/>
    <col min="2" max="2" width="12.7109375" style="142" customWidth="1"/>
    <col min="3" max="3" width="12.5703125" style="142" customWidth="1"/>
    <col min="4" max="14" width="12.7109375" style="142" customWidth="1"/>
    <col min="15" max="15" width="5.140625" style="142" customWidth="1"/>
    <col min="16" max="16384" width="11.42578125" style="142"/>
  </cols>
  <sheetData>
    <row r="1" spans="1:14" x14ac:dyDescent="0.2">
      <c r="A1" s="816" t="s">
        <v>229</v>
      </c>
      <c r="B1" s="1103">
        <f>IF(Grundlagen!$C$4="","",Grundlagen!$C$4)</f>
        <v>2025</v>
      </c>
      <c r="C1" s="1103"/>
      <c r="D1" s="680"/>
      <c r="E1" s="680"/>
      <c r="F1" s="680"/>
      <c r="G1" s="680"/>
      <c r="H1" s="680"/>
      <c r="I1" s="680"/>
      <c r="J1" s="680"/>
      <c r="K1" s="680"/>
      <c r="L1" s="680"/>
      <c r="M1" s="680"/>
    </row>
    <row r="2" spans="1:14" x14ac:dyDescent="0.25">
      <c r="A2" s="816" t="s">
        <v>17</v>
      </c>
      <c r="B2" s="1102" t="str">
        <f>IF(Grundlagen!$C$6="","",Grundlagen!$C$6)</f>
        <v/>
      </c>
      <c r="C2" s="1102"/>
      <c r="D2" s="1102"/>
      <c r="E2" s="1102"/>
      <c r="F2" s="1102"/>
      <c r="G2" s="1102"/>
      <c r="H2" s="1102"/>
      <c r="I2" s="1102"/>
      <c r="J2" s="1102"/>
      <c r="K2" s="1102"/>
      <c r="L2" s="1102"/>
      <c r="M2" s="1102"/>
    </row>
    <row r="3" spans="1:14" x14ac:dyDescent="0.25">
      <c r="A3" s="816" t="s">
        <v>16</v>
      </c>
      <c r="B3" s="1102" t="str">
        <f>IF(Grundlagen!$C$9="","",Grundlagen!$C$9)</f>
        <v/>
      </c>
      <c r="C3" s="1102"/>
      <c r="D3" s="1102"/>
      <c r="E3" s="1102"/>
      <c r="F3" s="1102"/>
      <c r="G3" s="1102"/>
      <c r="H3" s="1102"/>
      <c r="I3" s="1102"/>
      <c r="J3" s="1102"/>
      <c r="K3" s="1102"/>
      <c r="L3" s="1102"/>
      <c r="M3" s="1102"/>
      <c r="N3" s="680"/>
    </row>
    <row r="4" spans="1:14" hidden="1" x14ac:dyDescent="0.25">
      <c r="A4" s="1110"/>
      <c r="B4" s="1110"/>
      <c r="C4" s="1110"/>
      <c r="D4" s="1110"/>
      <c r="E4" s="1110"/>
      <c r="F4" s="1110"/>
      <c r="G4" s="1110"/>
      <c r="H4" s="1110"/>
      <c r="I4" s="1110"/>
      <c r="J4" s="1110"/>
      <c r="K4" s="1110"/>
      <c r="L4" s="1110"/>
      <c r="M4" s="1110"/>
      <c r="N4" s="680"/>
    </row>
    <row r="5" spans="1:14" x14ac:dyDescent="0.25">
      <c r="A5" s="681"/>
      <c r="B5" s="682" t="s">
        <v>612</v>
      </c>
      <c r="C5" s="682" t="s">
        <v>612</v>
      </c>
      <c r="D5" s="682" t="s">
        <v>612</v>
      </c>
      <c r="E5" s="682" t="s">
        <v>612</v>
      </c>
      <c r="F5" s="682" t="s">
        <v>612</v>
      </c>
      <c r="G5" s="682" t="s">
        <v>612</v>
      </c>
      <c r="H5" s="682" t="s">
        <v>612</v>
      </c>
      <c r="I5" s="682" t="s">
        <v>612</v>
      </c>
      <c r="J5" s="682" t="s">
        <v>612</v>
      </c>
      <c r="K5" s="682" t="s">
        <v>612</v>
      </c>
      <c r="L5" s="682" t="s">
        <v>612</v>
      </c>
      <c r="M5" s="682" t="s">
        <v>612</v>
      </c>
    </row>
    <row r="6" spans="1:14" x14ac:dyDescent="0.25">
      <c r="A6" s="683"/>
      <c r="B6" s="684" t="s">
        <v>613</v>
      </c>
      <c r="C6" s="684" t="s">
        <v>614</v>
      </c>
      <c r="D6" s="684" t="s">
        <v>615</v>
      </c>
      <c r="E6" s="684" t="s">
        <v>616</v>
      </c>
      <c r="F6" s="684" t="s">
        <v>617</v>
      </c>
      <c r="G6" s="684" t="s">
        <v>618</v>
      </c>
      <c r="H6" s="684" t="s">
        <v>619</v>
      </c>
      <c r="I6" s="684" t="s">
        <v>620</v>
      </c>
      <c r="J6" s="684" t="s">
        <v>621</v>
      </c>
      <c r="K6" s="684" t="s">
        <v>622</v>
      </c>
      <c r="L6" s="684" t="s">
        <v>623</v>
      </c>
      <c r="M6" s="684" t="s">
        <v>624</v>
      </c>
      <c r="N6" s="685"/>
    </row>
    <row r="7" spans="1:14" x14ac:dyDescent="0.25">
      <c r="A7" s="686" t="s">
        <v>625</v>
      </c>
      <c r="B7" s="687"/>
      <c r="C7" s="687"/>
      <c r="D7" s="687"/>
      <c r="E7" s="687"/>
      <c r="F7" s="687"/>
      <c r="G7" s="687"/>
      <c r="H7" s="687"/>
      <c r="I7" s="687"/>
      <c r="J7" s="687"/>
      <c r="K7" s="687"/>
      <c r="L7" s="687"/>
      <c r="M7" s="687"/>
      <c r="N7" s="688"/>
    </row>
    <row r="8" spans="1:14" x14ac:dyDescent="0.25">
      <c r="A8" s="689" t="s">
        <v>626</v>
      </c>
      <c r="B8" s="717"/>
      <c r="C8" s="717"/>
      <c r="D8" s="717"/>
      <c r="E8" s="717"/>
      <c r="F8" s="717"/>
      <c r="G8" s="717"/>
      <c r="H8" s="717"/>
      <c r="I8" s="717"/>
      <c r="J8" s="717"/>
      <c r="K8" s="717"/>
      <c r="L8" s="717"/>
      <c r="M8" s="717"/>
      <c r="N8" s="690"/>
    </row>
    <row r="9" spans="1:14" x14ac:dyDescent="0.25">
      <c r="A9" s="691" t="s">
        <v>627</v>
      </c>
      <c r="B9" s="718"/>
      <c r="C9" s="718"/>
      <c r="D9" s="718"/>
      <c r="E9" s="718"/>
      <c r="F9" s="718"/>
      <c r="G9" s="718"/>
      <c r="H9" s="718"/>
      <c r="I9" s="718"/>
      <c r="J9" s="718"/>
      <c r="K9" s="718"/>
      <c r="L9" s="718"/>
      <c r="M9" s="718"/>
      <c r="N9" s="690"/>
    </row>
    <row r="10" spans="1:14" x14ac:dyDescent="0.25">
      <c r="A10" s="693" t="s">
        <v>628</v>
      </c>
      <c r="B10" s="718"/>
      <c r="C10" s="718"/>
      <c r="D10" s="718"/>
      <c r="E10" s="718"/>
      <c r="F10" s="718"/>
      <c r="G10" s="718"/>
      <c r="H10" s="718"/>
      <c r="I10" s="718"/>
      <c r="J10" s="718"/>
      <c r="K10" s="718"/>
      <c r="L10" s="718"/>
      <c r="M10" s="718"/>
      <c r="N10" s="690"/>
    </row>
    <row r="11" spans="1:14" x14ac:dyDescent="0.25">
      <c r="A11" s="693" t="s">
        <v>629</v>
      </c>
      <c r="B11" s="718"/>
      <c r="C11" s="718"/>
      <c r="D11" s="718"/>
      <c r="E11" s="718"/>
      <c r="F11" s="718"/>
      <c r="G11" s="718"/>
      <c r="H11" s="718"/>
      <c r="I11" s="718"/>
      <c r="J11" s="718"/>
      <c r="K11" s="718"/>
      <c r="L11" s="718"/>
      <c r="M11" s="718"/>
      <c r="N11" s="690"/>
    </row>
    <row r="12" spans="1:14" x14ac:dyDescent="0.25">
      <c r="A12" s="693" t="s">
        <v>630</v>
      </c>
      <c r="B12" s="718"/>
      <c r="C12" s="718"/>
      <c r="D12" s="718"/>
      <c r="E12" s="718"/>
      <c r="F12" s="718"/>
      <c r="G12" s="718"/>
      <c r="H12" s="718"/>
      <c r="I12" s="718"/>
      <c r="J12" s="718"/>
      <c r="K12" s="718"/>
      <c r="L12" s="718"/>
      <c r="M12" s="718"/>
      <c r="N12" s="690"/>
    </row>
    <row r="13" spans="1:14" x14ac:dyDescent="0.25">
      <c r="A13" s="693" t="s">
        <v>631</v>
      </c>
      <c r="B13" s="718"/>
      <c r="C13" s="718"/>
      <c r="D13" s="718"/>
      <c r="E13" s="718"/>
      <c r="F13" s="718"/>
      <c r="G13" s="718"/>
      <c r="H13" s="718"/>
      <c r="I13" s="718"/>
      <c r="J13" s="718"/>
      <c r="K13" s="718"/>
      <c r="L13" s="718"/>
      <c r="M13" s="718"/>
      <c r="N13" s="690"/>
    </row>
    <row r="14" spans="1:14" ht="15.75" thickBot="1" x14ac:dyDescent="0.3">
      <c r="A14" s="693" t="s">
        <v>632</v>
      </c>
      <c r="B14" s="718"/>
      <c r="C14" s="718"/>
      <c r="D14" s="718"/>
      <c r="E14" s="718"/>
      <c r="F14" s="718"/>
      <c r="G14" s="718"/>
      <c r="H14" s="718"/>
      <c r="I14" s="718"/>
      <c r="J14" s="718"/>
      <c r="K14" s="718"/>
      <c r="L14" s="718"/>
      <c r="M14" s="718"/>
      <c r="N14" s="690"/>
    </row>
    <row r="15" spans="1:14" ht="15.75" hidden="1" thickBot="1" x14ac:dyDescent="0.3">
      <c r="A15" s="694" t="s">
        <v>633</v>
      </c>
      <c r="B15" s="692"/>
      <c r="C15" s="692"/>
      <c r="D15" s="692"/>
      <c r="E15" s="692"/>
      <c r="F15" s="692"/>
      <c r="G15" s="692"/>
      <c r="H15" s="692"/>
      <c r="I15" s="692"/>
      <c r="J15" s="692"/>
      <c r="K15" s="692"/>
      <c r="L15" s="692"/>
      <c r="M15" s="692"/>
      <c r="N15" s="695"/>
    </row>
    <row r="16" spans="1:14" ht="15.75" thickBot="1" x14ac:dyDescent="0.3">
      <c r="A16" s="696"/>
      <c r="B16" s="697">
        <f t="shared" ref="B16:M16" si="0">SUM(B8:B15)</f>
        <v>0</v>
      </c>
      <c r="C16" s="698">
        <f t="shared" si="0"/>
        <v>0</v>
      </c>
      <c r="D16" s="698">
        <f t="shared" si="0"/>
        <v>0</v>
      </c>
      <c r="E16" s="698">
        <f t="shared" si="0"/>
        <v>0</v>
      </c>
      <c r="F16" s="698">
        <f t="shared" si="0"/>
        <v>0</v>
      </c>
      <c r="G16" s="698">
        <f t="shared" si="0"/>
        <v>0</v>
      </c>
      <c r="H16" s="698">
        <f t="shared" si="0"/>
        <v>0</v>
      </c>
      <c r="I16" s="698">
        <f t="shared" si="0"/>
        <v>0</v>
      </c>
      <c r="J16" s="698">
        <f t="shared" si="0"/>
        <v>0</v>
      </c>
      <c r="K16" s="698">
        <f t="shared" si="0"/>
        <v>0</v>
      </c>
      <c r="L16" s="698">
        <f t="shared" si="0"/>
        <v>0</v>
      </c>
      <c r="M16" s="699">
        <f t="shared" si="0"/>
        <v>0</v>
      </c>
      <c r="N16" s="700">
        <f>IF(Grundlagen!C26="",0,SUM(B16:M16)/Grundlagen!C26)</f>
        <v>0</v>
      </c>
    </row>
    <row r="17" spans="1:14" x14ac:dyDescent="0.25">
      <c r="A17" s="686" t="s">
        <v>634</v>
      </c>
      <c r="B17" s="701"/>
      <c r="C17" s="701"/>
      <c r="D17" s="701"/>
      <c r="E17" s="701"/>
      <c r="F17" s="701"/>
      <c r="G17" s="701"/>
      <c r="H17" s="701"/>
      <c r="I17" s="701"/>
      <c r="J17" s="701"/>
      <c r="K17" s="701"/>
      <c r="L17" s="701"/>
      <c r="M17" s="701"/>
      <c r="N17" s="688"/>
    </row>
    <row r="18" spans="1:14" x14ac:dyDescent="0.25">
      <c r="A18" s="702" t="s">
        <v>626</v>
      </c>
      <c r="B18" s="1061"/>
      <c r="C18" s="1061"/>
      <c r="D18" s="1061"/>
      <c r="E18" s="1061"/>
      <c r="F18" s="1061"/>
      <c r="G18" s="1061"/>
      <c r="H18" s="1061"/>
      <c r="I18" s="1061"/>
      <c r="J18" s="1061"/>
      <c r="K18" s="1061"/>
      <c r="L18" s="1061"/>
      <c r="M18" s="1061"/>
      <c r="N18" s="690"/>
    </row>
    <row r="19" spans="1:14" x14ac:dyDescent="0.25">
      <c r="A19" s="704" t="s">
        <v>627</v>
      </c>
      <c r="B19" s="1061"/>
      <c r="C19" s="1061"/>
      <c r="D19" s="1061"/>
      <c r="E19" s="1061"/>
      <c r="F19" s="1061"/>
      <c r="G19" s="1061"/>
      <c r="H19" s="1061"/>
      <c r="I19" s="1061"/>
      <c r="J19" s="1061"/>
      <c r="K19" s="1061"/>
      <c r="L19" s="1061"/>
      <c r="M19" s="1061"/>
      <c r="N19" s="690"/>
    </row>
    <row r="20" spans="1:14" x14ac:dyDescent="0.25">
      <c r="A20" s="704" t="s">
        <v>628</v>
      </c>
      <c r="B20" s="1061"/>
      <c r="C20" s="1061"/>
      <c r="D20" s="1061"/>
      <c r="E20" s="1061"/>
      <c r="F20" s="1061"/>
      <c r="G20" s="1061"/>
      <c r="H20" s="1061"/>
      <c r="I20" s="1061"/>
      <c r="J20" s="1061"/>
      <c r="K20" s="1061"/>
      <c r="L20" s="1061"/>
      <c r="M20" s="1061"/>
      <c r="N20" s="690"/>
    </row>
    <row r="21" spans="1:14" x14ac:dyDescent="0.25">
      <c r="A21" s="704" t="s">
        <v>629</v>
      </c>
      <c r="B21" s="1061"/>
      <c r="C21" s="1061"/>
      <c r="D21" s="1061"/>
      <c r="E21" s="1061"/>
      <c r="F21" s="1061"/>
      <c r="G21" s="1061"/>
      <c r="H21" s="1061"/>
      <c r="I21" s="1061"/>
      <c r="J21" s="1061"/>
      <c r="K21" s="1061"/>
      <c r="L21" s="1061"/>
      <c r="M21" s="1061"/>
      <c r="N21" s="690"/>
    </row>
    <row r="22" spans="1:14" x14ac:dyDescent="0.25">
      <c r="A22" s="704" t="s">
        <v>630</v>
      </c>
      <c r="B22" s="1061"/>
      <c r="C22" s="1061"/>
      <c r="D22" s="1061"/>
      <c r="E22" s="1061"/>
      <c r="F22" s="1061"/>
      <c r="G22" s="1061"/>
      <c r="H22" s="1061"/>
      <c r="I22" s="1061"/>
      <c r="J22" s="1061"/>
      <c r="K22" s="1061"/>
      <c r="L22" s="1061"/>
      <c r="M22" s="1061"/>
      <c r="N22" s="690"/>
    </row>
    <row r="23" spans="1:14" x14ac:dyDescent="0.25">
      <c r="A23" s="704" t="s">
        <v>631</v>
      </c>
      <c r="B23" s="1061"/>
      <c r="C23" s="1061"/>
      <c r="D23" s="1061"/>
      <c r="E23" s="1061"/>
      <c r="F23" s="1061"/>
      <c r="G23" s="1061"/>
      <c r="H23" s="1061"/>
      <c r="I23" s="1061"/>
      <c r="J23" s="1061"/>
      <c r="K23" s="1061"/>
      <c r="L23" s="1061"/>
      <c r="M23" s="1061"/>
      <c r="N23" s="690"/>
    </row>
    <row r="24" spans="1:14" ht="15.75" thickBot="1" x14ac:dyDescent="0.3">
      <c r="A24" s="704" t="s">
        <v>632</v>
      </c>
      <c r="B24" s="1061"/>
      <c r="C24" s="1061"/>
      <c r="D24" s="1061"/>
      <c r="E24" s="1061"/>
      <c r="F24" s="1061"/>
      <c r="G24" s="1061"/>
      <c r="H24" s="1061"/>
      <c r="I24" s="1061"/>
      <c r="J24" s="1061"/>
      <c r="K24" s="1061"/>
      <c r="L24" s="1061"/>
      <c r="M24" s="1061"/>
      <c r="N24" s="690"/>
    </row>
    <row r="25" spans="1:14" ht="15.75" hidden="1" thickBot="1" x14ac:dyDescent="0.3">
      <c r="A25" s="705" t="s">
        <v>633</v>
      </c>
      <c r="B25" s="703"/>
      <c r="C25" s="703"/>
      <c r="D25" s="703"/>
      <c r="E25" s="703"/>
      <c r="F25" s="703"/>
      <c r="G25" s="703"/>
      <c r="H25" s="703"/>
      <c r="I25" s="703"/>
      <c r="J25" s="703"/>
      <c r="K25" s="703"/>
      <c r="L25" s="703"/>
      <c r="M25" s="703"/>
      <c r="N25" s="695"/>
    </row>
    <row r="26" spans="1:14" ht="15.75" thickBot="1" x14ac:dyDescent="0.3">
      <c r="A26" s="696"/>
      <c r="B26" s="706">
        <f t="shared" ref="B26:M26" si="1">SUM(B18:B25)</f>
        <v>0</v>
      </c>
      <c r="C26" s="707">
        <f t="shared" si="1"/>
        <v>0</v>
      </c>
      <c r="D26" s="707">
        <f t="shared" si="1"/>
        <v>0</v>
      </c>
      <c r="E26" s="707">
        <f t="shared" si="1"/>
        <v>0</v>
      </c>
      <c r="F26" s="707">
        <f t="shared" si="1"/>
        <v>0</v>
      </c>
      <c r="G26" s="707">
        <f t="shared" si="1"/>
        <v>0</v>
      </c>
      <c r="H26" s="707">
        <f t="shared" si="1"/>
        <v>0</v>
      </c>
      <c r="I26" s="707">
        <f>SUM(I18:I25)</f>
        <v>0</v>
      </c>
      <c r="J26" s="707">
        <f t="shared" si="1"/>
        <v>0</v>
      </c>
      <c r="K26" s="707">
        <f t="shared" si="1"/>
        <v>0</v>
      </c>
      <c r="L26" s="707">
        <f t="shared" si="1"/>
        <v>0</v>
      </c>
      <c r="M26" s="708">
        <f t="shared" si="1"/>
        <v>0</v>
      </c>
      <c r="N26" s="709">
        <f>IF(Grundlagen!C26="",0,SUM(B26:M26)/Grundlagen!C26)</f>
        <v>0</v>
      </c>
    </row>
    <row r="27" spans="1:14" x14ac:dyDescent="0.25">
      <c r="A27" s="710"/>
      <c r="B27" s="714"/>
      <c r="C27" s="714"/>
      <c r="D27" s="714"/>
      <c r="E27" s="714"/>
      <c r="F27" s="714"/>
      <c r="G27" s="714"/>
      <c r="H27" s="714"/>
      <c r="I27" s="714"/>
      <c r="J27" s="714"/>
      <c r="K27" s="714"/>
      <c r="L27" s="714"/>
      <c r="M27" s="714"/>
      <c r="N27" s="715"/>
    </row>
    <row r="28" spans="1:14" hidden="1" x14ac:dyDescent="0.25">
      <c r="A28" s="713" t="s">
        <v>635</v>
      </c>
      <c r="B28" s="714"/>
      <c r="C28" s="714"/>
      <c r="D28" s="714"/>
      <c r="E28" s="714"/>
      <c r="F28" s="714"/>
      <c r="G28" s="714"/>
      <c r="H28" s="714"/>
      <c r="I28" s="714"/>
      <c r="J28" s="714"/>
      <c r="K28" s="714"/>
      <c r="L28" s="714"/>
      <c r="M28" s="714"/>
      <c r="N28" s="715"/>
    </row>
    <row r="29" spans="1:14" ht="15.75" customHeight="1" x14ac:dyDescent="0.2">
      <c r="A29" s="716" t="s">
        <v>636</v>
      </c>
      <c r="B29" s="1106" t="s">
        <v>674</v>
      </c>
      <c r="C29" s="1106"/>
      <c r="D29" s="1106"/>
      <c r="E29" s="1106"/>
      <c r="F29" s="1106"/>
      <c r="G29" s="1106"/>
      <c r="H29" s="1106"/>
      <c r="I29" s="1106"/>
      <c r="J29" s="1106"/>
      <c r="K29" s="1106"/>
      <c r="L29" s="1106"/>
      <c r="M29" s="1106"/>
      <c r="N29" s="688"/>
    </row>
    <row r="30" spans="1:14" x14ac:dyDescent="0.25">
      <c r="A30" s="689" t="s">
        <v>637</v>
      </c>
      <c r="B30" s="717"/>
      <c r="C30" s="717"/>
      <c r="D30" s="717"/>
      <c r="E30" s="717"/>
      <c r="F30" s="717"/>
      <c r="G30" s="717"/>
      <c r="H30" s="717"/>
      <c r="I30" s="717"/>
      <c r="J30" s="717"/>
      <c r="K30" s="717"/>
      <c r="L30" s="717"/>
      <c r="M30" s="717"/>
      <c r="N30" s="690"/>
    </row>
    <row r="31" spans="1:14" x14ac:dyDescent="0.25">
      <c r="A31" s="693" t="s">
        <v>638</v>
      </c>
      <c r="B31" s="718"/>
      <c r="C31" s="718"/>
      <c r="D31" s="718"/>
      <c r="E31" s="718"/>
      <c r="F31" s="718"/>
      <c r="G31" s="718"/>
      <c r="H31" s="718"/>
      <c r="I31" s="718"/>
      <c r="J31" s="718"/>
      <c r="K31" s="718"/>
      <c r="L31" s="718"/>
      <c r="M31" s="718"/>
      <c r="N31" s="690"/>
    </row>
    <row r="32" spans="1:14" x14ac:dyDescent="0.25">
      <c r="A32" s="693" t="s">
        <v>639</v>
      </c>
      <c r="B32" s="718"/>
      <c r="C32" s="718"/>
      <c r="D32" s="718"/>
      <c r="E32" s="718"/>
      <c r="F32" s="718"/>
      <c r="G32" s="718"/>
      <c r="H32" s="718"/>
      <c r="I32" s="718"/>
      <c r="J32" s="718"/>
      <c r="K32" s="718"/>
      <c r="L32" s="718"/>
      <c r="M32" s="718"/>
      <c r="N32" s="690"/>
    </row>
    <row r="33" spans="1:14" x14ac:dyDescent="0.25">
      <c r="A33" s="693" t="s">
        <v>626</v>
      </c>
      <c r="B33" s="718"/>
      <c r="C33" s="718"/>
      <c r="D33" s="718"/>
      <c r="E33" s="718"/>
      <c r="F33" s="718"/>
      <c r="G33" s="718"/>
      <c r="H33" s="718"/>
      <c r="I33" s="718"/>
      <c r="J33" s="718"/>
      <c r="K33" s="718"/>
      <c r="L33" s="718"/>
      <c r="M33" s="718"/>
      <c r="N33" s="690"/>
    </row>
    <row r="34" spans="1:14" x14ac:dyDescent="0.25">
      <c r="A34" s="693" t="s">
        <v>627</v>
      </c>
      <c r="B34" s="718"/>
      <c r="C34" s="718"/>
      <c r="D34" s="718"/>
      <c r="E34" s="718"/>
      <c r="F34" s="718"/>
      <c r="G34" s="718"/>
      <c r="H34" s="718"/>
      <c r="I34" s="718"/>
      <c r="J34" s="718"/>
      <c r="K34" s="718"/>
      <c r="L34" s="718"/>
      <c r="M34" s="718"/>
      <c r="N34" s="690"/>
    </row>
    <row r="35" spans="1:14" ht="15.75" thickBot="1" x14ac:dyDescent="0.3">
      <c r="A35" s="693" t="s">
        <v>628</v>
      </c>
      <c r="B35" s="718"/>
      <c r="C35" s="718"/>
      <c r="D35" s="718"/>
      <c r="E35" s="718"/>
      <c r="F35" s="718"/>
      <c r="G35" s="718"/>
      <c r="H35" s="718"/>
      <c r="I35" s="718"/>
      <c r="J35" s="718"/>
      <c r="K35" s="718"/>
      <c r="L35" s="718"/>
      <c r="M35" s="718"/>
      <c r="N35" s="690"/>
    </row>
    <row r="36" spans="1:14" ht="15.75" thickBot="1" x14ac:dyDescent="0.3">
      <c r="A36" s="696"/>
      <c r="B36" s="697">
        <f t="shared" ref="B36:M36" si="2">SUM(B30:B35)</f>
        <v>0</v>
      </c>
      <c r="C36" s="698">
        <f t="shared" si="2"/>
        <v>0</v>
      </c>
      <c r="D36" s="698">
        <f t="shared" si="2"/>
        <v>0</v>
      </c>
      <c r="E36" s="698">
        <f t="shared" si="2"/>
        <v>0</v>
      </c>
      <c r="F36" s="698">
        <f t="shared" si="2"/>
        <v>0</v>
      </c>
      <c r="G36" s="698">
        <f t="shared" si="2"/>
        <v>0</v>
      </c>
      <c r="H36" s="698">
        <f t="shared" si="2"/>
        <v>0</v>
      </c>
      <c r="I36" s="698">
        <f t="shared" si="2"/>
        <v>0</v>
      </c>
      <c r="J36" s="698">
        <f t="shared" si="2"/>
        <v>0</v>
      </c>
      <c r="K36" s="698">
        <f t="shared" si="2"/>
        <v>0</v>
      </c>
      <c r="L36" s="698">
        <f t="shared" si="2"/>
        <v>0</v>
      </c>
      <c r="M36" s="699">
        <f t="shared" si="2"/>
        <v>0</v>
      </c>
      <c r="N36" s="700">
        <f>IF(Grundlagen!C26="",0,SUM(B36:M36)/Grundlagen!C26)</f>
        <v>0</v>
      </c>
    </row>
    <row r="37" spans="1:14" x14ac:dyDescent="0.2">
      <c r="A37" s="686" t="s">
        <v>640</v>
      </c>
      <c r="B37" s="1107" t="s">
        <v>641</v>
      </c>
      <c r="C37" s="1107"/>
      <c r="D37" s="1107"/>
      <c r="E37" s="1107"/>
      <c r="F37" s="1107"/>
      <c r="G37" s="1107"/>
      <c r="H37" s="1107"/>
      <c r="I37" s="1107"/>
      <c r="J37" s="1107"/>
      <c r="K37" s="1107"/>
      <c r="L37" s="1107"/>
      <c r="M37" s="1107"/>
      <c r="N37" s="688"/>
    </row>
    <row r="38" spans="1:14" x14ac:dyDescent="0.25">
      <c r="A38" s="689" t="s">
        <v>637</v>
      </c>
      <c r="B38" s="717"/>
      <c r="C38" s="717"/>
      <c r="D38" s="717"/>
      <c r="E38" s="717"/>
      <c r="F38" s="717"/>
      <c r="G38" s="717"/>
      <c r="H38" s="717"/>
      <c r="I38" s="717"/>
      <c r="J38" s="717"/>
      <c r="K38" s="717"/>
      <c r="L38" s="717"/>
      <c r="M38" s="717"/>
      <c r="N38" s="690"/>
    </row>
    <row r="39" spans="1:14" x14ac:dyDescent="0.25">
      <c r="A39" s="693" t="s">
        <v>638</v>
      </c>
      <c r="B39" s="718"/>
      <c r="C39" s="718"/>
      <c r="D39" s="718"/>
      <c r="E39" s="718"/>
      <c r="F39" s="718"/>
      <c r="G39" s="718"/>
      <c r="H39" s="718"/>
      <c r="I39" s="718"/>
      <c r="J39" s="718"/>
      <c r="K39" s="718"/>
      <c r="L39" s="718"/>
      <c r="M39" s="718"/>
      <c r="N39" s="690"/>
    </row>
    <row r="40" spans="1:14" x14ac:dyDescent="0.25">
      <c r="A40" s="693" t="s">
        <v>639</v>
      </c>
      <c r="B40" s="718"/>
      <c r="C40" s="718"/>
      <c r="D40" s="718"/>
      <c r="E40" s="718"/>
      <c r="F40" s="718"/>
      <c r="G40" s="718"/>
      <c r="H40" s="718"/>
      <c r="I40" s="718"/>
      <c r="J40" s="718"/>
      <c r="K40" s="718"/>
      <c r="L40" s="718"/>
      <c r="M40" s="718"/>
      <c r="N40" s="690"/>
    </row>
    <row r="41" spans="1:14" x14ac:dyDescent="0.25">
      <c r="A41" s="693" t="s">
        <v>626</v>
      </c>
      <c r="B41" s="718"/>
      <c r="C41" s="718"/>
      <c r="D41" s="718"/>
      <c r="E41" s="718"/>
      <c r="F41" s="718"/>
      <c r="G41" s="718"/>
      <c r="H41" s="718"/>
      <c r="I41" s="718"/>
      <c r="J41" s="718"/>
      <c r="K41" s="718"/>
      <c r="L41" s="718"/>
      <c r="M41" s="718"/>
      <c r="N41" s="690"/>
    </row>
    <row r="42" spans="1:14" x14ac:dyDescent="0.25">
      <c r="A42" s="693" t="s">
        <v>627</v>
      </c>
      <c r="B42" s="718"/>
      <c r="C42" s="718"/>
      <c r="D42" s="718"/>
      <c r="E42" s="718"/>
      <c r="F42" s="718"/>
      <c r="G42" s="718"/>
      <c r="H42" s="718"/>
      <c r="I42" s="718"/>
      <c r="J42" s="718"/>
      <c r="K42" s="718"/>
      <c r="L42" s="718"/>
      <c r="M42" s="718"/>
      <c r="N42" s="690"/>
    </row>
    <row r="43" spans="1:14" x14ac:dyDescent="0.25">
      <c r="A43" s="693" t="s">
        <v>628</v>
      </c>
      <c r="B43" s="718"/>
      <c r="C43" s="718"/>
      <c r="D43" s="718"/>
      <c r="E43" s="718"/>
      <c r="F43" s="718"/>
      <c r="G43" s="718"/>
      <c r="H43" s="718"/>
      <c r="I43" s="718"/>
      <c r="J43" s="718"/>
      <c r="K43" s="718"/>
      <c r="L43" s="718"/>
      <c r="M43" s="718"/>
      <c r="N43" s="690"/>
    </row>
    <row r="44" spans="1:14" x14ac:dyDescent="0.25">
      <c r="A44" s="693" t="s">
        <v>629</v>
      </c>
      <c r="B44" s="718"/>
      <c r="C44" s="718"/>
      <c r="D44" s="718"/>
      <c r="E44" s="718"/>
      <c r="F44" s="718"/>
      <c r="G44" s="718"/>
      <c r="H44" s="718"/>
      <c r="I44" s="718"/>
      <c r="J44" s="718"/>
      <c r="K44" s="718"/>
      <c r="L44" s="718"/>
      <c r="M44" s="718"/>
      <c r="N44" s="690"/>
    </row>
    <row r="45" spans="1:14" x14ac:dyDescent="0.25">
      <c r="A45" s="693" t="s">
        <v>630</v>
      </c>
      <c r="B45" s="718"/>
      <c r="C45" s="718"/>
      <c r="D45" s="718"/>
      <c r="E45" s="718"/>
      <c r="F45" s="718"/>
      <c r="G45" s="718"/>
      <c r="H45" s="718"/>
      <c r="I45" s="718"/>
      <c r="J45" s="718"/>
      <c r="K45" s="718"/>
      <c r="L45" s="718"/>
      <c r="M45" s="718"/>
      <c r="N45" s="690"/>
    </row>
    <row r="46" spans="1:14" x14ac:dyDescent="0.25">
      <c r="A46" s="693" t="s">
        <v>631</v>
      </c>
      <c r="B46" s="718"/>
      <c r="C46" s="718"/>
      <c r="D46" s="718"/>
      <c r="E46" s="718"/>
      <c r="F46" s="718"/>
      <c r="G46" s="718"/>
      <c r="H46" s="718"/>
      <c r="I46" s="718"/>
      <c r="J46" s="718"/>
      <c r="K46" s="718"/>
      <c r="L46" s="718"/>
      <c r="M46" s="718"/>
      <c r="N46" s="719"/>
    </row>
    <row r="47" spans="1:14" ht="15.75" thickBot="1" x14ac:dyDescent="0.3">
      <c r="A47" s="720" t="s">
        <v>642</v>
      </c>
      <c r="B47" s="721"/>
      <c r="C47" s="721"/>
      <c r="D47" s="721"/>
      <c r="E47" s="721"/>
      <c r="F47" s="721"/>
      <c r="G47" s="721"/>
      <c r="H47" s="721"/>
      <c r="I47" s="721"/>
      <c r="J47" s="721"/>
      <c r="K47" s="721"/>
      <c r="L47" s="721"/>
      <c r="M47" s="721"/>
      <c r="N47" s="719"/>
    </row>
    <row r="48" spans="1:14" ht="15.75" thickBot="1" x14ac:dyDescent="0.3">
      <c r="A48" s="710"/>
      <c r="B48" s="697">
        <f>SUM(B38:B47)</f>
        <v>0</v>
      </c>
      <c r="C48" s="698">
        <f>SUM(C38:C47)</f>
        <v>0</v>
      </c>
      <c r="D48" s="698">
        <f t="shared" ref="D48:M48" si="3">SUM(D38:D47)</f>
        <v>0</v>
      </c>
      <c r="E48" s="698">
        <f t="shared" si="3"/>
        <v>0</v>
      </c>
      <c r="F48" s="698">
        <f t="shared" si="3"/>
        <v>0</v>
      </c>
      <c r="G48" s="698">
        <f>SUM(G38:G47)</f>
        <v>0</v>
      </c>
      <c r="H48" s="698">
        <f t="shared" si="3"/>
        <v>0</v>
      </c>
      <c r="I48" s="698">
        <f t="shared" si="3"/>
        <v>0</v>
      </c>
      <c r="J48" s="698">
        <f t="shared" si="3"/>
        <v>0</v>
      </c>
      <c r="K48" s="698">
        <f t="shared" si="3"/>
        <v>0</v>
      </c>
      <c r="L48" s="698">
        <f t="shared" si="3"/>
        <v>0</v>
      </c>
      <c r="M48" s="699">
        <f t="shared" si="3"/>
        <v>0</v>
      </c>
      <c r="N48" s="722"/>
    </row>
    <row r="49" spans="1:15" x14ac:dyDescent="0.25">
      <c r="A49" s="710"/>
      <c r="B49" s="711"/>
      <c r="C49" s="711"/>
      <c r="D49" s="711"/>
      <c r="E49" s="711"/>
      <c r="F49" s="711"/>
      <c r="G49" s="711"/>
      <c r="H49" s="711"/>
      <c r="I49" s="711"/>
      <c r="J49" s="711"/>
      <c r="K49" s="711"/>
      <c r="L49" s="711"/>
      <c r="M49" s="711"/>
      <c r="N49" s="715"/>
    </row>
    <row r="50" spans="1:15" x14ac:dyDescent="0.25">
      <c r="A50" s="1111" t="s">
        <v>665</v>
      </c>
      <c r="B50" s="1111"/>
      <c r="C50" s="1111"/>
      <c r="D50" s="723"/>
      <c r="E50" s="723"/>
      <c r="F50" s="723"/>
      <c r="G50" s="723"/>
      <c r="H50" s="723"/>
      <c r="I50" s="723"/>
      <c r="J50" s="723"/>
      <c r="K50" s="723"/>
      <c r="L50" s="723"/>
      <c r="M50" s="723"/>
      <c r="N50" s="724"/>
      <c r="O50" s="688"/>
    </row>
    <row r="51" spans="1:15" hidden="1" x14ac:dyDescent="0.25">
      <c r="A51" s="725" t="s">
        <v>643</v>
      </c>
      <c r="B51" s="726">
        <v>0.75</v>
      </c>
      <c r="C51" s="726">
        <v>0.75</v>
      </c>
      <c r="D51" s="726">
        <v>0.75</v>
      </c>
      <c r="E51" s="726">
        <v>0.75</v>
      </c>
      <c r="F51" s="726">
        <v>0.75</v>
      </c>
      <c r="G51" s="726">
        <v>0.75</v>
      </c>
      <c r="H51" s="726">
        <v>0.75</v>
      </c>
      <c r="I51" s="726">
        <v>0.75</v>
      </c>
      <c r="J51" s="726">
        <v>0.75</v>
      </c>
      <c r="K51" s="726">
        <v>0.75</v>
      </c>
      <c r="L51" s="726">
        <v>0.75</v>
      </c>
      <c r="M51" s="726">
        <v>0.75</v>
      </c>
      <c r="N51" s="727"/>
      <c r="O51" s="688"/>
    </row>
    <row r="52" spans="1:15" hidden="1" x14ac:dyDescent="0.25">
      <c r="A52" s="725" t="s">
        <v>644</v>
      </c>
      <c r="B52" s="726">
        <v>0.25</v>
      </c>
      <c r="C52" s="726">
        <v>0.25</v>
      </c>
      <c r="D52" s="726">
        <v>0.25</v>
      </c>
      <c r="E52" s="726">
        <v>0.25</v>
      </c>
      <c r="F52" s="726">
        <v>0.25</v>
      </c>
      <c r="G52" s="726">
        <v>0.25</v>
      </c>
      <c r="H52" s="726">
        <v>0.25</v>
      </c>
      <c r="I52" s="726">
        <v>0.25</v>
      </c>
      <c r="J52" s="726">
        <v>0.25</v>
      </c>
      <c r="K52" s="726">
        <v>0.25</v>
      </c>
      <c r="L52" s="726">
        <v>0.25</v>
      </c>
      <c r="M52" s="726">
        <v>0.25</v>
      </c>
      <c r="N52" s="727"/>
      <c r="O52" s="688"/>
    </row>
    <row r="53" spans="1:15" x14ac:dyDescent="0.25">
      <c r="A53" s="686" t="s">
        <v>645</v>
      </c>
      <c r="B53" s="728"/>
      <c r="C53" s="728"/>
      <c r="D53" s="728"/>
      <c r="E53" s="728"/>
      <c r="F53" s="728"/>
      <c r="G53" s="728"/>
      <c r="H53" s="728"/>
      <c r="I53" s="728"/>
      <c r="J53" s="728"/>
      <c r="K53" s="728"/>
      <c r="L53" s="728"/>
      <c r="M53" s="728"/>
      <c r="N53" s="729"/>
    </row>
    <row r="54" spans="1:15" x14ac:dyDescent="0.25">
      <c r="A54" s="689" t="s">
        <v>637</v>
      </c>
      <c r="B54" s="730">
        <f>IF(B52=0,(B30*B51)/B51,((B30*B51)+(B38*B52))/(B51+B52))</f>
        <v>0</v>
      </c>
      <c r="C54" s="730">
        <f t="shared" ref="C54:F54" si="4">IF(C52=0,(C30*C51)/C51,((C30*C51)+(C38*C52))/(C51+C52))</f>
        <v>0</v>
      </c>
      <c r="D54" s="730">
        <f t="shared" si="4"/>
        <v>0</v>
      </c>
      <c r="E54" s="730">
        <f t="shared" si="4"/>
        <v>0</v>
      </c>
      <c r="F54" s="730">
        <f t="shared" si="4"/>
        <v>0</v>
      </c>
      <c r="G54" s="730">
        <f>IF(G52=0,(G30*G51)/G51,((G30*G51)+(G38*G52))/(G51+G52))</f>
        <v>0</v>
      </c>
      <c r="H54" s="730">
        <f>IF(H52=0,(H30*H51)/H51,((H30*H51)+(H38*H52))/(H51+H52))</f>
        <v>0</v>
      </c>
      <c r="I54" s="730">
        <f t="shared" ref="I54:M54" si="5">IF(I52=0,(I30*I51)/I51,((I30*I51)+(I38*I52))/(I51+I52))</f>
        <v>0</v>
      </c>
      <c r="J54" s="730">
        <f t="shared" si="5"/>
        <v>0</v>
      </c>
      <c r="K54" s="730">
        <f t="shared" si="5"/>
        <v>0</v>
      </c>
      <c r="L54" s="730">
        <f t="shared" si="5"/>
        <v>0</v>
      </c>
      <c r="M54" s="730">
        <f t="shared" si="5"/>
        <v>0</v>
      </c>
      <c r="N54" s="690"/>
    </row>
    <row r="55" spans="1:15" x14ac:dyDescent="0.25">
      <c r="A55" s="693" t="s">
        <v>638</v>
      </c>
      <c r="B55" s="730">
        <f t="shared" ref="B55:F55" si="6">IF(B52=0,(B31*B51)/B51,((B31*B51)+(B39*B52))/(B51+B52))</f>
        <v>0</v>
      </c>
      <c r="C55" s="730">
        <f t="shared" si="6"/>
        <v>0</v>
      </c>
      <c r="D55" s="730">
        <f t="shared" si="6"/>
        <v>0</v>
      </c>
      <c r="E55" s="730">
        <f t="shared" si="6"/>
        <v>0</v>
      </c>
      <c r="F55" s="730">
        <f t="shared" si="6"/>
        <v>0</v>
      </c>
      <c r="G55" s="730">
        <f>IF(G52=0,(G31*G51)/G51,((G31*G51)+(G39*G52))/(G51+G52))</f>
        <v>0</v>
      </c>
      <c r="H55" s="730">
        <f>IF(H52=0,(H31*H51)/H51,((H31*H51)+(H39*H52))/(H51+H52))</f>
        <v>0</v>
      </c>
      <c r="I55" s="730">
        <f t="shared" ref="I55:M55" si="7">IF(I52=0,(I31*I51)/I51,((I31*I51)+(I39*I52))/(I51+I52))</f>
        <v>0</v>
      </c>
      <c r="J55" s="730">
        <f t="shared" si="7"/>
        <v>0</v>
      </c>
      <c r="K55" s="730">
        <f t="shared" si="7"/>
        <v>0</v>
      </c>
      <c r="L55" s="730">
        <f t="shared" si="7"/>
        <v>0</v>
      </c>
      <c r="M55" s="730">
        <f t="shared" si="7"/>
        <v>0</v>
      </c>
      <c r="N55" s="690"/>
    </row>
    <row r="56" spans="1:15" x14ac:dyDescent="0.25">
      <c r="A56" s="693" t="s">
        <v>639</v>
      </c>
      <c r="B56" s="730">
        <f t="shared" ref="B56:F56" si="8">IF(B52=0,(B32*B51)/B51,((B32*B51)+(B40*B52))/(B51+B52))</f>
        <v>0</v>
      </c>
      <c r="C56" s="730">
        <f t="shared" si="8"/>
        <v>0</v>
      </c>
      <c r="D56" s="730">
        <f t="shared" si="8"/>
        <v>0</v>
      </c>
      <c r="E56" s="730">
        <f t="shared" si="8"/>
        <v>0</v>
      </c>
      <c r="F56" s="730">
        <f t="shared" si="8"/>
        <v>0</v>
      </c>
      <c r="G56" s="730">
        <f>IF(G52=0,(G32*G51)/G51,((G32*G51)+(G40*G52))/(G51+G52))</f>
        <v>0</v>
      </c>
      <c r="H56" s="730">
        <f>IF(H52=0,(H32*H51)/H51,((H32*H51)+(H40*H52))/(H51+H52))</f>
        <v>0</v>
      </c>
      <c r="I56" s="730">
        <f t="shared" ref="I56:M56" si="9">IF(I52=0,(I32*I51)/I51,((I32*I51)+(I40*I52))/(I51+I52))</f>
        <v>0</v>
      </c>
      <c r="J56" s="730">
        <f t="shared" si="9"/>
        <v>0</v>
      </c>
      <c r="K56" s="730">
        <f t="shared" si="9"/>
        <v>0</v>
      </c>
      <c r="L56" s="730">
        <f t="shared" si="9"/>
        <v>0</v>
      </c>
      <c r="M56" s="730">
        <f t="shared" si="9"/>
        <v>0</v>
      </c>
      <c r="N56" s="690"/>
    </row>
    <row r="57" spans="1:15" x14ac:dyDescent="0.25">
      <c r="A57" s="693" t="s">
        <v>626</v>
      </c>
      <c r="B57" s="730">
        <f t="shared" ref="B57:F57" si="10">IF(B52=0,(B33*B51)/B51,((B33*B51)+(B41*B52))/(B51+B52))</f>
        <v>0</v>
      </c>
      <c r="C57" s="730">
        <f t="shared" si="10"/>
        <v>0</v>
      </c>
      <c r="D57" s="730">
        <f t="shared" si="10"/>
        <v>0</v>
      </c>
      <c r="E57" s="730">
        <f t="shared" si="10"/>
        <v>0</v>
      </c>
      <c r="F57" s="730">
        <f t="shared" si="10"/>
        <v>0</v>
      </c>
      <c r="G57" s="730">
        <f>IF(G52=0,(G33*G51)/G51,((G33*G51)+(G41*G52))/(G51+G52))</f>
        <v>0</v>
      </c>
      <c r="H57" s="730">
        <f>IF(H52=0,(H33*H51)/H51,((H33*H51)+(H41*H52))/(H51+H52))</f>
        <v>0</v>
      </c>
      <c r="I57" s="730">
        <f t="shared" ref="I57:M57" si="11">IF(I52=0,(I33*I51)/I51,((I33*I51)+(I41*I52))/(I51+I52))</f>
        <v>0</v>
      </c>
      <c r="J57" s="730">
        <f t="shared" si="11"/>
        <v>0</v>
      </c>
      <c r="K57" s="730">
        <f>IF(K52=0,(K33*K51)/K51,((K33*K51)+(K41*K52))/(K51+K52))</f>
        <v>0</v>
      </c>
      <c r="L57" s="730">
        <f t="shared" si="11"/>
        <v>0</v>
      </c>
      <c r="M57" s="730">
        <f t="shared" si="11"/>
        <v>0</v>
      </c>
      <c r="N57" s="690"/>
    </row>
    <row r="58" spans="1:15" x14ac:dyDescent="0.25">
      <c r="A58" s="693" t="s">
        <v>627</v>
      </c>
      <c r="B58" s="730">
        <f t="shared" ref="B58:F58" si="12">IF(B52=0,(B34*B51)/B51,((B34*B51)+(B42*B52))/(B51+B52))</f>
        <v>0</v>
      </c>
      <c r="C58" s="730">
        <f t="shared" si="12"/>
        <v>0</v>
      </c>
      <c r="D58" s="730">
        <f t="shared" si="12"/>
        <v>0</v>
      </c>
      <c r="E58" s="730">
        <f t="shared" si="12"/>
        <v>0</v>
      </c>
      <c r="F58" s="730">
        <f t="shared" si="12"/>
        <v>0</v>
      </c>
      <c r="G58" s="730">
        <f>IF(G52=0,(G34*G51)/G51,((G34*G51)+(G42*G52))/(G51+G52))</f>
        <v>0</v>
      </c>
      <c r="H58" s="730">
        <f>IF(H52=0,(H34*H51)/H51,((H34*H51)+(H42*H52))/(H51+H52))</f>
        <v>0</v>
      </c>
      <c r="I58" s="730">
        <f t="shared" ref="I58:M58" si="13">IF(I52=0,(I34*I51)/I51,((I34*I51)+(I42*I52))/(I51+I52))</f>
        <v>0</v>
      </c>
      <c r="J58" s="730">
        <f>IF(J52=0,(J34*J51)/J51,((J34*J51)+(J42*J52))/(J51+J52))</f>
        <v>0</v>
      </c>
      <c r="K58" s="730">
        <f t="shared" si="13"/>
        <v>0</v>
      </c>
      <c r="L58" s="730">
        <f t="shared" si="13"/>
        <v>0</v>
      </c>
      <c r="M58" s="730">
        <f t="shared" si="13"/>
        <v>0</v>
      </c>
      <c r="N58" s="690"/>
    </row>
    <row r="59" spans="1:15" x14ac:dyDescent="0.25">
      <c r="A59" s="693" t="s">
        <v>628</v>
      </c>
      <c r="B59" s="730">
        <f t="shared" ref="B59:E59" si="14">IF(B52=0,(B35*B51)/B51,((B35*B51)+(B43*B52))/(B51+B52))</f>
        <v>0</v>
      </c>
      <c r="C59" s="730">
        <f t="shared" si="14"/>
        <v>0</v>
      </c>
      <c r="D59" s="730">
        <f t="shared" si="14"/>
        <v>0</v>
      </c>
      <c r="E59" s="730">
        <f t="shared" si="14"/>
        <v>0</v>
      </c>
      <c r="F59" s="730">
        <f>IF(F52=0,(F35*F51)/F51,((F35*F51)+(F43*F52))/(F51+F52))</f>
        <v>0</v>
      </c>
      <c r="G59" s="730">
        <f>IF(G52=0,(G35*G51)/G51,((G35*G51)+(G43*G52))/(G51+G52))</f>
        <v>0</v>
      </c>
      <c r="H59" s="730">
        <f>IF(H52=0,(H35*H51)/H51,((H35*H51)+(H43*H52))/(H51+H52))</f>
        <v>0</v>
      </c>
      <c r="I59" s="730">
        <f t="shared" ref="I59:M59" si="15">IF(I52=0,(I35*I51)/I51,((I35*I51)+(I43*I52))/(I51+I52))</f>
        <v>0</v>
      </c>
      <c r="J59" s="730">
        <f t="shared" si="15"/>
        <v>0</v>
      </c>
      <c r="K59" s="730">
        <f t="shared" si="15"/>
        <v>0</v>
      </c>
      <c r="L59" s="730">
        <f t="shared" si="15"/>
        <v>0</v>
      </c>
      <c r="M59" s="730">
        <f t="shared" si="15"/>
        <v>0</v>
      </c>
      <c r="N59" s="690"/>
    </row>
    <row r="60" spans="1:15" x14ac:dyDescent="0.25">
      <c r="A60" s="693" t="s">
        <v>629</v>
      </c>
      <c r="B60" s="730">
        <f t="shared" ref="B60:E60" si="16">IF(B52=0,0,((B44*B52))/(B51+B52))</f>
        <v>0</v>
      </c>
      <c r="C60" s="730">
        <f t="shared" si="16"/>
        <v>0</v>
      </c>
      <c r="D60" s="730">
        <f t="shared" si="16"/>
        <v>0</v>
      </c>
      <c r="E60" s="730">
        <f t="shared" si="16"/>
        <v>0</v>
      </c>
      <c r="F60" s="730">
        <f>IF(F52=0,0,((F44*F52))/(F51+F52))</f>
        <v>0</v>
      </c>
      <c r="G60" s="730">
        <f>IF(G52=0,0,((G44*G52))/(G51+G52))</f>
        <v>0</v>
      </c>
      <c r="H60" s="730">
        <f>IF(H52=0,0,((H44*H52))/(H51+H52))</f>
        <v>0</v>
      </c>
      <c r="I60" s="730">
        <f t="shared" ref="I60:M60" si="17">IF(I52=0,0,((I44*I52))/(I51+I52))</f>
        <v>0</v>
      </c>
      <c r="J60" s="730">
        <f t="shared" si="17"/>
        <v>0</v>
      </c>
      <c r="K60" s="730">
        <f t="shared" si="17"/>
        <v>0</v>
      </c>
      <c r="L60" s="730">
        <f t="shared" si="17"/>
        <v>0</v>
      </c>
      <c r="M60" s="730">
        <f t="shared" si="17"/>
        <v>0</v>
      </c>
      <c r="N60" s="690"/>
    </row>
    <row r="61" spans="1:15" x14ac:dyDescent="0.25">
      <c r="A61" s="693" t="s">
        <v>630</v>
      </c>
      <c r="B61" s="730">
        <f t="shared" ref="B61:E61" si="18">IF(B52=0,0,((B45*B52))/(B51+B52))</f>
        <v>0</v>
      </c>
      <c r="C61" s="730">
        <f t="shared" si="18"/>
        <v>0</v>
      </c>
      <c r="D61" s="730">
        <f t="shared" si="18"/>
        <v>0</v>
      </c>
      <c r="E61" s="730">
        <f t="shared" si="18"/>
        <v>0</v>
      </c>
      <c r="F61" s="730">
        <f>IF(F52=0,0,((F45*F52))/(F51+F52))</f>
        <v>0</v>
      </c>
      <c r="G61" s="730">
        <f>IF(G52=0,0,((G45*G52))/(G51+G52))</f>
        <v>0</v>
      </c>
      <c r="H61" s="730">
        <f>IF(H52=0,0,((H45*H52))/(H51+H52))</f>
        <v>0</v>
      </c>
      <c r="I61" s="730">
        <f t="shared" ref="I61:M61" si="19">IF(I52=0,0,((I45*I52))/(I51+I52))</f>
        <v>0</v>
      </c>
      <c r="J61" s="730">
        <f t="shared" si="19"/>
        <v>0</v>
      </c>
      <c r="K61" s="730">
        <f t="shared" si="19"/>
        <v>0</v>
      </c>
      <c r="L61" s="730">
        <f t="shared" si="19"/>
        <v>0</v>
      </c>
      <c r="M61" s="730">
        <f t="shared" si="19"/>
        <v>0</v>
      </c>
      <c r="N61" s="690"/>
    </row>
    <row r="62" spans="1:15" x14ac:dyDescent="0.25">
      <c r="A62" s="693" t="s">
        <v>631</v>
      </c>
      <c r="B62" s="730">
        <f t="shared" ref="B62:E62" si="20">IF(B52=0,0,((B46*B52))/(B51+B52))</f>
        <v>0</v>
      </c>
      <c r="C62" s="730">
        <f t="shared" si="20"/>
        <v>0</v>
      </c>
      <c r="D62" s="730">
        <f t="shared" si="20"/>
        <v>0</v>
      </c>
      <c r="E62" s="730">
        <f t="shared" si="20"/>
        <v>0</v>
      </c>
      <c r="F62" s="730">
        <f>IF(F52=0,0,((F46*F52))/(F51+F52))</f>
        <v>0</v>
      </c>
      <c r="G62" s="730">
        <f>IF(G52=0,0,((G46*G52))/(G51+G52))</f>
        <v>0</v>
      </c>
      <c r="H62" s="730">
        <f>IF(H52=0,0,((H46*H52))/(H51+H52))</f>
        <v>0</v>
      </c>
      <c r="I62" s="730">
        <f t="shared" ref="I62:M62" si="21">IF(I52=0,0,((I46*I52))/(I51+I52))</f>
        <v>0</v>
      </c>
      <c r="J62" s="730">
        <f t="shared" si="21"/>
        <v>0</v>
      </c>
      <c r="K62" s="730">
        <f t="shared" si="21"/>
        <v>0</v>
      </c>
      <c r="L62" s="730">
        <f t="shared" si="21"/>
        <v>0</v>
      </c>
      <c r="M62" s="730">
        <f t="shared" si="21"/>
        <v>0</v>
      </c>
      <c r="N62" s="719"/>
    </row>
    <row r="63" spans="1:15" ht="15.75" thickBot="1" x14ac:dyDescent="0.3">
      <c r="A63" s="693" t="s">
        <v>642</v>
      </c>
      <c r="B63" s="730">
        <f t="shared" ref="B63:E63" si="22">IF(B52=0,0,((B47*B52))/(B51+B52))</f>
        <v>0</v>
      </c>
      <c r="C63" s="730">
        <f t="shared" si="22"/>
        <v>0</v>
      </c>
      <c r="D63" s="730">
        <f t="shared" si="22"/>
        <v>0</v>
      </c>
      <c r="E63" s="730">
        <f t="shared" si="22"/>
        <v>0</v>
      </c>
      <c r="F63" s="730">
        <f>IF(F52=0,0,((F47*F52))/(F51+F52))</f>
        <v>0</v>
      </c>
      <c r="G63" s="730">
        <f>IF(G52=0,0,((G47*G52))/(G51+G52))</f>
        <v>0</v>
      </c>
      <c r="H63" s="730">
        <f>IF(H52=0,0,((H47*H52))/(H51+H52))</f>
        <v>0</v>
      </c>
      <c r="I63" s="730">
        <f t="shared" ref="I63:M63" si="23">IF(I52=0,0,((I47*I52))/(I51+I52))</f>
        <v>0</v>
      </c>
      <c r="J63" s="730">
        <f t="shared" si="23"/>
        <v>0</v>
      </c>
      <c r="K63" s="730">
        <f t="shared" si="23"/>
        <v>0</v>
      </c>
      <c r="L63" s="730">
        <f t="shared" si="23"/>
        <v>0</v>
      </c>
      <c r="M63" s="730">
        <f t="shared" si="23"/>
        <v>0</v>
      </c>
      <c r="N63" s="719"/>
    </row>
    <row r="64" spans="1:15" ht="15.75" thickBot="1" x14ac:dyDescent="0.3">
      <c r="A64" s="696"/>
      <c r="B64" s="731">
        <f>SUM(B54:B63)</f>
        <v>0</v>
      </c>
      <c r="C64" s="732">
        <f t="shared" ref="C64:M64" si="24">SUM(C54:C63)</f>
        <v>0</v>
      </c>
      <c r="D64" s="732">
        <f t="shared" si="24"/>
        <v>0</v>
      </c>
      <c r="E64" s="732">
        <f t="shared" si="24"/>
        <v>0</v>
      </c>
      <c r="F64" s="732">
        <f t="shared" si="24"/>
        <v>0</v>
      </c>
      <c r="G64" s="732">
        <f t="shared" si="24"/>
        <v>0</v>
      </c>
      <c r="H64" s="732">
        <f t="shared" si="24"/>
        <v>0</v>
      </c>
      <c r="I64" s="732">
        <f t="shared" si="24"/>
        <v>0</v>
      </c>
      <c r="J64" s="732">
        <f t="shared" si="24"/>
        <v>0</v>
      </c>
      <c r="K64" s="732">
        <f t="shared" si="24"/>
        <v>0</v>
      </c>
      <c r="L64" s="732">
        <f t="shared" si="24"/>
        <v>0</v>
      </c>
      <c r="M64" s="733">
        <f t="shared" si="24"/>
        <v>0</v>
      </c>
      <c r="N64" s="700">
        <f>IF(Grundlagen!C26="",0,SUM(B64:M64)/Grundlagen!C26)</f>
        <v>0</v>
      </c>
    </row>
    <row r="65" spans="1:14" x14ac:dyDescent="0.25">
      <c r="A65" s="686"/>
      <c r="B65" s="711"/>
      <c r="C65" s="711"/>
      <c r="D65" s="711"/>
      <c r="E65" s="711"/>
      <c r="F65" s="711"/>
      <c r="G65" s="711"/>
      <c r="H65" s="711"/>
      <c r="I65" s="711"/>
      <c r="J65" s="711"/>
      <c r="K65" s="711"/>
      <c r="L65" s="711"/>
      <c r="M65" s="711"/>
      <c r="N65" s="712"/>
    </row>
    <row r="66" spans="1:14" x14ac:dyDescent="0.25">
      <c r="A66" s="686" t="s">
        <v>664</v>
      </c>
      <c r="B66" s="714"/>
      <c r="C66" s="714"/>
      <c r="D66" s="714"/>
      <c r="E66" s="714"/>
      <c r="F66" s="714"/>
      <c r="G66" s="714"/>
      <c r="H66" s="714"/>
      <c r="I66" s="714"/>
      <c r="J66" s="714"/>
      <c r="K66" s="714"/>
      <c r="L66" s="714"/>
      <c r="M66" s="714"/>
      <c r="N66" s="715"/>
    </row>
    <row r="67" spans="1:14" x14ac:dyDescent="0.25">
      <c r="A67" s="839" t="s">
        <v>625</v>
      </c>
      <c r="B67" s="1062">
        <f>B16</f>
        <v>0</v>
      </c>
      <c r="C67" s="1062">
        <f t="shared" ref="C67:M67" si="25">C16</f>
        <v>0</v>
      </c>
      <c r="D67" s="1062">
        <f t="shared" si="25"/>
        <v>0</v>
      </c>
      <c r="E67" s="1062">
        <f t="shared" si="25"/>
        <v>0</v>
      </c>
      <c r="F67" s="1062">
        <f t="shared" si="25"/>
        <v>0</v>
      </c>
      <c r="G67" s="1062">
        <f t="shared" si="25"/>
        <v>0</v>
      </c>
      <c r="H67" s="1062">
        <f t="shared" si="25"/>
        <v>0</v>
      </c>
      <c r="I67" s="1062">
        <f t="shared" si="25"/>
        <v>0</v>
      </c>
      <c r="J67" s="1062">
        <f t="shared" si="25"/>
        <v>0</v>
      </c>
      <c r="K67" s="1062">
        <f t="shared" si="25"/>
        <v>0</v>
      </c>
      <c r="L67" s="1062">
        <f t="shared" si="25"/>
        <v>0</v>
      </c>
      <c r="M67" s="1062">
        <f t="shared" si="25"/>
        <v>0</v>
      </c>
      <c r="N67" s="715"/>
    </row>
    <row r="68" spans="1:14" x14ac:dyDescent="0.25">
      <c r="A68" s="840" t="s">
        <v>634</v>
      </c>
      <c r="B68" s="1063">
        <f>B26</f>
        <v>0</v>
      </c>
      <c r="C68" s="1063">
        <f t="shared" ref="C68:M68" si="26">C26</f>
        <v>0</v>
      </c>
      <c r="D68" s="1063">
        <f t="shared" si="26"/>
        <v>0</v>
      </c>
      <c r="E68" s="1063">
        <f t="shared" si="26"/>
        <v>0</v>
      </c>
      <c r="F68" s="1063">
        <f t="shared" si="26"/>
        <v>0</v>
      </c>
      <c r="G68" s="1063">
        <f t="shared" si="26"/>
        <v>0</v>
      </c>
      <c r="H68" s="1063">
        <f t="shared" si="26"/>
        <v>0</v>
      </c>
      <c r="I68" s="1063">
        <f t="shared" si="26"/>
        <v>0</v>
      </c>
      <c r="J68" s="1063">
        <f t="shared" si="26"/>
        <v>0</v>
      </c>
      <c r="K68" s="1063">
        <f t="shared" si="26"/>
        <v>0</v>
      </c>
      <c r="L68" s="1063">
        <f t="shared" si="26"/>
        <v>0</v>
      </c>
      <c r="M68" s="1063">
        <f t="shared" si="26"/>
        <v>0</v>
      </c>
      <c r="N68" s="715"/>
    </row>
    <row r="69" spans="1:14" ht="15.75" thickBot="1" x14ac:dyDescent="0.25">
      <c r="A69" s="841" t="s">
        <v>648</v>
      </c>
      <c r="B69" s="1063">
        <f>B36</f>
        <v>0</v>
      </c>
      <c r="C69" s="1063">
        <f t="shared" ref="C69:M69" si="27">C36</f>
        <v>0</v>
      </c>
      <c r="D69" s="1063">
        <f t="shared" si="27"/>
        <v>0</v>
      </c>
      <c r="E69" s="1063">
        <f t="shared" si="27"/>
        <v>0</v>
      </c>
      <c r="F69" s="1063">
        <f t="shared" si="27"/>
        <v>0</v>
      </c>
      <c r="G69" s="1063">
        <f t="shared" si="27"/>
        <v>0</v>
      </c>
      <c r="H69" s="1063">
        <f t="shared" si="27"/>
        <v>0</v>
      </c>
      <c r="I69" s="1063">
        <f t="shared" si="27"/>
        <v>0</v>
      </c>
      <c r="J69" s="1063">
        <f t="shared" si="27"/>
        <v>0</v>
      </c>
      <c r="K69" s="1063">
        <f t="shared" si="27"/>
        <v>0</v>
      </c>
      <c r="L69" s="1063">
        <f t="shared" si="27"/>
        <v>0</v>
      </c>
      <c r="M69" s="1063">
        <f t="shared" si="27"/>
        <v>0</v>
      </c>
      <c r="N69" s="715"/>
    </row>
    <row r="70" spans="1:14" ht="15.75" thickBot="1" x14ac:dyDescent="0.3">
      <c r="A70" s="710"/>
      <c r="B70" s="1064">
        <f>SUM(B67:B69)</f>
        <v>0</v>
      </c>
      <c r="C70" s="1065">
        <f t="shared" ref="C70" si="28">SUM(C67:C69)</f>
        <v>0</v>
      </c>
      <c r="D70" s="1065">
        <f t="shared" ref="D70" si="29">SUM(D67:D69)</f>
        <v>0</v>
      </c>
      <c r="E70" s="1065">
        <f t="shared" ref="E70" si="30">SUM(E67:E69)</f>
        <v>0</v>
      </c>
      <c r="F70" s="1065">
        <f t="shared" ref="F70" si="31">SUM(F67:F69)</f>
        <v>0</v>
      </c>
      <c r="G70" s="1065">
        <f t="shared" ref="G70" si="32">SUM(G67:G69)</f>
        <v>0</v>
      </c>
      <c r="H70" s="1065">
        <f t="shared" ref="H70" si="33">SUM(H67:H69)</f>
        <v>0</v>
      </c>
      <c r="I70" s="1065">
        <f t="shared" ref="I70" si="34">SUM(I67:I69)</f>
        <v>0</v>
      </c>
      <c r="J70" s="1065">
        <f t="shared" ref="J70" si="35">SUM(J67:J69)</f>
        <v>0</v>
      </c>
      <c r="K70" s="1065">
        <f t="shared" ref="K70" si="36">SUM(K67:K69)</f>
        <v>0</v>
      </c>
      <c r="L70" s="1065">
        <f t="shared" ref="L70" si="37">SUM(L67:L69)</f>
        <v>0</v>
      </c>
      <c r="M70" s="1066">
        <f t="shared" ref="M70" si="38">SUM(M67:M69)</f>
        <v>0</v>
      </c>
      <c r="N70" s="842">
        <f>IF(Grundlagen!C26="",0,SUM(B70:M70)/Grundlagen!C26)</f>
        <v>0</v>
      </c>
    </row>
    <row r="71" spans="1:14" x14ac:dyDescent="0.25">
      <c r="A71" s="710"/>
      <c r="B71" s="714"/>
      <c r="C71" s="714"/>
      <c r="D71" s="714"/>
      <c r="E71" s="714"/>
      <c r="F71" s="714"/>
      <c r="G71" s="714"/>
      <c r="H71" s="714"/>
      <c r="I71" s="714"/>
      <c r="J71" s="714"/>
      <c r="K71" s="714"/>
      <c r="L71" s="714"/>
      <c r="M71" s="714"/>
      <c r="N71" s="715"/>
    </row>
    <row r="72" spans="1:14" hidden="1" x14ac:dyDescent="0.25">
      <c r="B72" s="711"/>
      <c r="C72" s="711"/>
      <c r="D72" s="711"/>
      <c r="E72" s="711"/>
      <c r="F72" s="711"/>
      <c r="G72" s="711"/>
      <c r="H72" s="711"/>
      <c r="I72" s="711"/>
      <c r="J72" s="711"/>
      <c r="K72" s="711"/>
      <c r="L72" s="711"/>
      <c r="M72" s="711"/>
      <c r="N72" s="734"/>
    </row>
    <row r="73" spans="1:14" ht="15.75" thickBot="1" x14ac:dyDescent="0.3">
      <c r="A73" s="819" t="s">
        <v>251</v>
      </c>
      <c r="B73" s="688"/>
      <c r="C73" s="688"/>
      <c r="D73" s="688"/>
      <c r="E73" s="735"/>
      <c r="F73" s="735"/>
      <c r="G73" s="735"/>
      <c r="H73" s="735"/>
      <c r="I73" s="735"/>
      <c r="J73" s="735"/>
      <c r="K73" s="735"/>
      <c r="L73" s="735"/>
      <c r="M73" s="735"/>
      <c r="N73" s="735"/>
    </row>
    <row r="74" spans="1:14" ht="15.75" thickBot="1" x14ac:dyDescent="0.3">
      <c r="A74" s="686" t="s">
        <v>625</v>
      </c>
      <c r="B74" s="736">
        <v>0.187</v>
      </c>
      <c r="C74" s="1104" t="s">
        <v>646</v>
      </c>
      <c r="D74" s="1104"/>
      <c r="E74" s="1104"/>
      <c r="F74" s="1104"/>
      <c r="G74" s="1104"/>
      <c r="H74" s="1104"/>
      <c r="I74" s="1104"/>
      <c r="J74" s="1104"/>
      <c r="K74" s="1104"/>
      <c r="L74" s="1104"/>
      <c r="M74" s="1105"/>
      <c r="N74" s="735"/>
    </row>
    <row r="75" spans="1:14" x14ac:dyDescent="0.25">
      <c r="A75" s="689" t="s">
        <v>626</v>
      </c>
      <c r="B75" s="730">
        <f t="shared" ref="B75:M75" si="39">B8*20*$B$74</f>
        <v>0</v>
      </c>
      <c r="C75" s="730">
        <f t="shared" si="39"/>
        <v>0</v>
      </c>
      <c r="D75" s="730">
        <f t="shared" si="39"/>
        <v>0</v>
      </c>
      <c r="E75" s="730">
        <f t="shared" si="39"/>
        <v>0</v>
      </c>
      <c r="F75" s="730">
        <f t="shared" si="39"/>
        <v>0</v>
      </c>
      <c r="G75" s="730">
        <f t="shared" si="39"/>
        <v>0</v>
      </c>
      <c r="H75" s="730">
        <f t="shared" si="39"/>
        <v>0</v>
      </c>
      <c r="I75" s="730">
        <f t="shared" si="39"/>
        <v>0</v>
      </c>
      <c r="J75" s="730">
        <f t="shared" si="39"/>
        <v>0</v>
      </c>
      <c r="K75" s="730">
        <f t="shared" si="39"/>
        <v>0</v>
      </c>
      <c r="L75" s="730">
        <f t="shared" si="39"/>
        <v>0</v>
      </c>
      <c r="M75" s="730">
        <f t="shared" si="39"/>
        <v>0</v>
      </c>
      <c r="N75" s="737"/>
    </row>
    <row r="76" spans="1:14" x14ac:dyDescent="0.25">
      <c r="A76" s="691" t="s">
        <v>627</v>
      </c>
      <c r="B76" s="730">
        <f t="shared" ref="B76:M76" si="40">B9*25*$B$74</f>
        <v>0</v>
      </c>
      <c r="C76" s="730">
        <f t="shared" si="40"/>
        <v>0</v>
      </c>
      <c r="D76" s="730">
        <f t="shared" si="40"/>
        <v>0</v>
      </c>
      <c r="E76" s="730">
        <f t="shared" si="40"/>
        <v>0</v>
      </c>
      <c r="F76" s="730">
        <f t="shared" si="40"/>
        <v>0</v>
      </c>
      <c r="G76" s="730">
        <f t="shared" si="40"/>
        <v>0</v>
      </c>
      <c r="H76" s="730">
        <f t="shared" si="40"/>
        <v>0</v>
      </c>
      <c r="I76" s="730">
        <f t="shared" si="40"/>
        <v>0</v>
      </c>
      <c r="J76" s="730">
        <f t="shared" si="40"/>
        <v>0</v>
      </c>
      <c r="K76" s="730">
        <f t="shared" si="40"/>
        <v>0</v>
      </c>
      <c r="L76" s="730">
        <f t="shared" si="40"/>
        <v>0</v>
      </c>
      <c r="M76" s="730">
        <f t="shared" si="40"/>
        <v>0</v>
      </c>
      <c r="N76" s="737"/>
    </row>
    <row r="77" spans="1:14" x14ac:dyDescent="0.25">
      <c r="A77" s="693" t="s">
        <v>628</v>
      </c>
      <c r="B77" s="730">
        <f t="shared" ref="B77:M77" si="41">B10*30*$B$74</f>
        <v>0</v>
      </c>
      <c r="C77" s="730">
        <f t="shared" si="41"/>
        <v>0</v>
      </c>
      <c r="D77" s="730">
        <f t="shared" si="41"/>
        <v>0</v>
      </c>
      <c r="E77" s="730">
        <f t="shared" si="41"/>
        <v>0</v>
      </c>
      <c r="F77" s="730">
        <f t="shared" si="41"/>
        <v>0</v>
      </c>
      <c r="G77" s="730">
        <f t="shared" si="41"/>
        <v>0</v>
      </c>
      <c r="H77" s="730">
        <f t="shared" si="41"/>
        <v>0</v>
      </c>
      <c r="I77" s="730">
        <f t="shared" si="41"/>
        <v>0</v>
      </c>
      <c r="J77" s="730">
        <f t="shared" si="41"/>
        <v>0</v>
      </c>
      <c r="K77" s="730">
        <f t="shared" si="41"/>
        <v>0</v>
      </c>
      <c r="L77" s="730">
        <f t="shared" si="41"/>
        <v>0</v>
      </c>
      <c r="M77" s="730">
        <f t="shared" si="41"/>
        <v>0</v>
      </c>
      <c r="N77" s="737"/>
    </row>
    <row r="78" spans="1:14" x14ac:dyDescent="0.25">
      <c r="A78" s="693" t="s">
        <v>629</v>
      </c>
      <c r="B78" s="730">
        <f t="shared" ref="B78:M78" si="42">B11*35*$B$74</f>
        <v>0</v>
      </c>
      <c r="C78" s="730">
        <f t="shared" si="42"/>
        <v>0</v>
      </c>
      <c r="D78" s="730">
        <f t="shared" si="42"/>
        <v>0</v>
      </c>
      <c r="E78" s="730">
        <f t="shared" si="42"/>
        <v>0</v>
      </c>
      <c r="F78" s="730">
        <f t="shared" si="42"/>
        <v>0</v>
      </c>
      <c r="G78" s="730">
        <f t="shared" si="42"/>
        <v>0</v>
      </c>
      <c r="H78" s="730">
        <f t="shared" si="42"/>
        <v>0</v>
      </c>
      <c r="I78" s="730">
        <f t="shared" si="42"/>
        <v>0</v>
      </c>
      <c r="J78" s="730">
        <f t="shared" si="42"/>
        <v>0</v>
      </c>
      <c r="K78" s="730">
        <f t="shared" si="42"/>
        <v>0</v>
      </c>
      <c r="L78" s="730">
        <f t="shared" si="42"/>
        <v>0</v>
      </c>
      <c r="M78" s="730">
        <f t="shared" si="42"/>
        <v>0</v>
      </c>
      <c r="N78" s="737"/>
    </row>
    <row r="79" spans="1:14" x14ac:dyDescent="0.25">
      <c r="A79" s="693" t="s">
        <v>630</v>
      </c>
      <c r="B79" s="730">
        <f t="shared" ref="B79:M79" si="43">B12*40*$B$74</f>
        <v>0</v>
      </c>
      <c r="C79" s="730">
        <f t="shared" si="43"/>
        <v>0</v>
      </c>
      <c r="D79" s="730">
        <f t="shared" si="43"/>
        <v>0</v>
      </c>
      <c r="E79" s="730">
        <f t="shared" si="43"/>
        <v>0</v>
      </c>
      <c r="F79" s="730">
        <f t="shared" si="43"/>
        <v>0</v>
      </c>
      <c r="G79" s="730">
        <f t="shared" si="43"/>
        <v>0</v>
      </c>
      <c r="H79" s="730">
        <f t="shared" si="43"/>
        <v>0</v>
      </c>
      <c r="I79" s="730">
        <f t="shared" si="43"/>
        <v>0</v>
      </c>
      <c r="J79" s="730">
        <f t="shared" si="43"/>
        <v>0</v>
      </c>
      <c r="K79" s="730">
        <f t="shared" si="43"/>
        <v>0</v>
      </c>
      <c r="L79" s="730">
        <f t="shared" si="43"/>
        <v>0</v>
      </c>
      <c r="M79" s="730">
        <f t="shared" si="43"/>
        <v>0</v>
      </c>
      <c r="N79" s="737"/>
    </row>
    <row r="80" spans="1:14" x14ac:dyDescent="0.25">
      <c r="A80" s="693" t="s">
        <v>631</v>
      </c>
      <c r="B80" s="730">
        <f t="shared" ref="B80:M80" si="44">B13*45*$B$74</f>
        <v>0</v>
      </c>
      <c r="C80" s="730">
        <f t="shared" si="44"/>
        <v>0</v>
      </c>
      <c r="D80" s="730">
        <f t="shared" si="44"/>
        <v>0</v>
      </c>
      <c r="E80" s="730">
        <f t="shared" si="44"/>
        <v>0</v>
      </c>
      <c r="F80" s="730">
        <f t="shared" si="44"/>
        <v>0</v>
      </c>
      <c r="G80" s="730">
        <f t="shared" si="44"/>
        <v>0</v>
      </c>
      <c r="H80" s="730">
        <f t="shared" si="44"/>
        <v>0</v>
      </c>
      <c r="I80" s="730">
        <f t="shared" si="44"/>
        <v>0</v>
      </c>
      <c r="J80" s="730">
        <f t="shared" si="44"/>
        <v>0</v>
      </c>
      <c r="K80" s="730">
        <f t="shared" si="44"/>
        <v>0</v>
      </c>
      <c r="L80" s="730">
        <f t="shared" si="44"/>
        <v>0</v>
      </c>
      <c r="M80" s="730">
        <f t="shared" si="44"/>
        <v>0</v>
      </c>
      <c r="N80" s="737"/>
    </row>
    <row r="81" spans="1:14" ht="15.75" thickBot="1" x14ac:dyDescent="0.3">
      <c r="A81" s="693" t="s">
        <v>632</v>
      </c>
      <c r="B81" s="730">
        <f t="shared" ref="B81:M81" si="45">B14*50*$B$74</f>
        <v>0</v>
      </c>
      <c r="C81" s="730">
        <f t="shared" si="45"/>
        <v>0</v>
      </c>
      <c r="D81" s="730">
        <f t="shared" si="45"/>
        <v>0</v>
      </c>
      <c r="E81" s="730">
        <f t="shared" si="45"/>
        <v>0</v>
      </c>
      <c r="F81" s="730">
        <f t="shared" si="45"/>
        <v>0</v>
      </c>
      <c r="G81" s="730">
        <f t="shared" si="45"/>
        <v>0</v>
      </c>
      <c r="H81" s="730">
        <f t="shared" si="45"/>
        <v>0</v>
      </c>
      <c r="I81" s="730">
        <f t="shared" si="45"/>
        <v>0</v>
      </c>
      <c r="J81" s="730">
        <f t="shared" si="45"/>
        <v>0</v>
      </c>
      <c r="K81" s="730">
        <f t="shared" si="45"/>
        <v>0</v>
      </c>
      <c r="L81" s="730">
        <f t="shared" si="45"/>
        <v>0</v>
      </c>
      <c r="M81" s="730">
        <f t="shared" si="45"/>
        <v>0</v>
      </c>
      <c r="N81" s="737"/>
    </row>
    <row r="82" spans="1:14" ht="15" hidden="1" customHeight="1" thickBot="1" x14ac:dyDescent="0.3">
      <c r="A82" s="694" t="s">
        <v>633</v>
      </c>
      <c r="B82" s="730">
        <f t="shared" ref="B82:M82" si="46">B15*55*$B$74</f>
        <v>0</v>
      </c>
      <c r="C82" s="730">
        <f t="shared" si="46"/>
        <v>0</v>
      </c>
      <c r="D82" s="730">
        <f t="shared" si="46"/>
        <v>0</v>
      </c>
      <c r="E82" s="730">
        <f t="shared" si="46"/>
        <v>0</v>
      </c>
      <c r="F82" s="730">
        <f t="shared" si="46"/>
        <v>0</v>
      </c>
      <c r="G82" s="730">
        <f t="shared" si="46"/>
        <v>0</v>
      </c>
      <c r="H82" s="730">
        <f t="shared" si="46"/>
        <v>0</v>
      </c>
      <c r="I82" s="730">
        <f t="shared" si="46"/>
        <v>0</v>
      </c>
      <c r="J82" s="730">
        <f t="shared" si="46"/>
        <v>0</v>
      </c>
      <c r="K82" s="730">
        <f t="shared" si="46"/>
        <v>0</v>
      </c>
      <c r="L82" s="730">
        <f t="shared" si="46"/>
        <v>0</v>
      </c>
      <c r="M82" s="730">
        <f t="shared" si="46"/>
        <v>0</v>
      </c>
      <c r="N82" s="738"/>
    </row>
    <row r="83" spans="1:14" ht="15.75" thickBot="1" x14ac:dyDescent="0.3">
      <c r="A83" s="739"/>
      <c r="B83" s="731">
        <f t="shared" ref="B83:M83" si="47">SUM(B75:B82)</f>
        <v>0</v>
      </c>
      <c r="C83" s="732">
        <f t="shared" si="47"/>
        <v>0</v>
      </c>
      <c r="D83" s="732">
        <f t="shared" si="47"/>
        <v>0</v>
      </c>
      <c r="E83" s="732">
        <f t="shared" si="47"/>
        <v>0</v>
      </c>
      <c r="F83" s="732">
        <f t="shared" si="47"/>
        <v>0</v>
      </c>
      <c r="G83" s="732">
        <f t="shared" si="47"/>
        <v>0</v>
      </c>
      <c r="H83" s="732">
        <f t="shared" si="47"/>
        <v>0</v>
      </c>
      <c r="I83" s="732">
        <f t="shared" si="47"/>
        <v>0</v>
      </c>
      <c r="J83" s="732">
        <f t="shared" si="47"/>
        <v>0</v>
      </c>
      <c r="K83" s="732">
        <f t="shared" si="47"/>
        <v>0</v>
      </c>
      <c r="L83" s="732">
        <f t="shared" si="47"/>
        <v>0</v>
      </c>
      <c r="M83" s="733">
        <f t="shared" si="47"/>
        <v>0</v>
      </c>
      <c r="N83" s="700">
        <f>IF(Grundlagen!C26="",0,SUM(B83:M83)/Grundlagen!C26)</f>
        <v>0</v>
      </c>
    </row>
    <row r="84" spans="1:14" s="688" customFormat="1" ht="15.75" thickBot="1" x14ac:dyDescent="0.3">
      <c r="A84" s="740"/>
      <c r="B84" s="741"/>
      <c r="C84" s="741"/>
      <c r="D84" s="741"/>
      <c r="E84" s="741"/>
      <c r="F84" s="741"/>
      <c r="G84" s="741"/>
      <c r="H84" s="741"/>
      <c r="I84" s="741"/>
      <c r="J84" s="741"/>
      <c r="K84" s="741"/>
      <c r="L84" s="741"/>
      <c r="M84" s="742" t="s">
        <v>252</v>
      </c>
      <c r="N84" s="700">
        <f>IF(N83=0,0,SUM(B83:M83)/Grundlagen!C26*(52/12*Grundlagen!C26))</f>
        <v>0</v>
      </c>
    </row>
    <row r="85" spans="1:14" s="688" customFormat="1" ht="15.75" thickBot="1" x14ac:dyDescent="0.3">
      <c r="A85" s="740"/>
      <c r="B85" s="741"/>
      <c r="C85" s="741"/>
      <c r="D85" s="741"/>
      <c r="E85" s="741"/>
      <c r="F85" s="741"/>
      <c r="G85" s="741"/>
      <c r="H85" s="741"/>
      <c r="I85" s="741"/>
      <c r="J85" s="741"/>
      <c r="K85" s="741"/>
      <c r="L85" s="741"/>
      <c r="M85" s="742"/>
      <c r="N85" s="715"/>
    </row>
    <row r="86" spans="1:14" ht="15.75" thickBot="1" x14ac:dyDescent="0.3">
      <c r="A86" s="686" t="s">
        <v>634</v>
      </c>
      <c r="B86" s="743">
        <v>8.3000000000000004E-2</v>
      </c>
      <c r="C86" s="1108" t="s">
        <v>647</v>
      </c>
      <c r="D86" s="1108"/>
      <c r="E86" s="1108"/>
      <c r="F86" s="1108"/>
      <c r="G86" s="1108"/>
      <c r="H86" s="1108"/>
      <c r="I86" s="1108"/>
      <c r="J86" s="1108"/>
      <c r="K86" s="1108"/>
      <c r="L86" s="1108"/>
      <c r="M86" s="1109"/>
      <c r="N86" s="735"/>
    </row>
    <row r="87" spans="1:14" x14ac:dyDescent="0.25">
      <c r="A87" s="744" t="s">
        <v>626</v>
      </c>
      <c r="B87" s="745">
        <f t="shared" ref="B87:M87" si="48">B18*20*$B$86</f>
        <v>0</v>
      </c>
      <c r="C87" s="745">
        <f t="shared" si="48"/>
        <v>0</v>
      </c>
      <c r="D87" s="745">
        <f t="shared" si="48"/>
        <v>0</v>
      </c>
      <c r="E87" s="745">
        <f t="shared" si="48"/>
        <v>0</v>
      </c>
      <c r="F87" s="745">
        <f t="shared" si="48"/>
        <v>0</v>
      </c>
      <c r="G87" s="745">
        <f t="shared" si="48"/>
        <v>0</v>
      </c>
      <c r="H87" s="745">
        <f t="shared" si="48"/>
        <v>0</v>
      </c>
      <c r="I87" s="745">
        <f t="shared" si="48"/>
        <v>0</v>
      </c>
      <c r="J87" s="745">
        <f t="shared" si="48"/>
        <v>0</v>
      </c>
      <c r="K87" s="745">
        <f t="shared" si="48"/>
        <v>0</v>
      </c>
      <c r="L87" s="745">
        <f t="shared" si="48"/>
        <v>0</v>
      </c>
      <c r="M87" s="745">
        <f t="shared" si="48"/>
        <v>0</v>
      </c>
      <c r="N87" s="737"/>
    </row>
    <row r="88" spans="1:14" x14ac:dyDescent="0.25">
      <c r="A88" s="704" t="s">
        <v>627</v>
      </c>
      <c r="B88" s="745">
        <f t="shared" ref="B88:M88" si="49">B19*25*$B$86</f>
        <v>0</v>
      </c>
      <c r="C88" s="745">
        <f t="shared" si="49"/>
        <v>0</v>
      </c>
      <c r="D88" s="745">
        <f t="shared" si="49"/>
        <v>0</v>
      </c>
      <c r="E88" s="745">
        <f t="shared" si="49"/>
        <v>0</v>
      </c>
      <c r="F88" s="745">
        <f t="shared" si="49"/>
        <v>0</v>
      </c>
      <c r="G88" s="745">
        <f t="shared" si="49"/>
        <v>0</v>
      </c>
      <c r="H88" s="745">
        <f t="shared" si="49"/>
        <v>0</v>
      </c>
      <c r="I88" s="745">
        <f t="shared" si="49"/>
        <v>0</v>
      </c>
      <c r="J88" s="745">
        <f t="shared" si="49"/>
        <v>0</v>
      </c>
      <c r="K88" s="745">
        <f t="shared" si="49"/>
        <v>0</v>
      </c>
      <c r="L88" s="745">
        <f t="shared" si="49"/>
        <v>0</v>
      </c>
      <c r="M88" s="745">
        <f t="shared" si="49"/>
        <v>0</v>
      </c>
      <c r="N88" s="737"/>
    </row>
    <row r="89" spans="1:14" x14ac:dyDescent="0.25">
      <c r="A89" s="746" t="s">
        <v>628</v>
      </c>
      <c r="B89" s="745">
        <f t="shared" ref="B89:M89" si="50">B20*30*$B$86</f>
        <v>0</v>
      </c>
      <c r="C89" s="745">
        <f t="shared" si="50"/>
        <v>0</v>
      </c>
      <c r="D89" s="745">
        <f t="shared" si="50"/>
        <v>0</v>
      </c>
      <c r="E89" s="745">
        <f t="shared" si="50"/>
        <v>0</v>
      </c>
      <c r="F89" s="745">
        <f t="shared" si="50"/>
        <v>0</v>
      </c>
      <c r="G89" s="745">
        <f t="shared" si="50"/>
        <v>0</v>
      </c>
      <c r="H89" s="745">
        <f t="shared" si="50"/>
        <v>0</v>
      </c>
      <c r="I89" s="745">
        <f t="shared" si="50"/>
        <v>0</v>
      </c>
      <c r="J89" s="745">
        <f t="shared" si="50"/>
        <v>0</v>
      </c>
      <c r="K89" s="745">
        <f t="shared" si="50"/>
        <v>0</v>
      </c>
      <c r="L89" s="745">
        <f t="shared" si="50"/>
        <v>0</v>
      </c>
      <c r="M89" s="745">
        <f t="shared" si="50"/>
        <v>0</v>
      </c>
      <c r="N89" s="737"/>
    </row>
    <row r="90" spans="1:14" x14ac:dyDescent="0.25">
      <c r="A90" s="746" t="s">
        <v>629</v>
      </c>
      <c r="B90" s="745">
        <f t="shared" ref="B90:M90" si="51">B21*35*$B$86</f>
        <v>0</v>
      </c>
      <c r="C90" s="745">
        <f t="shared" si="51"/>
        <v>0</v>
      </c>
      <c r="D90" s="745">
        <f t="shared" si="51"/>
        <v>0</v>
      </c>
      <c r="E90" s="745">
        <f t="shared" si="51"/>
        <v>0</v>
      </c>
      <c r="F90" s="745">
        <f t="shared" si="51"/>
        <v>0</v>
      </c>
      <c r="G90" s="745">
        <f t="shared" si="51"/>
        <v>0</v>
      </c>
      <c r="H90" s="745">
        <f t="shared" si="51"/>
        <v>0</v>
      </c>
      <c r="I90" s="745">
        <f t="shared" si="51"/>
        <v>0</v>
      </c>
      <c r="J90" s="745">
        <f t="shared" si="51"/>
        <v>0</v>
      </c>
      <c r="K90" s="745">
        <f t="shared" si="51"/>
        <v>0</v>
      </c>
      <c r="L90" s="745">
        <f t="shared" si="51"/>
        <v>0</v>
      </c>
      <c r="M90" s="745">
        <f t="shared" si="51"/>
        <v>0</v>
      </c>
      <c r="N90" s="737"/>
    </row>
    <row r="91" spans="1:14" x14ac:dyDescent="0.25">
      <c r="A91" s="746" t="s">
        <v>630</v>
      </c>
      <c r="B91" s="745">
        <f t="shared" ref="B91:M91" si="52">B22*40*$B$86</f>
        <v>0</v>
      </c>
      <c r="C91" s="745">
        <f t="shared" si="52"/>
        <v>0</v>
      </c>
      <c r="D91" s="745">
        <f t="shared" si="52"/>
        <v>0</v>
      </c>
      <c r="E91" s="745">
        <f t="shared" si="52"/>
        <v>0</v>
      </c>
      <c r="F91" s="745">
        <f t="shared" si="52"/>
        <v>0</v>
      </c>
      <c r="G91" s="745">
        <f t="shared" si="52"/>
        <v>0</v>
      </c>
      <c r="H91" s="745">
        <f t="shared" si="52"/>
        <v>0</v>
      </c>
      <c r="I91" s="745">
        <f t="shared" si="52"/>
        <v>0</v>
      </c>
      <c r="J91" s="745">
        <f t="shared" si="52"/>
        <v>0</v>
      </c>
      <c r="K91" s="745">
        <f t="shared" si="52"/>
        <v>0</v>
      </c>
      <c r="L91" s="745">
        <f t="shared" si="52"/>
        <v>0</v>
      </c>
      <c r="M91" s="745">
        <f t="shared" si="52"/>
        <v>0</v>
      </c>
      <c r="N91" s="737"/>
    </row>
    <row r="92" spans="1:14" x14ac:dyDescent="0.25">
      <c r="A92" s="746" t="s">
        <v>631</v>
      </c>
      <c r="B92" s="745">
        <f t="shared" ref="B92:M92" si="53">B23*45*$B$86</f>
        <v>0</v>
      </c>
      <c r="C92" s="745">
        <f t="shared" si="53"/>
        <v>0</v>
      </c>
      <c r="D92" s="745">
        <f t="shared" si="53"/>
        <v>0</v>
      </c>
      <c r="E92" s="745">
        <f t="shared" si="53"/>
        <v>0</v>
      </c>
      <c r="F92" s="745">
        <f t="shared" si="53"/>
        <v>0</v>
      </c>
      <c r="G92" s="745">
        <f t="shared" si="53"/>
        <v>0</v>
      </c>
      <c r="H92" s="745">
        <f t="shared" si="53"/>
        <v>0</v>
      </c>
      <c r="I92" s="745">
        <f t="shared" si="53"/>
        <v>0</v>
      </c>
      <c r="J92" s="745">
        <f t="shared" si="53"/>
        <v>0</v>
      </c>
      <c r="K92" s="745">
        <f t="shared" si="53"/>
        <v>0</v>
      </c>
      <c r="L92" s="745">
        <f t="shared" si="53"/>
        <v>0</v>
      </c>
      <c r="M92" s="745">
        <f t="shared" si="53"/>
        <v>0</v>
      </c>
      <c r="N92" s="737"/>
    </row>
    <row r="93" spans="1:14" ht="15.75" thickBot="1" x14ac:dyDescent="0.3">
      <c r="A93" s="746" t="s">
        <v>632</v>
      </c>
      <c r="B93" s="745">
        <f t="shared" ref="B93:M93" si="54">B24*50*$B$86</f>
        <v>0</v>
      </c>
      <c r="C93" s="745">
        <f t="shared" si="54"/>
        <v>0</v>
      </c>
      <c r="D93" s="745">
        <f t="shared" si="54"/>
        <v>0</v>
      </c>
      <c r="E93" s="745">
        <f t="shared" si="54"/>
        <v>0</v>
      </c>
      <c r="F93" s="745">
        <f t="shared" si="54"/>
        <v>0</v>
      </c>
      <c r="G93" s="745">
        <f t="shared" si="54"/>
        <v>0</v>
      </c>
      <c r="H93" s="745">
        <f t="shared" si="54"/>
        <v>0</v>
      </c>
      <c r="I93" s="745">
        <f t="shared" si="54"/>
        <v>0</v>
      </c>
      <c r="J93" s="745">
        <f t="shared" si="54"/>
        <v>0</v>
      </c>
      <c r="K93" s="745">
        <f t="shared" si="54"/>
        <v>0</v>
      </c>
      <c r="L93" s="745">
        <f t="shared" si="54"/>
        <v>0</v>
      </c>
      <c r="M93" s="745">
        <f t="shared" si="54"/>
        <v>0</v>
      </c>
      <c r="N93" s="737"/>
    </row>
    <row r="94" spans="1:14" ht="15.75" hidden="1" thickBot="1" x14ac:dyDescent="0.3">
      <c r="A94" s="705" t="s">
        <v>633</v>
      </c>
      <c r="B94" s="745">
        <f t="shared" ref="B94:M94" si="55">B25*55*$B$86</f>
        <v>0</v>
      </c>
      <c r="C94" s="745">
        <f t="shared" si="55"/>
        <v>0</v>
      </c>
      <c r="D94" s="745">
        <f t="shared" si="55"/>
        <v>0</v>
      </c>
      <c r="E94" s="745">
        <f t="shared" si="55"/>
        <v>0</v>
      </c>
      <c r="F94" s="745">
        <f t="shared" si="55"/>
        <v>0</v>
      </c>
      <c r="G94" s="745">
        <f t="shared" si="55"/>
        <v>0</v>
      </c>
      <c r="H94" s="745">
        <f t="shared" si="55"/>
        <v>0</v>
      </c>
      <c r="I94" s="745">
        <f t="shared" si="55"/>
        <v>0</v>
      </c>
      <c r="J94" s="745">
        <f t="shared" si="55"/>
        <v>0</v>
      </c>
      <c r="K94" s="745">
        <f t="shared" si="55"/>
        <v>0</v>
      </c>
      <c r="L94" s="745">
        <f t="shared" si="55"/>
        <v>0</v>
      </c>
      <c r="M94" s="745">
        <f t="shared" si="55"/>
        <v>0</v>
      </c>
      <c r="N94" s="738"/>
    </row>
    <row r="95" spans="1:14" ht="15.75" thickBot="1" x14ac:dyDescent="0.3">
      <c r="A95" s="739"/>
      <c r="B95" s="747">
        <f t="shared" ref="B95:M95" si="56">SUM(B87:B94)</f>
        <v>0</v>
      </c>
      <c r="C95" s="748">
        <f t="shared" si="56"/>
        <v>0</v>
      </c>
      <c r="D95" s="748">
        <f t="shared" si="56"/>
        <v>0</v>
      </c>
      <c r="E95" s="748">
        <f t="shared" si="56"/>
        <v>0</v>
      </c>
      <c r="F95" s="748">
        <f t="shared" si="56"/>
        <v>0</v>
      </c>
      <c r="G95" s="748">
        <f t="shared" si="56"/>
        <v>0</v>
      </c>
      <c r="H95" s="748">
        <f t="shared" si="56"/>
        <v>0</v>
      </c>
      <c r="I95" s="748">
        <f t="shared" si="56"/>
        <v>0</v>
      </c>
      <c r="J95" s="748">
        <f t="shared" si="56"/>
        <v>0</v>
      </c>
      <c r="K95" s="748">
        <f t="shared" si="56"/>
        <v>0</v>
      </c>
      <c r="L95" s="748">
        <f t="shared" si="56"/>
        <v>0</v>
      </c>
      <c r="M95" s="749">
        <f t="shared" si="56"/>
        <v>0</v>
      </c>
      <c r="N95" s="709">
        <f>IF(Grundlagen!C26="",0,SUM(B95:M95)/Grundlagen!C26)</f>
        <v>0</v>
      </c>
    </row>
    <row r="96" spans="1:14" ht="15.75" thickBot="1" x14ac:dyDescent="0.3">
      <c r="A96" s="740"/>
      <c r="B96" s="741"/>
      <c r="C96" s="741"/>
      <c r="D96" s="741"/>
      <c r="E96" s="741"/>
      <c r="F96" s="741"/>
      <c r="G96" s="741"/>
      <c r="H96" s="741"/>
      <c r="I96" s="741"/>
      <c r="J96" s="741"/>
      <c r="K96" s="741"/>
      <c r="L96" s="741"/>
      <c r="M96" s="742" t="s">
        <v>252</v>
      </c>
      <c r="N96" s="709">
        <f>IF(N95=0,0,SUM(B95:M95)/Grundlagen!C26*(52/12*Grundlagen!C26))</f>
        <v>0</v>
      </c>
    </row>
    <row r="97" spans="1:14" ht="15.75" thickBot="1" x14ac:dyDescent="0.3">
      <c r="A97" s="740"/>
      <c r="B97" s="741"/>
      <c r="C97" s="741"/>
      <c r="D97" s="741"/>
      <c r="E97" s="741"/>
      <c r="F97" s="741"/>
      <c r="G97" s="741"/>
      <c r="H97" s="741"/>
      <c r="I97" s="741"/>
      <c r="J97" s="741"/>
      <c r="K97" s="741"/>
      <c r="L97" s="741"/>
      <c r="M97" s="742"/>
      <c r="N97" s="715"/>
    </row>
    <row r="98" spans="1:14" ht="15.75" thickBot="1" x14ac:dyDescent="0.3">
      <c r="A98" s="686" t="s">
        <v>648</v>
      </c>
      <c r="B98" s="736">
        <v>5.1999999999999998E-2</v>
      </c>
      <c r="C98" s="1104" t="s">
        <v>646</v>
      </c>
      <c r="D98" s="1104"/>
      <c r="E98" s="1104"/>
      <c r="F98" s="1104"/>
      <c r="G98" s="1104"/>
      <c r="H98" s="1104"/>
      <c r="I98" s="1104"/>
      <c r="J98" s="1104"/>
      <c r="K98" s="1104"/>
      <c r="L98" s="1104"/>
      <c r="M98" s="1105"/>
      <c r="N98" s="735"/>
    </row>
    <row r="99" spans="1:14" x14ac:dyDescent="0.25">
      <c r="A99" s="689" t="s">
        <v>637</v>
      </c>
      <c r="B99" s="730">
        <f t="shared" ref="B99:M99" si="57">B54*5*$B$98</f>
        <v>0</v>
      </c>
      <c r="C99" s="730">
        <f t="shared" si="57"/>
        <v>0</v>
      </c>
      <c r="D99" s="730">
        <f t="shared" si="57"/>
        <v>0</v>
      </c>
      <c r="E99" s="730">
        <f t="shared" si="57"/>
        <v>0</v>
      </c>
      <c r="F99" s="730">
        <f t="shared" si="57"/>
        <v>0</v>
      </c>
      <c r="G99" s="730">
        <f t="shared" si="57"/>
        <v>0</v>
      </c>
      <c r="H99" s="730">
        <f t="shared" si="57"/>
        <v>0</v>
      </c>
      <c r="I99" s="730">
        <f t="shared" si="57"/>
        <v>0</v>
      </c>
      <c r="J99" s="730">
        <f t="shared" si="57"/>
        <v>0</v>
      </c>
      <c r="K99" s="730">
        <f t="shared" si="57"/>
        <v>0</v>
      </c>
      <c r="L99" s="730">
        <f t="shared" si="57"/>
        <v>0</v>
      </c>
      <c r="M99" s="730">
        <f t="shared" si="57"/>
        <v>0</v>
      </c>
      <c r="N99" s="690"/>
    </row>
    <row r="100" spans="1:14" x14ac:dyDescent="0.25">
      <c r="A100" s="693" t="s">
        <v>638</v>
      </c>
      <c r="B100" s="730">
        <f t="shared" ref="B100:M100" si="58">B55*10*$B$98</f>
        <v>0</v>
      </c>
      <c r="C100" s="730">
        <f t="shared" si="58"/>
        <v>0</v>
      </c>
      <c r="D100" s="730">
        <f t="shared" si="58"/>
        <v>0</v>
      </c>
      <c r="E100" s="730">
        <f t="shared" si="58"/>
        <v>0</v>
      </c>
      <c r="F100" s="730">
        <f t="shared" si="58"/>
        <v>0</v>
      </c>
      <c r="G100" s="730">
        <f t="shared" si="58"/>
        <v>0</v>
      </c>
      <c r="H100" s="730">
        <f t="shared" si="58"/>
        <v>0</v>
      </c>
      <c r="I100" s="730">
        <f t="shared" si="58"/>
        <v>0</v>
      </c>
      <c r="J100" s="730">
        <f t="shared" si="58"/>
        <v>0</v>
      </c>
      <c r="K100" s="730">
        <f t="shared" si="58"/>
        <v>0</v>
      </c>
      <c r="L100" s="730">
        <f t="shared" si="58"/>
        <v>0</v>
      </c>
      <c r="M100" s="730">
        <f t="shared" si="58"/>
        <v>0</v>
      </c>
      <c r="N100" s="690"/>
    </row>
    <row r="101" spans="1:14" x14ac:dyDescent="0.25">
      <c r="A101" s="693" t="s">
        <v>639</v>
      </c>
      <c r="B101" s="730">
        <f t="shared" ref="B101:M101" si="59">B56*15*$B$98</f>
        <v>0</v>
      </c>
      <c r="C101" s="730">
        <f t="shared" si="59"/>
        <v>0</v>
      </c>
      <c r="D101" s="730">
        <f t="shared" si="59"/>
        <v>0</v>
      </c>
      <c r="E101" s="730">
        <f t="shared" si="59"/>
        <v>0</v>
      </c>
      <c r="F101" s="730">
        <f t="shared" si="59"/>
        <v>0</v>
      </c>
      <c r="G101" s="730">
        <f t="shared" si="59"/>
        <v>0</v>
      </c>
      <c r="H101" s="730">
        <f t="shared" si="59"/>
        <v>0</v>
      </c>
      <c r="I101" s="730">
        <f t="shared" si="59"/>
        <v>0</v>
      </c>
      <c r="J101" s="730">
        <f t="shared" si="59"/>
        <v>0</v>
      </c>
      <c r="K101" s="730">
        <f t="shared" si="59"/>
        <v>0</v>
      </c>
      <c r="L101" s="730">
        <f t="shared" si="59"/>
        <v>0</v>
      </c>
      <c r="M101" s="730">
        <f t="shared" si="59"/>
        <v>0</v>
      </c>
      <c r="N101" s="690"/>
    </row>
    <row r="102" spans="1:14" x14ac:dyDescent="0.25">
      <c r="A102" s="693" t="s">
        <v>626</v>
      </c>
      <c r="B102" s="730">
        <f t="shared" ref="B102:M102" si="60">B57*20*$B$98</f>
        <v>0</v>
      </c>
      <c r="C102" s="730">
        <f t="shared" si="60"/>
        <v>0</v>
      </c>
      <c r="D102" s="730">
        <f t="shared" si="60"/>
        <v>0</v>
      </c>
      <c r="E102" s="730">
        <f t="shared" si="60"/>
        <v>0</v>
      </c>
      <c r="F102" s="730">
        <f t="shared" si="60"/>
        <v>0</v>
      </c>
      <c r="G102" s="730">
        <f t="shared" si="60"/>
        <v>0</v>
      </c>
      <c r="H102" s="730">
        <f t="shared" si="60"/>
        <v>0</v>
      </c>
      <c r="I102" s="730">
        <f t="shared" si="60"/>
        <v>0</v>
      </c>
      <c r="J102" s="730">
        <f t="shared" si="60"/>
        <v>0</v>
      </c>
      <c r="K102" s="730">
        <f t="shared" si="60"/>
        <v>0</v>
      </c>
      <c r="L102" s="730">
        <f t="shared" si="60"/>
        <v>0</v>
      </c>
      <c r="M102" s="730">
        <f t="shared" si="60"/>
        <v>0</v>
      </c>
      <c r="N102" s="690"/>
    </row>
    <row r="103" spans="1:14" x14ac:dyDescent="0.25">
      <c r="A103" s="693" t="s">
        <v>627</v>
      </c>
      <c r="B103" s="730">
        <f t="shared" ref="B103:M103" si="61">B58*25*$B$98</f>
        <v>0</v>
      </c>
      <c r="C103" s="730">
        <f t="shared" si="61"/>
        <v>0</v>
      </c>
      <c r="D103" s="730">
        <f t="shared" si="61"/>
        <v>0</v>
      </c>
      <c r="E103" s="730">
        <f t="shared" si="61"/>
        <v>0</v>
      </c>
      <c r="F103" s="730">
        <f t="shared" si="61"/>
        <v>0</v>
      </c>
      <c r="G103" s="730">
        <f t="shared" si="61"/>
        <v>0</v>
      </c>
      <c r="H103" s="730">
        <f t="shared" si="61"/>
        <v>0</v>
      </c>
      <c r="I103" s="730">
        <f t="shared" si="61"/>
        <v>0</v>
      </c>
      <c r="J103" s="730">
        <f t="shared" si="61"/>
        <v>0</v>
      </c>
      <c r="K103" s="730">
        <f t="shared" si="61"/>
        <v>0</v>
      </c>
      <c r="L103" s="730">
        <f t="shared" si="61"/>
        <v>0</v>
      </c>
      <c r="M103" s="730">
        <f t="shared" si="61"/>
        <v>0</v>
      </c>
      <c r="N103" s="690"/>
    </row>
    <row r="104" spans="1:14" x14ac:dyDescent="0.25">
      <c r="A104" s="693" t="s">
        <v>628</v>
      </c>
      <c r="B104" s="730">
        <f t="shared" ref="B104:M104" si="62">B59*30*$B$98</f>
        <v>0</v>
      </c>
      <c r="C104" s="730">
        <f t="shared" si="62"/>
        <v>0</v>
      </c>
      <c r="D104" s="730">
        <f t="shared" si="62"/>
        <v>0</v>
      </c>
      <c r="E104" s="730">
        <f t="shared" si="62"/>
        <v>0</v>
      </c>
      <c r="F104" s="730">
        <f t="shared" si="62"/>
        <v>0</v>
      </c>
      <c r="G104" s="730">
        <f t="shared" si="62"/>
        <v>0</v>
      </c>
      <c r="H104" s="730">
        <f t="shared" si="62"/>
        <v>0</v>
      </c>
      <c r="I104" s="730">
        <f t="shared" si="62"/>
        <v>0</v>
      </c>
      <c r="J104" s="730">
        <f t="shared" si="62"/>
        <v>0</v>
      </c>
      <c r="K104" s="730">
        <f t="shared" si="62"/>
        <v>0</v>
      </c>
      <c r="L104" s="730">
        <f t="shared" si="62"/>
        <v>0</v>
      </c>
      <c r="M104" s="730">
        <f t="shared" si="62"/>
        <v>0</v>
      </c>
      <c r="N104" s="750"/>
    </row>
    <row r="105" spans="1:14" x14ac:dyDescent="0.25">
      <c r="A105" s="693" t="s">
        <v>629</v>
      </c>
      <c r="B105" s="730">
        <f t="shared" ref="B105:M105" si="63">B60*35*$B$98</f>
        <v>0</v>
      </c>
      <c r="C105" s="730">
        <f t="shared" si="63"/>
        <v>0</v>
      </c>
      <c r="D105" s="730">
        <f t="shared" si="63"/>
        <v>0</v>
      </c>
      <c r="E105" s="730">
        <f t="shared" si="63"/>
        <v>0</v>
      </c>
      <c r="F105" s="730">
        <f t="shared" si="63"/>
        <v>0</v>
      </c>
      <c r="G105" s="730">
        <f t="shared" si="63"/>
        <v>0</v>
      </c>
      <c r="H105" s="730">
        <f t="shared" si="63"/>
        <v>0</v>
      </c>
      <c r="I105" s="730">
        <f t="shared" si="63"/>
        <v>0</v>
      </c>
      <c r="J105" s="730">
        <f t="shared" si="63"/>
        <v>0</v>
      </c>
      <c r="K105" s="730">
        <f t="shared" si="63"/>
        <v>0</v>
      </c>
      <c r="L105" s="730">
        <f t="shared" si="63"/>
        <v>0</v>
      </c>
      <c r="M105" s="730">
        <f t="shared" si="63"/>
        <v>0</v>
      </c>
      <c r="N105" s="750"/>
    </row>
    <row r="106" spans="1:14" x14ac:dyDescent="0.25">
      <c r="A106" s="693" t="s">
        <v>630</v>
      </c>
      <c r="B106" s="730">
        <f t="shared" ref="B106:M106" si="64">B61*40*$B$98</f>
        <v>0</v>
      </c>
      <c r="C106" s="730">
        <f t="shared" si="64"/>
        <v>0</v>
      </c>
      <c r="D106" s="730">
        <f t="shared" si="64"/>
        <v>0</v>
      </c>
      <c r="E106" s="730">
        <f t="shared" si="64"/>
        <v>0</v>
      </c>
      <c r="F106" s="730">
        <f t="shared" si="64"/>
        <v>0</v>
      </c>
      <c r="G106" s="730">
        <f t="shared" si="64"/>
        <v>0</v>
      </c>
      <c r="H106" s="730">
        <f t="shared" si="64"/>
        <v>0</v>
      </c>
      <c r="I106" s="730">
        <f t="shared" si="64"/>
        <v>0</v>
      </c>
      <c r="J106" s="730">
        <f t="shared" si="64"/>
        <v>0</v>
      </c>
      <c r="K106" s="730">
        <f t="shared" si="64"/>
        <v>0</v>
      </c>
      <c r="L106" s="730">
        <f t="shared" si="64"/>
        <v>0</v>
      </c>
      <c r="M106" s="730">
        <f t="shared" si="64"/>
        <v>0</v>
      </c>
      <c r="N106" s="690"/>
    </row>
    <row r="107" spans="1:14" x14ac:dyDescent="0.25">
      <c r="A107" s="693" t="s">
        <v>631</v>
      </c>
      <c r="B107" s="730">
        <f t="shared" ref="B107:M107" si="65">B62*45*$B$98</f>
        <v>0</v>
      </c>
      <c r="C107" s="730">
        <f t="shared" si="65"/>
        <v>0</v>
      </c>
      <c r="D107" s="730">
        <f t="shared" si="65"/>
        <v>0</v>
      </c>
      <c r="E107" s="730">
        <f t="shared" si="65"/>
        <v>0</v>
      </c>
      <c r="F107" s="730">
        <f t="shared" si="65"/>
        <v>0</v>
      </c>
      <c r="G107" s="730">
        <f t="shared" si="65"/>
        <v>0</v>
      </c>
      <c r="H107" s="730">
        <f t="shared" si="65"/>
        <v>0</v>
      </c>
      <c r="I107" s="730">
        <f t="shared" si="65"/>
        <v>0</v>
      </c>
      <c r="J107" s="730">
        <f t="shared" si="65"/>
        <v>0</v>
      </c>
      <c r="K107" s="730">
        <f t="shared" si="65"/>
        <v>0</v>
      </c>
      <c r="L107" s="730">
        <f t="shared" si="65"/>
        <v>0</v>
      </c>
      <c r="M107" s="730">
        <f t="shared" si="65"/>
        <v>0</v>
      </c>
      <c r="N107" s="719"/>
    </row>
    <row r="108" spans="1:14" ht="15.75" thickBot="1" x14ac:dyDescent="0.3">
      <c r="A108" s="720" t="s">
        <v>642</v>
      </c>
      <c r="B108" s="730">
        <f t="shared" ref="B108:M108" si="66">B63*50*$B$98</f>
        <v>0</v>
      </c>
      <c r="C108" s="730">
        <f t="shared" si="66"/>
        <v>0</v>
      </c>
      <c r="D108" s="730">
        <f t="shared" si="66"/>
        <v>0</v>
      </c>
      <c r="E108" s="730">
        <f t="shared" si="66"/>
        <v>0</v>
      </c>
      <c r="F108" s="730">
        <f t="shared" si="66"/>
        <v>0</v>
      </c>
      <c r="G108" s="730">
        <f t="shared" si="66"/>
        <v>0</v>
      </c>
      <c r="H108" s="730">
        <f t="shared" si="66"/>
        <v>0</v>
      </c>
      <c r="I108" s="730">
        <f t="shared" si="66"/>
        <v>0</v>
      </c>
      <c r="J108" s="730">
        <f t="shared" si="66"/>
        <v>0</v>
      </c>
      <c r="K108" s="730">
        <f t="shared" si="66"/>
        <v>0</v>
      </c>
      <c r="L108" s="730">
        <f t="shared" si="66"/>
        <v>0</v>
      </c>
      <c r="M108" s="730">
        <f t="shared" si="66"/>
        <v>0</v>
      </c>
      <c r="N108" s="719"/>
    </row>
    <row r="109" spans="1:14" ht="15.75" thickBot="1" x14ac:dyDescent="0.3">
      <c r="A109" s="739"/>
      <c r="B109" s="731">
        <f>SUM(B99:B108)</f>
        <v>0</v>
      </c>
      <c r="C109" s="732">
        <f t="shared" ref="C109:M109" si="67">SUM(C99:C108)</f>
        <v>0</v>
      </c>
      <c r="D109" s="732">
        <f t="shared" si="67"/>
        <v>0</v>
      </c>
      <c r="E109" s="732">
        <f t="shared" si="67"/>
        <v>0</v>
      </c>
      <c r="F109" s="732">
        <f t="shared" si="67"/>
        <v>0</v>
      </c>
      <c r="G109" s="732">
        <f t="shared" si="67"/>
        <v>0</v>
      </c>
      <c r="H109" s="732">
        <f t="shared" si="67"/>
        <v>0</v>
      </c>
      <c r="I109" s="732">
        <f t="shared" si="67"/>
        <v>0</v>
      </c>
      <c r="J109" s="732">
        <f t="shared" si="67"/>
        <v>0</v>
      </c>
      <c r="K109" s="732">
        <f t="shared" si="67"/>
        <v>0</v>
      </c>
      <c r="L109" s="732">
        <f t="shared" si="67"/>
        <v>0</v>
      </c>
      <c r="M109" s="733">
        <f t="shared" si="67"/>
        <v>0</v>
      </c>
      <c r="N109" s="700">
        <f>IF(Grundlagen!C26="",0,SUM(B109:M109)/Grundlagen!C26)</f>
        <v>0</v>
      </c>
    </row>
    <row r="110" spans="1:14" ht="15.75" thickBot="1" x14ac:dyDescent="0.3">
      <c r="B110" s="751"/>
      <c r="C110" s="751"/>
      <c r="D110" s="751"/>
      <c r="E110" s="751"/>
      <c r="F110" s="751"/>
      <c r="G110" s="751"/>
      <c r="H110" s="751"/>
      <c r="I110" s="751"/>
      <c r="J110" s="751"/>
      <c r="K110" s="751"/>
      <c r="L110" s="751"/>
      <c r="M110" s="742" t="s">
        <v>252</v>
      </c>
      <c r="N110" s="700">
        <f>IF(N109=0,0,SUM(B109:M109)/Grundlagen!C26*(52/12*Grundlagen!C26))</f>
        <v>0</v>
      </c>
    </row>
    <row r="111" spans="1:14" ht="15.75" thickBot="1" x14ac:dyDescent="0.3">
      <c r="M111" s="320" t="s">
        <v>649</v>
      </c>
      <c r="N111" s="752">
        <f>N84+N96+N110</f>
        <v>0</v>
      </c>
    </row>
  </sheetData>
  <sheetProtection algorithmName="SHA-512" hashValue="uHDJfQoilhc9YrK/7NOIF6X/geWBXapcKaaj5jpCaqsoEbPB0jPdX+qTE395umxYu9Y25aysx9V2zrFoQ9swEA==" saltValue="zec5ja3Trh/RVVY5rvCE5Q==" spinCount="100000" sheet="1" objects="1" scenarios="1"/>
  <mergeCells count="10">
    <mergeCell ref="B2:M2"/>
    <mergeCell ref="B1:C1"/>
    <mergeCell ref="C98:M98"/>
    <mergeCell ref="B3:M3"/>
    <mergeCell ref="B29:M29"/>
    <mergeCell ref="B37:M37"/>
    <mergeCell ref="C74:M74"/>
    <mergeCell ref="C86:M86"/>
    <mergeCell ref="A4:M4"/>
    <mergeCell ref="A50:C50"/>
  </mergeCells>
  <printOptions horizontalCentered="1"/>
  <pageMargins left="0.19685039370078741" right="0.19685039370078741" top="1.1811023622047245" bottom="0.39370078740157483" header="0.19685039370078741" footer="0.19685039370078741"/>
  <pageSetup paperSize="9" scale="69" fitToHeight="2" orientation="landscape" r:id="rId1"/>
  <headerFooter>
    <oddHeader xml:space="preserve">&amp;L&amp;"Arial,Fett"&amp;22Salzlandkreis&amp;11
&amp;12Der Landrat&amp;C&amp;"Arial,Fett"
&amp;12
Belegung und Wochenstunden&amp;R&amp;G
</oddHeader>
    <oddFooter>&amp;C&amp;"Arial,Standard"&amp;8Ausfertigung vom &amp;D &amp;T&amp;R&amp;"Arial,Standard"&amp;8&amp;P von &amp;N</oddFooter>
  </headerFooter>
  <rowBreaks count="2" manualBreakCount="2">
    <brk id="52" max="16383" man="1"/>
    <brk id="72"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3" tint="0.39997558519241921"/>
  </sheetPr>
  <dimension ref="A1:P144"/>
  <sheetViews>
    <sheetView showGridLines="0" view="pageLayout" zoomScaleNormal="100" workbookViewId="0">
      <selection activeCell="D7" sqref="D7:I7"/>
    </sheetView>
  </sheetViews>
  <sheetFormatPr baseColWidth="10" defaultRowHeight="14.25" x14ac:dyDescent="0.2"/>
  <cols>
    <col min="1" max="1" width="9.42578125" style="18" customWidth="1"/>
    <col min="2" max="2" width="12.7109375" style="18" customWidth="1"/>
    <col min="3" max="3" width="11.42578125" style="18"/>
    <col min="4" max="4" width="10.5703125" style="18" customWidth="1"/>
    <col min="5" max="5" width="11.140625" style="18" customWidth="1"/>
    <col min="6" max="6" width="11.42578125" style="18" customWidth="1"/>
    <col min="7" max="7" width="10.140625" style="18" customWidth="1"/>
    <col min="8" max="8" width="11.5703125" style="18" customWidth="1"/>
    <col min="9" max="11" width="11.42578125" style="18"/>
    <col min="12" max="13" width="11.140625" style="18" customWidth="1"/>
    <col min="14" max="14" width="11.42578125" style="18" customWidth="1"/>
    <col min="15" max="15" width="11.5703125" style="18" customWidth="1"/>
    <col min="16" max="16" width="10.85546875" style="18" customWidth="1"/>
    <col min="17" max="16384" width="11.42578125" style="18"/>
  </cols>
  <sheetData>
    <row r="1" spans="1:16" s="10" customFormat="1" ht="13.5" customHeight="1" x14ac:dyDescent="0.2">
      <c r="A1" s="1321" t="s">
        <v>17</v>
      </c>
      <c r="B1" s="1321"/>
      <c r="C1" s="1321"/>
      <c r="D1" s="1320" t="str">
        <f>IF('päd.Personal - Leitung'!$D$1="","",'päd.Personal - Leitung'!$D$1)</f>
        <v/>
      </c>
      <c r="E1" s="1320"/>
      <c r="F1" s="1320"/>
      <c r="G1" s="1320"/>
      <c r="H1" s="1320"/>
      <c r="I1" s="1320"/>
      <c r="J1" s="1320"/>
      <c r="K1" s="1320"/>
      <c r="L1" s="1320"/>
      <c r="M1" s="1320"/>
      <c r="N1" s="1320"/>
    </row>
    <row r="2" spans="1:16" s="10" customFormat="1" ht="15" customHeight="1" x14ac:dyDescent="0.2">
      <c r="A2" s="1321" t="s">
        <v>16</v>
      </c>
      <c r="B2" s="1321"/>
      <c r="C2" s="1321" t="s">
        <v>14</v>
      </c>
      <c r="D2" s="1320" t="str">
        <f>IF('päd.Personal - Leitung'!$D$2="","",'päd.Personal - Leitung'!$D$2)</f>
        <v/>
      </c>
      <c r="E2" s="1320"/>
      <c r="F2" s="1320"/>
      <c r="G2" s="1320"/>
      <c r="H2" s="1320"/>
      <c r="I2" s="1320"/>
      <c r="J2" s="1320"/>
      <c r="K2" s="1320"/>
      <c r="L2" s="1320"/>
      <c r="M2" s="1320"/>
      <c r="N2" s="1320"/>
    </row>
    <row r="3" spans="1:16" s="10" customFormat="1" ht="15" customHeight="1" x14ac:dyDescent="0.2">
      <c r="A3" s="1321" t="s">
        <v>15</v>
      </c>
      <c r="B3" s="1321"/>
      <c r="C3" s="1321" t="s">
        <v>14</v>
      </c>
      <c r="D3" s="1320" t="str">
        <f>IF('päd.Personal - Leitung'!$D$3="","",'päd.Personal - Leitung'!$D$3)</f>
        <v/>
      </c>
      <c r="E3" s="1320"/>
      <c r="F3" s="1320"/>
      <c r="G3" s="1320"/>
      <c r="H3" s="1320"/>
      <c r="I3" s="1320"/>
      <c r="J3" s="1320"/>
      <c r="K3" s="1321" t="s">
        <v>100</v>
      </c>
      <c r="L3" s="1321"/>
      <c r="M3" s="1321"/>
      <c r="N3" s="38" t="str">
        <f>IF('päd.Personal - Leitung'!$N$3="","",'päd.Personal - Leitung'!$N$3)</f>
        <v/>
      </c>
    </row>
    <row r="4" spans="1:16" s="923" customFormat="1" ht="7.5" customHeight="1" x14ac:dyDescent="0.15">
      <c r="A4" s="1353"/>
      <c r="B4" s="1353"/>
      <c r="C4" s="1353"/>
      <c r="D4" s="1354"/>
      <c r="E4" s="1354"/>
      <c r="F4" s="1354"/>
      <c r="G4" s="1354"/>
      <c r="H4" s="1354"/>
      <c r="I4" s="1354"/>
      <c r="J4" s="1354"/>
      <c r="K4" s="922"/>
      <c r="L4" s="922"/>
      <c r="M4" s="922"/>
      <c r="N4" s="922"/>
      <c r="O4" s="922"/>
      <c r="P4" s="922"/>
    </row>
    <row r="5" spans="1:16" s="13" customFormat="1" ht="13.5" customHeight="1" x14ac:dyDescent="0.2">
      <c r="A5" s="1355" t="s">
        <v>182</v>
      </c>
      <c r="B5" s="1355"/>
      <c r="C5" s="1355"/>
      <c r="D5" s="1355"/>
      <c r="E5" s="1355"/>
      <c r="F5" s="1355"/>
      <c r="G5" s="1355"/>
      <c r="H5" s="1355"/>
      <c r="I5" s="1355"/>
      <c r="J5" s="1355"/>
      <c r="K5" s="1355"/>
      <c r="L5" s="7"/>
      <c r="M5" s="7"/>
      <c r="N5" s="52"/>
      <c r="O5" s="138">
        <f>'päd.Personal - Leitung'!$O$5</f>
        <v>2025</v>
      </c>
      <c r="P5" s="52" t="s">
        <v>140</v>
      </c>
    </row>
    <row r="6" spans="1:16" s="8" customFormat="1" ht="13.5" customHeight="1" x14ac:dyDescent="0.25">
      <c r="B6" s="29"/>
      <c r="C6" s="29"/>
      <c r="D6" s="3" t="s">
        <v>177</v>
      </c>
      <c r="E6" s="28"/>
      <c r="F6" s="28"/>
      <c r="G6" s="28"/>
      <c r="H6" s="28"/>
      <c r="I6" s="24"/>
      <c r="J6" s="1370"/>
      <c r="K6" s="1370"/>
      <c r="L6" s="81"/>
      <c r="O6" s="928" t="str">
        <f>A29</f>
        <v>Jan 2025</v>
      </c>
      <c r="P6" s="68">
        <f>IF(M8="","",M8)</f>
        <v>0</v>
      </c>
    </row>
    <row r="7" spans="1:16" s="5" customFormat="1" ht="13.5" customHeight="1" x14ac:dyDescent="0.25">
      <c r="A7" s="1328" t="s">
        <v>754</v>
      </c>
      <c r="B7" s="1328"/>
      <c r="C7" s="1328"/>
      <c r="D7" s="1329"/>
      <c r="E7" s="1329"/>
      <c r="F7" s="1329"/>
      <c r="G7" s="1329"/>
      <c r="H7" s="1329"/>
      <c r="I7" s="1329"/>
      <c r="K7" s="1327" t="s">
        <v>101</v>
      </c>
      <c r="L7" s="1327"/>
      <c r="M7" s="101"/>
      <c r="O7" s="928" t="str">
        <f t="shared" ref="O7:O17" si="0">A30</f>
        <v>Feb 2025</v>
      </c>
      <c r="P7" s="69">
        <f t="shared" ref="P7:P14" si="1">IF(P6="","",P6)</f>
        <v>0</v>
      </c>
    </row>
    <row r="8" spans="1:16" s="1" customFormat="1" ht="13.5" customHeight="1" x14ac:dyDescent="0.2">
      <c r="A8" s="1328" t="s">
        <v>12</v>
      </c>
      <c r="B8" s="1328"/>
      <c r="C8" s="1328"/>
      <c r="D8" s="1345"/>
      <c r="E8" s="1345"/>
      <c r="F8" s="1345"/>
      <c r="G8" s="1345"/>
      <c r="H8" s="1345"/>
      <c r="I8" s="1345"/>
      <c r="K8" s="1327" t="s">
        <v>149</v>
      </c>
      <c r="L8" s="1327"/>
      <c r="M8" s="101">
        <f>IF((M9+M10)&gt;M7,0,M7-M9-M10)</f>
        <v>0</v>
      </c>
      <c r="O8" s="928" t="str">
        <f t="shared" si="0"/>
        <v>Mrz 2025</v>
      </c>
      <c r="P8" s="69">
        <f t="shared" si="1"/>
        <v>0</v>
      </c>
    </row>
    <row r="9" spans="1:16" s="1" customFormat="1" ht="13.5" customHeight="1" x14ac:dyDescent="0.2">
      <c r="A9" s="1328" t="s">
        <v>77</v>
      </c>
      <c r="B9" s="1328"/>
      <c r="C9" s="1328"/>
      <c r="D9" s="1345"/>
      <c r="E9" s="1345"/>
      <c r="F9" s="1345"/>
      <c r="G9" s="1345"/>
      <c r="H9" s="1345"/>
      <c r="I9" s="1345"/>
      <c r="K9" s="1327" t="s">
        <v>150</v>
      </c>
      <c r="L9" s="1327"/>
      <c r="M9" s="101"/>
      <c r="O9" s="928" t="str">
        <f t="shared" si="0"/>
        <v>Apr 2025</v>
      </c>
      <c r="P9" s="69">
        <f t="shared" si="1"/>
        <v>0</v>
      </c>
    </row>
    <row r="10" spans="1:16" s="1" customFormat="1" ht="13.5" customHeight="1" x14ac:dyDescent="0.2">
      <c r="A10" s="1328" t="s">
        <v>18</v>
      </c>
      <c r="B10" s="1328"/>
      <c r="C10" s="1328"/>
      <c r="D10" s="1345"/>
      <c r="E10" s="1345"/>
      <c r="F10" s="1345"/>
      <c r="G10" s="1345"/>
      <c r="H10" s="1345"/>
      <c r="I10" s="1345"/>
      <c r="K10" s="1327" t="s">
        <v>222</v>
      </c>
      <c r="L10" s="1327"/>
      <c r="M10" s="101"/>
      <c r="O10" s="928" t="str">
        <f t="shared" si="0"/>
        <v>Mai 2025</v>
      </c>
      <c r="P10" s="69">
        <f t="shared" si="1"/>
        <v>0</v>
      </c>
    </row>
    <row r="11" spans="1:16" s="1" customFormat="1" ht="13.5" customHeight="1" x14ac:dyDescent="0.2">
      <c r="B11" s="6"/>
      <c r="C11" s="95" t="s">
        <v>147</v>
      </c>
      <c r="D11" s="1324"/>
      <c r="E11" s="1324"/>
      <c r="F11" s="1359" t="s">
        <v>103</v>
      </c>
      <c r="G11" s="1359"/>
      <c r="H11" s="1361"/>
      <c r="I11" s="1361"/>
      <c r="K11" s="1327" t="s">
        <v>94</v>
      </c>
      <c r="L11" s="1327"/>
      <c r="M11" s="15" t="str">
        <f>IF(IF((COUNTIF(B29:B40,"&gt;0"))=0,0,(COUNTIF(B29:B40,"&gt;0")))&gt;Grundlagen!$C$26,Grundlagen!$C$26,IF((COUNTIF(B29:B40,"&gt;0"))=0,"",(COUNTIF(B29:B40,"&gt;0"))))</f>
        <v/>
      </c>
      <c r="O11" s="928" t="str">
        <f t="shared" si="0"/>
        <v>Jun 2025</v>
      </c>
      <c r="P11" s="69">
        <f t="shared" si="1"/>
        <v>0</v>
      </c>
    </row>
    <row r="12" spans="1:16" s="1" customFormat="1" ht="13.5" customHeight="1" x14ac:dyDescent="0.2">
      <c r="M12" s="102" t="str">
        <f>IF((SUM(E14:F17))=0,"",IF(P18&gt;M8,M8,IF(M8="","",IF(M11="","",P18))))</f>
        <v/>
      </c>
      <c r="O12" s="928" t="str">
        <f t="shared" si="0"/>
        <v>Jul 2025</v>
      </c>
      <c r="P12" s="69">
        <f t="shared" si="1"/>
        <v>0</v>
      </c>
    </row>
    <row r="13" spans="1:16" s="109" customFormat="1" ht="14.25" customHeight="1" x14ac:dyDescent="0.25">
      <c r="A13" s="103" t="s">
        <v>170</v>
      </c>
      <c r="B13" s="56"/>
      <c r="C13" s="104"/>
      <c r="D13" s="56"/>
      <c r="E13" s="1394" t="s">
        <v>171</v>
      </c>
      <c r="F13" s="1394"/>
      <c r="G13" s="58" t="s">
        <v>138</v>
      </c>
      <c r="H13" s="86"/>
      <c r="I13" s="105"/>
      <c r="L13" s="107"/>
      <c r="M13" s="106"/>
      <c r="N13" s="108"/>
      <c r="O13" s="928" t="str">
        <f t="shared" si="0"/>
        <v>Aug 2025</v>
      </c>
      <c r="P13" s="69">
        <f t="shared" si="1"/>
        <v>0</v>
      </c>
    </row>
    <row r="14" spans="1:16" s="109" customFormat="1" ht="14.25" customHeight="1" x14ac:dyDescent="0.25">
      <c r="A14" s="48" t="str">
        <f>A29</f>
        <v>Jan 2025</v>
      </c>
      <c r="B14" s="1398"/>
      <c r="C14" s="1399"/>
      <c r="D14" s="1400"/>
      <c r="E14" s="1386"/>
      <c r="F14" s="1387"/>
      <c r="G14" s="110">
        <f>IF(E14="",0,IF(E14=ROUND(J14*M7*(52/12),0),J14,ROUNDDOWN(IF(M8=0,0,E14/M7/(52/12)),2)))</f>
        <v>0</v>
      </c>
      <c r="H14" s="1055"/>
      <c r="I14" s="941" t="s">
        <v>752</v>
      </c>
      <c r="J14" s="1057">
        <v>12.82</v>
      </c>
      <c r="L14" s="1054"/>
      <c r="M14" s="1053"/>
      <c r="O14" s="928" t="str">
        <f t="shared" si="0"/>
        <v>Sep 2025</v>
      </c>
      <c r="P14" s="69">
        <f t="shared" si="1"/>
        <v>0</v>
      </c>
    </row>
    <row r="15" spans="1:16" s="109" customFormat="1" ht="14.25" customHeight="1" x14ac:dyDescent="0.25">
      <c r="A15" s="49"/>
      <c r="B15" s="1398"/>
      <c r="C15" s="1399"/>
      <c r="D15" s="1400"/>
      <c r="E15" s="1386"/>
      <c r="F15" s="1387"/>
      <c r="G15" s="110">
        <f>IF(E15="",0,IF(E15=ROUND(J14*M7*(52/12),0),J14,ROUNDDOWN(IF(M8=0,0,E15/M7/(52/12)),2)))</f>
        <v>0</v>
      </c>
      <c r="H15" s="58"/>
      <c r="J15" s="1056" t="s">
        <v>751</v>
      </c>
      <c r="O15" s="928" t="str">
        <f t="shared" si="0"/>
        <v>Okt 2025</v>
      </c>
      <c r="P15" s="69">
        <f t="shared" ref="P15:P17" si="2">IF(P14="","",P14)</f>
        <v>0</v>
      </c>
    </row>
    <row r="16" spans="1:16" s="109" customFormat="1" ht="14.25" customHeight="1" x14ac:dyDescent="0.25">
      <c r="A16" s="49"/>
      <c r="B16" s="1398"/>
      <c r="C16" s="1399"/>
      <c r="D16" s="1400"/>
      <c r="E16" s="1386"/>
      <c r="F16" s="1387"/>
      <c r="G16" s="110">
        <f>IF(E16="",0,IF(E16=ROUND(J14*M7*(52/12),0),J14,ROUNDDOWN(IF(M8=0,0,E16/M7/(52/12)),2)))</f>
        <v>0</v>
      </c>
      <c r="H16" s="85"/>
      <c r="O16" s="928" t="str">
        <f t="shared" si="0"/>
        <v>Nov 2025</v>
      </c>
      <c r="P16" s="69">
        <f t="shared" si="2"/>
        <v>0</v>
      </c>
    </row>
    <row r="17" spans="1:16" s="85" customFormat="1" ht="14.25" customHeight="1" x14ac:dyDescent="0.25">
      <c r="A17" s="49"/>
      <c r="B17" s="1398"/>
      <c r="C17" s="1399"/>
      <c r="D17" s="1400"/>
      <c r="E17" s="1386"/>
      <c r="F17" s="1387"/>
      <c r="G17" s="110">
        <f>IF(E17="",0,IF(E17=ROUND(J14*M7*(52/12),0),J14,ROUNDDOWN(IF(M8=0,0,E17/M7/(52/12)),2)))</f>
        <v>0</v>
      </c>
      <c r="H17" s="86"/>
      <c r="O17" s="928" t="str">
        <f t="shared" si="0"/>
        <v>Dez 2025</v>
      </c>
      <c r="P17" s="69">
        <f t="shared" si="2"/>
        <v>0</v>
      </c>
    </row>
    <row r="18" spans="1:16" s="85" customFormat="1" ht="12" customHeight="1" x14ac:dyDescent="0.25">
      <c r="A18" s="46"/>
      <c r="B18" s="972"/>
      <c r="C18" s="972"/>
      <c r="D18" s="46"/>
      <c r="E18" s="972"/>
      <c r="F18" s="972"/>
      <c r="G18" s="88"/>
      <c r="H18" s="86"/>
      <c r="O18" s="126" t="s">
        <v>221</v>
      </c>
      <c r="P18" s="127">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924" t="s">
        <v>732</v>
      </c>
      <c r="D19" s="55" t="s">
        <v>369</v>
      </c>
      <c r="E19" s="56" t="s">
        <v>368</v>
      </c>
      <c r="F19" s="58"/>
      <c r="J19" s="61"/>
    </row>
    <row r="20" spans="1:16" s="46" customFormat="1" ht="13.5" customHeight="1" x14ac:dyDescent="0.25">
      <c r="A20" s="60"/>
      <c r="B20" s="1314" t="str">
        <f>IF('päd.Personal - Leitung'!$B$20="","",'päd.Personal - Leitung'!$B$20)</f>
        <v>Jahressonderzahlung (JSZ)</v>
      </c>
      <c r="C20" s="1315"/>
      <c r="D20" s="926"/>
      <c r="E20" s="929" t="str">
        <f>IF(A20="","",ROUND((((SUM(B35:B37)+SUM(F35:F37))/3)*D20)/Grundlagen!$C$26*M11,2))</f>
        <v/>
      </c>
      <c r="G20" s="986"/>
      <c r="H20" s="995"/>
      <c r="I20" s="988"/>
      <c r="J20" s="988"/>
      <c r="K20" s="988"/>
      <c r="L20" s="989"/>
      <c r="M20" s="989"/>
      <c r="N20" s="984"/>
      <c r="O20" s="990"/>
      <c r="P20" s="990"/>
    </row>
    <row r="21" spans="1:16" s="1" customFormat="1" ht="14.25" customHeight="1" x14ac:dyDescent="0.2">
      <c r="A21" s="60"/>
      <c r="B21" s="1314" t="str">
        <f>IF('päd.Personal - Leitung'!$B$21="","",'päd.Personal - Leitung'!$B$21)</f>
        <v>Leistungsentgelt (LOB)</v>
      </c>
      <c r="C21" s="1315"/>
      <c r="D21" s="926"/>
      <c r="E21" s="929" t="str">
        <f>IF(A21="","",ROUND(((B41+F41)*D21)/Grundlagen!$C$26*M11,2))</f>
        <v/>
      </c>
      <c r="G21" s="986"/>
      <c r="H21" s="987"/>
      <c r="I21" s="988"/>
      <c r="J21" s="988"/>
      <c r="K21" s="988"/>
      <c r="L21" s="991"/>
      <c r="M21" s="991"/>
      <c r="N21" s="985"/>
      <c r="O21" s="65"/>
      <c r="P21" s="65"/>
    </row>
    <row r="22" spans="1:16" s="1" customFormat="1" ht="12" customHeight="1" x14ac:dyDescent="0.2">
      <c r="C22" s="925" t="s">
        <v>731</v>
      </c>
      <c r="L22" s="991"/>
      <c r="M22" s="991"/>
      <c r="N22" s="985"/>
      <c r="O22" s="992"/>
      <c r="P22" s="992"/>
    </row>
    <row r="23" spans="1:16" ht="14.25" customHeight="1" x14ac:dyDescent="0.2">
      <c r="A23" s="53" t="s">
        <v>141</v>
      </c>
    </row>
    <row r="24" spans="1:16" ht="14.25" customHeight="1" x14ac:dyDescent="0.2">
      <c r="A24" s="1346"/>
      <c r="B24" s="1348" t="s">
        <v>8</v>
      </c>
      <c r="C24" s="1349"/>
      <c r="D24" s="1349"/>
      <c r="E24" s="1349"/>
      <c r="F24" s="1349"/>
      <c r="G24" s="1350"/>
      <c r="H24" s="1351" t="s">
        <v>7</v>
      </c>
      <c r="I24" s="1352"/>
      <c r="J24" s="1352"/>
      <c r="K24" s="1352"/>
      <c r="L24" s="1352"/>
      <c r="M24" s="1352"/>
      <c r="N24" s="93"/>
      <c r="O24" s="30"/>
      <c r="P24" s="1330" t="s">
        <v>0</v>
      </c>
    </row>
    <row r="25" spans="1:16" x14ac:dyDescent="0.2">
      <c r="A25" s="1347"/>
      <c r="B25" s="1333" t="s">
        <v>111</v>
      </c>
      <c r="C25" s="1335" t="s">
        <v>743</v>
      </c>
      <c r="D25" s="1337" t="s">
        <v>226</v>
      </c>
      <c r="E25" s="1339" t="s">
        <v>133</v>
      </c>
      <c r="F25" s="96" t="s">
        <v>6</v>
      </c>
      <c r="G25" s="1340" t="s">
        <v>5</v>
      </c>
      <c r="H25" s="1339" t="s">
        <v>119</v>
      </c>
      <c r="I25" s="1339" t="s">
        <v>4</v>
      </c>
      <c r="J25" s="1339" t="s">
        <v>178</v>
      </c>
      <c r="K25" s="1339" t="s">
        <v>114</v>
      </c>
      <c r="L25" s="1339" t="s">
        <v>115</v>
      </c>
      <c r="M25" s="1339" t="s">
        <v>116</v>
      </c>
      <c r="N25" s="96" t="s">
        <v>6</v>
      </c>
      <c r="O25" s="1338" t="s">
        <v>109</v>
      </c>
      <c r="P25" s="1331"/>
    </row>
    <row r="26" spans="1:16" x14ac:dyDescent="0.2">
      <c r="A26" s="1347"/>
      <c r="B26" s="1333"/>
      <c r="C26" s="1335"/>
      <c r="D26" s="1338"/>
      <c r="E26" s="1339"/>
      <c r="F26" s="1401" t="str">
        <f>IF(H14=0,"","siehe Zuschläge / Zulagen")</f>
        <v/>
      </c>
      <c r="G26" s="1340"/>
      <c r="H26" s="1342" t="s">
        <v>117</v>
      </c>
      <c r="I26" s="1342"/>
      <c r="J26" s="1342"/>
      <c r="K26" s="1342"/>
      <c r="L26" s="1342"/>
      <c r="M26" s="1342"/>
      <c r="N26" s="1401"/>
      <c r="O26" s="1338"/>
      <c r="P26" s="1331"/>
    </row>
    <row r="27" spans="1:16" x14ac:dyDescent="0.2">
      <c r="A27" s="1347"/>
      <c r="B27" s="1333"/>
      <c r="C27" s="1335"/>
      <c r="D27" s="1338"/>
      <c r="E27" s="1339"/>
      <c r="F27" s="1401"/>
      <c r="G27" s="1340"/>
      <c r="H27" s="89" t="s">
        <v>725</v>
      </c>
      <c r="I27" s="94" t="s">
        <v>726</v>
      </c>
      <c r="J27" s="94" t="s">
        <v>727</v>
      </c>
      <c r="K27" s="94" t="s">
        <v>728</v>
      </c>
      <c r="L27" s="94" t="s">
        <v>729</v>
      </c>
      <c r="M27" s="94" t="s">
        <v>719</v>
      </c>
      <c r="N27" s="1401"/>
      <c r="O27" s="1338"/>
      <c r="P27" s="1331"/>
    </row>
    <row r="28" spans="1:16" x14ac:dyDescent="0.2">
      <c r="A28" s="1347"/>
      <c r="B28" s="1334"/>
      <c r="C28" s="1336"/>
      <c r="D28" s="45"/>
      <c r="E28" s="45"/>
      <c r="F28" s="45"/>
      <c r="G28" s="1341"/>
      <c r="H28" s="19"/>
      <c r="I28" s="19"/>
      <c r="J28" s="19"/>
      <c r="K28" s="31"/>
      <c r="L28" s="31"/>
      <c r="M28" s="23"/>
      <c r="N28" s="45"/>
      <c r="O28" s="19"/>
      <c r="P28" s="1332"/>
    </row>
    <row r="29" spans="1:16" x14ac:dyDescent="0.2">
      <c r="A29" s="76" t="str">
        <f>'päd.Personal - Leitung'!$A$29</f>
        <v>Jan 2025</v>
      </c>
      <c r="B29" s="22">
        <f>ROUND(IF(P6=0,0,(LOOKUP(2,1/(A14:A17=A29),E14:E17))/M7*P6),2)</f>
        <v>0</v>
      </c>
      <c r="C29" s="21">
        <f>ROUND(IFERROR(((LOOKUP(2,1/(A20=A29),((SUM(B35:B37)+SUM(F35:F37))/3)*D20))),0)+IFERROR(((LOOKUP(2,1/(A21=A29),(B41+F41)*D21))),0),2)</f>
        <v>0</v>
      </c>
      <c r="D29" s="21">
        <f>IF(B29=0,0,D28/M7*P6)</f>
        <v>0</v>
      </c>
      <c r="E29" s="21">
        <f>IF(B29=0,0,E28/M7*P6)</f>
        <v>0</v>
      </c>
      <c r="F29" s="21">
        <f>IF(B29=0,0,F28/M7*P6)</f>
        <v>0</v>
      </c>
      <c r="G29" s="25">
        <f>SUM(B29+C29+E29+F29)</f>
        <v>0</v>
      </c>
      <c r="H29" s="64">
        <f>ROUND(SUM(B29:F29)*H28,2)</f>
        <v>0</v>
      </c>
      <c r="I29" s="64">
        <f>ROUND(SUM(B29:F29)*I28,2)</f>
        <v>0</v>
      </c>
      <c r="J29" s="64">
        <f>ROUND(SUM(B29:F29)*J28,2)</f>
        <v>0</v>
      </c>
      <c r="K29" s="25">
        <f>ROUND((B29+SUM(D29:F29))*K28,2)</f>
        <v>0</v>
      </c>
      <c r="L29" s="25">
        <f>ROUND((B29+SUM(D29:F29))*L28,2)</f>
        <v>0</v>
      </c>
      <c r="M29" s="64">
        <f>ROUND(SUM(B29:F29)*M28,2)</f>
        <v>0</v>
      </c>
      <c r="N29" s="21">
        <f>IF(B29=0,0,N28/M7*P6)</f>
        <v>0</v>
      </c>
      <c r="O29" s="21">
        <f>ROUND(SUM(B29+C29+F29)*O28,2)</f>
        <v>0</v>
      </c>
      <c r="P29" s="25">
        <f>SUM(G29:O29)</f>
        <v>0</v>
      </c>
    </row>
    <row r="30" spans="1:16" x14ac:dyDescent="0.2">
      <c r="A30" s="76" t="str">
        <f>'päd.Personal - Leitung'!$A$30</f>
        <v>Feb 2025</v>
      </c>
      <c r="B30" s="22">
        <f>ROUND(IF(P7=0,0,IFERROR(((LOOKUP(2,1/(A14:A17=A30),E14:E17))/M7*P7),B29/P7*P7)),2)</f>
        <v>0</v>
      </c>
      <c r="C30" s="21">
        <f>ROUND(IFERROR(((LOOKUP(2,1/(A20=A30),((SUM(B35:B37)+SUM(F35:F37))/3)*D20))),0)+IFERROR(((LOOKUP(2,1/(A21=A30),(B41+F41)*D21))),0),2)</f>
        <v>0</v>
      </c>
      <c r="D30" s="21">
        <f>IF(B30=0,0,D28/M7*P7)</f>
        <v>0</v>
      </c>
      <c r="E30" s="21">
        <f>IF(B30=0,0,E28/M7*P7)</f>
        <v>0</v>
      </c>
      <c r="F30" s="21">
        <f>IF(B30=0,0,F28/M7*P7)</f>
        <v>0</v>
      </c>
      <c r="G30" s="25">
        <f t="shared" ref="G30:G32" si="3">SUM(B30+C30+E30+F30)</f>
        <v>0</v>
      </c>
      <c r="H30" s="64">
        <f>ROUND(SUM(B30:F30)*H28,2)</f>
        <v>0</v>
      </c>
      <c r="I30" s="64">
        <f>ROUND(SUM(B30:F30)*I28,2)</f>
        <v>0</v>
      </c>
      <c r="J30" s="64">
        <f>ROUND(SUM(B30:F30)*J28,2)</f>
        <v>0</v>
      </c>
      <c r="K30" s="25">
        <f>ROUND((B30+SUM(D30:F30))*K28,2)</f>
        <v>0</v>
      </c>
      <c r="L30" s="25">
        <f>ROUND((B30+SUM(D30:F30))*L28,2)</f>
        <v>0</v>
      </c>
      <c r="M30" s="64">
        <f>ROUND(SUM(B30:F30)*M28,2)</f>
        <v>0</v>
      </c>
      <c r="N30" s="21">
        <f>IF(B30=0,0,N28/M7*P7)</f>
        <v>0</v>
      </c>
      <c r="O30" s="21">
        <f>ROUND(SUM(B30+C30+F30)*O28,2)</f>
        <v>0</v>
      </c>
      <c r="P30" s="25">
        <f>SUM(G30:O30)</f>
        <v>0</v>
      </c>
    </row>
    <row r="31" spans="1:16" x14ac:dyDescent="0.2">
      <c r="A31" s="76" t="str">
        <f>'päd.Personal - Leitung'!$A$31</f>
        <v>Mrz 2025</v>
      </c>
      <c r="B31" s="22">
        <f>ROUND(IF(P8=0,0,IFERROR(((LOOKUP(2,1/(A14:A17=A31),E14:E17))/M7*P8),B30/P8*P8)),2)</f>
        <v>0</v>
      </c>
      <c r="C31" s="21">
        <f>ROUND(IFERROR(((LOOKUP(2,1/(A20=A31),((SUM(B35:B37)+SUM(F35:F37))/3)*D20))),0)+IFERROR(((LOOKUP(2,1/(A21=A31),(B41+F41)*D21))),0),2)</f>
        <v>0</v>
      </c>
      <c r="D31" s="21">
        <f>IF(B31=0,0,D28/M7*P8)</f>
        <v>0</v>
      </c>
      <c r="E31" s="21">
        <f>IF(B31=0,0,E28/M7*P8)</f>
        <v>0</v>
      </c>
      <c r="F31" s="21">
        <f>IF(B31=0,0,F28/M7*P8)</f>
        <v>0</v>
      </c>
      <c r="G31" s="25">
        <f t="shared" si="3"/>
        <v>0</v>
      </c>
      <c r="H31" s="64">
        <f>ROUND(SUM(B31:F31)*H28,2)</f>
        <v>0</v>
      </c>
      <c r="I31" s="64">
        <f>ROUND(SUM(B31:F31)*I28,2)</f>
        <v>0</v>
      </c>
      <c r="J31" s="64">
        <f>ROUND(SUM(B31:F31)*J28,2)</f>
        <v>0</v>
      </c>
      <c r="K31" s="25">
        <f>ROUND((B31+SUM(D31:F31))*K28,2)</f>
        <v>0</v>
      </c>
      <c r="L31" s="25">
        <f>ROUND((B31+SUM(D31:F31))*L28,2)</f>
        <v>0</v>
      </c>
      <c r="M31" s="64">
        <f>ROUND(SUM(B31:F31)*M28,2)</f>
        <v>0</v>
      </c>
      <c r="N31" s="21">
        <f>IF(B31=0,0,N28/M7*P8)</f>
        <v>0</v>
      </c>
      <c r="O31" s="21">
        <f>ROUND(SUM(B31+C31+F31)*O28,2)</f>
        <v>0</v>
      </c>
      <c r="P31" s="25">
        <f t="shared" ref="P31" si="4">SUM(G31:O31)</f>
        <v>0</v>
      </c>
    </row>
    <row r="32" spans="1:16" x14ac:dyDescent="0.2">
      <c r="A32" s="76" t="str">
        <f>'päd.Personal - Leitung'!$A$32</f>
        <v>Apr 2025</v>
      </c>
      <c r="B32" s="22">
        <f>ROUND(IF(P9=0,0,IFERROR(((LOOKUP(2,1/(A14:A17=A32),E14:E17))/M7*P9),B31/P9*P9)),2)</f>
        <v>0</v>
      </c>
      <c r="C32" s="21">
        <f>ROUND(IFERROR(((LOOKUP(2,1/(A20=A32),((SUM(B35:B37)+SUM(F35:F37))/3)*D20))),0)+IFERROR(((LOOKUP(2,1/(A21=A32),(B41+F41)*D21))),0),2)</f>
        <v>0</v>
      </c>
      <c r="D32" s="21">
        <f>IF(B32=0,0,D28/M7*P9)</f>
        <v>0</v>
      </c>
      <c r="E32" s="21">
        <f>IF(B32=0,0,E28/M7*P9)</f>
        <v>0</v>
      </c>
      <c r="F32" s="21">
        <f>IF(B32=0,0,F28/M7*P9)</f>
        <v>0</v>
      </c>
      <c r="G32" s="25">
        <f t="shared" si="3"/>
        <v>0</v>
      </c>
      <c r="H32" s="64">
        <f>ROUND(SUM(B32:F32)*H28,2)</f>
        <v>0</v>
      </c>
      <c r="I32" s="64">
        <f>ROUND(SUM(B32:F32)*I28,2)</f>
        <v>0</v>
      </c>
      <c r="J32" s="64">
        <f>ROUND(SUM(B32:F32)*J28,2)</f>
        <v>0</v>
      </c>
      <c r="K32" s="25">
        <f>ROUND((B32+SUM(D32:F32))*K28,2)</f>
        <v>0</v>
      </c>
      <c r="L32" s="25">
        <f>ROUND((B32+SUM(D32:F32))*L28,2)</f>
        <v>0</v>
      </c>
      <c r="M32" s="64">
        <f>ROUND(SUM(B32:F32)*M28,2)</f>
        <v>0</v>
      </c>
      <c r="N32" s="21">
        <f>IF(B32=0,0,N28/M7*P9)</f>
        <v>0</v>
      </c>
      <c r="O32" s="21">
        <f>ROUND(SUM(B32+C32+F32)*O28,2)</f>
        <v>0</v>
      </c>
      <c r="P32" s="25">
        <f>SUM(G32:O32)</f>
        <v>0</v>
      </c>
    </row>
    <row r="33" spans="1:16" x14ac:dyDescent="0.2">
      <c r="A33" s="76" t="str">
        <f>'päd.Personal - Leitung'!$A$33</f>
        <v>Mai 2025</v>
      </c>
      <c r="B33" s="22">
        <f>ROUND(IF(P10=0,0,IFERROR(((LOOKUP(2,1/(A14:A17=A33),E14:E17))/M7*P10),B32/P10*P10)),2)</f>
        <v>0</v>
      </c>
      <c r="C33" s="21">
        <f>ROUND(IFERROR(((LOOKUP(2,1/(A20=A33),((SUM(B35:B37)+SUM(F35:F37))/3)*D20))),0)+IFERROR(((LOOKUP(2,1/(A21=A33),(B41+F41)*D21))),0),2)</f>
        <v>0</v>
      </c>
      <c r="D33" s="21">
        <f>IF(B33=0,0,D28/M7*P10)</f>
        <v>0</v>
      </c>
      <c r="E33" s="21">
        <f>IF(B33=0,0,E28/M7*P10)</f>
        <v>0</v>
      </c>
      <c r="F33" s="21">
        <f>IF(B33=0,0,F28/M7*P10)</f>
        <v>0</v>
      </c>
      <c r="G33" s="25">
        <f t="shared" ref="G33:G40" si="5">SUM(B33+C33+E33+F33)</f>
        <v>0</v>
      </c>
      <c r="H33" s="64">
        <f>ROUND(SUM(B33:F33)*H28,2)</f>
        <v>0</v>
      </c>
      <c r="I33" s="64">
        <f>ROUND(SUM(B33:F33)*I28,2)</f>
        <v>0</v>
      </c>
      <c r="J33" s="64">
        <f>ROUND(SUM(B33:F33)*J28,2)</f>
        <v>0</v>
      </c>
      <c r="K33" s="25">
        <f>ROUND((B33+SUM(D33:F33))*K28,2)</f>
        <v>0</v>
      </c>
      <c r="L33" s="25">
        <f>ROUND((B33+SUM(D33:F33))*L28,2)</f>
        <v>0</v>
      </c>
      <c r="M33" s="64">
        <f>ROUND(SUM(B33:F33)*M28,2)</f>
        <v>0</v>
      </c>
      <c r="N33" s="21">
        <f>IF(B33=0,0,N28/M7*P10)</f>
        <v>0</v>
      </c>
      <c r="O33" s="21">
        <f>ROUND(SUM(B33+C33+F33)*O28,2)</f>
        <v>0</v>
      </c>
      <c r="P33" s="25">
        <f t="shared" ref="P33" si="6">SUM(G33:O33)</f>
        <v>0</v>
      </c>
    </row>
    <row r="34" spans="1:16" x14ac:dyDescent="0.2">
      <c r="A34" s="76" t="str">
        <f>'päd.Personal - Leitung'!$A$34</f>
        <v>Jun 2025</v>
      </c>
      <c r="B34" s="22">
        <f>ROUND(IF(P11=0,0,IFERROR(((LOOKUP(2,1/(A14:A17=A34),E14:E17))/M7*P11),B33/P11*P11)),2)</f>
        <v>0</v>
      </c>
      <c r="C34" s="21">
        <f>ROUND(IFERROR(((LOOKUP(2,1/(A20=A34),((SUM(B35:B37)+SUM(F35:F37))/3)*D20))),0)+IFERROR(((LOOKUP(2,1/(A21=A34),(B41+F41)*D21))),0),2)</f>
        <v>0</v>
      </c>
      <c r="D34" s="21">
        <f>IF(B34=0,0,D28/M7*P11)</f>
        <v>0</v>
      </c>
      <c r="E34" s="21">
        <f>IF(B34=0,0,E28/M7*P11)</f>
        <v>0</v>
      </c>
      <c r="F34" s="21">
        <f>IF(B34=0,0,F28/M7*P11)</f>
        <v>0</v>
      </c>
      <c r="G34" s="25">
        <f t="shared" si="5"/>
        <v>0</v>
      </c>
      <c r="H34" s="64">
        <f>ROUND(SUM(B34:F34)*H28,2)</f>
        <v>0</v>
      </c>
      <c r="I34" s="64">
        <f>ROUND(SUM(B34:F34)*I28,2)</f>
        <v>0</v>
      </c>
      <c r="J34" s="64">
        <f>ROUND(SUM(B34:F34)*J28,2)</f>
        <v>0</v>
      </c>
      <c r="K34" s="25">
        <f>ROUND((B34+SUM(D34:F34))*K28,2)</f>
        <v>0</v>
      </c>
      <c r="L34" s="25">
        <f>ROUND((B34+SUM(D34:F34))*L28,2)</f>
        <v>0</v>
      </c>
      <c r="M34" s="64">
        <f>ROUND(SUM(B34:F34)*M28,2)</f>
        <v>0</v>
      </c>
      <c r="N34" s="21">
        <f>IF(B34=0,0,N28/M7*P11)</f>
        <v>0</v>
      </c>
      <c r="O34" s="21">
        <f>ROUND(SUM(B34+C34+F34)*O28,2)</f>
        <v>0</v>
      </c>
      <c r="P34" s="25">
        <f t="shared" ref="P34:P35" si="7">SUM(G34:O34)</f>
        <v>0</v>
      </c>
    </row>
    <row r="35" spans="1:16" x14ac:dyDescent="0.2">
      <c r="A35" s="76" t="str">
        <f>'päd.Personal - Leitung'!$A$35</f>
        <v>Jul 2025</v>
      </c>
      <c r="B35" s="22">
        <f>ROUND(IF(P12=0,0,IFERROR(((LOOKUP(2,1/(A14:A17=A35),E14:E17))/M7*P12),B34/P12*P12)),2)</f>
        <v>0</v>
      </c>
      <c r="C35" s="21">
        <f>ROUND(IFERROR(((LOOKUP(2,1/(A20=A35),((SUM(B35:B37)+SUM(F35:F37))/3)*D20))),0)+IFERROR(((LOOKUP(2,1/(A21=A35),(B41+F41)*D21))),0),2)</f>
        <v>0</v>
      </c>
      <c r="D35" s="21">
        <f>IF(B35=0,0,D28/M7*P12)</f>
        <v>0</v>
      </c>
      <c r="E35" s="21">
        <f>IF(B35=0,0,E28/M7*P12)</f>
        <v>0</v>
      </c>
      <c r="F35" s="21">
        <f>IF(B35=0,0,F28/M7*P12)</f>
        <v>0</v>
      </c>
      <c r="G35" s="25">
        <f t="shared" si="5"/>
        <v>0</v>
      </c>
      <c r="H35" s="64">
        <f>ROUND(SUM(B35:F35)*H28,2)</f>
        <v>0</v>
      </c>
      <c r="I35" s="64">
        <f>ROUND(SUM(B35:F35)*I28,2)</f>
        <v>0</v>
      </c>
      <c r="J35" s="64">
        <f>ROUND(SUM(B35:F35)*J28,2)</f>
        <v>0</v>
      </c>
      <c r="K35" s="25">
        <f>ROUND((B35+SUM(D35:F35))*K28,2)</f>
        <v>0</v>
      </c>
      <c r="L35" s="25">
        <f>ROUND((B35+SUM(D35:F35))*L28,2)</f>
        <v>0</v>
      </c>
      <c r="M35" s="64">
        <f>ROUND(SUM(B35:F35)*M28,2)</f>
        <v>0</v>
      </c>
      <c r="N35" s="21">
        <f>IF(B35=0,0,N28/M7*P12)</f>
        <v>0</v>
      </c>
      <c r="O35" s="21">
        <f>ROUND(SUM(B35+C35+F35)*O28,2)</f>
        <v>0</v>
      </c>
      <c r="P35" s="25">
        <f t="shared" si="7"/>
        <v>0</v>
      </c>
    </row>
    <row r="36" spans="1:16" x14ac:dyDescent="0.2">
      <c r="A36" s="76" t="str">
        <f>'päd.Personal - Leitung'!$A$36</f>
        <v>Aug 2025</v>
      </c>
      <c r="B36" s="22">
        <f>ROUND(IF(P13=0,0,IFERROR(((LOOKUP(2,1/(A14:A17=A36),E14:E17))/M7*P13),B35/P13*P13)),2)</f>
        <v>0</v>
      </c>
      <c r="C36" s="21">
        <f>ROUND(IFERROR(((LOOKUP(2,1/(A20=A36),((SUM(B35:B37)+SUM(F35:F37))/3)*D20))),0)+IFERROR(((LOOKUP(2,1/(A21=A36),(B41+F41)*D21))),0),2)</f>
        <v>0</v>
      </c>
      <c r="D36" s="21">
        <f>IF(B36=0,0,D28/M7*P13)</f>
        <v>0</v>
      </c>
      <c r="E36" s="21">
        <f>IF(B36=0,0,E28/M7*P13)</f>
        <v>0</v>
      </c>
      <c r="F36" s="21">
        <f>IF(B36=0,0,F28/M7*P13)</f>
        <v>0</v>
      </c>
      <c r="G36" s="25">
        <f t="shared" si="5"/>
        <v>0</v>
      </c>
      <c r="H36" s="64">
        <f>ROUND(SUM(B36:F36)*H28,2)</f>
        <v>0</v>
      </c>
      <c r="I36" s="64">
        <f>ROUND(SUM(B36:F36)*I28,2)</f>
        <v>0</v>
      </c>
      <c r="J36" s="64">
        <f>ROUND(SUM(B36:F36)*J28,2)</f>
        <v>0</v>
      </c>
      <c r="K36" s="25">
        <f>ROUND((B36+SUM(D36:F36))*K28,2)</f>
        <v>0</v>
      </c>
      <c r="L36" s="25">
        <f>ROUND((B36+SUM(D36:F36))*L28,2)</f>
        <v>0</v>
      </c>
      <c r="M36" s="64">
        <f>ROUND(SUM(B36:F36)*M28,2)</f>
        <v>0</v>
      </c>
      <c r="N36" s="21">
        <f>IF(B36=0,0,N28/M7*P13)</f>
        <v>0</v>
      </c>
      <c r="O36" s="21">
        <f>ROUND(SUM(B36+C36+F36)*O28,2)</f>
        <v>0</v>
      </c>
      <c r="P36" s="25">
        <f>SUM(G36:O36)</f>
        <v>0</v>
      </c>
    </row>
    <row r="37" spans="1:16" x14ac:dyDescent="0.2">
      <c r="A37" s="76" t="str">
        <f>'päd.Personal - Leitung'!$A$37</f>
        <v>Sep 2025</v>
      </c>
      <c r="B37" s="22">
        <f>ROUND(IF(P14=0,0,IFERROR(((LOOKUP(2,1/(A14:A17=A37),E14:E17))/M7*P14),B36/P14*P14)),2)</f>
        <v>0</v>
      </c>
      <c r="C37" s="21">
        <f>ROUND(IFERROR(((LOOKUP(2,1/(A20=A37),((SUM(B35:B37)+SUM(F35:F37))/3)*D20))),0)+IFERROR(((LOOKUP(2,1/(A21=A37),(B41+F41)*D21))),0),2)</f>
        <v>0</v>
      </c>
      <c r="D37" s="21">
        <f>IF(B37=0,0,D28/M7*P14)</f>
        <v>0</v>
      </c>
      <c r="E37" s="21">
        <f>IF(B37=0,0,E28/M7*P14)</f>
        <v>0</v>
      </c>
      <c r="F37" s="21">
        <f>IF(B37=0,0,F28/M7*P14)</f>
        <v>0</v>
      </c>
      <c r="G37" s="25">
        <f t="shared" si="5"/>
        <v>0</v>
      </c>
      <c r="H37" s="64">
        <f>ROUND(SUM(B37:F37)*H28,2)</f>
        <v>0</v>
      </c>
      <c r="I37" s="64">
        <f>ROUND(SUM(B37:F37)*I28,2)</f>
        <v>0</v>
      </c>
      <c r="J37" s="64">
        <f>ROUND(SUM(B37:F37)*J28,2)</f>
        <v>0</v>
      </c>
      <c r="K37" s="25">
        <f>ROUND((B37+SUM(D37:F37))*K28,2)</f>
        <v>0</v>
      </c>
      <c r="L37" s="25">
        <f>ROUND((B37+SUM(D37:F37))*L28,2)</f>
        <v>0</v>
      </c>
      <c r="M37" s="64">
        <f>ROUND(SUM(B37:F37)*M28,2)</f>
        <v>0</v>
      </c>
      <c r="N37" s="21">
        <f>IF(B37=0,0,N28/M7*P14)</f>
        <v>0</v>
      </c>
      <c r="O37" s="21">
        <f>ROUND(SUM(B37+C37+F37)*O28,2)</f>
        <v>0</v>
      </c>
      <c r="P37" s="25">
        <f>SUM(G37:O37)</f>
        <v>0</v>
      </c>
    </row>
    <row r="38" spans="1:16" x14ac:dyDescent="0.2">
      <c r="A38" s="76" t="str">
        <f>'päd.Personal - Leitung'!$A$38</f>
        <v>Okt 2025</v>
      </c>
      <c r="B38" s="22">
        <f>ROUND(IF(P15=0,0,IFERROR(((LOOKUP(2,1/(A14:A17=A38),E14:E17))/M7*P15),B37/P15*P15)),2)</f>
        <v>0</v>
      </c>
      <c r="C38" s="21">
        <f>ROUND(IFERROR(((LOOKUP(2,1/(A20=A38),((SUM(B35:B37)+SUM(F35:F37))/3)*D20))),0)+IFERROR(((LOOKUP(2,1/(A21=A38),(B41+F41)*D21))),0),2)</f>
        <v>0</v>
      </c>
      <c r="D38" s="21">
        <f>IF(B38=0,0,D28/M7*P15)</f>
        <v>0</v>
      </c>
      <c r="E38" s="21">
        <f>IF(B38=0,0,E28/M7*P15)</f>
        <v>0</v>
      </c>
      <c r="F38" s="21">
        <f>IF(B38=0,0,F28/M7*P15)</f>
        <v>0</v>
      </c>
      <c r="G38" s="25">
        <f t="shared" si="5"/>
        <v>0</v>
      </c>
      <c r="H38" s="64">
        <f>ROUND(SUM(B38:F38)*H28,2)</f>
        <v>0</v>
      </c>
      <c r="I38" s="64">
        <f>ROUND(SUM(B38:F38)*I28,2)</f>
        <v>0</v>
      </c>
      <c r="J38" s="64">
        <f>ROUND(SUM(B38:F38)*J28,2)</f>
        <v>0</v>
      </c>
      <c r="K38" s="25">
        <f>ROUND((B38+SUM(D38:F38))*K28,2)</f>
        <v>0</v>
      </c>
      <c r="L38" s="25">
        <f>ROUND((B38+SUM(D38:F38))*L28,2)</f>
        <v>0</v>
      </c>
      <c r="M38" s="64">
        <f>ROUND(SUM(B38:F38)*M28,2)</f>
        <v>0</v>
      </c>
      <c r="N38" s="21">
        <f>IF(B38=0,0,N28/M7*P15)</f>
        <v>0</v>
      </c>
      <c r="O38" s="21">
        <f>ROUND(SUM(B38+C38+F38)*O28,2)</f>
        <v>0</v>
      </c>
      <c r="P38" s="25">
        <f>SUM(G38:O38)</f>
        <v>0</v>
      </c>
    </row>
    <row r="39" spans="1:16" x14ac:dyDescent="0.2">
      <c r="A39" s="76" t="str">
        <f>'päd.Personal - Leitung'!$A$39</f>
        <v>Nov 2025</v>
      </c>
      <c r="B39" s="22">
        <f>ROUND(IF(P16=0,0,IFERROR(((LOOKUP(2,1/(A14:A17=A39),E14:E17))/M7*P16),B38/P16*P16)),2)</f>
        <v>0</v>
      </c>
      <c r="C39" s="21">
        <f>ROUND(IFERROR(((LOOKUP(2,1/(A20=A39),((SUM(B35:B37)+SUM(F35:F37))/3)*D20))),0)+IFERROR(((LOOKUP(2,1/(A21=A39),(B41+F41)*D21))),0),2)</f>
        <v>0</v>
      </c>
      <c r="D39" s="21">
        <f>IF(B39=0,0,D28/M7*P16)</f>
        <v>0</v>
      </c>
      <c r="E39" s="21">
        <f>IF(B39=0,0,E28/M7*P16)</f>
        <v>0</v>
      </c>
      <c r="F39" s="21">
        <f>IF(B39=0,0,F28/M7*P16)</f>
        <v>0</v>
      </c>
      <c r="G39" s="25">
        <f t="shared" si="5"/>
        <v>0</v>
      </c>
      <c r="H39" s="64">
        <f>ROUND(SUM(B39:F39)*H28,2)</f>
        <v>0</v>
      </c>
      <c r="I39" s="64">
        <f>ROUND(SUM(B39:F39)*I28,2)</f>
        <v>0</v>
      </c>
      <c r="J39" s="64">
        <f>ROUND(SUM(B39:F39)*J28,2)</f>
        <v>0</v>
      </c>
      <c r="K39" s="25">
        <f>ROUND((B39+SUM(D39:F39))*K28,2)</f>
        <v>0</v>
      </c>
      <c r="L39" s="25">
        <f>ROUND((B39+SUM(D39:F39))*L28,2)</f>
        <v>0</v>
      </c>
      <c r="M39" s="64">
        <f>ROUND(SUM(B39:F39)*M28,2)</f>
        <v>0</v>
      </c>
      <c r="N39" s="21">
        <f>IF(B39=0,0,N28/M7*P16)</f>
        <v>0</v>
      </c>
      <c r="O39" s="21">
        <f>ROUND(SUM(B39+C39+F39)*O28,2)</f>
        <v>0</v>
      </c>
      <c r="P39" s="25">
        <f>SUM(G39:O39)</f>
        <v>0</v>
      </c>
    </row>
    <row r="40" spans="1:16" x14ac:dyDescent="0.2">
      <c r="A40" s="76" t="str">
        <f>'päd.Personal - Leitung'!$A$40</f>
        <v>Dez 2025</v>
      </c>
      <c r="B40" s="22">
        <f>ROUND(IF(P17=0,0,IFERROR(((LOOKUP(2,1/(A14:A17=A40),E14:E17))/M7*P17),B39/P17*P17)),2)</f>
        <v>0</v>
      </c>
      <c r="C40" s="21">
        <f>ROUND(IFERROR(((LOOKUP(2,1/(A20=A40),((SUM(B35:B37)+SUM(F35:F37))/3)*D20))),0)+IFERROR(((LOOKUP(2,1/(A21=A40),(B41+F41)*D21))),0),2)</f>
        <v>0</v>
      </c>
      <c r="D40" s="21">
        <f>IF(B40=0,0,D28/M7*P17)</f>
        <v>0</v>
      </c>
      <c r="E40" s="21">
        <f>IF(B40=0,0,E28/M7*P17)</f>
        <v>0</v>
      </c>
      <c r="F40" s="21">
        <f>IF(B40=0,0,F28/M7*P17)</f>
        <v>0</v>
      </c>
      <c r="G40" s="25">
        <f t="shared" si="5"/>
        <v>0</v>
      </c>
      <c r="H40" s="64">
        <f>ROUND(SUM(B40:F40)*H28,2)</f>
        <v>0</v>
      </c>
      <c r="I40" s="64">
        <f>ROUND(SUM(B40:F40)*I28,2)</f>
        <v>0</v>
      </c>
      <c r="J40" s="64">
        <f>ROUND(SUM(B40:F40)*J28,2)</f>
        <v>0</v>
      </c>
      <c r="K40" s="25">
        <f>ROUND((B40+SUM(D40:F40))*K28,2)</f>
        <v>0</v>
      </c>
      <c r="L40" s="25">
        <f>ROUND((B40+SUM(D40:F40))*L28,2)</f>
        <v>0</v>
      </c>
      <c r="M40" s="64">
        <f>ROUND(SUM(B40:F40)*M28,2)</f>
        <v>0</v>
      </c>
      <c r="N40" s="21">
        <f>IF(B40=0,0,N28/M7*P17)</f>
        <v>0</v>
      </c>
      <c r="O40" s="21">
        <f>ROUND(SUM(B40+C40+F40)*O28,2)</f>
        <v>0</v>
      </c>
      <c r="P40" s="25">
        <f>SUM(G40:O40)</f>
        <v>0</v>
      </c>
    </row>
    <row r="41" spans="1:16" x14ac:dyDescent="0.2">
      <c r="A41" s="2" t="s">
        <v>1</v>
      </c>
      <c r="B41" s="25">
        <f>SUM(B29:B40)</f>
        <v>0</v>
      </c>
      <c r="C41" s="25">
        <f t="shared" ref="C41:F41" si="8">SUM(C29:C40)</f>
        <v>0</v>
      </c>
      <c r="D41" s="25">
        <f t="shared" si="8"/>
        <v>0</v>
      </c>
      <c r="E41" s="25">
        <f t="shared" si="8"/>
        <v>0</v>
      </c>
      <c r="F41" s="25">
        <f t="shared" si="8"/>
        <v>0</v>
      </c>
      <c r="G41" s="25">
        <f>SUM(G29:G40)</f>
        <v>0</v>
      </c>
      <c r="H41" s="1309">
        <f>SUM(H29:M40)</f>
        <v>0</v>
      </c>
      <c r="I41" s="1310"/>
      <c r="J41" s="1310"/>
      <c r="K41" s="1310"/>
      <c r="L41" s="1310"/>
      <c r="M41" s="1311"/>
      <c r="N41" s="25">
        <f>SUM(N29:N40)</f>
        <v>0</v>
      </c>
      <c r="O41" s="25">
        <f>SUM(O29:O40)</f>
        <v>0</v>
      </c>
      <c r="P41" s="25">
        <f>SUM(P29:P40)</f>
        <v>0</v>
      </c>
    </row>
    <row r="42" spans="1:16" ht="12" customHeight="1" x14ac:dyDescent="0.2"/>
    <row r="43" spans="1:16" s="905" customFormat="1" ht="14.25" customHeight="1" x14ac:dyDescent="0.2">
      <c r="A43" s="906"/>
      <c r="B43" s="906"/>
      <c r="C43" s="906"/>
      <c r="E43" s="984"/>
      <c r="F43" s="1031"/>
      <c r="G43" s="907"/>
      <c r="H43" s="907"/>
      <c r="I43" s="907"/>
      <c r="J43" s="914" t="s">
        <v>123</v>
      </c>
      <c r="K43" s="1"/>
      <c r="L43" s="900" t="s">
        <v>124</v>
      </c>
      <c r="M43" s="1032"/>
      <c r="N43" s="902" t="s">
        <v>125</v>
      </c>
      <c r="O43" s="1033"/>
      <c r="P43" s="25">
        <f>ROUND(IF(M43="",0,G41*M43*O43/1000),2)</f>
        <v>0</v>
      </c>
    </row>
    <row r="44" spans="1:16" s="1" customFormat="1" ht="14.25" customHeight="1" x14ac:dyDescent="0.2">
      <c r="H44" s="905"/>
      <c r="I44" s="62"/>
      <c r="M44" s="915" t="s">
        <v>129</v>
      </c>
      <c r="N44" s="80" t="s">
        <v>125</v>
      </c>
      <c r="O44" s="1034"/>
      <c r="P44" s="25">
        <f>ROUND(IF(O44="",0,G41*O44/1000),2)</f>
        <v>0</v>
      </c>
    </row>
    <row r="45" spans="1:16" s="1" customFormat="1" ht="14.25" customHeight="1" x14ac:dyDescent="0.2">
      <c r="B45" s="906"/>
      <c r="H45" s="996" t="s">
        <v>126</v>
      </c>
      <c r="I45" s="980" t="s">
        <v>127</v>
      </c>
      <c r="J45" s="1037"/>
      <c r="K45" s="902" t="s">
        <v>128</v>
      </c>
      <c r="L45" s="1036"/>
      <c r="M45" s="16"/>
      <c r="N45" s="900" t="s">
        <v>132</v>
      </c>
      <c r="O45" s="1035"/>
      <c r="P45" s="25">
        <f>ROUND(IF(J45="",0,(J45*L45/O45)/M7*M8),2)</f>
        <v>0</v>
      </c>
    </row>
    <row r="46" spans="1:16" s="1" customFormat="1" ht="14.25" customHeight="1" x14ac:dyDescent="0.2">
      <c r="K46" s="63"/>
      <c r="L46" s="67"/>
      <c r="M46" s="915" t="s">
        <v>130</v>
      </c>
      <c r="N46" s="80" t="s">
        <v>131</v>
      </c>
      <c r="O46" s="904"/>
      <c r="P46" s="21">
        <f>ROUND(IF(G41=0,0,O46/M7*M8),2)</f>
        <v>0</v>
      </c>
    </row>
    <row r="47" spans="1:16" s="1" customFormat="1" ht="14.25" customHeight="1" x14ac:dyDescent="0.2">
      <c r="I47" s="16"/>
      <c r="J47" s="961" t="s">
        <v>176</v>
      </c>
      <c r="K47" s="1312"/>
      <c r="L47" s="1312"/>
      <c r="M47" s="1312"/>
      <c r="N47" s="80" t="s">
        <v>131</v>
      </c>
      <c r="O47" s="904"/>
      <c r="P47" s="21">
        <f>ROUND(IF(M12="",0,O47/M7*M8),2)</f>
        <v>0</v>
      </c>
    </row>
    <row r="48" spans="1:16" s="1" customFormat="1" ht="14.25" customHeight="1" x14ac:dyDescent="0.2">
      <c r="D48" s="16"/>
      <c r="I48" s="905"/>
      <c r="O48" s="26" t="s">
        <v>0</v>
      </c>
      <c r="P48" s="82">
        <f>P41+SUM(P43:P47)</f>
        <v>0</v>
      </c>
    </row>
    <row r="49" spans="1:16" s="10" customFormat="1" ht="13.5" customHeight="1" x14ac:dyDescent="0.2">
      <c r="A49" s="1321" t="s">
        <v>17</v>
      </c>
      <c r="B49" s="1321"/>
      <c r="C49" s="1321"/>
      <c r="D49" s="1320" t="str">
        <f>IF('päd.Personal - Leitung'!$D$1="","",'päd.Personal - Leitung'!$D$1)</f>
        <v/>
      </c>
      <c r="E49" s="1320"/>
      <c r="F49" s="1320"/>
      <c r="G49" s="1320"/>
      <c r="H49" s="1320"/>
      <c r="I49" s="1320"/>
      <c r="J49" s="1320"/>
      <c r="K49" s="1320"/>
      <c r="L49" s="1320"/>
      <c r="M49" s="1320"/>
      <c r="N49" s="1320"/>
    </row>
    <row r="50" spans="1:16" s="10" customFormat="1" ht="15" customHeight="1" x14ac:dyDescent="0.2">
      <c r="A50" s="1321" t="s">
        <v>16</v>
      </c>
      <c r="B50" s="1321"/>
      <c r="C50" s="1321" t="s">
        <v>14</v>
      </c>
      <c r="D50" s="1320" t="str">
        <f>IF('päd.Personal - Leitung'!$D$2="","",'päd.Personal - Leitung'!$D$2)</f>
        <v/>
      </c>
      <c r="E50" s="1320"/>
      <c r="F50" s="1320"/>
      <c r="G50" s="1320"/>
      <c r="H50" s="1320"/>
      <c r="I50" s="1320"/>
      <c r="J50" s="1320"/>
      <c r="K50" s="1320"/>
      <c r="L50" s="1320"/>
      <c r="M50" s="1320"/>
      <c r="N50" s="1320"/>
    </row>
    <row r="51" spans="1:16" s="10" customFormat="1" ht="15" customHeight="1" x14ac:dyDescent="0.2">
      <c r="A51" s="1321" t="s">
        <v>15</v>
      </c>
      <c r="B51" s="1321"/>
      <c r="C51" s="1321" t="s">
        <v>14</v>
      </c>
      <c r="D51" s="1320" t="str">
        <f>IF('päd.Personal - Leitung'!$D$3="","",'päd.Personal - Leitung'!$D$3)</f>
        <v/>
      </c>
      <c r="E51" s="1320"/>
      <c r="F51" s="1320"/>
      <c r="G51" s="1320"/>
      <c r="H51" s="1320"/>
      <c r="I51" s="1320"/>
      <c r="J51" s="1320"/>
      <c r="K51" s="1321" t="s">
        <v>100</v>
      </c>
      <c r="L51" s="1321"/>
      <c r="M51" s="1321"/>
      <c r="N51" s="38" t="str">
        <f>IF('päd.Personal - Leitung'!$N$3="","",'päd.Personal - Leitung'!$N$3)</f>
        <v/>
      </c>
    </row>
    <row r="52" spans="1:16" s="923" customFormat="1" ht="7.5" customHeight="1" x14ac:dyDescent="0.15">
      <c r="A52" s="1353"/>
      <c r="B52" s="1353"/>
      <c r="C52" s="1353"/>
      <c r="D52" s="1354"/>
      <c r="E52" s="1354"/>
      <c r="F52" s="1354"/>
      <c r="G52" s="1354"/>
      <c r="H52" s="1354"/>
      <c r="I52" s="1354"/>
      <c r="J52" s="1354"/>
      <c r="K52" s="922"/>
      <c r="L52" s="922"/>
      <c r="M52" s="922"/>
      <c r="N52" s="922"/>
      <c r="O52" s="922"/>
      <c r="P52" s="922"/>
    </row>
    <row r="53" spans="1:16" s="13" customFormat="1" ht="13.5" customHeight="1" x14ac:dyDescent="0.2">
      <c r="A53" s="1355" t="s">
        <v>182</v>
      </c>
      <c r="B53" s="1355"/>
      <c r="C53" s="1355"/>
      <c r="D53" s="1355"/>
      <c r="E53" s="1355"/>
      <c r="F53" s="1355"/>
      <c r="G53" s="1355"/>
      <c r="H53" s="1355"/>
      <c r="I53" s="1355"/>
      <c r="J53" s="1355"/>
      <c r="K53" s="1355"/>
      <c r="L53" s="7"/>
      <c r="M53" s="7"/>
      <c r="N53" s="52"/>
      <c r="O53" s="138">
        <f>'päd.Personal - Leitung'!$O$5</f>
        <v>2025</v>
      </c>
      <c r="P53" s="52" t="s">
        <v>140</v>
      </c>
    </row>
    <row r="54" spans="1:16" s="8" customFormat="1" ht="13.5" customHeight="1" x14ac:dyDescent="0.25">
      <c r="B54" s="29"/>
      <c r="C54" s="29"/>
      <c r="D54" s="3" t="s">
        <v>179</v>
      </c>
      <c r="E54" s="28"/>
      <c r="F54" s="28"/>
      <c r="G54" s="28"/>
      <c r="H54" s="28"/>
      <c r="I54" s="24"/>
      <c r="J54" s="1370"/>
      <c r="K54" s="1370"/>
      <c r="L54" s="81"/>
      <c r="O54" s="928" t="str">
        <f>A77</f>
        <v>Jan 2025</v>
      </c>
      <c r="P54" s="68">
        <f>IF(M56="","",M56)</f>
        <v>0</v>
      </c>
    </row>
    <row r="55" spans="1:16" s="5" customFormat="1" ht="13.5" customHeight="1" x14ac:dyDescent="0.25">
      <c r="A55" s="1328" t="s">
        <v>754</v>
      </c>
      <c r="B55" s="1328"/>
      <c r="C55" s="1328"/>
      <c r="D55" s="1329"/>
      <c r="E55" s="1329"/>
      <c r="F55" s="1329"/>
      <c r="G55" s="1329"/>
      <c r="H55" s="1329"/>
      <c r="I55" s="1329"/>
      <c r="K55" s="1327" t="s">
        <v>101</v>
      </c>
      <c r="L55" s="1327"/>
      <c r="M55" s="101"/>
      <c r="O55" s="928" t="str">
        <f t="shared" ref="O55:O65" si="9">A78</f>
        <v>Feb 2025</v>
      </c>
      <c r="P55" s="69">
        <f t="shared" ref="P55:P62" si="10">IF(P54="","",P54)</f>
        <v>0</v>
      </c>
    </row>
    <row r="56" spans="1:16" s="1" customFormat="1" ht="13.5" customHeight="1" x14ac:dyDescent="0.2">
      <c r="A56" s="1328" t="s">
        <v>12</v>
      </c>
      <c r="B56" s="1328"/>
      <c r="C56" s="1328"/>
      <c r="D56" s="1345"/>
      <c r="E56" s="1345"/>
      <c r="F56" s="1345"/>
      <c r="G56" s="1345"/>
      <c r="H56" s="1345"/>
      <c r="I56" s="1345"/>
      <c r="K56" s="1327" t="s">
        <v>149</v>
      </c>
      <c r="L56" s="1327"/>
      <c r="M56" s="101">
        <f>IF((M57+M58)&gt;M55,0,M55-M57-M58)</f>
        <v>0</v>
      </c>
      <c r="O56" s="928" t="str">
        <f t="shared" si="9"/>
        <v>Mrz 2025</v>
      </c>
      <c r="P56" s="69">
        <f t="shared" si="10"/>
        <v>0</v>
      </c>
    </row>
    <row r="57" spans="1:16" s="1" customFormat="1" ht="13.5" customHeight="1" x14ac:dyDescent="0.2">
      <c r="A57" s="1328" t="s">
        <v>77</v>
      </c>
      <c r="B57" s="1328"/>
      <c r="C57" s="1328"/>
      <c r="D57" s="1345"/>
      <c r="E57" s="1345"/>
      <c r="F57" s="1345"/>
      <c r="G57" s="1345"/>
      <c r="H57" s="1345"/>
      <c r="I57" s="1345"/>
      <c r="K57" s="1327" t="s">
        <v>150</v>
      </c>
      <c r="L57" s="1327"/>
      <c r="M57" s="101"/>
      <c r="O57" s="928" t="str">
        <f t="shared" si="9"/>
        <v>Apr 2025</v>
      </c>
      <c r="P57" s="69">
        <f t="shared" si="10"/>
        <v>0</v>
      </c>
    </row>
    <row r="58" spans="1:16" s="1" customFormat="1" ht="13.5" customHeight="1" x14ac:dyDescent="0.2">
      <c r="A58" s="1328" t="s">
        <v>18</v>
      </c>
      <c r="B58" s="1328"/>
      <c r="C58" s="1328"/>
      <c r="D58" s="1345"/>
      <c r="E58" s="1345"/>
      <c r="F58" s="1345"/>
      <c r="G58" s="1345"/>
      <c r="H58" s="1345"/>
      <c r="I58" s="1345"/>
      <c r="K58" s="1327" t="s">
        <v>222</v>
      </c>
      <c r="L58" s="1327"/>
      <c r="M58" s="101"/>
      <c r="O58" s="928" t="str">
        <f t="shared" si="9"/>
        <v>Mai 2025</v>
      </c>
      <c r="P58" s="69">
        <f t="shared" si="10"/>
        <v>0</v>
      </c>
    </row>
    <row r="59" spans="1:16" s="1" customFormat="1" ht="13.5" customHeight="1" x14ac:dyDescent="0.2">
      <c r="B59" s="6"/>
      <c r="C59" s="1040" t="s">
        <v>147</v>
      </c>
      <c r="D59" s="1324"/>
      <c r="E59" s="1324"/>
      <c r="F59" s="1359" t="s">
        <v>103</v>
      </c>
      <c r="G59" s="1359"/>
      <c r="H59" s="1361"/>
      <c r="I59" s="1361"/>
      <c r="K59" s="1327" t="s">
        <v>94</v>
      </c>
      <c r="L59" s="1327"/>
      <c r="M59" s="15" t="str">
        <f>IF(IF((COUNTIF(B77:B88,"&gt;0"))=0,0,(COUNTIF(B77:B88,"&gt;0")))&gt;Grundlagen!$C$26,Grundlagen!$C$26,IF((COUNTIF(B77:B88,"&gt;0"))=0,"",(COUNTIF(B77:B88,"&gt;0"))))</f>
        <v/>
      </c>
      <c r="O59" s="928" t="str">
        <f t="shared" si="9"/>
        <v>Jun 2025</v>
      </c>
      <c r="P59" s="69">
        <f t="shared" si="10"/>
        <v>0</v>
      </c>
    </row>
    <row r="60" spans="1:16" s="1" customFormat="1" ht="13.5" customHeight="1" x14ac:dyDescent="0.2">
      <c r="M60" s="102" t="str">
        <f>IF((SUM(E62:F65))=0,"",IF(P66&gt;M56,M56,IF(M56="","",IF(M59="","",P66))))</f>
        <v/>
      </c>
      <c r="O60" s="928" t="str">
        <f t="shared" si="9"/>
        <v>Jul 2025</v>
      </c>
      <c r="P60" s="69">
        <f t="shared" si="10"/>
        <v>0</v>
      </c>
    </row>
    <row r="61" spans="1:16" s="109" customFormat="1" ht="14.25" customHeight="1" x14ac:dyDescent="0.25">
      <c r="A61" s="103" t="s">
        <v>170</v>
      </c>
      <c r="B61" s="56"/>
      <c r="C61" s="104"/>
      <c r="D61" s="56"/>
      <c r="E61" s="1394" t="s">
        <v>171</v>
      </c>
      <c r="F61" s="1394"/>
      <c r="G61" s="58" t="s">
        <v>138</v>
      </c>
      <c r="H61" s="86"/>
      <c r="I61" s="105"/>
      <c r="L61" s="107"/>
      <c r="M61" s="106"/>
      <c r="N61" s="108"/>
      <c r="O61" s="928" t="str">
        <f t="shared" si="9"/>
        <v>Aug 2025</v>
      </c>
      <c r="P61" s="69">
        <f t="shared" si="10"/>
        <v>0</v>
      </c>
    </row>
    <row r="62" spans="1:16" s="109" customFormat="1" ht="14.25" customHeight="1" x14ac:dyDescent="0.25">
      <c r="A62" s="48" t="str">
        <f>A77</f>
        <v>Jan 2025</v>
      </c>
      <c r="B62" s="1398"/>
      <c r="C62" s="1399"/>
      <c r="D62" s="1400"/>
      <c r="E62" s="1386"/>
      <c r="F62" s="1387"/>
      <c r="G62" s="110">
        <f>IF(E62="",0,IF(E62=ROUND(J62*M55*(52/12),0),J62,ROUNDDOWN(IF(M56=0,0,E62/M55/(52/12)),2)))</f>
        <v>0</v>
      </c>
      <c r="H62" s="1055"/>
      <c r="I62" s="941" t="str">
        <f>I14</f>
        <v>Mindestlohn 2025:</v>
      </c>
      <c r="J62" s="1057">
        <f>J14</f>
        <v>12.82</v>
      </c>
      <c r="L62" s="1054"/>
      <c r="M62" s="1053"/>
      <c r="O62" s="928" t="str">
        <f t="shared" si="9"/>
        <v>Sep 2025</v>
      </c>
      <c r="P62" s="69">
        <f t="shared" si="10"/>
        <v>0</v>
      </c>
    </row>
    <row r="63" spans="1:16" s="109" customFormat="1" ht="14.25" customHeight="1" x14ac:dyDescent="0.25">
      <c r="A63" s="49"/>
      <c r="B63" s="1398"/>
      <c r="C63" s="1399"/>
      <c r="D63" s="1400"/>
      <c r="E63" s="1386"/>
      <c r="F63" s="1387"/>
      <c r="G63" s="110">
        <f>IF(E63="",0,IF(E63=ROUND(J62*M55*(52/12),0),J62,ROUNDDOWN(IF(M56=0,0,E63/M55/(52/12)),2)))</f>
        <v>0</v>
      </c>
      <c r="H63" s="58"/>
      <c r="J63" s="1056" t="str">
        <f>J15</f>
        <v>für max. 10 h/W</v>
      </c>
      <c r="O63" s="928" t="str">
        <f t="shared" si="9"/>
        <v>Okt 2025</v>
      </c>
      <c r="P63" s="69">
        <f t="shared" ref="P63:P65" si="11">IF(P62="","",P62)</f>
        <v>0</v>
      </c>
    </row>
    <row r="64" spans="1:16" s="109" customFormat="1" ht="14.25" customHeight="1" x14ac:dyDescent="0.25">
      <c r="A64" s="49"/>
      <c r="B64" s="1398"/>
      <c r="C64" s="1399"/>
      <c r="D64" s="1400"/>
      <c r="E64" s="1386"/>
      <c r="F64" s="1387"/>
      <c r="G64" s="110">
        <f>IF(E64="",0,IF(E64=ROUND(J62*M55*(52/12),0),J62,ROUNDDOWN(IF(M56=0,0,E64/M55/(52/12)),2)))</f>
        <v>0</v>
      </c>
      <c r="H64" s="85"/>
      <c r="O64" s="928" t="str">
        <f t="shared" si="9"/>
        <v>Nov 2025</v>
      </c>
      <c r="P64" s="69">
        <f t="shared" si="11"/>
        <v>0</v>
      </c>
    </row>
    <row r="65" spans="1:16" s="85" customFormat="1" ht="14.25" customHeight="1" x14ac:dyDescent="0.25">
      <c r="A65" s="49"/>
      <c r="B65" s="1398"/>
      <c r="C65" s="1399"/>
      <c r="D65" s="1400"/>
      <c r="E65" s="1386"/>
      <c r="F65" s="1387"/>
      <c r="G65" s="110">
        <f>IF(E65="",0,IF(E65=ROUND(J62*M55*(52/12),0),J62,ROUNDDOWN(IF(M56=0,0,E65/M55/(52/12)),2)))</f>
        <v>0</v>
      </c>
      <c r="H65" s="86"/>
      <c r="O65" s="928" t="str">
        <f t="shared" si="9"/>
        <v>Dez 2025</v>
      </c>
      <c r="P65" s="69">
        <f t="shared" si="11"/>
        <v>0</v>
      </c>
    </row>
    <row r="66" spans="1:16" s="85" customFormat="1" ht="12" customHeight="1" x14ac:dyDescent="0.25">
      <c r="A66" s="46"/>
      <c r="B66" s="972"/>
      <c r="C66" s="972"/>
      <c r="D66" s="46"/>
      <c r="E66" s="972"/>
      <c r="F66" s="972"/>
      <c r="G66" s="88"/>
      <c r="H66" s="86"/>
      <c r="O66" s="126" t="s">
        <v>221</v>
      </c>
      <c r="P66" s="127">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924" t="s">
        <v>732</v>
      </c>
      <c r="D67" s="55" t="s">
        <v>369</v>
      </c>
      <c r="E67" s="56" t="s">
        <v>368</v>
      </c>
      <c r="F67" s="58"/>
      <c r="J67" s="61"/>
    </row>
    <row r="68" spans="1:16" s="46" customFormat="1" ht="13.5" customHeight="1" x14ac:dyDescent="0.25">
      <c r="A68" s="60"/>
      <c r="B68" s="1314" t="str">
        <f>IF($B$20="","",$B$20)</f>
        <v>Jahressonderzahlung (JSZ)</v>
      </c>
      <c r="C68" s="1315"/>
      <c r="D68" s="926"/>
      <c r="E68" s="929" t="str">
        <f>IF(A68="","",ROUND((((SUM(B83:B85)+SUM(F83:F85))/3)*D68)/Grundlagen!$C$26*M59,2))</f>
        <v/>
      </c>
      <c r="G68" s="986"/>
      <c r="H68" s="995"/>
      <c r="I68" s="988"/>
      <c r="J68" s="988"/>
      <c r="K68" s="988"/>
      <c r="L68" s="989"/>
      <c r="M68" s="989"/>
      <c r="N68" s="984"/>
      <c r="O68" s="990"/>
      <c r="P68" s="990"/>
    </row>
    <row r="69" spans="1:16" s="1" customFormat="1" ht="14.25" customHeight="1" x14ac:dyDescent="0.2">
      <c r="A69" s="60"/>
      <c r="B69" s="1314" t="str">
        <f>IF($B$21="","",$B$21)</f>
        <v>Leistungsentgelt (LOB)</v>
      </c>
      <c r="C69" s="1315"/>
      <c r="D69" s="926"/>
      <c r="E69" s="929" t="str">
        <f>IF(A69="","",ROUND(((B89+F89)*D69)/Grundlagen!$C$26*M59,2))</f>
        <v/>
      </c>
      <c r="G69" s="986"/>
      <c r="H69" s="987"/>
      <c r="I69" s="988"/>
      <c r="J69" s="988"/>
      <c r="K69" s="988"/>
      <c r="L69" s="991"/>
      <c r="M69" s="991"/>
      <c r="N69" s="985"/>
      <c r="O69" s="65"/>
      <c r="P69" s="65"/>
    </row>
    <row r="70" spans="1:16" s="1" customFormat="1" ht="12" customHeight="1" x14ac:dyDescent="0.2">
      <c r="C70" s="925" t="s">
        <v>731</v>
      </c>
      <c r="L70" s="991"/>
      <c r="M70" s="991"/>
      <c r="N70" s="985"/>
      <c r="O70" s="992"/>
      <c r="P70" s="992"/>
    </row>
    <row r="71" spans="1:16" ht="14.25" customHeight="1" x14ac:dyDescent="0.2">
      <c r="A71" s="53" t="s">
        <v>141</v>
      </c>
    </row>
    <row r="72" spans="1:16" ht="14.25" customHeight="1" x14ac:dyDescent="0.2">
      <c r="A72" s="1346"/>
      <c r="B72" s="1348" t="s">
        <v>8</v>
      </c>
      <c r="C72" s="1349"/>
      <c r="D72" s="1349"/>
      <c r="E72" s="1349"/>
      <c r="F72" s="1349"/>
      <c r="G72" s="1350"/>
      <c r="H72" s="1351" t="s">
        <v>7</v>
      </c>
      <c r="I72" s="1352"/>
      <c r="J72" s="1352"/>
      <c r="K72" s="1352"/>
      <c r="L72" s="1352"/>
      <c r="M72" s="1352"/>
      <c r="N72" s="1038"/>
      <c r="O72" s="30"/>
      <c r="P72" s="1330" t="s">
        <v>0</v>
      </c>
    </row>
    <row r="73" spans="1:16" ht="14.25" customHeight="1" x14ac:dyDescent="0.2">
      <c r="A73" s="1347"/>
      <c r="B73" s="1333" t="s">
        <v>111</v>
      </c>
      <c r="C73" s="1335" t="s">
        <v>743</v>
      </c>
      <c r="D73" s="1337" t="s">
        <v>226</v>
      </c>
      <c r="E73" s="1339" t="s">
        <v>133</v>
      </c>
      <c r="F73" s="1041" t="s">
        <v>6</v>
      </c>
      <c r="G73" s="1340" t="s">
        <v>5</v>
      </c>
      <c r="H73" s="1339" t="s">
        <v>119</v>
      </c>
      <c r="I73" s="1339" t="s">
        <v>4</v>
      </c>
      <c r="J73" s="1339" t="s">
        <v>178</v>
      </c>
      <c r="K73" s="1339" t="s">
        <v>114</v>
      </c>
      <c r="L73" s="1339" t="s">
        <v>115</v>
      </c>
      <c r="M73" s="1339" t="s">
        <v>116</v>
      </c>
      <c r="N73" s="1041" t="s">
        <v>6</v>
      </c>
      <c r="O73" s="1338" t="s">
        <v>109</v>
      </c>
      <c r="P73" s="1331"/>
    </row>
    <row r="74" spans="1:16" ht="14.25" customHeight="1" x14ac:dyDescent="0.2">
      <c r="A74" s="1347"/>
      <c r="B74" s="1333"/>
      <c r="C74" s="1335"/>
      <c r="D74" s="1338"/>
      <c r="E74" s="1339"/>
      <c r="F74" s="1401" t="str">
        <f>IF(H62=0,"","siehe Zuschläge / Zulagen")</f>
        <v/>
      </c>
      <c r="G74" s="1340"/>
      <c r="H74" s="1342" t="s">
        <v>117</v>
      </c>
      <c r="I74" s="1342"/>
      <c r="J74" s="1342"/>
      <c r="K74" s="1342"/>
      <c r="L74" s="1342"/>
      <c r="M74" s="1342"/>
      <c r="N74" s="1401"/>
      <c r="O74" s="1338"/>
      <c r="P74" s="1331"/>
    </row>
    <row r="75" spans="1:16" x14ac:dyDescent="0.2">
      <c r="A75" s="1347"/>
      <c r="B75" s="1333"/>
      <c r="C75" s="1335"/>
      <c r="D75" s="1338"/>
      <c r="E75" s="1339"/>
      <c r="F75" s="1401"/>
      <c r="G75" s="1340"/>
      <c r="H75" s="89" t="s">
        <v>725</v>
      </c>
      <c r="I75" s="1039" t="s">
        <v>726</v>
      </c>
      <c r="J75" s="1039" t="s">
        <v>727</v>
      </c>
      <c r="K75" s="1039" t="s">
        <v>728</v>
      </c>
      <c r="L75" s="1039" t="s">
        <v>729</v>
      </c>
      <c r="M75" s="1039" t="s">
        <v>719</v>
      </c>
      <c r="N75" s="1401"/>
      <c r="O75" s="1338"/>
      <c r="P75" s="1331"/>
    </row>
    <row r="76" spans="1:16" x14ac:dyDescent="0.2">
      <c r="A76" s="1347"/>
      <c r="B76" s="1334"/>
      <c r="C76" s="1336"/>
      <c r="D76" s="45"/>
      <c r="E76" s="45"/>
      <c r="F76" s="45"/>
      <c r="G76" s="1341"/>
      <c r="H76" s="19"/>
      <c r="I76" s="19"/>
      <c r="J76" s="19"/>
      <c r="K76" s="31"/>
      <c r="L76" s="31"/>
      <c r="M76" s="23"/>
      <c r="N76" s="45"/>
      <c r="O76" s="19"/>
      <c r="P76" s="1332"/>
    </row>
    <row r="77" spans="1:16" x14ac:dyDescent="0.2">
      <c r="A77" s="76" t="str">
        <f>'päd.Personal - Leitung'!$A$29</f>
        <v>Jan 2025</v>
      </c>
      <c r="B77" s="22">
        <f>ROUND(IF(P54=0,0,(LOOKUP(2,1/(A62:A65=A77),E62:E65))/M55*P54),2)</f>
        <v>0</v>
      </c>
      <c r="C77" s="21">
        <f>ROUND(IFERROR(((LOOKUP(2,1/(A68=A77),((SUM(B83:B85)+SUM(F83:F85))/3)*D68))),0)+IFERROR(((LOOKUP(2,1/(A69=A77),(B89+F89)*D69))),0),2)</f>
        <v>0</v>
      </c>
      <c r="D77" s="21">
        <f>IF(B77=0,0,D76/M55*P54)</f>
        <v>0</v>
      </c>
      <c r="E77" s="21">
        <f>IF(B77=0,0,E76/M55*P54)</f>
        <v>0</v>
      </c>
      <c r="F77" s="21">
        <f>IF(B77=0,0,F76/M55*P54)</f>
        <v>0</v>
      </c>
      <c r="G77" s="25">
        <f>SUM(B77+C77+E77+F77)</f>
        <v>0</v>
      </c>
      <c r="H77" s="64">
        <f>ROUND(SUM(B77:F77)*H76,2)</f>
        <v>0</v>
      </c>
      <c r="I77" s="64">
        <f>ROUND(SUM(B77:F77)*I76,2)</f>
        <v>0</v>
      </c>
      <c r="J77" s="64">
        <f>ROUND(SUM(B77:F77)*J76,2)</f>
        <v>0</v>
      </c>
      <c r="K77" s="25">
        <f>ROUND((B77+SUM(D77:F77))*K76,2)</f>
        <v>0</v>
      </c>
      <c r="L77" s="25">
        <f>ROUND((B77+SUM(D77:F77))*L76,2)</f>
        <v>0</v>
      </c>
      <c r="M77" s="64">
        <f>ROUND(SUM(B77:F77)*M76,2)</f>
        <v>0</v>
      </c>
      <c r="N77" s="21">
        <f>IF(B77=0,0,N76/M55*P54)</f>
        <v>0</v>
      </c>
      <c r="O77" s="21">
        <f>ROUND(SUM(B77+C77+F77)*O76,2)</f>
        <v>0</v>
      </c>
      <c r="P77" s="25">
        <f>SUM(G77:O77)</f>
        <v>0</v>
      </c>
    </row>
    <row r="78" spans="1:16" x14ac:dyDescent="0.2">
      <c r="A78" s="76" t="str">
        <f>'päd.Personal - Leitung'!$A$30</f>
        <v>Feb 2025</v>
      </c>
      <c r="B78" s="22">
        <f>ROUND(IF(P55=0,0,IFERROR(((LOOKUP(2,1/(A62:A65=A78),E62:E65))/M55*P55),B77/P55*P55)),2)</f>
        <v>0</v>
      </c>
      <c r="C78" s="21">
        <f>ROUND(IFERROR(((LOOKUP(2,1/(A68=A78),((SUM(B83:B85)+SUM(F83:F85))/3)*D68))),0)+IFERROR(((LOOKUP(2,1/(A69=A78),(B89+F89)*D69))),0),2)</f>
        <v>0</v>
      </c>
      <c r="D78" s="21">
        <f>IF(B78=0,0,D76/M55*P55)</f>
        <v>0</v>
      </c>
      <c r="E78" s="21">
        <f>IF(B78=0,0,E76/M55*P55)</f>
        <v>0</v>
      </c>
      <c r="F78" s="21">
        <f>IF(B78=0,0,F76/M55*P55)</f>
        <v>0</v>
      </c>
      <c r="G78" s="25">
        <f t="shared" ref="G78:G88" si="12">SUM(B78+C78+E78+F78)</f>
        <v>0</v>
      </c>
      <c r="H78" s="64">
        <f>ROUND(SUM(B78:F78)*H76,2)</f>
        <v>0</v>
      </c>
      <c r="I78" s="64">
        <f>ROUND(SUM(B78:F78)*I76,2)</f>
        <v>0</v>
      </c>
      <c r="J78" s="64">
        <f>ROUND(SUM(B78:F78)*J76,2)</f>
        <v>0</v>
      </c>
      <c r="K78" s="25">
        <f>ROUND((B78+SUM(D78:F78))*K76,2)</f>
        <v>0</v>
      </c>
      <c r="L78" s="25">
        <f>ROUND((B78+SUM(D78:F78))*L76,2)</f>
        <v>0</v>
      </c>
      <c r="M78" s="64">
        <f>ROUND(SUM(B78:F78)*M76,2)</f>
        <v>0</v>
      </c>
      <c r="N78" s="21">
        <f>IF(B78=0,0,N76/M55*P55)</f>
        <v>0</v>
      </c>
      <c r="O78" s="21">
        <f>ROUND(SUM(B78+C78+F78)*O76,2)</f>
        <v>0</v>
      </c>
      <c r="P78" s="25">
        <f>SUM(G78:O78)</f>
        <v>0</v>
      </c>
    </row>
    <row r="79" spans="1:16" x14ac:dyDescent="0.2">
      <c r="A79" s="76" t="str">
        <f>'päd.Personal - Leitung'!$A$31</f>
        <v>Mrz 2025</v>
      </c>
      <c r="B79" s="22">
        <f>ROUND(IF(P56=0,0,IFERROR(((LOOKUP(2,1/(A62:A65=A79),E62:E65))/M55*P56),B78/P56*P56)),2)</f>
        <v>0</v>
      </c>
      <c r="C79" s="21">
        <f>ROUND(IFERROR(((LOOKUP(2,1/(A68=A79),((SUM(B83:B85)+SUM(F83:F85))/3)*D68))),0)+IFERROR(((LOOKUP(2,1/(A69=A79),(B89+F89)*D69))),0),2)</f>
        <v>0</v>
      </c>
      <c r="D79" s="21">
        <f>IF(B79=0,0,D76/M55*P56)</f>
        <v>0</v>
      </c>
      <c r="E79" s="21">
        <f>IF(B79=0,0,E76/M55*P56)</f>
        <v>0</v>
      </c>
      <c r="F79" s="21">
        <f>IF(B79=0,0,F76/M55*P56)</f>
        <v>0</v>
      </c>
      <c r="G79" s="25">
        <f t="shared" si="12"/>
        <v>0</v>
      </c>
      <c r="H79" s="64">
        <f>ROUND(SUM(B79:F79)*H76,2)</f>
        <v>0</v>
      </c>
      <c r="I79" s="64">
        <f>ROUND(SUM(B79:F79)*I76,2)</f>
        <v>0</v>
      </c>
      <c r="J79" s="64">
        <f>ROUND(SUM(B79:F79)*J76,2)</f>
        <v>0</v>
      </c>
      <c r="K79" s="25">
        <f>ROUND((B79+SUM(D79:F79))*K76,2)</f>
        <v>0</v>
      </c>
      <c r="L79" s="25">
        <f>ROUND((B79+SUM(D79:F79))*L76,2)</f>
        <v>0</v>
      </c>
      <c r="M79" s="64">
        <f>ROUND(SUM(B79:F79)*M76,2)</f>
        <v>0</v>
      </c>
      <c r="N79" s="21">
        <f>IF(B79=0,0,N76/M55*P56)</f>
        <v>0</v>
      </c>
      <c r="O79" s="21">
        <f>ROUND(SUM(B79+C79+F79)*O76,2)</f>
        <v>0</v>
      </c>
      <c r="P79" s="25">
        <f t="shared" ref="P79" si="13">SUM(G79:O79)</f>
        <v>0</v>
      </c>
    </row>
    <row r="80" spans="1:16" x14ac:dyDescent="0.2">
      <c r="A80" s="76" t="str">
        <f>'päd.Personal - Leitung'!$A$32</f>
        <v>Apr 2025</v>
      </c>
      <c r="B80" s="22">
        <f>ROUND(IF(P57=0,0,IFERROR(((LOOKUP(2,1/(A62:A65=A80),E62:E65))/M55*P57),B79/P57*P57)),2)</f>
        <v>0</v>
      </c>
      <c r="C80" s="21">
        <f>ROUND(IFERROR(((LOOKUP(2,1/(A68=A80),((SUM(B83:B85)+SUM(F83:F85))/3)*D68))),0)+IFERROR(((LOOKUP(2,1/(A69=A80),(B89+F89)*D69))),0),2)</f>
        <v>0</v>
      </c>
      <c r="D80" s="21">
        <f>IF(B80=0,0,D76/M55*P57)</f>
        <v>0</v>
      </c>
      <c r="E80" s="21">
        <f>IF(B80=0,0,E76/M55*P57)</f>
        <v>0</v>
      </c>
      <c r="F80" s="21">
        <f>IF(B80=0,0,F76/M55*P57)</f>
        <v>0</v>
      </c>
      <c r="G80" s="25">
        <f t="shared" si="12"/>
        <v>0</v>
      </c>
      <c r="H80" s="64">
        <f>ROUND(SUM(B80:F80)*H76,2)</f>
        <v>0</v>
      </c>
      <c r="I80" s="64">
        <f>ROUND(SUM(B80:F80)*I76,2)</f>
        <v>0</v>
      </c>
      <c r="J80" s="64">
        <f>ROUND(SUM(B80:F80)*J76,2)</f>
        <v>0</v>
      </c>
      <c r="K80" s="25">
        <f>ROUND((B80+SUM(D80:F80))*K76,2)</f>
        <v>0</v>
      </c>
      <c r="L80" s="25">
        <f>ROUND((B80+SUM(D80:F80))*L76,2)</f>
        <v>0</v>
      </c>
      <c r="M80" s="64">
        <f>ROUND(SUM(B80:F80)*M76,2)</f>
        <v>0</v>
      </c>
      <c r="N80" s="21">
        <f>IF(B80=0,0,N76/M55*P57)</f>
        <v>0</v>
      </c>
      <c r="O80" s="21">
        <f>ROUND(SUM(B80+C80+F80)*O76,2)</f>
        <v>0</v>
      </c>
      <c r="P80" s="25">
        <f>SUM(G80:O80)</f>
        <v>0</v>
      </c>
    </row>
    <row r="81" spans="1:16" x14ac:dyDescent="0.2">
      <c r="A81" s="76" t="str">
        <f>'päd.Personal - Leitung'!$A$33</f>
        <v>Mai 2025</v>
      </c>
      <c r="B81" s="22">
        <f>ROUND(IF(P58=0,0,IFERROR(((LOOKUP(2,1/(A62:A65=A81),E62:E65))/M55*P58),B80/P58*P58)),2)</f>
        <v>0</v>
      </c>
      <c r="C81" s="21">
        <f>ROUND(IFERROR(((LOOKUP(2,1/(A68=A81),((SUM(B83:B85)+SUM(F83:F85))/3)*D68))),0)+IFERROR(((LOOKUP(2,1/(A69=A81),(B89+F89)*D69))),0),2)</f>
        <v>0</v>
      </c>
      <c r="D81" s="21">
        <f>IF(B81=0,0,D76/M55*P58)</f>
        <v>0</v>
      </c>
      <c r="E81" s="21">
        <f>IF(B81=0,0,E76/M55*P58)</f>
        <v>0</v>
      </c>
      <c r="F81" s="21">
        <f>IF(B81=0,0,F76/M55*P58)</f>
        <v>0</v>
      </c>
      <c r="G81" s="25">
        <f t="shared" si="12"/>
        <v>0</v>
      </c>
      <c r="H81" s="64">
        <f>ROUND(SUM(B81:F81)*H76,2)</f>
        <v>0</v>
      </c>
      <c r="I81" s="64">
        <f>ROUND(SUM(B81:F81)*I76,2)</f>
        <v>0</v>
      </c>
      <c r="J81" s="64">
        <f>ROUND(SUM(B81:F81)*J76,2)</f>
        <v>0</v>
      </c>
      <c r="K81" s="25">
        <f>ROUND((B81+SUM(D81:F81))*K76,2)</f>
        <v>0</v>
      </c>
      <c r="L81" s="25">
        <f>ROUND((B81+SUM(D81:F81))*L76,2)</f>
        <v>0</v>
      </c>
      <c r="M81" s="64">
        <f>ROUND(SUM(B81:F81)*M76,2)</f>
        <v>0</v>
      </c>
      <c r="N81" s="21">
        <f>IF(B81=0,0,N76/M55*P58)</f>
        <v>0</v>
      </c>
      <c r="O81" s="21">
        <f>ROUND(SUM(B81+C81+F81)*O76,2)</f>
        <v>0</v>
      </c>
      <c r="P81" s="25">
        <f t="shared" ref="P81" si="14">SUM(G81:O81)</f>
        <v>0</v>
      </c>
    </row>
    <row r="82" spans="1:16" x14ac:dyDescent="0.2">
      <c r="A82" s="76" t="str">
        <f>'päd.Personal - Leitung'!$A$34</f>
        <v>Jun 2025</v>
      </c>
      <c r="B82" s="22">
        <f>ROUND(IF(P59=0,0,IFERROR(((LOOKUP(2,1/(A62:A65=A82),E62:E65))/M55*P59),B81/P59*P59)),2)</f>
        <v>0</v>
      </c>
      <c r="C82" s="21">
        <f>ROUND(IFERROR(((LOOKUP(2,1/(A68=A82),((SUM(B83:B85)+SUM(F83:F85))/3)*D68))),0)+IFERROR(((LOOKUP(2,1/(A69=A82),(B89+F89)*D69))),0),2)</f>
        <v>0</v>
      </c>
      <c r="D82" s="21">
        <f>IF(B82=0,0,D76/M55*P59)</f>
        <v>0</v>
      </c>
      <c r="E82" s="21">
        <f>IF(B82=0,0,E76/M55*P59)</f>
        <v>0</v>
      </c>
      <c r="F82" s="21">
        <f>IF(B82=0,0,F76/M55*P59)</f>
        <v>0</v>
      </c>
      <c r="G82" s="25">
        <f t="shared" si="12"/>
        <v>0</v>
      </c>
      <c r="H82" s="64">
        <f>ROUND(SUM(B82:F82)*H76,2)</f>
        <v>0</v>
      </c>
      <c r="I82" s="64">
        <f>ROUND(SUM(B82:F82)*I76,2)</f>
        <v>0</v>
      </c>
      <c r="J82" s="64">
        <f>ROUND(SUM(B82:F82)*J76,2)</f>
        <v>0</v>
      </c>
      <c r="K82" s="25">
        <f>ROUND((B82+SUM(D82:F82))*K76,2)</f>
        <v>0</v>
      </c>
      <c r="L82" s="25">
        <f>ROUND((B82+SUM(D82:F82))*L76,2)</f>
        <v>0</v>
      </c>
      <c r="M82" s="64">
        <f>ROUND(SUM(B82:F82)*M76,2)</f>
        <v>0</v>
      </c>
      <c r="N82" s="21">
        <f>IF(B82=0,0,N76/M55*P59)</f>
        <v>0</v>
      </c>
      <c r="O82" s="21">
        <f>ROUND(SUM(B82+C82+F82)*O76,2)</f>
        <v>0</v>
      </c>
      <c r="P82" s="25">
        <f t="shared" ref="P82:P83" si="15">SUM(G82:O82)</f>
        <v>0</v>
      </c>
    </row>
    <row r="83" spans="1:16" x14ac:dyDescent="0.2">
      <c r="A83" s="76" t="str">
        <f>'päd.Personal - Leitung'!$A$35</f>
        <v>Jul 2025</v>
      </c>
      <c r="B83" s="22">
        <f>ROUND(IF(P60=0,0,IFERROR(((LOOKUP(2,1/(A62:A65=A83),E62:E65))/M55*P60),B82/P60*P60)),2)</f>
        <v>0</v>
      </c>
      <c r="C83" s="21">
        <f>ROUND(IFERROR(((LOOKUP(2,1/(A68=A83),((SUM(B83:B85)+SUM(F83:F85))/3)*D68))),0)+IFERROR(((LOOKUP(2,1/(A69=A83),(B89+F89)*D69))),0),2)</f>
        <v>0</v>
      </c>
      <c r="D83" s="21">
        <f>IF(B83=0,0,D76/M55*P60)</f>
        <v>0</v>
      </c>
      <c r="E83" s="21">
        <f>IF(B83=0,0,E76/M55*P60)</f>
        <v>0</v>
      </c>
      <c r="F83" s="21">
        <f>IF(B83=0,0,F76/M55*P60)</f>
        <v>0</v>
      </c>
      <c r="G83" s="25">
        <f t="shared" si="12"/>
        <v>0</v>
      </c>
      <c r="H83" s="64">
        <f>ROUND(SUM(B83:F83)*H76,2)</f>
        <v>0</v>
      </c>
      <c r="I83" s="64">
        <f>ROUND(SUM(B83:F83)*I76,2)</f>
        <v>0</v>
      </c>
      <c r="J83" s="64">
        <f>ROUND(SUM(B83:F83)*J76,2)</f>
        <v>0</v>
      </c>
      <c r="K83" s="25">
        <f>ROUND((B83+SUM(D83:F83))*K76,2)</f>
        <v>0</v>
      </c>
      <c r="L83" s="25">
        <f>ROUND((B83+SUM(D83:F83))*L76,2)</f>
        <v>0</v>
      </c>
      <c r="M83" s="64">
        <f>ROUND(SUM(B83:F83)*M76,2)</f>
        <v>0</v>
      </c>
      <c r="N83" s="21">
        <f>IF(B83=0,0,N76/M55*P60)</f>
        <v>0</v>
      </c>
      <c r="O83" s="21">
        <f>ROUND(SUM(B83+C83+F83)*O76,2)</f>
        <v>0</v>
      </c>
      <c r="P83" s="25">
        <f t="shared" si="15"/>
        <v>0</v>
      </c>
    </row>
    <row r="84" spans="1:16" x14ac:dyDescent="0.2">
      <c r="A84" s="76" t="str">
        <f>'päd.Personal - Leitung'!$A$36</f>
        <v>Aug 2025</v>
      </c>
      <c r="B84" s="22">
        <f>ROUND(IF(P61=0,0,IFERROR(((LOOKUP(2,1/(A62:A65=A84),E62:E65))/M55*P61),B83/P61*P61)),2)</f>
        <v>0</v>
      </c>
      <c r="C84" s="21">
        <f>ROUND(IFERROR(((LOOKUP(2,1/(A68=A84),((SUM(B83:B85)+SUM(F83:F85))/3)*D68))),0)+IFERROR(((LOOKUP(2,1/(A69=A84),(B89+F89)*D69))),0),2)</f>
        <v>0</v>
      </c>
      <c r="D84" s="21">
        <f>IF(B84=0,0,D76/M55*P61)</f>
        <v>0</v>
      </c>
      <c r="E84" s="21">
        <f>IF(B84=0,0,E76/M55*P61)</f>
        <v>0</v>
      </c>
      <c r="F84" s="21">
        <f>IF(B84=0,0,F76/M55*P61)</f>
        <v>0</v>
      </c>
      <c r="G84" s="25">
        <f t="shared" si="12"/>
        <v>0</v>
      </c>
      <c r="H84" s="64">
        <f>ROUND(SUM(B84:F84)*H76,2)</f>
        <v>0</v>
      </c>
      <c r="I84" s="64">
        <f>ROUND(SUM(B84:F84)*I76,2)</f>
        <v>0</v>
      </c>
      <c r="J84" s="64">
        <f>ROUND(SUM(B84:F84)*J76,2)</f>
        <v>0</v>
      </c>
      <c r="K84" s="25">
        <f>ROUND((B84+SUM(D84:F84))*K76,2)</f>
        <v>0</v>
      </c>
      <c r="L84" s="25">
        <f>ROUND((B84+SUM(D84:F84))*L76,2)</f>
        <v>0</v>
      </c>
      <c r="M84" s="64">
        <f>ROUND(SUM(B84:F84)*M76,2)</f>
        <v>0</v>
      </c>
      <c r="N84" s="21">
        <f>IF(B84=0,0,N76/M55*P61)</f>
        <v>0</v>
      </c>
      <c r="O84" s="21">
        <f>ROUND(SUM(B84+C84+F84)*O76,2)</f>
        <v>0</v>
      </c>
      <c r="P84" s="25">
        <f>SUM(G84:O84)</f>
        <v>0</v>
      </c>
    </row>
    <row r="85" spans="1:16" x14ac:dyDescent="0.2">
      <c r="A85" s="76" t="str">
        <f>'päd.Personal - Leitung'!$A$37</f>
        <v>Sep 2025</v>
      </c>
      <c r="B85" s="22">
        <f>ROUND(IF(P62=0,0,IFERROR(((LOOKUP(2,1/(A62:A65=A85),E62:E65))/M55*P62),B84/P62*P62)),2)</f>
        <v>0</v>
      </c>
      <c r="C85" s="21">
        <f>ROUND(IFERROR(((LOOKUP(2,1/(A68=A85),((SUM(B83:B85)+SUM(F83:F85))/3)*D68))),0)+IFERROR(((LOOKUP(2,1/(A69=A85),(B89+F89)*D69))),0),2)</f>
        <v>0</v>
      </c>
      <c r="D85" s="21">
        <f>IF(B85=0,0,D76/M55*P62)</f>
        <v>0</v>
      </c>
      <c r="E85" s="21">
        <f>IF(B85=0,0,E76/M55*P62)</f>
        <v>0</v>
      </c>
      <c r="F85" s="21">
        <f>IF(B85=0,0,F76/M55*P62)</f>
        <v>0</v>
      </c>
      <c r="G85" s="25">
        <f t="shared" si="12"/>
        <v>0</v>
      </c>
      <c r="H85" s="64">
        <f>ROUND(SUM(B85:F85)*H76,2)</f>
        <v>0</v>
      </c>
      <c r="I85" s="64">
        <f>ROUND(SUM(B85:F85)*I76,2)</f>
        <v>0</v>
      </c>
      <c r="J85" s="64">
        <f>ROUND(SUM(B85:F85)*J76,2)</f>
        <v>0</v>
      </c>
      <c r="K85" s="25">
        <f>ROUND((B85+SUM(D85:F85))*K76,2)</f>
        <v>0</v>
      </c>
      <c r="L85" s="25">
        <f>ROUND((B85+SUM(D85:F85))*L76,2)</f>
        <v>0</v>
      </c>
      <c r="M85" s="64">
        <f>ROUND(SUM(B85:F85)*M76,2)</f>
        <v>0</v>
      </c>
      <c r="N85" s="21">
        <f>IF(B85=0,0,N76/M55*P62)</f>
        <v>0</v>
      </c>
      <c r="O85" s="21">
        <f>ROUND(SUM(B85+C85+F85)*O76,2)</f>
        <v>0</v>
      </c>
      <c r="P85" s="25">
        <f>SUM(G85:O85)</f>
        <v>0</v>
      </c>
    </row>
    <row r="86" spans="1:16" x14ac:dyDescent="0.2">
      <c r="A86" s="76" t="str">
        <f>'päd.Personal - Leitung'!$A$38</f>
        <v>Okt 2025</v>
      </c>
      <c r="B86" s="22">
        <f>ROUND(IF(P63=0,0,IFERROR(((LOOKUP(2,1/(A62:A65=A86),E62:E65))/M55*P63),B85/P63*P63)),2)</f>
        <v>0</v>
      </c>
      <c r="C86" s="21">
        <f>ROUND(IFERROR(((LOOKUP(2,1/(A68=A86),((SUM(B83:B85)+SUM(F83:F85))/3)*D68))),0)+IFERROR(((LOOKUP(2,1/(A69=A86),(B89+F89)*D69))),0),2)</f>
        <v>0</v>
      </c>
      <c r="D86" s="21">
        <f>IF(B86=0,0,D76/M55*P63)</f>
        <v>0</v>
      </c>
      <c r="E86" s="21">
        <f>IF(B86=0,0,E76/M55*P63)</f>
        <v>0</v>
      </c>
      <c r="F86" s="21">
        <f>IF(B86=0,0,F76/M55*P63)</f>
        <v>0</v>
      </c>
      <c r="G86" s="25">
        <f t="shared" si="12"/>
        <v>0</v>
      </c>
      <c r="H86" s="64">
        <f>ROUND(SUM(B86:F86)*H76,2)</f>
        <v>0</v>
      </c>
      <c r="I86" s="64">
        <f>ROUND(SUM(B86:F86)*I76,2)</f>
        <v>0</v>
      </c>
      <c r="J86" s="64">
        <f>ROUND(SUM(B86:F86)*J76,2)</f>
        <v>0</v>
      </c>
      <c r="K86" s="25">
        <f>ROUND((B86+SUM(D86:F86))*K76,2)</f>
        <v>0</v>
      </c>
      <c r="L86" s="25">
        <f>ROUND((B86+SUM(D86:F86))*L76,2)</f>
        <v>0</v>
      </c>
      <c r="M86" s="64">
        <f>ROUND(SUM(B86:F86)*M76,2)</f>
        <v>0</v>
      </c>
      <c r="N86" s="21">
        <f>IF(B86=0,0,N76/M55*P63)</f>
        <v>0</v>
      </c>
      <c r="O86" s="21">
        <f>ROUND(SUM(B86+C86+F86)*O76,2)</f>
        <v>0</v>
      </c>
      <c r="P86" s="25">
        <f>SUM(G86:O86)</f>
        <v>0</v>
      </c>
    </row>
    <row r="87" spans="1:16" x14ac:dyDescent="0.2">
      <c r="A87" s="76" t="str">
        <f>'päd.Personal - Leitung'!$A$39</f>
        <v>Nov 2025</v>
      </c>
      <c r="B87" s="22">
        <f>ROUND(IF(P64=0,0,IFERROR(((LOOKUP(2,1/(A62:A65=A87),E62:E65))/M55*P64),B86/P64*P64)),2)</f>
        <v>0</v>
      </c>
      <c r="C87" s="21">
        <f>ROUND(IFERROR(((LOOKUP(2,1/(A68=A87),((SUM(B83:B85)+SUM(F83:F85))/3)*D68))),0)+IFERROR(((LOOKUP(2,1/(A69=A87),(B89+F89)*D69))),0),2)</f>
        <v>0</v>
      </c>
      <c r="D87" s="21">
        <f>IF(B87=0,0,D76/M55*P64)</f>
        <v>0</v>
      </c>
      <c r="E87" s="21">
        <f>IF(B87=0,0,E76/M55*P64)</f>
        <v>0</v>
      </c>
      <c r="F87" s="21">
        <f>IF(B87=0,0,F76/M55*P64)</f>
        <v>0</v>
      </c>
      <c r="G87" s="25">
        <f t="shared" si="12"/>
        <v>0</v>
      </c>
      <c r="H87" s="64">
        <f>ROUND(SUM(B87:F87)*H76,2)</f>
        <v>0</v>
      </c>
      <c r="I87" s="64">
        <f>ROUND(SUM(B87:F87)*I76,2)</f>
        <v>0</v>
      </c>
      <c r="J87" s="64">
        <f>ROUND(SUM(B87:F87)*J76,2)</f>
        <v>0</v>
      </c>
      <c r="K87" s="25">
        <f>ROUND((B87+SUM(D87:F87))*K76,2)</f>
        <v>0</v>
      </c>
      <c r="L87" s="25">
        <f>ROUND((B87+SUM(D87:F87))*L76,2)</f>
        <v>0</v>
      </c>
      <c r="M87" s="64">
        <f>ROUND(SUM(B87:F87)*M76,2)</f>
        <v>0</v>
      </c>
      <c r="N87" s="21">
        <f>IF(B87=0,0,N76/M55*P64)</f>
        <v>0</v>
      </c>
      <c r="O87" s="21">
        <f>ROUND(SUM(B87+C87+F87)*O76,2)</f>
        <v>0</v>
      </c>
      <c r="P87" s="25">
        <f>SUM(G87:O87)</f>
        <v>0</v>
      </c>
    </row>
    <row r="88" spans="1:16" x14ac:dyDescent="0.2">
      <c r="A88" s="76" t="str">
        <f>'päd.Personal - Leitung'!$A$40</f>
        <v>Dez 2025</v>
      </c>
      <c r="B88" s="22">
        <f>ROUND(IF(P65=0,0,IFERROR(((LOOKUP(2,1/(A62:A65=A88),E62:E65))/M55*P65),B87/P65*P65)),2)</f>
        <v>0</v>
      </c>
      <c r="C88" s="21">
        <f>ROUND(IFERROR(((LOOKUP(2,1/(A68=A88),((SUM(B83:B85)+SUM(F83:F85))/3)*D68))),0)+IFERROR(((LOOKUP(2,1/(A69=A88),(B89+F89)*D69))),0),2)</f>
        <v>0</v>
      </c>
      <c r="D88" s="21">
        <f>IF(B88=0,0,D76/M55*P65)</f>
        <v>0</v>
      </c>
      <c r="E88" s="21">
        <f>IF(B88=0,0,E76/M55*P65)</f>
        <v>0</v>
      </c>
      <c r="F88" s="21">
        <f>IF(B88=0,0,F76/M55*P65)</f>
        <v>0</v>
      </c>
      <c r="G88" s="25">
        <f t="shared" si="12"/>
        <v>0</v>
      </c>
      <c r="H88" s="64">
        <f>ROUND(SUM(B88:F88)*H76,2)</f>
        <v>0</v>
      </c>
      <c r="I88" s="64">
        <f>ROUND(SUM(B88:F88)*I76,2)</f>
        <v>0</v>
      </c>
      <c r="J88" s="64">
        <f>ROUND(SUM(B88:F88)*J76,2)</f>
        <v>0</v>
      </c>
      <c r="K88" s="25">
        <f>ROUND((B88+SUM(D88:F88))*K76,2)</f>
        <v>0</v>
      </c>
      <c r="L88" s="25">
        <f>ROUND((B88+SUM(D88:F88))*L76,2)</f>
        <v>0</v>
      </c>
      <c r="M88" s="64">
        <f>ROUND(SUM(B88:F88)*M76,2)</f>
        <v>0</v>
      </c>
      <c r="N88" s="21">
        <f>IF(B88=0,0,N76/M55*P65)</f>
        <v>0</v>
      </c>
      <c r="O88" s="21">
        <f>ROUND(SUM(B88+C88+F88)*O76,2)</f>
        <v>0</v>
      </c>
      <c r="P88" s="25">
        <f>SUM(G88:O88)</f>
        <v>0</v>
      </c>
    </row>
    <row r="89" spans="1:16" x14ac:dyDescent="0.2">
      <c r="A89" s="2" t="s">
        <v>1</v>
      </c>
      <c r="B89" s="25">
        <f>SUM(B77:B88)</f>
        <v>0</v>
      </c>
      <c r="C89" s="25">
        <f t="shared" ref="C89" si="16">SUM(C77:C88)</f>
        <v>0</v>
      </c>
      <c r="D89" s="25">
        <f t="shared" ref="D89" si="17">SUM(D77:D88)</f>
        <v>0</v>
      </c>
      <c r="E89" s="25">
        <f t="shared" ref="E89" si="18">SUM(E77:E88)</f>
        <v>0</v>
      </c>
      <c r="F89" s="25">
        <f t="shared" ref="F89" si="19">SUM(F77:F88)</f>
        <v>0</v>
      </c>
      <c r="G89" s="25">
        <f>SUM(G77:G88)</f>
        <v>0</v>
      </c>
      <c r="H89" s="1309">
        <f>SUM(H77:M88)</f>
        <v>0</v>
      </c>
      <c r="I89" s="1310"/>
      <c r="J89" s="1310"/>
      <c r="K89" s="1310"/>
      <c r="L89" s="1310"/>
      <c r="M89" s="1311"/>
      <c r="N89" s="25">
        <f>SUM(N77:N88)</f>
        <v>0</v>
      </c>
      <c r="O89" s="25">
        <f>SUM(O77:O88)</f>
        <v>0</v>
      </c>
      <c r="P89" s="25">
        <f>SUM(P77:P88)</f>
        <v>0</v>
      </c>
    </row>
    <row r="90" spans="1:16" ht="12" customHeight="1" x14ac:dyDescent="0.2"/>
    <row r="91" spans="1:16" s="905" customFormat="1" ht="14.25" customHeight="1" x14ac:dyDescent="0.2">
      <c r="A91" s="906"/>
      <c r="B91" s="906"/>
      <c r="C91" s="906"/>
      <c r="E91" s="984"/>
      <c r="F91" s="1031"/>
      <c r="G91" s="907"/>
      <c r="H91" s="907"/>
      <c r="I91" s="907"/>
      <c r="J91" s="914" t="s">
        <v>123</v>
      </c>
      <c r="K91" s="1"/>
      <c r="L91" s="900" t="s">
        <v>124</v>
      </c>
      <c r="M91" s="1032" t="str">
        <f>IF(IF(M60="","",$M$43)=0,"",IF(M60="","",$M$43))</f>
        <v/>
      </c>
      <c r="N91" s="902" t="s">
        <v>125</v>
      </c>
      <c r="O91" s="1033" t="str">
        <f>IF(IF(M60="","",$O$43)=0,"",IF(M60="","",$O$43))</f>
        <v/>
      </c>
      <c r="P91" s="25">
        <f>ROUND(IF(M91="",0,G89*M91*O91/1000),2)</f>
        <v>0</v>
      </c>
    </row>
    <row r="92" spans="1:16" s="1" customFormat="1" ht="14.25" customHeight="1" x14ac:dyDescent="0.2">
      <c r="H92" s="905"/>
      <c r="I92" s="62"/>
      <c r="M92" s="915" t="s">
        <v>129</v>
      </c>
      <c r="N92" s="80" t="s">
        <v>125</v>
      </c>
      <c r="O92" s="1034" t="str">
        <f>IF(IF(M60="","",$O$44)=0,"",IF(M60="","",$O$44))</f>
        <v/>
      </c>
      <c r="P92" s="25">
        <f>ROUND(IF(O92="",0,G89*O92/1000),2)</f>
        <v>0</v>
      </c>
    </row>
    <row r="93" spans="1:16" s="1" customFormat="1" ht="14.25" customHeight="1" x14ac:dyDescent="0.2">
      <c r="B93" s="906"/>
      <c r="H93" s="996" t="s">
        <v>126</v>
      </c>
      <c r="I93" s="1013" t="s">
        <v>127</v>
      </c>
      <c r="J93" s="1037" t="str">
        <f>IF(IF(M60="","",$J$45)=0,"",IF(M60="","",$J$45))</f>
        <v/>
      </c>
      <c r="K93" s="902" t="s">
        <v>128</v>
      </c>
      <c r="L93" s="1036" t="str">
        <f>IF(IF(M60="","",$L$45)=0,"",IF(M60="","",$L$45))</f>
        <v/>
      </c>
      <c r="M93" s="16"/>
      <c r="N93" s="900" t="s">
        <v>132</v>
      </c>
      <c r="O93" s="1035" t="str">
        <f>IF(IF(M60="","",$O$45)=0,"",IF(M60="","",$O$45))</f>
        <v/>
      </c>
      <c r="P93" s="25">
        <f>ROUND(IF(J93="",0,(J93*L93/O93)/M55*M56),2)</f>
        <v>0</v>
      </c>
    </row>
    <row r="94" spans="1:16" s="1" customFormat="1" ht="14.25" customHeight="1" x14ac:dyDescent="0.2">
      <c r="K94" s="63"/>
      <c r="L94" s="67"/>
      <c r="M94" s="915" t="s">
        <v>130</v>
      </c>
      <c r="N94" s="80" t="s">
        <v>131</v>
      </c>
      <c r="O94" s="904">
        <f>IF(IF(M60="",0,$O$46)=0,0,IF(M60="",0,$O$46))</f>
        <v>0</v>
      </c>
      <c r="P94" s="21">
        <f>ROUND(IF(G89=0,0,O94/M55*M56),2)</f>
        <v>0</v>
      </c>
    </row>
    <row r="95" spans="1:16" s="1" customFormat="1" ht="14.25" customHeight="1" x14ac:dyDescent="0.2">
      <c r="I95" s="16"/>
      <c r="J95" s="961" t="s">
        <v>176</v>
      </c>
      <c r="K95" s="1312" t="str">
        <f>IF($K$47="","",$K$47)</f>
        <v/>
      </c>
      <c r="L95" s="1312"/>
      <c r="M95" s="1312"/>
      <c r="N95" s="80" t="s">
        <v>131</v>
      </c>
      <c r="O95" s="904">
        <f>IF(IF(M60="",0,$O$47)=0,0,IF(M60="",0,$O$47))</f>
        <v>0</v>
      </c>
      <c r="P95" s="21">
        <f>ROUND(IF(M60="",0,O95/M55*M56),2)</f>
        <v>0</v>
      </c>
    </row>
    <row r="96" spans="1:16" s="1" customFormat="1" ht="14.25" customHeight="1" x14ac:dyDescent="0.2">
      <c r="D96" s="16"/>
      <c r="I96" s="905"/>
      <c r="O96" s="26" t="s">
        <v>0</v>
      </c>
      <c r="P96" s="82">
        <f>P89+SUM(P91:P95)</f>
        <v>0</v>
      </c>
    </row>
    <row r="97" spans="1:16" s="10" customFormat="1" ht="13.5" customHeight="1" x14ac:dyDescent="0.2">
      <c r="A97" s="1321" t="s">
        <v>17</v>
      </c>
      <c r="B97" s="1321"/>
      <c r="C97" s="1321"/>
      <c r="D97" s="1320" t="str">
        <f>IF('päd.Personal - Leitung'!$D$1="","",'päd.Personal - Leitung'!$D$1)</f>
        <v/>
      </c>
      <c r="E97" s="1320"/>
      <c r="F97" s="1320"/>
      <c r="G97" s="1320"/>
      <c r="H97" s="1320"/>
      <c r="I97" s="1320"/>
      <c r="J97" s="1320"/>
      <c r="K97" s="1320"/>
      <c r="L97" s="1320"/>
      <c r="M97" s="1320"/>
      <c r="N97" s="1320"/>
    </row>
    <row r="98" spans="1:16" s="10" customFormat="1" ht="15" customHeight="1" x14ac:dyDescent="0.2">
      <c r="A98" s="1321" t="s">
        <v>16</v>
      </c>
      <c r="B98" s="1321"/>
      <c r="C98" s="1321" t="s">
        <v>14</v>
      </c>
      <c r="D98" s="1320" t="str">
        <f>IF('päd.Personal - Leitung'!$D$2="","",'päd.Personal - Leitung'!$D$2)</f>
        <v/>
      </c>
      <c r="E98" s="1320"/>
      <c r="F98" s="1320"/>
      <c r="G98" s="1320"/>
      <c r="H98" s="1320"/>
      <c r="I98" s="1320"/>
      <c r="J98" s="1320"/>
      <c r="K98" s="1320"/>
      <c r="L98" s="1320"/>
      <c r="M98" s="1320"/>
      <c r="N98" s="1320"/>
    </row>
    <row r="99" spans="1:16" s="10" customFormat="1" ht="15" customHeight="1" x14ac:dyDescent="0.2">
      <c r="A99" s="1321" t="s">
        <v>15</v>
      </c>
      <c r="B99" s="1321"/>
      <c r="C99" s="1321" t="s">
        <v>14</v>
      </c>
      <c r="D99" s="1320" t="str">
        <f>IF('päd.Personal - Leitung'!$D$3="","",'päd.Personal - Leitung'!$D$3)</f>
        <v/>
      </c>
      <c r="E99" s="1320"/>
      <c r="F99" s="1320"/>
      <c r="G99" s="1320"/>
      <c r="H99" s="1320"/>
      <c r="I99" s="1320"/>
      <c r="J99" s="1320"/>
      <c r="K99" s="1321" t="s">
        <v>100</v>
      </c>
      <c r="L99" s="1321"/>
      <c r="M99" s="1321"/>
      <c r="N99" s="38" t="str">
        <f>IF('päd.Personal - Leitung'!$N$3="","",'päd.Personal - Leitung'!$N$3)</f>
        <v/>
      </c>
    </row>
    <row r="100" spans="1:16" s="923" customFormat="1" ht="7.5" customHeight="1" x14ac:dyDescent="0.15">
      <c r="A100" s="1353"/>
      <c r="B100" s="1353"/>
      <c r="C100" s="1353"/>
      <c r="D100" s="1354"/>
      <c r="E100" s="1354"/>
      <c r="F100" s="1354"/>
      <c r="G100" s="1354"/>
      <c r="H100" s="1354"/>
      <c r="I100" s="1354"/>
      <c r="J100" s="1354"/>
      <c r="K100" s="922"/>
      <c r="L100" s="922"/>
      <c r="M100" s="922"/>
      <c r="N100" s="922"/>
      <c r="O100" s="922"/>
      <c r="P100" s="922"/>
    </row>
    <row r="101" spans="1:16" s="13" customFormat="1" ht="13.5" customHeight="1" x14ac:dyDescent="0.2">
      <c r="A101" s="1355" t="s">
        <v>182</v>
      </c>
      <c r="B101" s="1355"/>
      <c r="C101" s="1355"/>
      <c r="D101" s="1355"/>
      <c r="E101" s="1355"/>
      <c r="F101" s="1355"/>
      <c r="G101" s="1355"/>
      <c r="H101" s="1355"/>
      <c r="I101" s="1355"/>
      <c r="J101" s="1355"/>
      <c r="K101" s="1355"/>
      <c r="L101" s="7"/>
      <c r="M101" s="7"/>
      <c r="N101" s="52"/>
      <c r="O101" s="138">
        <f>'päd.Personal - Leitung'!$O$5</f>
        <v>2025</v>
      </c>
      <c r="P101" s="52" t="s">
        <v>140</v>
      </c>
    </row>
    <row r="102" spans="1:16" s="8" customFormat="1" ht="13.5" customHeight="1" x14ac:dyDescent="0.25">
      <c r="B102" s="29"/>
      <c r="C102" s="29"/>
      <c r="D102" s="3" t="s">
        <v>180</v>
      </c>
      <c r="E102" s="28"/>
      <c r="F102" s="28"/>
      <c r="G102" s="28"/>
      <c r="H102" s="28"/>
      <c r="I102" s="24"/>
      <c r="J102" s="1370"/>
      <c r="K102" s="1370"/>
      <c r="L102" s="81"/>
      <c r="O102" s="928" t="str">
        <f>A125</f>
        <v>Jan 2025</v>
      </c>
      <c r="P102" s="68">
        <f>IF(M104="","",M104)</f>
        <v>0</v>
      </c>
    </row>
    <row r="103" spans="1:16" s="5" customFormat="1" ht="13.5" customHeight="1" x14ac:dyDescent="0.25">
      <c r="A103" s="1328" t="s">
        <v>754</v>
      </c>
      <c r="B103" s="1328"/>
      <c r="C103" s="1328"/>
      <c r="D103" s="1329"/>
      <c r="E103" s="1329"/>
      <c r="F103" s="1329"/>
      <c r="G103" s="1329"/>
      <c r="H103" s="1329"/>
      <c r="I103" s="1329"/>
      <c r="K103" s="1327" t="s">
        <v>101</v>
      </c>
      <c r="L103" s="1327"/>
      <c r="M103" s="101"/>
      <c r="O103" s="928" t="str">
        <f t="shared" ref="O103:O113" si="20">A126</f>
        <v>Feb 2025</v>
      </c>
      <c r="P103" s="69">
        <f t="shared" ref="P103:P110" si="21">IF(P102="","",P102)</f>
        <v>0</v>
      </c>
    </row>
    <row r="104" spans="1:16" s="1" customFormat="1" ht="13.5" customHeight="1" x14ac:dyDescent="0.2">
      <c r="A104" s="1328" t="s">
        <v>12</v>
      </c>
      <c r="B104" s="1328"/>
      <c r="C104" s="1328"/>
      <c r="D104" s="1345"/>
      <c r="E104" s="1345"/>
      <c r="F104" s="1345"/>
      <c r="G104" s="1345"/>
      <c r="H104" s="1345"/>
      <c r="I104" s="1345"/>
      <c r="K104" s="1327" t="s">
        <v>149</v>
      </c>
      <c r="L104" s="1327"/>
      <c r="M104" s="101">
        <f>IF((M105+M106)&gt;M103,0,M103-M105-M106)</f>
        <v>0</v>
      </c>
      <c r="O104" s="928" t="str">
        <f t="shared" si="20"/>
        <v>Mrz 2025</v>
      </c>
      <c r="P104" s="69">
        <f t="shared" si="21"/>
        <v>0</v>
      </c>
    </row>
    <row r="105" spans="1:16" s="1" customFormat="1" ht="13.5" customHeight="1" x14ac:dyDescent="0.2">
      <c r="A105" s="1328" t="s">
        <v>77</v>
      </c>
      <c r="B105" s="1328"/>
      <c r="C105" s="1328"/>
      <c r="D105" s="1345"/>
      <c r="E105" s="1345"/>
      <c r="F105" s="1345"/>
      <c r="G105" s="1345"/>
      <c r="H105" s="1345"/>
      <c r="I105" s="1345"/>
      <c r="K105" s="1327" t="s">
        <v>150</v>
      </c>
      <c r="L105" s="1327"/>
      <c r="M105" s="101"/>
      <c r="O105" s="928" t="str">
        <f t="shared" si="20"/>
        <v>Apr 2025</v>
      </c>
      <c r="P105" s="69">
        <f t="shared" si="21"/>
        <v>0</v>
      </c>
    </row>
    <row r="106" spans="1:16" s="1" customFormat="1" ht="13.5" customHeight="1" x14ac:dyDescent="0.2">
      <c r="A106" s="1328" t="s">
        <v>18</v>
      </c>
      <c r="B106" s="1328"/>
      <c r="C106" s="1328"/>
      <c r="D106" s="1345"/>
      <c r="E106" s="1345"/>
      <c r="F106" s="1345"/>
      <c r="G106" s="1345"/>
      <c r="H106" s="1345"/>
      <c r="I106" s="1345"/>
      <c r="K106" s="1327" t="s">
        <v>222</v>
      </c>
      <c r="L106" s="1327"/>
      <c r="M106" s="101"/>
      <c r="O106" s="928" t="str">
        <f t="shared" si="20"/>
        <v>Mai 2025</v>
      </c>
      <c r="P106" s="69">
        <f t="shared" si="21"/>
        <v>0</v>
      </c>
    </row>
    <row r="107" spans="1:16" s="1" customFormat="1" ht="13.5" customHeight="1" x14ac:dyDescent="0.2">
      <c r="B107" s="6"/>
      <c r="C107" s="1040" t="s">
        <v>147</v>
      </c>
      <c r="D107" s="1324"/>
      <c r="E107" s="1324"/>
      <c r="F107" s="1359" t="s">
        <v>103</v>
      </c>
      <c r="G107" s="1359"/>
      <c r="H107" s="1361"/>
      <c r="I107" s="1361"/>
      <c r="K107" s="1327" t="s">
        <v>94</v>
      </c>
      <c r="L107" s="1327"/>
      <c r="M107" s="15" t="str">
        <f>IF(IF((COUNTIF(B125:B136,"&gt;0"))=0,0,(COUNTIF(B125:B136,"&gt;0")))&gt;Grundlagen!$C$26,Grundlagen!$C$26,IF((COUNTIF(B125:B136,"&gt;0"))=0,"",(COUNTIF(B125:B136,"&gt;0"))))</f>
        <v/>
      </c>
      <c r="O107" s="928" t="str">
        <f t="shared" si="20"/>
        <v>Jun 2025</v>
      </c>
      <c r="P107" s="69">
        <f t="shared" si="21"/>
        <v>0</v>
      </c>
    </row>
    <row r="108" spans="1:16" s="1" customFormat="1" ht="13.5" customHeight="1" x14ac:dyDescent="0.2">
      <c r="M108" s="102" t="str">
        <f>IF((SUM(E110:F113))=0,"",IF(P114&gt;M104,M104,IF(M104="","",IF(M107="","",P114))))</f>
        <v/>
      </c>
      <c r="O108" s="928" t="str">
        <f t="shared" si="20"/>
        <v>Jul 2025</v>
      </c>
      <c r="P108" s="69">
        <f t="shared" si="21"/>
        <v>0</v>
      </c>
    </row>
    <row r="109" spans="1:16" s="109" customFormat="1" ht="14.25" customHeight="1" x14ac:dyDescent="0.25">
      <c r="A109" s="103" t="s">
        <v>170</v>
      </c>
      <c r="B109" s="56"/>
      <c r="C109" s="104"/>
      <c r="D109" s="56"/>
      <c r="E109" s="1394" t="s">
        <v>171</v>
      </c>
      <c r="F109" s="1394"/>
      <c r="G109" s="58" t="s">
        <v>138</v>
      </c>
      <c r="H109" s="86"/>
      <c r="I109" s="105"/>
      <c r="L109" s="107"/>
      <c r="M109" s="106"/>
      <c r="N109" s="108"/>
      <c r="O109" s="928" t="str">
        <f t="shared" si="20"/>
        <v>Aug 2025</v>
      </c>
      <c r="P109" s="69">
        <f t="shared" si="21"/>
        <v>0</v>
      </c>
    </row>
    <row r="110" spans="1:16" s="109" customFormat="1" ht="14.25" customHeight="1" x14ac:dyDescent="0.25">
      <c r="A110" s="48" t="str">
        <f>A125</f>
        <v>Jan 2025</v>
      </c>
      <c r="B110" s="1398"/>
      <c r="C110" s="1399"/>
      <c r="D110" s="1400"/>
      <c r="E110" s="1386"/>
      <c r="F110" s="1387"/>
      <c r="G110" s="110">
        <f>IF(E110="",0,IF(E110=ROUND(J110*M103*(52/12),0),J110,ROUNDDOWN(IF(M104=0,0,E110/M103/(52/12)),2)))</f>
        <v>0</v>
      </c>
      <c r="H110" s="1055"/>
      <c r="I110" s="941" t="str">
        <f>I14</f>
        <v>Mindestlohn 2025:</v>
      </c>
      <c r="J110" s="1057">
        <f>J14</f>
        <v>12.82</v>
      </c>
      <c r="L110" s="1054"/>
      <c r="M110" s="1053"/>
      <c r="O110" s="928" t="str">
        <f t="shared" si="20"/>
        <v>Sep 2025</v>
      </c>
      <c r="P110" s="69">
        <f t="shared" si="21"/>
        <v>0</v>
      </c>
    </row>
    <row r="111" spans="1:16" s="109" customFormat="1" ht="14.25" customHeight="1" x14ac:dyDescent="0.25">
      <c r="A111" s="49"/>
      <c r="B111" s="1398"/>
      <c r="C111" s="1399"/>
      <c r="D111" s="1400"/>
      <c r="E111" s="1386"/>
      <c r="F111" s="1387"/>
      <c r="G111" s="110">
        <f>IF(E111="",0,IF(E111=ROUND(J110*M103*(52/12),0),J110,ROUNDDOWN(IF(M104=0,0,E111/M103/(52/12)),2)))</f>
        <v>0</v>
      </c>
      <c r="H111" s="58"/>
      <c r="J111" s="1056" t="str">
        <f>J15</f>
        <v>für max. 10 h/W</v>
      </c>
      <c r="O111" s="928" t="str">
        <f t="shared" si="20"/>
        <v>Okt 2025</v>
      </c>
      <c r="P111" s="69">
        <f t="shared" ref="P111:P113" si="22">IF(P110="","",P110)</f>
        <v>0</v>
      </c>
    </row>
    <row r="112" spans="1:16" s="109" customFormat="1" ht="14.25" customHeight="1" x14ac:dyDescent="0.25">
      <c r="A112" s="49"/>
      <c r="B112" s="1398"/>
      <c r="C112" s="1399"/>
      <c r="D112" s="1400"/>
      <c r="E112" s="1386"/>
      <c r="F112" s="1387"/>
      <c r="G112" s="110">
        <f>IF(E112="",0,IF(E112=ROUND(J110*M103*(52/12),0),J110,ROUNDDOWN(IF(M104=0,0,E112/M103/(52/12)),2)))</f>
        <v>0</v>
      </c>
      <c r="H112" s="85"/>
      <c r="O112" s="928" t="str">
        <f t="shared" si="20"/>
        <v>Nov 2025</v>
      </c>
      <c r="P112" s="69">
        <f t="shared" si="22"/>
        <v>0</v>
      </c>
    </row>
    <row r="113" spans="1:16" s="85" customFormat="1" ht="14.25" customHeight="1" x14ac:dyDescent="0.25">
      <c r="A113" s="49"/>
      <c r="B113" s="1398"/>
      <c r="C113" s="1399"/>
      <c r="D113" s="1400"/>
      <c r="E113" s="1386"/>
      <c r="F113" s="1387"/>
      <c r="G113" s="110">
        <f>IF(E113="",0,IF(E113=ROUND(J110*M103*(52/12),0),J110,ROUNDDOWN(IF(M104=0,0,E113/M103/(52/12)),2)))</f>
        <v>0</v>
      </c>
      <c r="H113" s="86"/>
      <c r="O113" s="928" t="str">
        <f t="shared" si="20"/>
        <v>Dez 2025</v>
      </c>
      <c r="P113" s="69">
        <f t="shared" si="22"/>
        <v>0</v>
      </c>
    </row>
    <row r="114" spans="1:16" s="85" customFormat="1" ht="12" customHeight="1" x14ac:dyDescent="0.25">
      <c r="A114" s="46"/>
      <c r="B114" s="972"/>
      <c r="C114" s="972"/>
      <c r="D114" s="46"/>
      <c r="E114" s="972"/>
      <c r="F114" s="972"/>
      <c r="G114" s="88"/>
      <c r="H114" s="86"/>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924" t="s">
        <v>732</v>
      </c>
      <c r="D115" s="55" t="s">
        <v>369</v>
      </c>
      <c r="E115" s="56" t="s">
        <v>368</v>
      </c>
      <c r="F115" s="58"/>
      <c r="J115" s="61"/>
    </row>
    <row r="116" spans="1:16" s="46" customFormat="1" ht="13.5" customHeight="1" x14ac:dyDescent="0.25">
      <c r="A116" s="60"/>
      <c r="B116" s="1314" t="str">
        <f>IF($B$20="","",$B$20)</f>
        <v>Jahressonderzahlung (JSZ)</v>
      </c>
      <c r="C116" s="1315"/>
      <c r="D116" s="926"/>
      <c r="E116" s="929" t="str">
        <f>IF(A116="","",ROUND((((SUM(B131:B133)+SUM(F131:F133))/3)*D116)/Grundlagen!$C$26*M107,2))</f>
        <v/>
      </c>
      <c r="G116" s="986"/>
      <c r="H116" s="995"/>
      <c r="I116" s="988"/>
      <c r="J116" s="988"/>
      <c r="K116" s="988"/>
      <c r="L116" s="989"/>
      <c r="M116" s="989"/>
      <c r="N116" s="984"/>
      <c r="O116" s="990"/>
      <c r="P116" s="990"/>
    </row>
    <row r="117" spans="1:16" s="1" customFormat="1" ht="14.25" customHeight="1" x14ac:dyDescent="0.2">
      <c r="A117" s="60"/>
      <c r="B117" s="1314" t="str">
        <f>IF($B$21="","",$B$21)</f>
        <v>Leistungsentgelt (LOB)</v>
      </c>
      <c r="C117" s="1315"/>
      <c r="D117" s="926"/>
      <c r="E117" s="929" t="str">
        <f>IF(A117="","",ROUND(((B137+F137)*D117)/Grundlagen!$C$26*M107,2))</f>
        <v/>
      </c>
      <c r="G117" s="986"/>
      <c r="H117" s="987"/>
      <c r="I117" s="988"/>
      <c r="J117" s="988"/>
      <c r="K117" s="988"/>
      <c r="L117" s="991"/>
      <c r="M117" s="991"/>
      <c r="N117" s="985"/>
      <c r="O117" s="65"/>
      <c r="P117" s="65"/>
    </row>
    <row r="118" spans="1:16" s="1" customFormat="1" ht="12" customHeight="1" x14ac:dyDescent="0.2">
      <c r="C118" s="925" t="s">
        <v>731</v>
      </c>
      <c r="L118" s="991"/>
      <c r="M118" s="991"/>
      <c r="N118" s="985"/>
      <c r="O118" s="992"/>
      <c r="P118" s="992"/>
    </row>
    <row r="119" spans="1:16" ht="14.25" customHeight="1" x14ac:dyDescent="0.2">
      <c r="A119" s="53" t="s">
        <v>141</v>
      </c>
    </row>
    <row r="120" spans="1:16" ht="14.25" customHeight="1" x14ac:dyDescent="0.2">
      <c r="A120" s="1346"/>
      <c r="B120" s="1348" t="s">
        <v>8</v>
      </c>
      <c r="C120" s="1349"/>
      <c r="D120" s="1349"/>
      <c r="E120" s="1349"/>
      <c r="F120" s="1349"/>
      <c r="G120" s="1350"/>
      <c r="H120" s="1351" t="s">
        <v>7</v>
      </c>
      <c r="I120" s="1352"/>
      <c r="J120" s="1352"/>
      <c r="K120" s="1352"/>
      <c r="L120" s="1352"/>
      <c r="M120" s="1352"/>
      <c r="N120" s="1038"/>
      <c r="O120" s="30"/>
      <c r="P120" s="1330" t="s">
        <v>0</v>
      </c>
    </row>
    <row r="121" spans="1:16" ht="14.25" customHeight="1" x14ac:dyDescent="0.2">
      <c r="A121" s="1347"/>
      <c r="B121" s="1333" t="s">
        <v>111</v>
      </c>
      <c r="C121" s="1335" t="s">
        <v>743</v>
      </c>
      <c r="D121" s="1337" t="s">
        <v>226</v>
      </c>
      <c r="E121" s="1339" t="s">
        <v>133</v>
      </c>
      <c r="F121" s="1041" t="s">
        <v>6</v>
      </c>
      <c r="G121" s="1340" t="s">
        <v>5</v>
      </c>
      <c r="H121" s="1339" t="s">
        <v>119</v>
      </c>
      <c r="I121" s="1339" t="s">
        <v>4</v>
      </c>
      <c r="J121" s="1339" t="s">
        <v>178</v>
      </c>
      <c r="K121" s="1339" t="s">
        <v>114</v>
      </c>
      <c r="L121" s="1339" t="s">
        <v>115</v>
      </c>
      <c r="M121" s="1339" t="s">
        <v>116</v>
      </c>
      <c r="N121" s="1041" t="s">
        <v>6</v>
      </c>
      <c r="O121" s="1338" t="s">
        <v>109</v>
      </c>
      <c r="P121" s="1331"/>
    </row>
    <row r="122" spans="1:16" ht="14.25" customHeight="1" x14ac:dyDescent="0.2">
      <c r="A122" s="1347"/>
      <c r="B122" s="1333"/>
      <c r="C122" s="1335"/>
      <c r="D122" s="1338"/>
      <c r="E122" s="1339"/>
      <c r="F122" s="1401" t="str">
        <f>IF(H110=0,"","siehe Zuschläge / Zulagen")</f>
        <v/>
      </c>
      <c r="G122" s="1340"/>
      <c r="H122" s="1342" t="s">
        <v>117</v>
      </c>
      <c r="I122" s="1342"/>
      <c r="J122" s="1342"/>
      <c r="K122" s="1342"/>
      <c r="L122" s="1342"/>
      <c r="M122" s="1342"/>
      <c r="N122" s="1401"/>
      <c r="O122" s="1338"/>
      <c r="P122" s="1331"/>
    </row>
    <row r="123" spans="1:16" x14ac:dyDescent="0.2">
      <c r="A123" s="1347"/>
      <c r="B123" s="1333"/>
      <c r="C123" s="1335"/>
      <c r="D123" s="1338"/>
      <c r="E123" s="1339"/>
      <c r="F123" s="1401"/>
      <c r="G123" s="1340"/>
      <c r="H123" s="89" t="s">
        <v>725</v>
      </c>
      <c r="I123" s="1039" t="s">
        <v>726</v>
      </c>
      <c r="J123" s="1039" t="s">
        <v>727</v>
      </c>
      <c r="K123" s="1039" t="s">
        <v>728</v>
      </c>
      <c r="L123" s="1039" t="s">
        <v>729</v>
      </c>
      <c r="M123" s="1039" t="s">
        <v>719</v>
      </c>
      <c r="N123" s="1401"/>
      <c r="O123" s="1338"/>
      <c r="P123" s="1331"/>
    </row>
    <row r="124" spans="1:16" x14ac:dyDescent="0.2">
      <c r="A124" s="1347"/>
      <c r="B124" s="1334"/>
      <c r="C124" s="1336"/>
      <c r="D124" s="45"/>
      <c r="E124" s="45"/>
      <c r="F124" s="45"/>
      <c r="G124" s="1341"/>
      <c r="H124" s="19"/>
      <c r="I124" s="19"/>
      <c r="J124" s="19"/>
      <c r="K124" s="31"/>
      <c r="L124" s="31"/>
      <c r="M124" s="23"/>
      <c r="N124" s="45"/>
      <c r="O124" s="19"/>
      <c r="P124" s="1332"/>
    </row>
    <row r="125" spans="1:16" x14ac:dyDescent="0.2">
      <c r="A125" s="76" t="str">
        <f>'päd.Personal - Leitung'!$A$29</f>
        <v>Jan 2025</v>
      </c>
      <c r="B125" s="22">
        <f>ROUND(IF(P102=0,0,(LOOKUP(2,1/(A110:A113=A125),E110:E113))/M103*P102),2)</f>
        <v>0</v>
      </c>
      <c r="C125" s="21">
        <f>ROUND(IFERROR(((LOOKUP(2,1/(A116=A125),((SUM(B131:B133)+SUM(F131:F133))/3)*D116))),0)+IFERROR(((LOOKUP(2,1/(A117=A125),(B137+F137)*D117))),0),2)</f>
        <v>0</v>
      </c>
      <c r="D125" s="21">
        <f>IF(B125=0,0,D124/M103*P102)</f>
        <v>0</v>
      </c>
      <c r="E125" s="21">
        <f>IF(B125=0,0,E124/M103*P102)</f>
        <v>0</v>
      </c>
      <c r="F125" s="21">
        <f>IF(B125=0,0,F124/M103*P102)</f>
        <v>0</v>
      </c>
      <c r="G125" s="25">
        <f>SUM(B125+C125+E125+F125)</f>
        <v>0</v>
      </c>
      <c r="H125" s="64">
        <f>ROUND(SUM(B125:F125)*H124,2)</f>
        <v>0</v>
      </c>
      <c r="I125" s="64">
        <f>ROUND(SUM(B125:F125)*I124,2)</f>
        <v>0</v>
      </c>
      <c r="J125" s="64">
        <f>ROUND(SUM(B125:F125)*J124,2)</f>
        <v>0</v>
      </c>
      <c r="K125" s="25">
        <f>ROUND((B125+SUM(D125:F125))*K124,2)</f>
        <v>0</v>
      </c>
      <c r="L125" s="25">
        <f>ROUND((B125+SUM(D125:F125))*L124,2)</f>
        <v>0</v>
      </c>
      <c r="M125" s="64">
        <f>ROUND(SUM(B125:F125)*M124,2)</f>
        <v>0</v>
      </c>
      <c r="N125" s="21">
        <f>IF(B125=0,0,N124/M103*P102)</f>
        <v>0</v>
      </c>
      <c r="O125" s="21">
        <f>ROUND(SUM(B125+C125+F125)*O124,2)</f>
        <v>0</v>
      </c>
      <c r="P125" s="25">
        <f>SUM(G125:O125)</f>
        <v>0</v>
      </c>
    </row>
    <row r="126" spans="1:16" x14ac:dyDescent="0.2">
      <c r="A126" s="76" t="str">
        <f>'päd.Personal - Leitung'!$A$30</f>
        <v>Feb 2025</v>
      </c>
      <c r="B126" s="22">
        <f>ROUND(IF(P103=0,0,IFERROR(((LOOKUP(2,1/(A110:A113=A126),E110:E113))/M103*P103),B125/P103*P103)),2)</f>
        <v>0</v>
      </c>
      <c r="C126" s="21">
        <f>ROUND(IFERROR(((LOOKUP(2,1/(A116=A126),((SUM(B131:B133)+SUM(F131:F133))/3)*D116))),0)+IFERROR(((LOOKUP(2,1/(A117=A126),(B137+F137)*D117))),0),2)</f>
        <v>0</v>
      </c>
      <c r="D126" s="21">
        <f>IF(B126=0,0,D124/M103*P103)</f>
        <v>0</v>
      </c>
      <c r="E126" s="21">
        <f>IF(B126=0,0,E124/M103*P103)</f>
        <v>0</v>
      </c>
      <c r="F126" s="21">
        <f>IF(B126=0,0,F124/M103*P103)</f>
        <v>0</v>
      </c>
      <c r="G126" s="25">
        <f t="shared" ref="G126:G136" si="23">SUM(B126+C126+E126+F126)</f>
        <v>0</v>
      </c>
      <c r="H126" s="64">
        <f>ROUND(SUM(B126:F126)*H124,2)</f>
        <v>0</v>
      </c>
      <c r="I126" s="64">
        <f>ROUND(SUM(B126:F126)*I124,2)</f>
        <v>0</v>
      </c>
      <c r="J126" s="64">
        <f>ROUND(SUM(B126:F126)*J124,2)</f>
        <v>0</v>
      </c>
      <c r="K126" s="25">
        <f>ROUND((B126+SUM(D126:F126))*K124,2)</f>
        <v>0</v>
      </c>
      <c r="L126" s="25">
        <f>ROUND((B126+SUM(D126:F126))*L124,2)</f>
        <v>0</v>
      </c>
      <c r="M126" s="64">
        <f>ROUND(SUM(B126:F126)*M124,2)</f>
        <v>0</v>
      </c>
      <c r="N126" s="21">
        <f>IF(B126=0,0,N124/M103*P103)</f>
        <v>0</v>
      </c>
      <c r="O126" s="21">
        <f>ROUND(SUM(B126+C126+F126)*O124,2)</f>
        <v>0</v>
      </c>
      <c r="P126" s="25">
        <f>SUM(G126:O126)</f>
        <v>0</v>
      </c>
    </row>
    <row r="127" spans="1:16" x14ac:dyDescent="0.2">
      <c r="A127" s="76" t="str">
        <f>'päd.Personal - Leitung'!$A$31</f>
        <v>Mrz 2025</v>
      </c>
      <c r="B127" s="22">
        <f>ROUND(IF(P104=0,0,IFERROR(((LOOKUP(2,1/(A110:A113=A127),E110:E113))/M103*P104),B126/P104*P104)),2)</f>
        <v>0</v>
      </c>
      <c r="C127" s="21">
        <f>ROUND(IFERROR(((LOOKUP(2,1/(A116=A127),((SUM(B131:B133)+SUM(F131:F133))/3)*D116))),0)+IFERROR(((LOOKUP(2,1/(A117=A127),(B137+F137)*D117))),0),2)</f>
        <v>0</v>
      </c>
      <c r="D127" s="21">
        <f>IF(B127=0,0,D124/M103*P104)</f>
        <v>0</v>
      </c>
      <c r="E127" s="21">
        <f>IF(B127=0,0,E124/M103*P104)</f>
        <v>0</v>
      </c>
      <c r="F127" s="21">
        <f>IF(B127=0,0,F124/M103*P104)</f>
        <v>0</v>
      </c>
      <c r="G127" s="25">
        <f t="shared" si="23"/>
        <v>0</v>
      </c>
      <c r="H127" s="64">
        <f>ROUND(SUM(B127:F127)*H124,2)</f>
        <v>0</v>
      </c>
      <c r="I127" s="64">
        <f>ROUND(SUM(B127:F127)*I124,2)</f>
        <v>0</v>
      </c>
      <c r="J127" s="64">
        <f>ROUND(SUM(B127:F127)*J124,2)</f>
        <v>0</v>
      </c>
      <c r="K127" s="25">
        <f>ROUND((B127+SUM(D127:F127))*K124,2)</f>
        <v>0</v>
      </c>
      <c r="L127" s="25">
        <f>ROUND((B127+SUM(D127:F127))*L124,2)</f>
        <v>0</v>
      </c>
      <c r="M127" s="64">
        <f>ROUND(SUM(B127:F127)*M124,2)</f>
        <v>0</v>
      </c>
      <c r="N127" s="21">
        <f>IF(B127=0,0,N124/M103*P104)</f>
        <v>0</v>
      </c>
      <c r="O127" s="21">
        <f>ROUND(SUM(B127+C127+F127)*O124,2)</f>
        <v>0</v>
      </c>
      <c r="P127" s="25">
        <f t="shared" ref="P127" si="24">SUM(G127:O127)</f>
        <v>0</v>
      </c>
    </row>
    <row r="128" spans="1:16" x14ac:dyDescent="0.2">
      <c r="A128" s="76" t="str">
        <f>'päd.Personal - Leitung'!$A$32</f>
        <v>Apr 2025</v>
      </c>
      <c r="B128" s="22">
        <f>ROUND(IF(P105=0,0,IFERROR(((LOOKUP(2,1/(A110:A113=A128),E110:E113))/M103*P105),B127/P105*P105)),2)</f>
        <v>0</v>
      </c>
      <c r="C128" s="21">
        <f>ROUND(IFERROR(((LOOKUP(2,1/(A116=A128),((SUM(B131:B133)+SUM(F131:F133))/3)*D116))),0)+IFERROR(((LOOKUP(2,1/(A117=A128),(B137+F137)*D117))),0),2)</f>
        <v>0</v>
      </c>
      <c r="D128" s="21">
        <f>IF(B128=0,0,D124/M103*P105)</f>
        <v>0</v>
      </c>
      <c r="E128" s="21">
        <f>IF(B128=0,0,E124/M103*P105)</f>
        <v>0</v>
      </c>
      <c r="F128" s="21">
        <f>IF(B128=0,0,F124/M103*P105)</f>
        <v>0</v>
      </c>
      <c r="G128" s="25">
        <f t="shared" si="23"/>
        <v>0</v>
      </c>
      <c r="H128" s="64">
        <f>ROUND(SUM(B128:F128)*H124,2)</f>
        <v>0</v>
      </c>
      <c r="I128" s="64">
        <f>ROUND(SUM(B128:F128)*I124,2)</f>
        <v>0</v>
      </c>
      <c r="J128" s="64">
        <f>ROUND(SUM(B128:F128)*J124,2)</f>
        <v>0</v>
      </c>
      <c r="K128" s="25">
        <f>ROUND((B128+SUM(D128:F128))*K124,2)</f>
        <v>0</v>
      </c>
      <c r="L128" s="25">
        <f>ROUND((B128+SUM(D128:F128))*L124,2)</f>
        <v>0</v>
      </c>
      <c r="M128" s="64">
        <f>ROUND(SUM(B128:F128)*M124,2)</f>
        <v>0</v>
      </c>
      <c r="N128" s="21">
        <f>IF(B128=0,0,N124/M103*P105)</f>
        <v>0</v>
      </c>
      <c r="O128" s="21">
        <f>ROUND(SUM(B128+C128+F128)*O124,2)</f>
        <v>0</v>
      </c>
      <c r="P128" s="25">
        <f>SUM(G128:O128)</f>
        <v>0</v>
      </c>
    </row>
    <row r="129" spans="1:16" x14ac:dyDescent="0.2">
      <c r="A129" s="76" t="str">
        <f>'päd.Personal - Leitung'!$A$33</f>
        <v>Mai 2025</v>
      </c>
      <c r="B129" s="22">
        <f>ROUND(IF(P106=0,0,IFERROR(((LOOKUP(2,1/(A110:A113=A129),E110:E113))/M103*P106),B128/P106*P106)),2)</f>
        <v>0</v>
      </c>
      <c r="C129" s="21">
        <f>ROUND(IFERROR(((LOOKUP(2,1/(A116=A129),((SUM(B131:B133)+SUM(F131:F133))/3)*D116))),0)+IFERROR(((LOOKUP(2,1/(A117=A129),(B137+F137)*D117))),0),2)</f>
        <v>0</v>
      </c>
      <c r="D129" s="21">
        <f>IF(B129=0,0,D124/M103*P106)</f>
        <v>0</v>
      </c>
      <c r="E129" s="21">
        <f>IF(B129=0,0,E124/M103*P106)</f>
        <v>0</v>
      </c>
      <c r="F129" s="21">
        <f>IF(B129=0,0,F124/M103*P106)</f>
        <v>0</v>
      </c>
      <c r="G129" s="25">
        <f t="shared" si="23"/>
        <v>0</v>
      </c>
      <c r="H129" s="64">
        <f>ROUND(SUM(B129:F129)*H124,2)</f>
        <v>0</v>
      </c>
      <c r="I129" s="64">
        <f>ROUND(SUM(B129:F129)*I124,2)</f>
        <v>0</v>
      </c>
      <c r="J129" s="64">
        <f>ROUND(SUM(B129:F129)*J124,2)</f>
        <v>0</v>
      </c>
      <c r="K129" s="25">
        <f>ROUND((B129+SUM(D129:F129))*K124,2)</f>
        <v>0</v>
      </c>
      <c r="L129" s="25">
        <f>ROUND((B129+SUM(D129:F129))*L124,2)</f>
        <v>0</v>
      </c>
      <c r="M129" s="64">
        <f>ROUND(SUM(B129:F129)*M124,2)</f>
        <v>0</v>
      </c>
      <c r="N129" s="21">
        <f>IF(B129=0,0,N124/M103*P106)</f>
        <v>0</v>
      </c>
      <c r="O129" s="21">
        <f>ROUND(SUM(B129+C129+F129)*O124,2)</f>
        <v>0</v>
      </c>
      <c r="P129" s="25">
        <f t="shared" ref="P129" si="25">SUM(G129:O129)</f>
        <v>0</v>
      </c>
    </row>
    <row r="130" spans="1:16" x14ac:dyDescent="0.2">
      <c r="A130" s="76" t="str">
        <f>'päd.Personal - Leitung'!$A$34</f>
        <v>Jun 2025</v>
      </c>
      <c r="B130" s="22">
        <f>ROUND(IF(P107=0,0,IFERROR(((LOOKUP(2,1/(A110:A113=A130),E110:E113))/M103*P107),B129/P107*P107)),2)</f>
        <v>0</v>
      </c>
      <c r="C130" s="21">
        <f>ROUND(IFERROR(((LOOKUP(2,1/(A116=A130),((SUM(B131:B133)+SUM(F131:F133))/3)*D116))),0)+IFERROR(((LOOKUP(2,1/(A117=A130),(B137+F137)*D117))),0),2)</f>
        <v>0</v>
      </c>
      <c r="D130" s="21">
        <f>IF(B130=0,0,D124/M103*P107)</f>
        <v>0</v>
      </c>
      <c r="E130" s="21">
        <f>IF(B130=0,0,E124/M103*P107)</f>
        <v>0</v>
      </c>
      <c r="F130" s="21">
        <f>IF(B130=0,0,F124/M103*P107)</f>
        <v>0</v>
      </c>
      <c r="G130" s="25">
        <f t="shared" si="23"/>
        <v>0</v>
      </c>
      <c r="H130" s="64">
        <f>ROUND(SUM(B130:F130)*H124,2)</f>
        <v>0</v>
      </c>
      <c r="I130" s="64">
        <f>ROUND(SUM(B130:F130)*I124,2)</f>
        <v>0</v>
      </c>
      <c r="J130" s="64">
        <f>ROUND(SUM(B130:F130)*J124,2)</f>
        <v>0</v>
      </c>
      <c r="K130" s="25">
        <f>ROUND((B130+SUM(D130:F130))*K124,2)</f>
        <v>0</v>
      </c>
      <c r="L130" s="25">
        <f>ROUND((B130+SUM(D130:F130))*L124,2)</f>
        <v>0</v>
      </c>
      <c r="M130" s="64">
        <f>ROUND(SUM(B130:F130)*M124,2)</f>
        <v>0</v>
      </c>
      <c r="N130" s="21">
        <f>IF(B130=0,0,N124/M103*P107)</f>
        <v>0</v>
      </c>
      <c r="O130" s="21">
        <f>ROUND(SUM(B130+C130+F130)*O124,2)</f>
        <v>0</v>
      </c>
      <c r="P130" s="25">
        <f t="shared" ref="P130:P131" si="26">SUM(G130:O130)</f>
        <v>0</v>
      </c>
    </row>
    <row r="131" spans="1:16" x14ac:dyDescent="0.2">
      <c r="A131" s="76" t="str">
        <f>'päd.Personal - Leitung'!$A$35</f>
        <v>Jul 2025</v>
      </c>
      <c r="B131" s="22">
        <f>ROUND(IF(P108=0,0,IFERROR(((LOOKUP(2,1/(A110:A113=A131),E110:E113))/M103*P108),B130/P108*P108)),2)</f>
        <v>0</v>
      </c>
      <c r="C131" s="21">
        <f>ROUND(IFERROR(((LOOKUP(2,1/(A116=A131),((SUM(B131:B133)+SUM(F131:F133))/3)*D116))),0)+IFERROR(((LOOKUP(2,1/(A117=A131),(B137+F137)*D117))),0),2)</f>
        <v>0</v>
      </c>
      <c r="D131" s="21">
        <f>IF(B131=0,0,D124/M103*P108)</f>
        <v>0</v>
      </c>
      <c r="E131" s="21">
        <f>IF(B131=0,0,E124/M103*P108)</f>
        <v>0</v>
      </c>
      <c r="F131" s="21">
        <f>IF(B131=0,0,F124/M103*P108)</f>
        <v>0</v>
      </c>
      <c r="G131" s="25">
        <f t="shared" si="23"/>
        <v>0</v>
      </c>
      <c r="H131" s="64">
        <f>ROUND(SUM(B131:F131)*H124,2)</f>
        <v>0</v>
      </c>
      <c r="I131" s="64">
        <f>ROUND(SUM(B131:F131)*I124,2)</f>
        <v>0</v>
      </c>
      <c r="J131" s="64">
        <f>ROUND(SUM(B131:F131)*J124,2)</f>
        <v>0</v>
      </c>
      <c r="K131" s="25">
        <f>ROUND((B131+SUM(D131:F131))*K124,2)</f>
        <v>0</v>
      </c>
      <c r="L131" s="25">
        <f>ROUND((B131+SUM(D131:F131))*L124,2)</f>
        <v>0</v>
      </c>
      <c r="M131" s="64">
        <f>ROUND(SUM(B131:F131)*M124,2)</f>
        <v>0</v>
      </c>
      <c r="N131" s="21">
        <f>IF(B131=0,0,N124/M103*P108)</f>
        <v>0</v>
      </c>
      <c r="O131" s="21">
        <f>ROUND(SUM(B131+C131+F131)*O124,2)</f>
        <v>0</v>
      </c>
      <c r="P131" s="25">
        <f t="shared" si="26"/>
        <v>0</v>
      </c>
    </row>
    <row r="132" spans="1:16" x14ac:dyDescent="0.2">
      <c r="A132" s="76" t="str">
        <f>'päd.Personal - Leitung'!$A$36</f>
        <v>Aug 2025</v>
      </c>
      <c r="B132" s="22">
        <f>ROUND(IF(P109=0,0,IFERROR(((LOOKUP(2,1/(A110:A113=A132),E110:E113))/M103*P109),B131/P109*P109)),2)</f>
        <v>0</v>
      </c>
      <c r="C132" s="21">
        <f>ROUND(IFERROR(((LOOKUP(2,1/(A116=A132),((SUM(B131:B133)+SUM(F131:F133))/3)*D116))),0)+IFERROR(((LOOKUP(2,1/(A117=A132),(B137+F137)*D117))),0),2)</f>
        <v>0</v>
      </c>
      <c r="D132" s="21">
        <f>IF(B132=0,0,D124/M103*P109)</f>
        <v>0</v>
      </c>
      <c r="E132" s="21">
        <f>IF(B132=0,0,E124/M103*P109)</f>
        <v>0</v>
      </c>
      <c r="F132" s="21">
        <f>IF(B132=0,0,F124/M103*P109)</f>
        <v>0</v>
      </c>
      <c r="G132" s="25">
        <f t="shared" si="23"/>
        <v>0</v>
      </c>
      <c r="H132" s="64">
        <f>ROUND(SUM(B132:F132)*H124,2)</f>
        <v>0</v>
      </c>
      <c r="I132" s="64">
        <f>ROUND(SUM(B132:F132)*I124,2)</f>
        <v>0</v>
      </c>
      <c r="J132" s="64">
        <f>ROUND(SUM(B132:F132)*J124,2)</f>
        <v>0</v>
      </c>
      <c r="K132" s="25">
        <f>ROUND((B132+SUM(D132:F132))*K124,2)</f>
        <v>0</v>
      </c>
      <c r="L132" s="25">
        <f>ROUND((B132+SUM(D132:F132))*L124,2)</f>
        <v>0</v>
      </c>
      <c r="M132" s="64">
        <f>ROUND(SUM(B132:F132)*M124,2)</f>
        <v>0</v>
      </c>
      <c r="N132" s="21">
        <f>IF(B132=0,0,N124/M103*P109)</f>
        <v>0</v>
      </c>
      <c r="O132" s="21">
        <f>ROUND(SUM(B132+C132+F132)*O124,2)</f>
        <v>0</v>
      </c>
      <c r="P132" s="25">
        <f>SUM(G132:O132)</f>
        <v>0</v>
      </c>
    </row>
    <row r="133" spans="1:16" x14ac:dyDescent="0.2">
      <c r="A133" s="76" t="str">
        <f>'päd.Personal - Leitung'!$A$37</f>
        <v>Sep 2025</v>
      </c>
      <c r="B133" s="22">
        <f>ROUND(IF(P110=0,0,IFERROR(((LOOKUP(2,1/(A110:A113=A133),E110:E113))/M103*P110),B132/P110*P110)),2)</f>
        <v>0</v>
      </c>
      <c r="C133" s="21">
        <f>ROUND(IFERROR(((LOOKUP(2,1/(A116=A133),((SUM(B131:B133)+SUM(F131:F133))/3)*D116))),0)+IFERROR(((LOOKUP(2,1/(A117=A133),(B137+F137)*D117))),0),2)</f>
        <v>0</v>
      </c>
      <c r="D133" s="21">
        <f>IF(B133=0,0,D124/M103*P110)</f>
        <v>0</v>
      </c>
      <c r="E133" s="21">
        <f>IF(B133=0,0,E124/M103*P110)</f>
        <v>0</v>
      </c>
      <c r="F133" s="21">
        <f>IF(B133=0,0,F124/M103*P110)</f>
        <v>0</v>
      </c>
      <c r="G133" s="25">
        <f t="shared" si="23"/>
        <v>0</v>
      </c>
      <c r="H133" s="64">
        <f>ROUND(SUM(B133:F133)*H124,2)</f>
        <v>0</v>
      </c>
      <c r="I133" s="64">
        <f>ROUND(SUM(B133:F133)*I124,2)</f>
        <v>0</v>
      </c>
      <c r="J133" s="64">
        <f>ROUND(SUM(B133:F133)*J124,2)</f>
        <v>0</v>
      </c>
      <c r="K133" s="25">
        <f>ROUND((B133+SUM(D133:F133))*K124,2)</f>
        <v>0</v>
      </c>
      <c r="L133" s="25">
        <f>ROUND((B133+SUM(D133:F133))*L124,2)</f>
        <v>0</v>
      </c>
      <c r="M133" s="64">
        <f>ROUND(SUM(B133:F133)*M124,2)</f>
        <v>0</v>
      </c>
      <c r="N133" s="21">
        <f>IF(B133=0,0,N124/M103*P110)</f>
        <v>0</v>
      </c>
      <c r="O133" s="21">
        <f>ROUND(SUM(B133+C133+F133)*O124,2)</f>
        <v>0</v>
      </c>
      <c r="P133" s="25">
        <f>SUM(G133:O133)</f>
        <v>0</v>
      </c>
    </row>
    <row r="134" spans="1:16" x14ac:dyDescent="0.2">
      <c r="A134" s="76" t="str">
        <f>'päd.Personal - Leitung'!$A$38</f>
        <v>Okt 2025</v>
      </c>
      <c r="B134" s="22">
        <f>ROUND(IF(P111=0,0,IFERROR(((LOOKUP(2,1/(A110:A113=A134),E110:E113))/M103*P111),B133/P111*P111)),2)</f>
        <v>0</v>
      </c>
      <c r="C134" s="21">
        <f>ROUND(IFERROR(((LOOKUP(2,1/(A116=A134),((SUM(B131:B133)+SUM(F131:F133))/3)*D116))),0)+IFERROR(((LOOKUP(2,1/(A117=A134),(B137+F137)*D117))),0),2)</f>
        <v>0</v>
      </c>
      <c r="D134" s="21">
        <f>IF(B134=0,0,D124/M103*P111)</f>
        <v>0</v>
      </c>
      <c r="E134" s="21">
        <f>IF(B134=0,0,E124/M103*P111)</f>
        <v>0</v>
      </c>
      <c r="F134" s="21">
        <f>IF(B134=0,0,F124/M103*P111)</f>
        <v>0</v>
      </c>
      <c r="G134" s="25">
        <f t="shared" si="23"/>
        <v>0</v>
      </c>
      <c r="H134" s="64">
        <f>ROUND(SUM(B134:F134)*H124,2)</f>
        <v>0</v>
      </c>
      <c r="I134" s="64">
        <f>ROUND(SUM(B134:F134)*I124,2)</f>
        <v>0</v>
      </c>
      <c r="J134" s="64">
        <f>ROUND(SUM(B134:F134)*J124,2)</f>
        <v>0</v>
      </c>
      <c r="K134" s="25">
        <f>ROUND((B134+SUM(D134:F134))*K124,2)</f>
        <v>0</v>
      </c>
      <c r="L134" s="25">
        <f>ROUND((B134+SUM(D134:F134))*L124,2)</f>
        <v>0</v>
      </c>
      <c r="M134" s="64">
        <f>ROUND(SUM(B134:F134)*M124,2)</f>
        <v>0</v>
      </c>
      <c r="N134" s="21">
        <f>IF(B134=0,0,N124/M103*P111)</f>
        <v>0</v>
      </c>
      <c r="O134" s="21">
        <f>ROUND(SUM(B134+C134+F134)*O124,2)</f>
        <v>0</v>
      </c>
      <c r="P134" s="25">
        <f>SUM(G134:O134)</f>
        <v>0</v>
      </c>
    </row>
    <row r="135" spans="1:16" x14ac:dyDescent="0.2">
      <c r="A135" s="76" t="str">
        <f>'päd.Personal - Leitung'!$A$39</f>
        <v>Nov 2025</v>
      </c>
      <c r="B135" s="22">
        <f>ROUND(IF(P112=0,0,IFERROR(((LOOKUP(2,1/(A110:A113=A135),E110:E113))/M103*P112),B134/P112*P112)),2)</f>
        <v>0</v>
      </c>
      <c r="C135" s="21">
        <f>ROUND(IFERROR(((LOOKUP(2,1/(A116=A135),((SUM(B131:B133)+SUM(F131:F133))/3)*D116))),0)+IFERROR(((LOOKUP(2,1/(A117=A135),(B137+F137)*D117))),0),2)</f>
        <v>0</v>
      </c>
      <c r="D135" s="21">
        <f>IF(B135=0,0,D124/M103*P112)</f>
        <v>0</v>
      </c>
      <c r="E135" s="21">
        <f>IF(B135=0,0,E124/M103*P112)</f>
        <v>0</v>
      </c>
      <c r="F135" s="21">
        <f>IF(B135=0,0,F124/M103*P112)</f>
        <v>0</v>
      </c>
      <c r="G135" s="25">
        <f t="shared" si="23"/>
        <v>0</v>
      </c>
      <c r="H135" s="64">
        <f>ROUND(SUM(B135:F135)*H124,2)</f>
        <v>0</v>
      </c>
      <c r="I135" s="64">
        <f>ROUND(SUM(B135:F135)*I124,2)</f>
        <v>0</v>
      </c>
      <c r="J135" s="64">
        <f>ROUND(SUM(B135:F135)*J124,2)</f>
        <v>0</v>
      </c>
      <c r="K135" s="25">
        <f>ROUND((B135+SUM(D135:F135))*K124,2)</f>
        <v>0</v>
      </c>
      <c r="L135" s="25">
        <f>ROUND((B135+SUM(D135:F135))*L124,2)</f>
        <v>0</v>
      </c>
      <c r="M135" s="64">
        <f>ROUND(SUM(B135:F135)*M124,2)</f>
        <v>0</v>
      </c>
      <c r="N135" s="21">
        <f>IF(B135=0,0,N124/M103*P112)</f>
        <v>0</v>
      </c>
      <c r="O135" s="21">
        <f>ROUND(SUM(B135+C135+F135)*O124,2)</f>
        <v>0</v>
      </c>
      <c r="P135" s="25">
        <f>SUM(G135:O135)</f>
        <v>0</v>
      </c>
    </row>
    <row r="136" spans="1:16" x14ac:dyDescent="0.2">
      <c r="A136" s="76" t="str">
        <f>'päd.Personal - Leitung'!$A$40</f>
        <v>Dez 2025</v>
      </c>
      <c r="B136" s="22">
        <f>ROUND(IF(P113=0,0,IFERROR(((LOOKUP(2,1/(A110:A113=A136),E110:E113))/M103*P113),B135/P113*P113)),2)</f>
        <v>0</v>
      </c>
      <c r="C136" s="21">
        <f>ROUND(IFERROR(((LOOKUP(2,1/(A116=A136),((SUM(B131:B133)+SUM(F131:F133))/3)*D116))),0)+IFERROR(((LOOKUP(2,1/(A117=A136),(B137+F137)*D117))),0),2)</f>
        <v>0</v>
      </c>
      <c r="D136" s="21">
        <f>IF(B136=0,0,D124/M103*P113)</f>
        <v>0</v>
      </c>
      <c r="E136" s="21">
        <f>IF(B136=0,0,E124/M103*P113)</f>
        <v>0</v>
      </c>
      <c r="F136" s="21">
        <f>IF(B136=0,0,F124/M103*P113)</f>
        <v>0</v>
      </c>
      <c r="G136" s="25">
        <f t="shared" si="23"/>
        <v>0</v>
      </c>
      <c r="H136" s="64">
        <f>ROUND(SUM(B136:F136)*H124,2)</f>
        <v>0</v>
      </c>
      <c r="I136" s="64">
        <f>ROUND(SUM(B136:F136)*I124,2)</f>
        <v>0</v>
      </c>
      <c r="J136" s="64">
        <f>ROUND(SUM(B136:F136)*J124,2)</f>
        <v>0</v>
      </c>
      <c r="K136" s="25">
        <f>ROUND((B136+SUM(D136:F136))*K124,2)</f>
        <v>0</v>
      </c>
      <c r="L136" s="25">
        <f>ROUND((B136+SUM(D136:F136))*L124,2)</f>
        <v>0</v>
      </c>
      <c r="M136" s="64">
        <f>ROUND(SUM(B136:F136)*M124,2)</f>
        <v>0</v>
      </c>
      <c r="N136" s="21">
        <f>IF(B136=0,0,N124/M103*P113)</f>
        <v>0</v>
      </c>
      <c r="O136" s="21">
        <f>ROUND(SUM(B136+C136+F136)*O124,2)</f>
        <v>0</v>
      </c>
      <c r="P136" s="25">
        <f>SUM(G136:O136)</f>
        <v>0</v>
      </c>
    </row>
    <row r="137" spans="1:16" x14ac:dyDescent="0.2">
      <c r="A137" s="2" t="s">
        <v>1</v>
      </c>
      <c r="B137" s="25">
        <f>SUM(B125:B136)</f>
        <v>0</v>
      </c>
      <c r="C137" s="25">
        <f t="shared" ref="C137" si="27">SUM(C125:C136)</f>
        <v>0</v>
      </c>
      <c r="D137" s="25">
        <f t="shared" ref="D137" si="28">SUM(D125:D136)</f>
        <v>0</v>
      </c>
      <c r="E137" s="25">
        <f t="shared" ref="E137" si="29">SUM(E125:E136)</f>
        <v>0</v>
      </c>
      <c r="F137" s="25">
        <f t="shared" ref="F137" si="30">SUM(F125:F136)</f>
        <v>0</v>
      </c>
      <c r="G137" s="25">
        <f>SUM(G125:G136)</f>
        <v>0</v>
      </c>
      <c r="H137" s="1309">
        <f>SUM(H125:M136)</f>
        <v>0</v>
      </c>
      <c r="I137" s="1310"/>
      <c r="J137" s="1310"/>
      <c r="K137" s="1310"/>
      <c r="L137" s="1310"/>
      <c r="M137" s="1311"/>
      <c r="N137" s="25">
        <f>SUM(N125:N136)</f>
        <v>0</v>
      </c>
      <c r="O137" s="25">
        <f>SUM(O125:O136)</f>
        <v>0</v>
      </c>
      <c r="P137" s="25">
        <f>SUM(P125:P136)</f>
        <v>0</v>
      </c>
    </row>
    <row r="138" spans="1:16" ht="12" customHeight="1" x14ac:dyDescent="0.2"/>
    <row r="139" spans="1:16" s="905" customFormat="1" ht="14.25" customHeight="1" x14ac:dyDescent="0.2">
      <c r="A139" s="906"/>
      <c r="B139" s="906"/>
      <c r="C139" s="906"/>
      <c r="E139" s="984"/>
      <c r="F139" s="1031"/>
      <c r="G139" s="907"/>
      <c r="H139" s="907"/>
      <c r="I139" s="907"/>
      <c r="J139" s="914" t="s">
        <v>123</v>
      </c>
      <c r="K139" s="1"/>
      <c r="L139" s="900" t="s">
        <v>124</v>
      </c>
      <c r="M139" s="1032" t="str">
        <f>IF(IF(M108="","",$M$43)=0,"",IF(M108="","",$M$43))</f>
        <v/>
      </c>
      <c r="N139" s="902" t="s">
        <v>125</v>
      </c>
      <c r="O139" s="1033" t="str">
        <f>IF(IF(M108="","",$O$43)=0,"",IF(M108="","",$O$43))</f>
        <v/>
      </c>
      <c r="P139" s="25">
        <f>ROUND(IF(M139="",0,G137*M139*O139/1000),2)</f>
        <v>0</v>
      </c>
    </row>
    <row r="140" spans="1:16" s="1" customFormat="1" ht="14.25" customHeight="1" x14ac:dyDescent="0.2">
      <c r="H140" s="905"/>
      <c r="I140" s="62"/>
      <c r="M140" s="915" t="s">
        <v>129</v>
      </c>
      <c r="N140" s="80" t="s">
        <v>125</v>
      </c>
      <c r="O140" s="1034" t="str">
        <f>IF(IF(M108="","",$O$44)=0,"",IF(M108="","",$O$44))</f>
        <v/>
      </c>
      <c r="P140" s="25">
        <f>ROUND(IF(O140="",0,G137*O140/1000),2)</f>
        <v>0</v>
      </c>
    </row>
    <row r="141" spans="1:16" s="1" customFormat="1" ht="14.25" customHeight="1" x14ac:dyDescent="0.2">
      <c r="B141" s="906"/>
      <c r="H141" s="996" t="s">
        <v>126</v>
      </c>
      <c r="I141" s="1013" t="s">
        <v>127</v>
      </c>
      <c r="J141" s="1037" t="str">
        <f>IF(IF(M108="","",$J$45)=0,"",IF(M108="","",$J$45))</f>
        <v/>
      </c>
      <c r="K141" s="902" t="s">
        <v>128</v>
      </c>
      <c r="L141" s="1036" t="str">
        <f>IF(IF(M108="","",$L$45)=0,"",IF(M108="","",$L$45))</f>
        <v/>
      </c>
      <c r="M141" s="16"/>
      <c r="N141" s="900" t="s">
        <v>132</v>
      </c>
      <c r="O141" s="1035" t="str">
        <f>IF(IF(M108="","",$O$45)=0,"",IF(M108="","",$O$45))</f>
        <v/>
      </c>
      <c r="P141" s="25">
        <f>ROUND(IF(J141="",0,(J141*L141/O141)/M103*M104),2)</f>
        <v>0</v>
      </c>
    </row>
    <row r="142" spans="1:16" s="1" customFormat="1" ht="14.25" customHeight="1" x14ac:dyDescent="0.2">
      <c r="K142" s="63"/>
      <c r="L142" s="67"/>
      <c r="M142" s="915" t="s">
        <v>130</v>
      </c>
      <c r="N142" s="80" t="s">
        <v>131</v>
      </c>
      <c r="O142" s="904">
        <f>IF(IF(M108="",0,$O$46)=0,0,IF(M108="",0,$O$46))</f>
        <v>0</v>
      </c>
      <c r="P142" s="21">
        <f>ROUND(IF(G137=0,0,O142/M103*M104),2)</f>
        <v>0</v>
      </c>
    </row>
    <row r="143" spans="1:16" s="1" customFormat="1" ht="14.25" customHeight="1" x14ac:dyDescent="0.2">
      <c r="I143" s="16"/>
      <c r="J143" s="961" t="s">
        <v>176</v>
      </c>
      <c r="K143" s="1312" t="str">
        <f>IF($K$47="","",$K$47)</f>
        <v/>
      </c>
      <c r="L143" s="1312"/>
      <c r="M143" s="1312"/>
      <c r="N143" s="80" t="s">
        <v>131</v>
      </c>
      <c r="O143" s="904">
        <f>IF(IF(M108="",0,$O$47)=0,0,IF(M108="",0,$O$47))</f>
        <v>0</v>
      </c>
      <c r="P143" s="21">
        <f>ROUND(IF(M108="",0,O143/M103*M104),2)</f>
        <v>0</v>
      </c>
    </row>
    <row r="144" spans="1:16" s="1" customFormat="1" ht="14.25" customHeight="1" x14ac:dyDescent="0.2">
      <c r="D144" s="16"/>
      <c r="I144" s="905"/>
      <c r="O144" s="26" t="s">
        <v>0</v>
      </c>
      <c r="P144" s="82">
        <f>P137+SUM(P139:P143)</f>
        <v>0</v>
      </c>
    </row>
  </sheetData>
  <sheetProtection algorithmName="SHA-512" hashValue="gzrXyBbEFAGC6+50GcrzGCcGmrEbvIubUREuFircAXT/bIugjfKQN1RZQ+V33EM7/klLA+Lt8gErEtxamW2OcA==" saltValue="4RUkZn9hJJ+TgF+7MUkzzw==" spinCount="100000" sheet="1" objects="1" scenarios="1"/>
  <mergeCells count="174">
    <mergeCell ref="H137:M137"/>
    <mergeCell ref="K143:M143"/>
    <mergeCell ref="P120:P124"/>
    <mergeCell ref="B121:B124"/>
    <mergeCell ref="C121:C124"/>
    <mergeCell ref="D121:D123"/>
    <mergeCell ref="E121:E123"/>
    <mergeCell ref="G121:G124"/>
    <mergeCell ref="H121:H122"/>
    <mergeCell ref="I121:I122"/>
    <mergeCell ref="J121:J122"/>
    <mergeCell ref="K121:K122"/>
    <mergeCell ref="L121:L122"/>
    <mergeCell ref="M121:M122"/>
    <mergeCell ref="O121:O123"/>
    <mergeCell ref="F122:F123"/>
    <mergeCell ref="N122:N123"/>
    <mergeCell ref="B112:D112"/>
    <mergeCell ref="E112:F112"/>
    <mergeCell ref="B113:D113"/>
    <mergeCell ref="E113:F113"/>
    <mergeCell ref="B116:C116"/>
    <mergeCell ref="B117:C117"/>
    <mergeCell ref="A120:A124"/>
    <mergeCell ref="B120:G120"/>
    <mergeCell ref="H120:M120"/>
    <mergeCell ref="A106:C106"/>
    <mergeCell ref="D106:I106"/>
    <mergeCell ref="K106:L106"/>
    <mergeCell ref="D107:E107"/>
    <mergeCell ref="F107:G107"/>
    <mergeCell ref="H107:I107"/>
    <mergeCell ref="K107:L107"/>
    <mergeCell ref="B110:D110"/>
    <mergeCell ref="B111:D111"/>
    <mergeCell ref="E111:F111"/>
    <mergeCell ref="A101:K101"/>
    <mergeCell ref="A103:C103"/>
    <mergeCell ref="D103:I103"/>
    <mergeCell ref="K103:L103"/>
    <mergeCell ref="A104:C104"/>
    <mergeCell ref="D104:I104"/>
    <mergeCell ref="K104:L104"/>
    <mergeCell ref="A105:C105"/>
    <mergeCell ref="D105:I105"/>
    <mergeCell ref="K105:L105"/>
    <mergeCell ref="P72:P76"/>
    <mergeCell ref="B73:B76"/>
    <mergeCell ref="C73:C76"/>
    <mergeCell ref="D73:D75"/>
    <mergeCell ref="E73:E75"/>
    <mergeCell ref="G73:G76"/>
    <mergeCell ref="H73:H74"/>
    <mergeCell ref="I73:I74"/>
    <mergeCell ref="J73:J74"/>
    <mergeCell ref="K73:K74"/>
    <mergeCell ref="L73:L74"/>
    <mergeCell ref="M73:M74"/>
    <mergeCell ref="O73:O75"/>
    <mergeCell ref="F74:F75"/>
    <mergeCell ref="N74:N75"/>
    <mergeCell ref="A97:C97"/>
    <mergeCell ref="D97:N97"/>
    <mergeCell ref="A98:C98"/>
    <mergeCell ref="D98:N98"/>
    <mergeCell ref="B65:D65"/>
    <mergeCell ref="E65:F65"/>
    <mergeCell ref="A57:C57"/>
    <mergeCell ref="E61:F61"/>
    <mergeCell ref="B62:D62"/>
    <mergeCell ref="E62:F62"/>
    <mergeCell ref="B63:D63"/>
    <mergeCell ref="E63:F63"/>
    <mergeCell ref="B64:D64"/>
    <mergeCell ref="E64:F64"/>
    <mergeCell ref="K59:L59"/>
    <mergeCell ref="B68:C68"/>
    <mergeCell ref="B69:C69"/>
    <mergeCell ref="A72:A76"/>
    <mergeCell ref="B72:G72"/>
    <mergeCell ref="H72:M72"/>
    <mergeCell ref="D57:I57"/>
    <mergeCell ref="A58:C58"/>
    <mergeCell ref="D58:I58"/>
    <mergeCell ref="K55:L55"/>
    <mergeCell ref="K56:L56"/>
    <mergeCell ref="K57:L57"/>
    <mergeCell ref="K58:L58"/>
    <mergeCell ref="K95:M95"/>
    <mergeCell ref="H89:M89"/>
    <mergeCell ref="H25:H26"/>
    <mergeCell ref="D52:J52"/>
    <mergeCell ref="A53:K53"/>
    <mergeCell ref="J54:K54"/>
    <mergeCell ref="D55:I55"/>
    <mergeCell ref="D56:I56"/>
    <mergeCell ref="J25:J26"/>
    <mergeCell ref="K25:K26"/>
    <mergeCell ref="K47:M47"/>
    <mergeCell ref="C25:C28"/>
    <mergeCell ref="L25:L26"/>
    <mergeCell ref="M25:M26"/>
    <mergeCell ref="A51:C51"/>
    <mergeCell ref="A52:C52"/>
    <mergeCell ref="A55:C55"/>
    <mergeCell ref="D51:J51"/>
    <mergeCell ref="K51:M51"/>
    <mergeCell ref="P24:P28"/>
    <mergeCell ref="H24:M24"/>
    <mergeCell ref="D49:N49"/>
    <mergeCell ref="D50:N50"/>
    <mergeCell ref="A1:C1"/>
    <mergeCell ref="A2:C2"/>
    <mergeCell ref="A3:C3"/>
    <mergeCell ref="A8:C8"/>
    <mergeCell ref="D1:N1"/>
    <mergeCell ref="D2:N2"/>
    <mergeCell ref="D3:J3"/>
    <mergeCell ref="K3:M3"/>
    <mergeCell ref="A9:C9"/>
    <mergeCell ref="A4:C4"/>
    <mergeCell ref="A7:C7"/>
    <mergeCell ref="A10:C10"/>
    <mergeCell ref="A24:A28"/>
    <mergeCell ref="B24:G24"/>
    <mergeCell ref="B25:B28"/>
    <mergeCell ref="G25:G28"/>
    <mergeCell ref="H41:M41"/>
    <mergeCell ref="N26:N27"/>
    <mergeCell ref="O25:O27"/>
    <mergeCell ref="F11:G11"/>
    <mergeCell ref="H11:I11"/>
    <mergeCell ref="K10:L10"/>
    <mergeCell ref="D11:E11"/>
    <mergeCell ref="E13:F13"/>
    <mergeCell ref="E14:F14"/>
    <mergeCell ref="E15:F15"/>
    <mergeCell ref="D4:J4"/>
    <mergeCell ref="A5:K5"/>
    <mergeCell ref="J6:K6"/>
    <mergeCell ref="D7:I7"/>
    <mergeCell ref="K7:L7"/>
    <mergeCell ref="D8:I8"/>
    <mergeCell ref="K8:L8"/>
    <mergeCell ref="D9:I9"/>
    <mergeCell ref="K9:L9"/>
    <mergeCell ref="D10:I10"/>
    <mergeCell ref="K11:L11"/>
    <mergeCell ref="B14:D14"/>
    <mergeCell ref="B15:D15"/>
    <mergeCell ref="A99:C99"/>
    <mergeCell ref="A100:C100"/>
    <mergeCell ref="J102:K102"/>
    <mergeCell ref="D99:J99"/>
    <mergeCell ref="K99:M99"/>
    <mergeCell ref="D100:J100"/>
    <mergeCell ref="E109:F109"/>
    <mergeCell ref="E110:F110"/>
    <mergeCell ref="B16:D16"/>
    <mergeCell ref="B17:D17"/>
    <mergeCell ref="E16:F16"/>
    <mergeCell ref="E17:F17"/>
    <mergeCell ref="I25:I26"/>
    <mergeCell ref="B20:C20"/>
    <mergeCell ref="B21:C21"/>
    <mergeCell ref="D59:E59"/>
    <mergeCell ref="F59:G59"/>
    <mergeCell ref="H59:I59"/>
    <mergeCell ref="A49:C49"/>
    <mergeCell ref="A50:C50"/>
    <mergeCell ref="F26:F27"/>
    <mergeCell ref="A56:C56"/>
    <mergeCell ref="D25:D27"/>
    <mergeCell ref="E25:E27"/>
  </mergeCells>
  <dataValidations count="1">
    <dataValidation type="list" allowBlank="1" showInputMessage="1" showErrorMessage="1" sqref="A20:A21 A68:A69 A116:A11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sonstige/r Arbeitnehmer/in
&amp;R&amp;G</oddHeader>
    <oddFooter>&amp;L&amp;"Arial,Standard"&amp;7
SV - Sozialversicherung; BAV - Betriebliche Altersvorsorge&amp;C&amp;"Arial,Standard"&amp;8Ausfertigung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A63:A65 A15:A17 A111:A113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3" tint="0.39997558519241921"/>
  </sheetPr>
  <dimension ref="A1:X144"/>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4" width="0" style="1" hidden="1" customWidth="1"/>
    <col min="25" max="16384" width="11.42578125" style="1"/>
  </cols>
  <sheetData>
    <row r="1" spans="1:19" s="10" customFormat="1" ht="13.5" customHeight="1" x14ac:dyDescent="0.2">
      <c r="A1" s="1321" t="s">
        <v>17</v>
      </c>
      <c r="B1" s="1321"/>
      <c r="C1" s="1321"/>
      <c r="D1" s="1320" t="str">
        <f>IF('päd.Personal - Leitung'!$D$1="","",'päd.Personal - Leitung'!$D$1)</f>
        <v/>
      </c>
      <c r="E1" s="1320"/>
      <c r="F1" s="1320"/>
      <c r="G1" s="1320"/>
      <c r="H1" s="1320"/>
      <c r="I1" s="1320"/>
      <c r="J1" s="1320"/>
      <c r="K1" s="1320"/>
      <c r="L1" s="1320"/>
      <c r="M1" s="1320"/>
      <c r="N1" s="1320"/>
    </row>
    <row r="2" spans="1:19" s="10" customFormat="1" ht="15" customHeight="1" x14ac:dyDescent="0.2">
      <c r="A2" s="1321" t="s">
        <v>16</v>
      </c>
      <c r="B2" s="1321"/>
      <c r="C2" s="1321" t="s">
        <v>14</v>
      </c>
      <c r="D2" s="1320" t="str">
        <f>IF('päd.Personal - Leitung'!$D$2="","",'päd.Personal - Leitung'!$D$2)</f>
        <v/>
      </c>
      <c r="E2" s="1320"/>
      <c r="F2" s="1320"/>
      <c r="G2" s="1320"/>
      <c r="H2" s="1320"/>
      <c r="I2" s="1320"/>
      <c r="J2" s="1320"/>
      <c r="K2" s="1320"/>
      <c r="L2" s="1320"/>
      <c r="M2" s="1320"/>
      <c r="N2" s="1320"/>
    </row>
    <row r="3" spans="1:19" s="10" customFormat="1" ht="15" customHeight="1" x14ac:dyDescent="0.2">
      <c r="A3" s="1321" t="s">
        <v>15</v>
      </c>
      <c r="B3" s="1321"/>
      <c r="C3" s="1321" t="s">
        <v>14</v>
      </c>
      <c r="D3" s="1320" t="str">
        <f>IF('päd.Personal - Leitung'!$D$3="","",'päd.Personal - Leitung'!$D$3)</f>
        <v/>
      </c>
      <c r="E3" s="1320"/>
      <c r="F3" s="1320"/>
      <c r="G3" s="1320"/>
      <c r="H3" s="1320"/>
      <c r="I3" s="1320"/>
      <c r="J3" s="1320"/>
      <c r="K3" s="1321" t="s">
        <v>100</v>
      </c>
      <c r="L3" s="1321"/>
      <c r="M3" s="1321"/>
      <c r="N3" s="38" t="str">
        <f>IF('päd.Personal - Leitung'!$N$3="","",'päd.Personal - Leitung'!$N$3)</f>
        <v/>
      </c>
    </row>
    <row r="4" spans="1:19" s="923" customFormat="1" ht="7.5" customHeight="1" x14ac:dyDescent="0.15">
      <c r="A4" s="1353"/>
      <c r="B4" s="1353"/>
      <c r="C4" s="1353"/>
      <c r="D4" s="1354"/>
      <c r="E4" s="1354"/>
      <c r="F4" s="1354"/>
      <c r="G4" s="1354"/>
      <c r="H4" s="1354"/>
      <c r="I4" s="1354"/>
      <c r="J4" s="1354"/>
      <c r="K4" s="922"/>
      <c r="L4" s="922"/>
      <c r="M4" s="922"/>
      <c r="N4" s="922"/>
      <c r="O4" s="922"/>
      <c r="P4" s="922"/>
    </row>
    <row r="5" spans="1:19" s="13" customFormat="1" ht="13.5" customHeight="1" x14ac:dyDescent="0.2">
      <c r="A5" s="1355" t="s">
        <v>112</v>
      </c>
      <c r="B5" s="1355"/>
      <c r="C5" s="1355"/>
      <c r="D5" s="1355"/>
      <c r="E5" s="1355"/>
      <c r="F5" s="1355"/>
      <c r="G5" s="1355"/>
      <c r="H5" s="1355"/>
      <c r="I5" s="1355"/>
      <c r="J5" s="1355"/>
      <c r="K5" s="7"/>
      <c r="L5" s="7"/>
      <c r="M5" s="7"/>
      <c r="N5" s="52"/>
      <c r="O5" s="138">
        <f>'päd.Personal - Leitung'!$O$5</f>
        <v>2025</v>
      </c>
      <c r="P5" s="52" t="s">
        <v>140</v>
      </c>
    </row>
    <row r="6" spans="1:19" s="8" customFormat="1" ht="13.5" customHeight="1" x14ac:dyDescent="0.25">
      <c r="B6" s="29"/>
      <c r="C6" s="29"/>
      <c r="D6" s="3" t="s">
        <v>181</v>
      </c>
      <c r="E6" s="28"/>
      <c r="F6" s="28"/>
      <c r="G6" s="28"/>
      <c r="H6" s="28"/>
      <c r="I6" s="24"/>
      <c r="K6" s="1327" t="s">
        <v>13</v>
      </c>
      <c r="L6" s="1327"/>
      <c r="M6" s="131"/>
      <c r="O6" s="928" t="str">
        <f>A29</f>
        <v>Jan 2025</v>
      </c>
      <c r="P6" s="1402">
        <f>IF(M8="","",M8)</f>
        <v>0</v>
      </c>
    </row>
    <row r="7" spans="1:19" s="5" customFormat="1" ht="13.5" customHeight="1" x14ac:dyDescent="0.25">
      <c r="A7" s="1328" t="s">
        <v>754</v>
      </c>
      <c r="B7" s="1328"/>
      <c r="C7" s="1328"/>
      <c r="D7" s="1345"/>
      <c r="E7" s="1345"/>
      <c r="F7" s="1345"/>
      <c r="G7" s="1345"/>
      <c r="H7" s="1345"/>
      <c r="I7" s="1345"/>
      <c r="K7" s="1327" t="s">
        <v>101</v>
      </c>
      <c r="L7" s="1327"/>
      <c r="M7" s="101"/>
      <c r="O7" s="928" t="str">
        <f t="shared" ref="O7:O17" si="0">A30</f>
        <v>Feb 2025</v>
      </c>
      <c r="P7" s="1403">
        <f t="shared" ref="P7:P17" si="1">IF(P6="","",P6)</f>
        <v>0</v>
      </c>
    </row>
    <row r="8" spans="1:19" ht="13.5" customHeight="1" x14ac:dyDescent="0.2">
      <c r="A8" s="1328" t="s">
        <v>12</v>
      </c>
      <c r="B8" s="1328"/>
      <c r="C8" s="1328"/>
      <c r="D8" s="1345"/>
      <c r="E8" s="1345"/>
      <c r="F8" s="1345"/>
      <c r="G8" s="1345"/>
      <c r="H8" s="1345"/>
      <c r="I8" s="1345"/>
      <c r="K8" s="1327" t="s">
        <v>149</v>
      </c>
      <c r="L8" s="1327"/>
      <c r="M8" s="101">
        <f>IF((M9+M10)&gt;M7,0,M7-M9-M10)</f>
        <v>0</v>
      </c>
      <c r="O8" s="928" t="str">
        <f t="shared" si="0"/>
        <v>Mrz 2025</v>
      </c>
      <c r="P8" s="1403">
        <f t="shared" si="1"/>
        <v>0</v>
      </c>
    </row>
    <row r="9" spans="1:19" ht="13.5" customHeight="1" x14ac:dyDescent="0.2">
      <c r="A9" s="1328" t="s">
        <v>11</v>
      </c>
      <c r="B9" s="1328"/>
      <c r="C9" s="1328"/>
      <c r="D9" s="1345"/>
      <c r="E9" s="1345"/>
      <c r="F9" s="1345"/>
      <c r="G9" s="1345"/>
      <c r="H9" s="1345"/>
      <c r="I9" s="1345"/>
      <c r="K9" s="1327" t="s">
        <v>150</v>
      </c>
      <c r="L9" s="1327"/>
      <c r="M9" s="101"/>
      <c r="O9" s="928" t="str">
        <f t="shared" si="0"/>
        <v>Apr 2025</v>
      </c>
      <c r="P9" s="1403">
        <f t="shared" si="1"/>
        <v>0</v>
      </c>
    </row>
    <row r="10" spans="1:19" ht="13.5" customHeight="1" x14ac:dyDescent="0.2">
      <c r="A10" s="1328" t="s">
        <v>18</v>
      </c>
      <c r="B10" s="1328"/>
      <c r="C10" s="1328"/>
      <c r="D10" s="1345"/>
      <c r="E10" s="1345"/>
      <c r="F10" s="1345"/>
      <c r="G10" s="1345"/>
      <c r="H10" s="1345"/>
      <c r="I10" s="1345"/>
      <c r="K10" s="1327" t="s">
        <v>222</v>
      </c>
      <c r="L10" s="1327"/>
      <c r="M10" s="101"/>
      <c r="O10" s="928" t="str">
        <f t="shared" si="0"/>
        <v>Mai 2025</v>
      </c>
      <c r="P10" s="1403">
        <f t="shared" si="1"/>
        <v>0</v>
      </c>
    </row>
    <row r="11" spans="1:19" ht="13.5" customHeight="1" x14ac:dyDescent="0.2">
      <c r="B11" s="6"/>
      <c r="C11" s="979" t="s">
        <v>147</v>
      </c>
      <c r="D11" s="1324"/>
      <c r="E11" s="1324"/>
      <c r="F11" s="1359" t="s">
        <v>103</v>
      </c>
      <c r="G11" s="1359"/>
      <c r="H11" s="1361"/>
      <c r="I11" s="1361"/>
      <c r="K11" s="1327" t="s">
        <v>94</v>
      </c>
      <c r="L11" s="1327"/>
      <c r="M11" s="15" t="str">
        <f>IF(IF((COUNTIF(B29:B40,"&gt;0"))=0,0,(COUNTIF(B29:B40,"&gt;0")))&gt;Grundlagen!$C$26,Grundlagen!$C$26,IF((COUNTIF(B29:B40,"&gt;0"))=0,"",(COUNTIF(B29:B40,"&gt;0"))))</f>
        <v/>
      </c>
      <c r="O11" s="928" t="str">
        <f t="shared" si="0"/>
        <v>Jun 2025</v>
      </c>
      <c r="P11" s="1403">
        <f t="shared" si="1"/>
        <v>0</v>
      </c>
    </row>
    <row r="12" spans="1:19" ht="13.5" customHeight="1" x14ac:dyDescent="0.2">
      <c r="I12" s="4"/>
      <c r="M12" s="102" t="str">
        <f>IF((SUM(F14:F17))=0,"",IF(P18&gt;M8,M8,IF(M8="","",IF(M11="","",P18))))</f>
        <v/>
      </c>
      <c r="O12" s="928" t="str">
        <f t="shared" si="0"/>
        <v>Jul 2025</v>
      </c>
      <c r="P12" s="1403">
        <f t="shared" si="1"/>
        <v>0</v>
      </c>
    </row>
    <row r="13" spans="1:19" s="46" customFormat="1" ht="13.5" customHeight="1" x14ac:dyDescent="0.2">
      <c r="A13" s="54" t="s">
        <v>134</v>
      </c>
      <c r="B13" s="1356" t="s">
        <v>135</v>
      </c>
      <c r="C13" s="1356"/>
      <c r="D13" s="55" t="s">
        <v>136</v>
      </c>
      <c r="E13" s="56" t="s">
        <v>137</v>
      </c>
      <c r="F13" s="57" t="str">
        <f>CONCATENATE("Entg. ",N3," h/Wo")</f>
        <v>Entg.  h/Wo</v>
      </c>
      <c r="G13" s="58" t="s">
        <v>138</v>
      </c>
      <c r="I13" s="58" t="s">
        <v>139</v>
      </c>
      <c r="K13" s="970"/>
      <c r="L13" s="970"/>
      <c r="M13" s="59"/>
      <c r="N13" s="968" t="str">
        <f>IF(A15="","",A15)</f>
        <v/>
      </c>
      <c r="O13" s="928" t="str">
        <f t="shared" si="0"/>
        <v>Aug 2025</v>
      </c>
      <c r="P13" s="1403">
        <f t="shared" si="1"/>
        <v>0</v>
      </c>
      <c r="Q13" s="85"/>
      <c r="R13" s="85"/>
      <c r="S13" s="85"/>
    </row>
    <row r="14" spans="1:19" s="46" customFormat="1" ht="13.5" customHeight="1" x14ac:dyDescent="0.25">
      <c r="A14" s="48" t="str">
        <f>'päd.Personal - Leitung'!$A$14</f>
        <v>Jan 2025</v>
      </c>
      <c r="B14" s="1357" t="str">
        <f>IF($D$3="","",$D$3)</f>
        <v/>
      </c>
      <c r="C14" s="1358"/>
      <c r="D14" s="132"/>
      <c r="E14" s="132"/>
      <c r="F14" s="71"/>
      <c r="G14" s="50">
        <f>IF(N3="",0,F14/N3/4.348)</f>
        <v>0</v>
      </c>
      <c r="I14" s="125">
        <f>SUM(J14:M14)</f>
        <v>0</v>
      </c>
      <c r="J14" s="124"/>
      <c r="K14" s="124"/>
      <c r="L14" s="124"/>
      <c r="M14" s="124"/>
      <c r="N14" s="969"/>
      <c r="O14" s="928" t="str">
        <f t="shared" si="0"/>
        <v>Sep 2025</v>
      </c>
      <c r="P14" s="1403">
        <f t="shared" si="1"/>
        <v>0</v>
      </c>
      <c r="Q14" s="85"/>
      <c r="R14" s="85"/>
      <c r="S14" s="85"/>
    </row>
    <row r="15" spans="1:19" s="46" customFormat="1" ht="13.5" customHeight="1" x14ac:dyDescent="0.25">
      <c r="A15" s="49"/>
      <c r="B15" s="1322" t="str">
        <f>IF(A15="","",B14)</f>
        <v/>
      </c>
      <c r="C15" s="1323"/>
      <c r="D15" s="132"/>
      <c r="E15" s="132"/>
      <c r="F15" s="71"/>
      <c r="G15" s="50">
        <f>IF(N3="",0,F15/N3/4.348)</f>
        <v>0</v>
      </c>
      <c r="I15" s="125">
        <f t="shared" ref="I15:I17" si="2">SUM(J15:M15)</f>
        <v>0</v>
      </c>
      <c r="J15" s="124"/>
      <c r="K15" s="124"/>
      <c r="L15" s="124"/>
      <c r="M15" s="124"/>
      <c r="N15" s="969"/>
      <c r="O15" s="928" t="str">
        <f t="shared" si="0"/>
        <v>Okt 2025</v>
      </c>
      <c r="P15" s="1403">
        <f t="shared" si="1"/>
        <v>0</v>
      </c>
      <c r="Q15" s="85"/>
      <c r="R15" s="85"/>
      <c r="S15" s="85"/>
    </row>
    <row r="16" spans="1:19" s="46" customFormat="1" ht="13.5" customHeight="1" x14ac:dyDescent="0.25">
      <c r="A16" s="49"/>
      <c r="B16" s="1322" t="str">
        <f>IF(A16="","",B15)</f>
        <v/>
      </c>
      <c r="C16" s="1323"/>
      <c r="D16" s="132"/>
      <c r="E16" s="132"/>
      <c r="F16" s="71"/>
      <c r="G16" s="50">
        <f>IF(N3="",0,F16/N3/4.348)</f>
        <v>0</v>
      </c>
      <c r="I16" s="125">
        <f t="shared" si="2"/>
        <v>0</v>
      </c>
      <c r="J16" s="124"/>
      <c r="K16" s="124"/>
      <c r="L16" s="124"/>
      <c r="M16" s="124"/>
      <c r="N16" s="969"/>
      <c r="O16" s="928" t="str">
        <f t="shared" si="0"/>
        <v>Nov 2025</v>
      </c>
      <c r="P16" s="1403">
        <f t="shared" si="1"/>
        <v>0</v>
      </c>
      <c r="Q16" s="85"/>
      <c r="R16" s="85"/>
      <c r="S16" s="85"/>
    </row>
    <row r="17" spans="1:22" s="46" customFormat="1" ht="13.5" customHeight="1" x14ac:dyDescent="0.25">
      <c r="A17" s="49"/>
      <c r="B17" s="1322" t="str">
        <f>IF(A17="","",B16)</f>
        <v/>
      </c>
      <c r="C17" s="1323"/>
      <c r="D17" s="132"/>
      <c r="E17" s="132"/>
      <c r="F17" s="71"/>
      <c r="G17" s="50">
        <f>IF(N3="",0,F17/N3/4.348)</f>
        <v>0</v>
      </c>
      <c r="I17" s="125">
        <f t="shared" si="2"/>
        <v>0</v>
      </c>
      <c r="J17" s="124"/>
      <c r="K17" s="124"/>
      <c r="L17" s="124"/>
      <c r="M17" s="124"/>
      <c r="N17" s="969"/>
      <c r="O17" s="928" t="str">
        <f t="shared" si="0"/>
        <v>Dez 2025</v>
      </c>
      <c r="P17" s="1403">
        <f t="shared" si="1"/>
        <v>0</v>
      </c>
      <c r="Q17" s="85"/>
      <c r="R17" s="85"/>
      <c r="S17" s="85"/>
    </row>
    <row r="18" spans="1:22" s="46" customFormat="1" ht="13.5" customHeight="1" x14ac:dyDescent="0.25">
      <c r="B18" s="972"/>
      <c r="C18" s="972"/>
      <c r="E18" s="972"/>
      <c r="F18" s="972"/>
      <c r="I18" s="930" t="s">
        <v>730</v>
      </c>
      <c r="J18" s="976"/>
      <c r="K18" s="976"/>
      <c r="L18" s="976"/>
      <c r="M18" s="976"/>
      <c r="N18" s="971"/>
      <c r="O18" s="126" t="s">
        <v>221</v>
      </c>
      <c r="P18" s="127">
        <f>IF(M11="",0,((IF(SUMIF(B29,"&gt;0"),P6,0))+(IF(SUMIF(B30,"&gt;0"),P7,0))+(IF(SUMIF(B31,"&gt;0"),P8,0))+(IF(SUMIF(B32,"&gt;0"),P9,0))+(IF(SUMIF(B33,"&gt;0"),P10,0))+(IF(SUMIF(B34,"&gt;0"),P11,0))+(IF(SUMIF(B35,"&gt;0"),P12,0))+(IF(SUMIF(B36,"&gt;0"),P13,0))+(IF(SUMIF(B37,"&gt;0"),P14,0))+(IF(SUMIF(B38,"&gt;0"),P15,0))+(IF(SUMIF(B39,"&gt;0"),P16,0))+(IF(SUMIF(B40,"&gt;0"),P17,0)))/Grundlagen!$C$26)</f>
        <v>0</v>
      </c>
      <c r="Q18" s="978" t="str">
        <f>CONCATENATE("BBG"," anteilig ",O20)</f>
        <v>BBG anteilig 2025</v>
      </c>
      <c r="R18" s="931" t="s">
        <v>659</v>
      </c>
      <c r="S18" s="931" t="s">
        <v>398</v>
      </c>
      <c r="T18" s="107"/>
    </row>
    <row r="19" spans="1:22" s="46" customFormat="1" ht="13.5" customHeight="1" x14ac:dyDescent="0.2">
      <c r="A19" s="924" t="s">
        <v>732</v>
      </c>
      <c r="D19" s="55" t="s">
        <v>369</v>
      </c>
      <c r="E19" s="56" t="s">
        <v>368</v>
      </c>
      <c r="F19" s="58"/>
      <c r="J19" s="61"/>
      <c r="Q19" s="932" t="s">
        <v>144</v>
      </c>
      <c r="R19" s="140">
        <f>IF(M8=0,R23,IF(M7="",R23,(SUM(R29:R40)/M11)))</f>
        <v>5175</v>
      </c>
      <c r="S19" s="933">
        <f>IF(M8=0,S23,IF(M7="",S23,SUM(R29:R40)))</f>
        <v>0</v>
      </c>
      <c r="T19" s="107"/>
    </row>
    <row r="20" spans="1:22" s="46" customFormat="1" ht="13.5" customHeight="1" x14ac:dyDescent="0.25">
      <c r="A20" s="60"/>
      <c r="B20" s="1314" t="str">
        <f>IF('päd.Personal - Leitung'!$B$20="","",'päd.Personal - Leitung'!$B$20)</f>
        <v>Jahressonderzahlung (JSZ)</v>
      </c>
      <c r="C20" s="1315"/>
      <c r="D20" s="926"/>
      <c r="E20" s="929" t="str">
        <f>IF(A20="","",ROUND((((SUM(B35:B37)+SUM(F35:F37))/3)*D20)/Grundlagen!$C$26*M11,2))</f>
        <v/>
      </c>
      <c r="G20" s="941" t="s">
        <v>733</v>
      </c>
      <c r="H20" s="943"/>
      <c r="I20" s="1316" t="str">
        <f>CONCATENATE(R43,":"," Übergangsbereich von ",R44+0.01," €"," bis ",R45," €")</f>
        <v>2025: Übergangsbereich von 556,01 € bis 2000 €</v>
      </c>
      <c r="J20" s="1317"/>
      <c r="K20" s="1317"/>
      <c r="L20" s="1067"/>
      <c r="M20" s="1067"/>
      <c r="N20" s="1068" t="s">
        <v>736</v>
      </c>
      <c r="O20" s="1069">
        <f>P20+1</f>
        <v>2025</v>
      </c>
      <c r="P20" s="1069" t="s">
        <v>721</v>
      </c>
      <c r="Q20" s="932" t="s">
        <v>145</v>
      </c>
      <c r="R20" s="140">
        <f>IF(M8=0,R24,IF(M7="",R24,(SUM(S29:S40)/M11)))</f>
        <v>7450</v>
      </c>
      <c r="S20" s="933">
        <f>IF(M8=0,S24,IF(M7="",S24,SUM(S29:S40)))</f>
        <v>0</v>
      </c>
      <c r="T20" s="109"/>
    </row>
    <row r="21" spans="1:22" ht="14.25" customHeight="1" x14ac:dyDescent="0.2">
      <c r="A21" s="60"/>
      <c r="B21" s="1314" t="str">
        <f>IF('päd.Personal - Leitung'!$B$21="","",'päd.Personal - Leitung'!$B$21)</f>
        <v>Leistungsentgelt (LOB)</v>
      </c>
      <c r="C21" s="1315"/>
      <c r="D21" s="926"/>
      <c r="E21" s="929" t="str">
        <f>IF(A21="","",ROUND(((B41+F41)*D21)/Grundlagen!$C$26*M11,2))</f>
        <v/>
      </c>
      <c r="G21" s="941" t="str">
        <f>IF(OR(H20="",H20="nein")=TRUE,"","Faktor (F):")</f>
        <v/>
      </c>
      <c r="H21" s="949" t="str">
        <f>IF(OR(H20="",H20="nein")=TRUE,"",IF(H20="","",R47))</f>
        <v/>
      </c>
      <c r="I21" s="1318" t="str">
        <f>IF(OR(H20="",H20="nein")=TRUE,"",IF(H21="","",CONCATENATE(S47*100,"%"," / ","(",R46*100,"%"," Gesamt-SV-Beitragssatz 2024)")))</f>
        <v/>
      </c>
      <c r="J21" s="1319"/>
      <c r="K21" s="1319"/>
      <c r="L21" s="1070"/>
      <c r="M21" s="1070"/>
      <c r="N21" s="1071" t="s">
        <v>144</v>
      </c>
      <c r="O21" s="1072">
        <f>'päd.Personal - Leitung'!$O$21</f>
        <v>5175</v>
      </c>
      <c r="P21" s="1072">
        <f>'päd.Personal - Leitung'!$P$21</f>
        <v>5175</v>
      </c>
      <c r="Q21" s="11"/>
      <c r="R21" s="11"/>
      <c r="S21" s="11"/>
      <c r="T21" s="109"/>
    </row>
    <row r="22" spans="1:22" ht="14.25" customHeight="1" x14ac:dyDescent="0.2">
      <c r="C22" s="925" t="s">
        <v>731</v>
      </c>
      <c r="L22" s="1070"/>
      <c r="M22" s="1070"/>
      <c r="N22" s="1071" t="s">
        <v>145</v>
      </c>
      <c r="O22" s="1073">
        <f>'päd.Personal - Leitung'!$O$22</f>
        <v>7450</v>
      </c>
      <c r="P22" s="1073">
        <f>'päd.Personal - Leitung'!$P$22</f>
        <v>7450</v>
      </c>
      <c r="Q22" s="978" t="str">
        <f>CONCATENATE("BBG"," ",O20)</f>
        <v>BBG 2025</v>
      </c>
      <c r="R22" s="11"/>
      <c r="S22" s="11"/>
      <c r="T22" s="109"/>
    </row>
    <row r="23" spans="1:22" ht="14.25" customHeight="1" x14ac:dyDescent="0.2">
      <c r="A23" s="53" t="s">
        <v>141</v>
      </c>
      <c r="B23" s="46"/>
      <c r="C23" s="46"/>
      <c r="D23" s="46"/>
      <c r="E23" s="46"/>
      <c r="F23" s="46"/>
      <c r="G23" s="46"/>
      <c r="H23" s="46"/>
      <c r="I23" s="46"/>
      <c r="J23" s="46"/>
      <c r="K23" s="46"/>
      <c r="L23" s="46"/>
      <c r="M23" s="46"/>
      <c r="N23" s="46"/>
      <c r="O23" s="46"/>
      <c r="P23" s="46"/>
      <c r="Q23" s="932" t="s">
        <v>144</v>
      </c>
      <c r="R23" s="141">
        <f>IF($O$21="",0,$O$21)</f>
        <v>5175</v>
      </c>
      <c r="S23" s="933">
        <f>R23*IF(M11="",0,M11)</f>
        <v>0</v>
      </c>
      <c r="T23" s="295"/>
    </row>
    <row r="24" spans="1:22" x14ac:dyDescent="0.2">
      <c r="A24" s="1346"/>
      <c r="B24" s="1348" t="s">
        <v>8</v>
      </c>
      <c r="C24" s="1349"/>
      <c r="D24" s="1349"/>
      <c r="E24" s="1349"/>
      <c r="F24" s="1349"/>
      <c r="G24" s="1350"/>
      <c r="H24" s="1351" t="s">
        <v>113</v>
      </c>
      <c r="I24" s="1352"/>
      <c r="J24" s="1352"/>
      <c r="K24" s="1352"/>
      <c r="L24" s="1352"/>
      <c r="M24" s="1352"/>
      <c r="N24" s="1352"/>
      <c r="O24" s="30"/>
      <c r="P24" s="1330" t="s">
        <v>0</v>
      </c>
      <c r="Q24" s="932" t="s">
        <v>145</v>
      </c>
      <c r="R24" s="141">
        <f>IF($O$22="",0,$O$22)</f>
        <v>7450</v>
      </c>
      <c r="S24" s="933">
        <f>R24*IF(M11="",0,M11)</f>
        <v>0</v>
      </c>
      <c r="T24" s="830"/>
    </row>
    <row r="25" spans="1:22" ht="14.25" customHeight="1" x14ac:dyDescent="0.2">
      <c r="A25" s="1347"/>
      <c r="B25" s="1333" t="s">
        <v>111</v>
      </c>
      <c r="C25" s="1335" t="s">
        <v>743</v>
      </c>
      <c r="D25" s="1337" t="s">
        <v>226</v>
      </c>
      <c r="E25" s="1339" t="s">
        <v>133</v>
      </c>
      <c r="F25" s="981" t="s">
        <v>6</v>
      </c>
      <c r="G25" s="1340" t="s">
        <v>5</v>
      </c>
      <c r="H25" s="1339" t="s">
        <v>119</v>
      </c>
      <c r="I25" s="1339" t="s">
        <v>4</v>
      </c>
      <c r="J25" s="1339" t="s">
        <v>3</v>
      </c>
      <c r="K25" s="1339" t="s">
        <v>2</v>
      </c>
      <c r="L25" s="1339" t="s">
        <v>114</v>
      </c>
      <c r="M25" s="1339" t="s">
        <v>115</v>
      </c>
      <c r="N25" s="1339" t="s">
        <v>116</v>
      </c>
      <c r="O25" s="1338" t="s">
        <v>109</v>
      </c>
      <c r="P25" s="1331"/>
      <c r="Q25" s="456"/>
      <c r="R25" s="11"/>
      <c r="S25" s="11"/>
      <c r="T25" s="621"/>
    </row>
    <row r="26" spans="1:22" x14ac:dyDescent="0.2">
      <c r="A26" s="1347"/>
      <c r="B26" s="1333"/>
      <c r="C26" s="1335"/>
      <c r="D26" s="1338"/>
      <c r="E26" s="1339"/>
      <c r="F26" s="1343" t="str">
        <f>I18</f>
        <v>Zuschläge / Zulagen / o.ä.:</v>
      </c>
      <c r="G26" s="1340"/>
      <c r="H26" s="1342" t="s">
        <v>117</v>
      </c>
      <c r="I26" s="1342"/>
      <c r="J26" s="1342"/>
      <c r="K26" s="1342"/>
      <c r="L26" s="1342"/>
      <c r="M26" s="1342"/>
      <c r="N26" s="1342"/>
      <c r="O26" s="1338"/>
      <c r="P26" s="1331"/>
      <c r="Q26" s="456"/>
      <c r="R26" s="1306" t="str">
        <f>Q18</f>
        <v>BBG anteilig 2025</v>
      </c>
      <c r="S26" s="1306"/>
      <c r="T26" s="829"/>
    </row>
    <row r="27" spans="1:22" ht="14.25" customHeight="1" x14ac:dyDescent="0.2">
      <c r="A27" s="1347"/>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c r="Q27" s="456"/>
      <c r="R27" s="1307" t="s">
        <v>659</v>
      </c>
      <c r="S27" s="1307"/>
      <c r="T27" s="829"/>
      <c r="U27" s="1308" t="s">
        <v>1</v>
      </c>
      <c r="V27" s="1308" t="s">
        <v>741</v>
      </c>
    </row>
    <row r="28" spans="1:22" x14ac:dyDescent="0.2">
      <c r="A28" s="1347"/>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c r="Q28" s="456"/>
      <c r="R28" s="935" t="s">
        <v>144</v>
      </c>
      <c r="S28" s="935" t="s">
        <v>145</v>
      </c>
      <c r="T28" s="829"/>
      <c r="U28" s="1308"/>
      <c r="V28" s="1308"/>
    </row>
    <row r="29" spans="1:22"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56"/>
      <c r="R29" s="140">
        <f>ROUND(IF(M7="",R23,R23/M7*P6),2)</f>
        <v>5175</v>
      </c>
      <c r="S29" s="140">
        <f>ROUND(IF(M7="",R24,R24/M7*P6),2)</f>
        <v>7450</v>
      </c>
      <c r="U29" s="950">
        <f>SUM(B29:F29)</f>
        <v>0</v>
      </c>
      <c r="V29" s="950">
        <f>SUM(B29:F29)</f>
        <v>0</v>
      </c>
    </row>
    <row r="30" spans="1:22"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4">SUM(G30:O30)</f>
        <v>0</v>
      </c>
      <c r="Q30" s="456"/>
      <c r="R30" s="140">
        <f>ROUND(IF(M7="",R23,R23/M7*P7),2)</f>
        <v>5175</v>
      </c>
      <c r="S30" s="140">
        <f>ROUND(IF(M7="",R24,R24/M7*P7),2)</f>
        <v>7450</v>
      </c>
      <c r="U30" s="950">
        <f t="shared" ref="U30:U40" si="5">SUM(B30:F30)</f>
        <v>0</v>
      </c>
      <c r="V30" s="950">
        <f>SUM(B29:F30)</f>
        <v>0</v>
      </c>
    </row>
    <row r="31" spans="1:22"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56"/>
      <c r="R31" s="140">
        <f>ROUND(IF(M7="",R23,R23/M7*P8),2)</f>
        <v>5175</v>
      </c>
      <c r="S31" s="140">
        <f>ROUND(IF(M7="",R24,R24/M7*P8),2)</f>
        <v>7450</v>
      </c>
      <c r="U31" s="950">
        <f t="shared" si="5"/>
        <v>0</v>
      </c>
      <c r="V31" s="950">
        <f>SUM(B29:F31)</f>
        <v>0</v>
      </c>
    </row>
    <row r="32" spans="1:22"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56"/>
      <c r="R32" s="140">
        <f>ROUND(IF(M7="",R23,R23/M7*P9),2)</f>
        <v>5175</v>
      </c>
      <c r="S32" s="140">
        <f>ROUND(IF(M7="",R24,R24/M7*P9),2)</f>
        <v>7450</v>
      </c>
      <c r="U32" s="950">
        <f t="shared" si="5"/>
        <v>0</v>
      </c>
      <c r="V32" s="950">
        <f>SUM(B29:F32)</f>
        <v>0</v>
      </c>
    </row>
    <row r="33" spans="1:24"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56"/>
      <c r="R33" s="140">
        <f>ROUND(IF(M7="",R23,R23/M7*P10),2)</f>
        <v>5175</v>
      </c>
      <c r="S33" s="140">
        <f>ROUND(IF(M7="",R24,R24/M7*P10),2)</f>
        <v>7450</v>
      </c>
      <c r="U33" s="950">
        <f t="shared" si="5"/>
        <v>0</v>
      </c>
      <c r="V33" s="950">
        <f>SUM(B29:F33)</f>
        <v>0</v>
      </c>
    </row>
    <row r="34" spans="1:24"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56"/>
      <c r="R34" s="140">
        <f>ROUND(IF(M7="",R23,R23/M7*P11),2)</f>
        <v>5175</v>
      </c>
      <c r="S34" s="140">
        <f>ROUND(IF(M7="",R24,R24/M7*P11),2)</f>
        <v>7450</v>
      </c>
      <c r="U34" s="950">
        <f t="shared" si="5"/>
        <v>0</v>
      </c>
      <c r="V34" s="950">
        <f>SUM(B29:F34)</f>
        <v>0</v>
      </c>
    </row>
    <row r="35" spans="1:24"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56"/>
      <c r="R35" s="140">
        <f>ROUND(IF(M7="",R23,R23/M7*P12),2)</f>
        <v>5175</v>
      </c>
      <c r="S35" s="140">
        <f>ROUND(IF(M7="",R24,R24/M7*P12),2)</f>
        <v>7450</v>
      </c>
      <c r="U35" s="950">
        <f t="shared" si="5"/>
        <v>0</v>
      </c>
      <c r="V35" s="950">
        <f>SUM(B29:F35)</f>
        <v>0</v>
      </c>
    </row>
    <row r="36" spans="1:24"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56"/>
      <c r="R36" s="140">
        <f>ROUND(IF(M7="",R23,R23/M7*P13),2)</f>
        <v>5175</v>
      </c>
      <c r="S36" s="140">
        <f>ROUND(IF(M7="",R24,R24/M7*P13),2)</f>
        <v>7450</v>
      </c>
      <c r="U36" s="950">
        <f t="shared" si="5"/>
        <v>0</v>
      </c>
      <c r="V36" s="950">
        <f>SUM(B29:F36)</f>
        <v>0</v>
      </c>
    </row>
    <row r="37" spans="1:24"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56"/>
      <c r="R37" s="140">
        <f>ROUND(IF(M7="",R23,R23/M7*P14),2)</f>
        <v>5175</v>
      </c>
      <c r="S37" s="140">
        <f>ROUND(IF(M7="",R24,R24/M7*P14),2)</f>
        <v>7450</v>
      </c>
      <c r="U37" s="950">
        <f t="shared" si="5"/>
        <v>0</v>
      </c>
      <c r="V37" s="950">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936"/>
      <c r="R38" s="140">
        <f>ROUND(IF(M7="",R23,R23/M7*P15),2)</f>
        <v>5175</v>
      </c>
      <c r="S38" s="140">
        <f>ROUND(IF(M7="",R24,R24/M7*P15),2)</f>
        <v>7450</v>
      </c>
      <c r="U38" s="950">
        <f t="shared" si="5"/>
        <v>0</v>
      </c>
      <c r="V38" s="950">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40">
        <f>ROUND(IF(M7="",R23,R23/M7*P16),2)</f>
        <v>5175</v>
      </c>
      <c r="S39" s="140">
        <f>ROUND(IF(M7="",R24,R24/M7*P16),2)</f>
        <v>7450</v>
      </c>
      <c r="U39" s="950">
        <f t="shared" si="5"/>
        <v>0</v>
      </c>
      <c r="V39" s="950">
        <f>SUM(B29:F39)</f>
        <v>0</v>
      </c>
      <c r="X39" s="1"/>
    </row>
    <row r="40" spans="1:24"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40">
        <f>ROUND(IF(M7="",R23,R23/M7*P17),2)</f>
        <v>5175</v>
      </c>
      <c r="S40" s="140">
        <f>ROUND(IF(M7="",R24,R24/M7*P17),2)</f>
        <v>7450</v>
      </c>
      <c r="U40" s="950">
        <f t="shared" si="5"/>
        <v>0</v>
      </c>
      <c r="V40" s="950">
        <f>SUM(B29:F40)</f>
        <v>0</v>
      </c>
    </row>
    <row r="41" spans="1:24" ht="15" customHeight="1" x14ac:dyDescent="0.2">
      <c r="A41" s="2" t="s">
        <v>1</v>
      </c>
      <c r="B41" s="25">
        <f>SUM(B29:B40)</f>
        <v>0</v>
      </c>
      <c r="C41" s="25">
        <f t="shared" ref="C41:G41" si="6">SUM(C29:C40)</f>
        <v>0</v>
      </c>
      <c r="D41" s="25">
        <f t="shared" si="6"/>
        <v>0</v>
      </c>
      <c r="E41" s="25">
        <f t="shared" si="6"/>
        <v>0</v>
      </c>
      <c r="F41" s="25">
        <f t="shared" si="6"/>
        <v>0</v>
      </c>
      <c r="G41" s="25">
        <f t="shared" si="6"/>
        <v>0</v>
      </c>
      <c r="H41" s="1309">
        <f>SUM(H29:N40)</f>
        <v>0</v>
      </c>
      <c r="I41" s="1310"/>
      <c r="J41" s="1310"/>
      <c r="K41" s="1310"/>
      <c r="L41" s="1310"/>
      <c r="M41" s="1310"/>
      <c r="N41" s="1311"/>
      <c r="O41" s="25">
        <f>SUM(O29:O40)</f>
        <v>0</v>
      </c>
      <c r="P41" s="25">
        <f>SUM(P29:P40)</f>
        <v>0</v>
      </c>
    </row>
    <row r="42" spans="1:24" ht="12" customHeight="1" x14ac:dyDescent="0.2"/>
    <row r="43" spans="1:24" ht="14.25" customHeight="1" x14ac:dyDescent="0.2">
      <c r="B43" s="906"/>
      <c r="H43" s="905"/>
      <c r="I43" s="62"/>
      <c r="J43" s="914" t="s">
        <v>123</v>
      </c>
      <c r="L43" s="900" t="s">
        <v>124</v>
      </c>
      <c r="M43" s="1032"/>
      <c r="N43" s="902" t="s">
        <v>125</v>
      </c>
      <c r="O43" s="1033"/>
      <c r="P43" s="25">
        <f>ROUND(IF(M43="",0,G41*M43*O43/1000),2)</f>
        <v>0</v>
      </c>
      <c r="Q43" s="937"/>
      <c r="R43" s="938">
        <v>2025</v>
      </c>
      <c r="S43" s="939"/>
    </row>
    <row r="44" spans="1:24" ht="14.25" customHeight="1" x14ac:dyDescent="0.2">
      <c r="H44" s="907"/>
      <c r="I44" s="42"/>
      <c r="M44" s="915" t="s">
        <v>129</v>
      </c>
      <c r="N44" s="80" t="s">
        <v>125</v>
      </c>
      <c r="O44" s="1034"/>
      <c r="P44" s="25">
        <f>ROUND(IF(O44="",0,G41*O44/1000),2)</f>
        <v>0</v>
      </c>
      <c r="Q44" s="942" t="s">
        <v>737</v>
      </c>
      <c r="R44" s="141">
        <f>'päd.Personal - Leitung'!$R$44</f>
        <v>556</v>
      </c>
      <c r="S44" s="955">
        <f>'päd.Personal - Leitung'!$S$44</f>
        <v>12.82</v>
      </c>
    </row>
    <row r="45" spans="1:24" ht="14.25" customHeight="1" x14ac:dyDescent="0.2">
      <c r="H45" s="912" t="s">
        <v>126</v>
      </c>
      <c r="I45" s="980" t="s">
        <v>127</v>
      </c>
      <c r="J45" s="1037"/>
      <c r="K45" s="902" t="s">
        <v>128</v>
      </c>
      <c r="L45" s="1036"/>
      <c r="M45" s="16"/>
      <c r="N45" s="900" t="s">
        <v>132</v>
      </c>
      <c r="O45" s="1035"/>
      <c r="P45" s="25">
        <f>ROUND(IF(J45="",0,(J45*L45/O45)/M9*M10),2)</f>
        <v>0</v>
      </c>
      <c r="Q45" s="942" t="s">
        <v>738</v>
      </c>
      <c r="R45" s="140">
        <f>'päd.Personal - Leitung'!$R$45</f>
        <v>2000</v>
      </c>
      <c r="S45" s="939"/>
    </row>
    <row r="46" spans="1:24" ht="14.25" customHeight="1" x14ac:dyDescent="0.2">
      <c r="D46" s="16"/>
      <c r="I46" s="16"/>
      <c r="J46" s="16"/>
      <c r="K46" s="63"/>
      <c r="L46" s="67"/>
      <c r="M46" s="915" t="s">
        <v>130</v>
      </c>
      <c r="N46" s="80" t="s">
        <v>131</v>
      </c>
      <c r="O46" s="904"/>
      <c r="P46" s="21">
        <f>ROUND(IF(G41=0,0,O46/M7*M8),2)</f>
        <v>0</v>
      </c>
      <c r="Q46" s="942" t="s">
        <v>740</v>
      </c>
      <c r="R46" s="956">
        <f>'päd.Personal - Leitung'!$R$46</f>
        <v>0.40900000000000003</v>
      </c>
    </row>
    <row r="47" spans="1:24" ht="14.25" customHeight="1" x14ac:dyDescent="0.2">
      <c r="A47" s="16"/>
      <c r="B47" s="16"/>
      <c r="I47" s="905"/>
      <c r="J47" s="961" t="s">
        <v>176</v>
      </c>
      <c r="K47" s="1312"/>
      <c r="L47" s="1312"/>
      <c r="M47" s="1312"/>
      <c r="N47" s="80" t="s">
        <v>131</v>
      </c>
      <c r="O47" s="904"/>
      <c r="P47" s="21">
        <f>ROUND(IF(G41=0,0,O47/M7*M8),2)</f>
        <v>0</v>
      </c>
      <c r="Q47" s="942" t="s">
        <v>739</v>
      </c>
      <c r="R47" s="940">
        <f>'päd.Personal - Leitung'!$R$47</f>
        <v>0.68459999999999999</v>
      </c>
      <c r="S47" s="957">
        <f>'päd.Personal - Leitung'!$S$47</f>
        <v>0.28000000000000003</v>
      </c>
    </row>
    <row r="48" spans="1:24" ht="14.25" customHeight="1" x14ac:dyDescent="0.2">
      <c r="A48" s="908"/>
      <c r="B48" s="908"/>
      <c r="C48" s="980"/>
      <c r="D48" s="980"/>
      <c r="I48" s="913"/>
      <c r="J48" s="913"/>
      <c r="K48" s="916"/>
      <c r="L48" s="27"/>
      <c r="M48" s="27"/>
      <c r="N48" s="27"/>
      <c r="O48" s="26" t="s">
        <v>0</v>
      </c>
      <c r="P48" s="25">
        <f>P41+SUM(P43:P47)</f>
        <v>0</v>
      </c>
    </row>
    <row r="49" spans="1:19" s="10" customFormat="1" ht="13.5" customHeight="1" x14ac:dyDescent="0.2">
      <c r="A49" s="1321" t="s">
        <v>17</v>
      </c>
      <c r="B49" s="1321"/>
      <c r="C49" s="1321"/>
      <c r="D49" s="1320" t="str">
        <f>IF('päd.Personal - Leitung'!$D$1="","",'päd.Personal - Leitung'!$D$1)</f>
        <v/>
      </c>
      <c r="E49" s="1320"/>
      <c r="F49" s="1320"/>
      <c r="G49" s="1320"/>
      <c r="H49" s="1320"/>
      <c r="I49" s="1320"/>
      <c r="J49" s="1320"/>
      <c r="K49" s="1320"/>
      <c r="L49" s="1320"/>
      <c r="M49" s="1320"/>
      <c r="N49" s="1320"/>
    </row>
    <row r="50" spans="1:19" s="10" customFormat="1" ht="15" customHeight="1" x14ac:dyDescent="0.2">
      <c r="A50" s="1321" t="s">
        <v>16</v>
      </c>
      <c r="B50" s="1321"/>
      <c r="C50" s="1321" t="s">
        <v>14</v>
      </c>
      <c r="D50" s="1320" t="str">
        <f>IF('päd.Personal - Leitung'!$D$2="","",'päd.Personal - Leitung'!$D$2)</f>
        <v/>
      </c>
      <c r="E50" s="1320"/>
      <c r="F50" s="1320"/>
      <c r="G50" s="1320"/>
      <c r="H50" s="1320"/>
      <c r="I50" s="1320"/>
      <c r="J50" s="1320"/>
      <c r="K50" s="1320"/>
      <c r="L50" s="1320"/>
      <c r="M50" s="1320"/>
      <c r="N50" s="1320"/>
    </row>
    <row r="51" spans="1:19" s="10" customFormat="1" ht="15" customHeight="1" x14ac:dyDescent="0.2">
      <c r="A51" s="1321" t="s">
        <v>15</v>
      </c>
      <c r="B51" s="1321"/>
      <c r="C51" s="1321" t="s">
        <v>14</v>
      </c>
      <c r="D51" s="1320" t="str">
        <f>IF('päd.Personal - Leitung'!$D$3="","",'päd.Personal - Leitung'!$D$3)</f>
        <v/>
      </c>
      <c r="E51" s="1320"/>
      <c r="F51" s="1320"/>
      <c r="G51" s="1320"/>
      <c r="H51" s="1320"/>
      <c r="I51" s="1320"/>
      <c r="J51" s="1320"/>
      <c r="K51" s="1321" t="s">
        <v>100</v>
      </c>
      <c r="L51" s="1321"/>
      <c r="M51" s="1321"/>
      <c r="N51" s="38" t="str">
        <f>IF('päd.Personal - Leitung'!$N$3="","",'päd.Personal - Leitung'!$N$3)</f>
        <v/>
      </c>
    </row>
    <row r="52" spans="1:19" s="923" customFormat="1" ht="7.5" customHeight="1" x14ac:dyDescent="0.15">
      <c r="A52" s="1353"/>
      <c r="B52" s="1353"/>
      <c r="C52" s="1353"/>
      <c r="D52" s="1354"/>
      <c r="E52" s="1354"/>
      <c r="F52" s="1354"/>
      <c r="G52" s="1354"/>
      <c r="H52" s="1354"/>
      <c r="I52" s="1354"/>
      <c r="J52" s="1354"/>
      <c r="K52" s="922"/>
      <c r="L52" s="922"/>
      <c r="M52" s="922"/>
      <c r="N52" s="922"/>
      <c r="O52" s="922"/>
      <c r="P52" s="922"/>
    </row>
    <row r="53" spans="1:19" s="13" customFormat="1" ht="13.5" customHeight="1" x14ac:dyDescent="0.2">
      <c r="A53" s="1355" t="s">
        <v>112</v>
      </c>
      <c r="B53" s="1355"/>
      <c r="C53" s="1355"/>
      <c r="D53" s="1355"/>
      <c r="E53" s="1355"/>
      <c r="F53" s="1355"/>
      <c r="G53" s="1355"/>
      <c r="H53" s="1355"/>
      <c r="I53" s="1355"/>
      <c r="J53" s="1355"/>
      <c r="K53" s="7"/>
      <c r="L53" s="7"/>
      <c r="M53" s="7"/>
      <c r="N53" s="52"/>
      <c r="O53" s="138">
        <f>'päd.Personal - Leitung'!$O$5</f>
        <v>2025</v>
      </c>
      <c r="P53" s="52" t="s">
        <v>140</v>
      </c>
    </row>
    <row r="54" spans="1:19" s="8" customFormat="1" ht="13.5" customHeight="1" x14ac:dyDescent="0.25">
      <c r="B54" s="29"/>
      <c r="C54" s="29"/>
      <c r="D54" s="3" t="s">
        <v>184</v>
      </c>
      <c r="E54" s="28"/>
      <c r="F54" s="28"/>
      <c r="G54" s="28"/>
      <c r="H54" s="28"/>
      <c r="I54" s="24"/>
      <c r="K54" s="1327" t="s">
        <v>13</v>
      </c>
      <c r="L54" s="1327"/>
      <c r="M54" s="131"/>
      <c r="O54" s="928" t="str">
        <f>A77</f>
        <v>Jan 2025</v>
      </c>
      <c r="P54" s="1402">
        <f>IF(M56="","",M56)</f>
        <v>0</v>
      </c>
    </row>
    <row r="55" spans="1:19" s="5" customFormat="1" ht="13.5" customHeight="1" x14ac:dyDescent="0.25">
      <c r="A55" s="1328" t="s">
        <v>754</v>
      </c>
      <c r="B55" s="1328"/>
      <c r="C55" s="1328"/>
      <c r="D55" s="1345"/>
      <c r="E55" s="1345"/>
      <c r="F55" s="1345"/>
      <c r="G55" s="1345"/>
      <c r="H55" s="1345"/>
      <c r="I55" s="1345"/>
      <c r="K55" s="1327" t="s">
        <v>101</v>
      </c>
      <c r="L55" s="1327"/>
      <c r="M55" s="101"/>
      <c r="O55" s="928" t="str">
        <f t="shared" ref="O55:O65" si="7">A78</f>
        <v>Feb 2025</v>
      </c>
      <c r="P55" s="1403">
        <f t="shared" ref="P55:P65" si="8">IF(P54="","",P54)</f>
        <v>0</v>
      </c>
    </row>
    <row r="56" spans="1:19" ht="13.5" customHeight="1" x14ac:dyDescent="0.2">
      <c r="A56" s="1328" t="s">
        <v>12</v>
      </c>
      <c r="B56" s="1328"/>
      <c r="C56" s="1328"/>
      <c r="D56" s="1345"/>
      <c r="E56" s="1345"/>
      <c r="F56" s="1345"/>
      <c r="G56" s="1345"/>
      <c r="H56" s="1345"/>
      <c r="I56" s="1345"/>
      <c r="K56" s="1327" t="s">
        <v>149</v>
      </c>
      <c r="L56" s="1327"/>
      <c r="M56" s="101">
        <f>IF((M57+M58)&gt;M55,0,M55-M57-M58)</f>
        <v>0</v>
      </c>
      <c r="O56" s="928" t="str">
        <f t="shared" si="7"/>
        <v>Mrz 2025</v>
      </c>
      <c r="P56" s="1403">
        <f t="shared" si="8"/>
        <v>0</v>
      </c>
    </row>
    <row r="57" spans="1:19" ht="13.5" customHeight="1" x14ac:dyDescent="0.2">
      <c r="A57" s="1328" t="s">
        <v>11</v>
      </c>
      <c r="B57" s="1328"/>
      <c r="C57" s="1328"/>
      <c r="D57" s="1345"/>
      <c r="E57" s="1345"/>
      <c r="F57" s="1345"/>
      <c r="G57" s="1345"/>
      <c r="H57" s="1345"/>
      <c r="I57" s="1345"/>
      <c r="K57" s="1327" t="s">
        <v>150</v>
      </c>
      <c r="L57" s="1327"/>
      <c r="M57" s="101"/>
      <c r="O57" s="928" t="str">
        <f t="shared" si="7"/>
        <v>Apr 2025</v>
      </c>
      <c r="P57" s="1403">
        <f t="shared" si="8"/>
        <v>0</v>
      </c>
    </row>
    <row r="58" spans="1:19" ht="13.5" customHeight="1" x14ac:dyDescent="0.2">
      <c r="A58" s="1328" t="s">
        <v>18</v>
      </c>
      <c r="B58" s="1328"/>
      <c r="C58" s="1328"/>
      <c r="D58" s="1345"/>
      <c r="E58" s="1345"/>
      <c r="F58" s="1345"/>
      <c r="G58" s="1345"/>
      <c r="H58" s="1345"/>
      <c r="I58" s="1345"/>
      <c r="K58" s="1327" t="s">
        <v>222</v>
      </c>
      <c r="L58" s="1327"/>
      <c r="M58" s="101"/>
      <c r="O58" s="928" t="str">
        <f t="shared" si="7"/>
        <v>Mai 2025</v>
      </c>
      <c r="P58" s="1403">
        <f t="shared" si="8"/>
        <v>0</v>
      </c>
    </row>
    <row r="59" spans="1:19" ht="13.5" customHeight="1" x14ac:dyDescent="0.2">
      <c r="B59" s="6"/>
      <c r="C59" s="979" t="s">
        <v>147</v>
      </c>
      <c r="D59" s="1324"/>
      <c r="E59" s="1324"/>
      <c r="F59" s="1359" t="s">
        <v>103</v>
      </c>
      <c r="G59" s="1359"/>
      <c r="H59" s="1361"/>
      <c r="I59" s="1361"/>
      <c r="K59" s="1327" t="s">
        <v>94</v>
      </c>
      <c r="L59" s="1327"/>
      <c r="M59" s="15" t="str">
        <f>IF(IF((COUNTIF(B77:B88,"&gt;0"))=0,0,(COUNTIF(B77:B88,"&gt;0")))&gt;Grundlagen!$C$26,Grundlagen!$C$26,IF((COUNTIF(B77:B88,"&gt;0"))=0,"",(COUNTIF(B77:B88,"&gt;0"))))</f>
        <v/>
      </c>
      <c r="O59" s="928" t="str">
        <f t="shared" si="7"/>
        <v>Jun 2025</v>
      </c>
      <c r="P59" s="1403">
        <f t="shared" si="8"/>
        <v>0</v>
      </c>
    </row>
    <row r="60" spans="1:19" ht="13.5" customHeight="1" x14ac:dyDescent="0.2">
      <c r="I60" s="4"/>
      <c r="M60" s="102" t="str">
        <f>IF((SUM(F62:F65))=0,"",IF(P66&gt;M56,M56,IF(M56="","",IF(M59="","",P66))))</f>
        <v/>
      </c>
      <c r="O60" s="928" t="str">
        <f t="shared" si="7"/>
        <v>Jul 2025</v>
      </c>
      <c r="P60" s="1403">
        <f t="shared" si="8"/>
        <v>0</v>
      </c>
    </row>
    <row r="61" spans="1:19" s="46" customFormat="1" ht="13.5" customHeight="1" x14ac:dyDescent="0.2">
      <c r="A61" s="54" t="s">
        <v>134</v>
      </c>
      <c r="B61" s="1356" t="s">
        <v>135</v>
      </c>
      <c r="C61" s="1356"/>
      <c r="D61" s="55" t="s">
        <v>136</v>
      </c>
      <c r="E61" s="56" t="s">
        <v>137</v>
      </c>
      <c r="F61" s="57" t="str">
        <f>CONCATENATE("Entg. ",N51," h/Wo")</f>
        <v>Entg.  h/Wo</v>
      </c>
      <c r="G61" s="58" t="s">
        <v>138</v>
      </c>
      <c r="I61" s="58" t="s">
        <v>139</v>
      </c>
      <c r="K61" s="970"/>
      <c r="L61" s="970"/>
      <c r="M61" s="59"/>
      <c r="N61" s="968" t="str">
        <f>IF(A63="","",A63)</f>
        <v/>
      </c>
      <c r="O61" s="928" t="str">
        <f t="shared" si="7"/>
        <v>Aug 2025</v>
      </c>
      <c r="P61" s="1403">
        <f t="shared" si="8"/>
        <v>0</v>
      </c>
      <c r="Q61" s="85"/>
      <c r="R61" s="85"/>
      <c r="S61" s="85"/>
    </row>
    <row r="62" spans="1:19" s="46" customFormat="1" ht="13.5" customHeight="1" x14ac:dyDescent="0.25">
      <c r="A62" s="48" t="str">
        <f>'päd.Personal - Leitung'!$A$14</f>
        <v>Jan 2025</v>
      </c>
      <c r="B62" s="1357" t="str">
        <f>IF($D$3="","",$D$3)</f>
        <v/>
      </c>
      <c r="C62" s="1358"/>
      <c r="D62" s="132"/>
      <c r="E62" s="132"/>
      <c r="F62" s="71"/>
      <c r="G62" s="50">
        <f>IF(N51="",0,F62/N51/4.348)</f>
        <v>0</v>
      </c>
      <c r="I62" s="125">
        <f>SUM(J62:M62)</f>
        <v>0</v>
      </c>
      <c r="J62" s="124"/>
      <c r="K62" s="124"/>
      <c r="L62" s="124"/>
      <c r="M62" s="124"/>
      <c r="N62" s="969"/>
      <c r="O62" s="928" t="str">
        <f t="shared" si="7"/>
        <v>Sep 2025</v>
      </c>
      <c r="P62" s="1403">
        <f t="shared" si="8"/>
        <v>0</v>
      </c>
      <c r="Q62" s="85"/>
      <c r="R62" s="85"/>
      <c r="S62" s="85"/>
    </row>
    <row r="63" spans="1:19" s="46" customFormat="1" ht="13.5" customHeight="1" x14ac:dyDescent="0.25">
      <c r="A63" s="49"/>
      <c r="B63" s="1322" t="str">
        <f>IF(A63="","",B62)</f>
        <v/>
      </c>
      <c r="C63" s="1323"/>
      <c r="D63" s="132"/>
      <c r="E63" s="132"/>
      <c r="F63" s="71"/>
      <c r="G63" s="50">
        <f>IF(N51="",0,F63/N51/4.348)</f>
        <v>0</v>
      </c>
      <c r="I63" s="125">
        <f t="shared" ref="I63:I65" si="9">SUM(J63:M63)</f>
        <v>0</v>
      </c>
      <c r="J63" s="124"/>
      <c r="K63" s="124"/>
      <c r="L63" s="124"/>
      <c r="M63" s="124"/>
      <c r="N63" s="969"/>
      <c r="O63" s="928" t="str">
        <f t="shared" si="7"/>
        <v>Okt 2025</v>
      </c>
      <c r="P63" s="1403">
        <f t="shared" si="8"/>
        <v>0</v>
      </c>
      <c r="Q63" s="85"/>
      <c r="R63" s="85"/>
      <c r="S63" s="85"/>
    </row>
    <row r="64" spans="1:19" s="46" customFormat="1" ht="13.5" customHeight="1" x14ac:dyDescent="0.25">
      <c r="A64" s="49"/>
      <c r="B64" s="1322" t="str">
        <f>IF(A64="","",B63)</f>
        <v/>
      </c>
      <c r="C64" s="1323"/>
      <c r="D64" s="132"/>
      <c r="E64" s="132"/>
      <c r="F64" s="71"/>
      <c r="G64" s="50">
        <f>IF(N51="",0,F64/N51/4.348)</f>
        <v>0</v>
      </c>
      <c r="I64" s="125">
        <f t="shared" si="9"/>
        <v>0</v>
      </c>
      <c r="J64" s="124"/>
      <c r="K64" s="124"/>
      <c r="L64" s="124"/>
      <c r="M64" s="124"/>
      <c r="N64" s="969"/>
      <c r="O64" s="928" t="str">
        <f t="shared" si="7"/>
        <v>Nov 2025</v>
      </c>
      <c r="P64" s="1403">
        <f t="shared" si="8"/>
        <v>0</v>
      </c>
      <c r="Q64" s="85"/>
      <c r="R64" s="85"/>
      <c r="S64" s="85"/>
    </row>
    <row r="65" spans="1:22" s="46" customFormat="1" ht="13.5" customHeight="1" x14ac:dyDescent="0.25">
      <c r="A65" s="49"/>
      <c r="B65" s="1322" t="str">
        <f>IF(A65="","",B64)</f>
        <v/>
      </c>
      <c r="C65" s="1323"/>
      <c r="D65" s="132"/>
      <c r="E65" s="132"/>
      <c r="F65" s="71"/>
      <c r="G65" s="50">
        <f>IF(N51="",0,F65/N51/4.348)</f>
        <v>0</v>
      </c>
      <c r="I65" s="125">
        <f t="shared" si="9"/>
        <v>0</v>
      </c>
      <c r="J65" s="124"/>
      <c r="K65" s="124"/>
      <c r="L65" s="124"/>
      <c r="M65" s="124"/>
      <c r="N65" s="969"/>
      <c r="O65" s="928" t="str">
        <f t="shared" si="7"/>
        <v>Dez 2025</v>
      </c>
      <c r="P65" s="1403">
        <f t="shared" si="8"/>
        <v>0</v>
      </c>
      <c r="Q65" s="85"/>
      <c r="R65" s="85"/>
      <c r="S65" s="85"/>
    </row>
    <row r="66" spans="1:22" s="46" customFormat="1" ht="13.5" customHeight="1" x14ac:dyDescent="0.25">
      <c r="B66" s="972"/>
      <c r="C66" s="972"/>
      <c r="E66" s="972"/>
      <c r="F66" s="972"/>
      <c r="I66" s="930" t="s">
        <v>730</v>
      </c>
      <c r="J66" s="976"/>
      <c r="K66" s="976"/>
      <c r="L66" s="976"/>
      <c r="M66" s="976"/>
      <c r="N66" s="971"/>
      <c r="O66" s="126" t="s">
        <v>221</v>
      </c>
      <c r="P66" s="127">
        <f>IF(M59="",0,((IF(SUMIF(B77,"&gt;0"),P54,0))+(IF(SUMIF(B78,"&gt;0"),P55,0))+(IF(SUMIF(B79,"&gt;0"),P56,0))+(IF(SUMIF(B80,"&gt;0"),P57,0))+(IF(SUMIF(B81,"&gt;0"),P58,0))+(IF(SUMIF(B82,"&gt;0"),P59,0))+(IF(SUMIF(B83,"&gt;0"),P60,0))+(IF(SUMIF(B84,"&gt;0"),P61,0))+(IF(SUMIF(B85,"&gt;0"),P62,0))+(IF(SUMIF(B86,"&gt;0"),P63,0))+(IF(SUMIF(B87,"&gt;0"),P64,0))+(IF(SUMIF(B88,"&gt;0"),P65,0)))/Grundlagen!$C$26)</f>
        <v>0</v>
      </c>
      <c r="Q66" s="978" t="str">
        <f>CONCATENATE("BBG"," anteilig ",O68)</f>
        <v>BBG anteilig 2025</v>
      </c>
      <c r="R66" s="931" t="s">
        <v>659</v>
      </c>
      <c r="S66" s="931" t="s">
        <v>398</v>
      </c>
      <c r="T66" s="107"/>
    </row>
    <row r="67" spans="1:22" s="46" customFormat="1" ht="13.5" customHeight="1" x14ac:dyDescent="0.2">
      <c r="A67" s="924" t="s">
        <v>732</v>
      </c>
      <c r="D67" s="55" t="s">
        <v>369</v>
      </c>
      <c r="E67" s="56" t="s">
        <v>368</v>
      </c>
      <c r="F67" s="58"/>
      <c r="J67" s="61"/>
      <c r="Q67" s="932" t="s">
        <v>144</v>
      </c>
      <c r="R67" s="140">
        <f>IF(M56=0,R71,IF(M55="",R71,(SUM(R77:R88)/M59)))</f>
        <v>5175</v>
      </c>
      <c r="S67" s="933">
        <f>IF(M56=0,S71,IF(M55="",S71,SUM(R77:R88)))</f>
        <v>0</v>
      </c>
      <c r="T67" s="107"/>
    </row>
    <row r="68" spans="1:22" s="46" customFormat="1" ht="13.5" customHeight="1" x14ac:dyDescent="0.25">
      <c r="A68" s="60"/>
      <c r="B68" s="1314" t="str">
        <f>IF($B$20="","",$B$20)</f>
        <v>Jahressonderzahlung (JSZ)</v>
      </c>
      <c r="C68" s="1315"/>
      <c r="D68" s="926"/>
      <c r="E68" s="929" t="str">
        <f>IF(A68="","",ROUND((((SUM(B83:B85)+SUM(F83:F85))/3)*D68)/Grundlagen!$C$26*M59,2))</f>
        <v/>
      </c>
      <c r="G68" s="941" t="s">
        <v>733</v>
      </c>
      <c r="H68" s="943"/>
      <c r="I68" s="1316" t="str">
        <f>CONCATENATE(R91,":"," Übergangsbereich von ",R92+0.01," €"," bis ",R93," €")</f>
        <v>2025: Übergangsbereich von 556,01 € bis 2000 €</v>
      </c>
      <c r="J68" s="1317"/>
      <c r="K68" s="1317"/>
      <c r="L68" s="1067"/>
      <c r="M68" s="1067"/>
      <c r="N68" s="1068" t="s">
        <v>736</v>
      </c>
      <c r="O68" s="1069">
        <f>P68+1</f>
        <v>2025</v>
      </c>
      <c r="P68" s="1069" t="s">
        <v>721</v>
      </c>
      <c r="Q68" s="932" t="s">
        <v>145</v>
      </c>
      <c r="R68" s="140">
        <f>IF(M56=0,R72,IF(M55="",R72,(SUM(S77:S88)/M59)))</f>
        <v>7450</v>
      </c>
      <c r="S68" s="933">
        <f>IF(M56=0,S72,IF(M55="",S72,SUM(S77:S88)))</f>
        <v>0</v>
      </c>
      <c r="T68" s="109"/>
    </row>
    <row r="69" spans="1:22" ht="14.25" customHeight="1" x14ac:dyDescent="0.2">
      <c r="A69" s="60"/>
      <c r="B69" s="1314" t="str">
        <f>IF($B$21="","",$B$21)</f>
        <v>Leistungsentgelt (LOB)</v>
      </c>
      <c r="C69" s="1315"/>
      <c r="D69" s="926"/>
      <c r="E69" s="929" t="str">
        <f>IF(A69="","",ROUND(((B89+F89)*D69)/Grundlagen!$C$26*M59,2))</f>
        <v/>
      </c>
      <c r="G69" s="941" t="str">
        <f>IF(OR(H68="",H68="nein")=TRUE,"","Faktor (F):")</f>
        <v/>
      </c>
      <c r="H69" s="949" t="str">
        <f>IF(OR(H68="",H68="nein")=TRUE,"",IF(H68="","",R95))</f>
        <v/>
      </c>
      <c r="I69" s="1318" t="str">
        <f>IF(OR(H68="",H68="nein")=TRUE,"",IF(H69="","",CONCATENATE(S95*100,"%"," / ","(",R94*100,"%"," Gesamt-SV-Beitragssatz 2024)")))</f>
        <v/>
      </c>
      <c r="J69" s="1319"/>
      <c r="K69" s="1319"/>
      <c r="L69" s="1070"/>
      <c r="M69" s="1070"/>
      <c r="N69" s="1071" t="s">
        <v>144</v>
      </c>
      <c r="O69" s="1072">
        <f>'päd.Personal - Leitung'!$O$21</f>
        <v>5175</v>
      </c>
      <c r="P69" s="1072">
        <f>'päd.Personal - Leitung'!$P$21</f>
        <v>5175</v>
      </c>
      <c r="Q69" s="11"/>
      <c r="R69" s="11"/>
      <c r="S69" s="11"/>
      <c r="T69" s="109"/>
    </row>
    <row r="70" spans="1:22" ht="14.25" customHeight="1" x14ac:dyDescent="0.2">
      <c r="C70" s="925" t="s">
        <v>731</v>
      </c>
      <c r="L70" s="1070"/>
      <c r="M70" s="1070"/>
      <c r="N70" s="1071" t="s">
        <v>145</v>
      </c>
      <c r="O70" s="1073">
        <f>'päd.Personal - Leitung'!$O$22</f>
        <v>7450</v>
      </c>
      <c r="P70" s="1073">
        <f>'päd.Personal - Leitung'!$P$22</f>
        <v>7450</v>
      </c>
      <c r="Q70" s="978" t="str">
        <f>CONCATENATE("BBG"," ",O68)</f>
        <v>BBG 2025</v>
      </c>
      <c r="R70" s="11"/>
      <c r="S70" s="11"/>
      <c r="T70" s="109"/>
    </row>
    <row r="71" spans="1:22" ht="14.25" customHeight="1" x14ac:dyDescent="0.2">
      <c r="A71" s="53" t="s">
        <v>141</v>
      </c>
      <c r="B71" s="46"/>
      <c r="C71" s="46"/>
      <c r="D71" s="46"/>
      <c r="E71" s="46"/>
      <c r="F71" s="46"/>
      <c r="G71" s="46"/>
      <c r="H71" s="46"/>
      <c r="I71" s="46"/>
      <c r="J71" s="46"/>
      <c r="K71" s="46"/>
      <c r="L71" s="46"/>
      <c r="M71" s="46"/>
      <c r="N71" s="46"/>
      <c r="O71" s="46"/>
      <c r="P71" s="46"/>
      <c r="Q71" s="932" t="s">
        <v>144</v>
      </c>
      <c r="R71" s="141">
        <f>IF($O$21="",0,$O$21)</f>
        <v>5175</v>
      </c>
      <c r="S71" s="933">
        <f>R71*IF(M59="",0,M59)</f>
        <v>0</v>
      </c>
      <c r="T71" s="295"/>
    </row>
    <row r="72" spans="1:22" x14ac:dyDescent="0.2">
      <c r="A72" s="1346"/>
      <c r="B72" s="1348" t="s">
        <v>8</v>
      </c>
      <c r="C72" s="1349"/>
      <c r="D72" s="1349"/>
      <c r="E72" s="1349"/>
      <c r="F72" s="1349"/>
      <c r="G72" s="1350"/>
      <c r="H72" s="1351" t="s">
        <v>113</v>
      </c>
      <c r="I72" s="1352"/>
      <c r="J72" s="1352"/>
      <c r="K72" s="1352"/>
      <c r="L72" s="1352"/>
      <c r="M72" s="1352"/>
      <c r="N72" s="1352"/>
      <c r="O72" s="30"/>
      <c r="P72" s="1330" t="s">
        <v>0</v>
      </c>
      <c r="Q72" s="932" t="s">
        <v>145</v>
      </c>
      <c r="R72" s="141">
        <f>IF($O$22="",0,$O$22)</f>
        <v>7450</v>
      </c>
      <c r="S72" s="933">
        <f>R72*IF(M59="",0,M59)</f>
        <v>0</v>
      </c>
      <c r="T72" s="830"/>
    </row>
    <row r="73" spans="1:22" ht="14.25" customHeight="1" x14ac:dyDescent="0.2">
      <c r="A73" s="1347"/>
      <c r="B73" s="1333" t="s">
        <v>111</v>
      </c>
      <c r="C73" s="1335" t="s">
        <v>743</v>
      </c>
      <c r="D73" s="1337" t="s">
        <v>226</v>
      </c>
      <c r="E73" s="1339" t="s">
        <v>133</v>
      </c>
      <c r="F73" s="981" t="s">
        <v>6</v>
      </c>
      <c r="G73" s="1340" t="s">
        <v>5</v>
      </c>
      <c r="H73" s="1339" t="s">
        <v>119</v>
      </c>
      <c r="I73" s="1339" t="s">
        <v>4</v>
      </c>
      <c r="J73" s="1339" t="s">
        <v>3</v>
      </c>
      <c r="K73" s="1339" t="s">
        <v>2</v>
      </c>
      <c r="L73" s="1339" t="s">
        <v>114</v>
      </c>
      <c r="M73" s="1339" t="s">
        <v>115</v>
      </c>
      <c r="N73" s="1339" t="s">
        <v>116</v>
      </c>
      <c r="O73" s="1338" t="s">
        <v>109</v>
      </c>
      <c r="P73" s="1331"/>
      <c r="Q73" s="456"/>
      <c r="R73" s="11"/>
      <c r="S73" s="11"/>
      <c r="T73" s="621"/>
    </row>
    <row r="74" spans="1:22" x14ac:dyDescent="0.2">
      <c r="A74" s="1347"/>
      <c r="B74" s="1333"/>
      <c r="C74" s="1335"/>
      <c r="D74" s="1338"/>
      <c r="E74" s="1339"/>
      <c r="F74" s="1343" t="str">
        <f>I66</f>
        <v>Zuschläge / Zulagen / o.ä.:</v>
      </c>
      <c r="G74" s="1340"/>
      <c r="H74" s="1342" t="s">
        <v>117</v>
      </c>
      <c r="I74" s="1342"/>
      <c r="J74" s="1342"/>
      <c r="K74" s="1342"/>
      <c r="L74" s="1342"/>
      <c r="M74" s="1342"/>
      <c r="N74" s="1342"/>
      <c r="O74" s="1338"/>
      <c r="P74" s="1331"/>
      <c r="Q74" s="456"/>
      <c r="R74" s="1306" t="str">
        <f>Q66</f>
        <v>BBG anteilig 2025</v>
      </c>
      <c r="S74" s="1306"/>
      <c r="T74" s="829"/>
    </row>
    <row r="75" spans="1:22" ht="14.25" customHeight="1" x14ac:dyDescent="0.2">
      <c r="A75" s="1347"/>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c r="Q75" s="456"/>
      <c r="R75" s="1307" t="s">
        <v>659</v>
      </c>
      <c r="S75" s="1307"/>
      <c r="T75" s="829"/>
      <c r="U75" s="1308" t="s">
        <v>1</v>
      </c>
      <c r="V75" s="1308" t="s">
        <v>741</v>
      </c>
    </row>
    <row r="76" spans="1:22" x14ac:dyDescent="0.2">
      <c r="A76" s="1347"/>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c r="Q76" s="456"/>
      <c r="R76" s="935" t="s">
        <v>144</v>
      </c>
      <c r="S76" s="935" t="s">
        <v>145</v>
      </c>
      <c r="T76" s="829"/>
      <c r="U76" s="1308"/>
      <c r="V76" s="1308"/>
    </row>
    <row r="77" spans="1:22"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56"/>
      <c r="R77" s="140">
        <f>ROUND(IF(M55="",R71,R71/M55*P54),2)</f>
        <v>5175</v>
      </c>
      <c r="S77" s="140">
        <f>ROUND(IF(M55="",R72,R72/M55*P54),2)</f>
        <v>7450</v>
      </c>
      <c r="U77" s="950">
        <f>SUM(B77:F77)</f>
        <v>0</v>
      </c>
      <c r="V77" s="950">
        <f>SUM(B77:F77)</f>
        <v>0</v>
      </c>
    </row>
    <row r="78" spans="1:22"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1">SUM(G78:O78)</f>
        <v>0</v>
      </c>
      <c r="Q78" s="456"/>
      <c r="R78" s="140">
        <f>ROUND(IF(M55="",R71,R71/M55*P55),2)</f>
        <v>5175</v>
      </c>
      <c r="S78" s="140">
        <f>ROUND(IF(M55="",R72,R72/M55*P55),2)</f>
        <v>7450</v>
      </c>
      <c r="U78" s="950">
        <f t="shared" ref="U78:U88" si="12">SUM(B78:F78)</f>
        <v>0</v>
      </c>
      <c r="V78" s="950">
        <f>SUM(B77:F78)</f>
        <v>0</v>
      </c>
    </row>
    <row r="79" spans="1:22"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56"/>
      <c r="R79" s="140">
        <f>ROUND(IF(M55="",R71,R71/M55*P56),2)</f>
        <v>5175</v>
      </c>
      <c r="S79" s="140">
        <f>ROUND(IF(M55="",R72,R72/M55*P56),2)</f>
        <v>7450</v>
      </c>
      <c r="U79" s="950">
        <f t="shared" si="12"/>
        <v>0</v>
      </c>
      <c r="V79" s="950">
        <f>SUM(B77:F79)</f>
        <v>0</v>
      </c>
    </row>
    <row r="80" spans="1:22"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56"/>
      <c r="R80" s="140">
        <f>ROUND(IF(M55="",R71,R71/M55*P57),2)</f>
        <v>5175</v>
      </c>
      <c r="S80" s="140">
        <f>ROUND(IF(M55="",R72,R72/M55*P57),2)</f>
        <v>7450</v>
      </c>
      <c r="U80" s="950">
        <f t="shared" si="12"/>
        <v>0</v>
      </c>
      <c r="V80" s="950">
        <f>SUM(B77:F80)</f>
        <v>0</v>
      </c>
    </row>
    <row r="81" spans="1:24"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56"/>
      <c r="R81" s="140">
        <f>ROUND(IF(M55="",R71,R71/M55*P58),2)</f>
        <v>5175</v>
      </c>
      <c r="S81" s="140">
        <f>ROUND(IF(M55="",R72,R72/M55*P58),2)</f>
        <v>7450</v>
      </c>
      <c r="U81" s="950">
        <f t="shared" si="12"/>
        <v>0</v>
      </c>
      <c r="V81" s="950">
        <f>SUM(B77:F81)</f>
        <v>0</v>
      </c>
    </row>
    <row r="82" spans="1:24"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56"/>
      <c r="R82" s="140">
        <f>ROUND(IF(M55="",R71,R71/M55*P59),2)</f>
        <v>5175</v>
      </c>
      <c r="S82" s="140">
        <f>ROUND(IF(M55="",R72,R72/M55*P59),2)</f>
        <v>7450</v>
      </c>
      <c r="U82" s="950">
        <f t="shared" si="12"/>
        <v>0</v>
      </c>
      <c r="V82" s="950">
        <f>SUM(B77:F82)</f>
        <v>0</v>
      </c>
    </row>
    <row r="83" spans="1:24"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56"/>
      <c r="R83" s="140">
        <f>ROUND(IF(M55="",R71,R71/M55*P60),2)</f>
        <v>5175</v>
      </c>
      <c r="S83" s="140">
        <f>ROUND(IF(M55="",R72,R72/M55*P60),2)</f>
        <v>7450</v>
      </c>
      <c r="U83" s="950">
        <f t="shared" si="12"/>
        <v>0</v>
      </c>
      <c r="V83" s="950">
        <f>SUM(B77:F83)</f>
        <v>0</v>
      </c>
    </row>
    <row r="84" spans="1:24"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56"/>
      <c r="R84" s="140">
        <f>ROUND(IF(M55="",R71,R71/M55*P61),2)</f>
        <v>5175</v>
      </c>
      <c r="S84" s="140">
        <f>ROUND(IF(M55="",R72,R72/M55*P61),2)</f>
        <v>7450</v>
      </c>
      <c r="U84" s="950">
        <f t="shared" si="12"/>
        <v>0</v>
      </c>
      <c r="V84" s="950">
        <f>SUM(B77:F84)</f>
        <v>0</v>
      </c>
    </row>
    <row r="85" spans="1:24"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56"/>
      <c r="R85" s="140">
        <f>ROUND(IF(M55="",R71,R71/M55*P62),2)</f>
        <v>5175</v>
      </c>
      <c r="S85" s="140">
        <f>ROUND(IF(M55="",R72,R72/M55*P62),2)</f>
        <v>7450</v>
      </c>
      <c r="U85" s="950">
        <f t="shared" si="12"/>
        <v>0</v>
      </c>
      <c r="V85" s="950">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936"/>
      <c r="R86" s="140">
        <f>ROUND(IF(M55="",R71,R71/M55*P63),2)</f>
        <v>5175</v>
      </c>
      <c r="S86" s="140">
        <f>ROUND(IF(M55="",R72,R72/M55*P63),2)</f>
        <v>7450</v>
      </c>
      <c r="U86" s="950">
        <f t="shared" si="12"/>
        <v>0</v>
      </c>
      <c r="V86" s="950">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40">
        <f>ROUND(IF(M55="",R71,R71/M55*P64),2)</f>
        <v>5175</v>
      </c>
      <c r="S87" s="140">
        <f>ROUND(IF(M55="",R72,R72/M55*P64),2)</f>
        <v>7450</v>
      </c>
      <c r="U87" s="950">
        <f t="shared" si="12"/>
        <v>0</v>
      </c>
      <c r="V87" s="950">
        <f>SUM(B77:F87)</f>
        <v>0</v>
      </c>
      <c r="X87" s="1"/>
    </row>
    <row r="88" spans="1:24"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40">
        <f>ROUND(IF(M55="",R71,R71/M55*P65),2)</f>
        <v>5175</v>
      </c>
      <c r="S88" s="140">
        <f>ROUND(IF(M55="",R72,R72/M55*P65),2)</f>
        <v>7450</v>
      </c>
      <c r="U88" s="950">
        <f t="shared" si="12"/>
        <v>0</v>
      </c>
      <c r="V88" s="950">
        <f>SUM(B77:F88)</f>
        <v>0</v>
      </c>
    </row>
    <row r="89" spans="1:24" ht="15" customHeight="1" x14ac:dyDescent="0.2">
      <c r="A89" s="2" t="s">
        <v>1</v>
      </c>
      <c r="B89" s="25">
        <f>SUM(B77:B88)</f>
        <v>0</v>
      </c>
      <c r="C89" s="25">
        <f t="shared" ref="C89:G89" si="13">SUM(C77:C88)</f>
        <v>0</v>
      </c>
      <c r="D89" s="25">
        <f t="shared" si="13"/>
        <v>0</v>
      </c>
      <c r="E89" s="25">
        <f t="shared" si="13"/>
        <v>0</v>
      </c>
      <c r="F89" s="25">
        <f t="shared" si="13"/>
        <v>0</v>
      </c>
      <c r="G89" s="25">
        <f t="shared" si="13"/>
        <v>0</v>
      </c>
      <c r="H89" s="1309">
        <f>SUM(H77:N88)</f>
        <v>0</v>
      </c>
      <c r="I89" s="1310"/>
      <c r="J89" s="1310"/>
      <c r="K89" s="1310"/>
      <c r="L89" s="1310"/>
      <c r="M89" s="1310"/>
      <c r="N89" s="1311"/>
      <c r="O89" s="25">
        <f>SUM(O77:O88)</f>
        <v>0</v>
      </c>
      <c r="P89" s="25">
        <f>SUM(P77:P88)</f>
        <v>0</v>
      </c>
    </row>
    <row r="90" spans="1:24" ht="12" customHeight="1" x14ac:dyDescent="0.2"/>
    <row r="91" spans="1:24" ht="14.25" customHeight="1" x14ac:dyDescent="0.2">
      <c r="B91" s="906"/>
      <c r="H91" s="905"/>
      <c r="I91" s="62"/>
      <c r="J91" s="914" t="s">
        <v>123</v>
      </c>
      <c r="L91" s="900" t="s">
        <v>124</v>
      </c>
      <c r="M91" s="974" t="str">
        <f>IF(IF(G89=0,"",$M$43)=0,"",IF(G89=0,"",$M$43))</f>
        <v/>
      </c>
      <c r="N91" s="902" t="s">
        <v>125</v>
      </c>
      <c r="O91" s="963" t="str">
        <f>IF(IF(G89=0,"",$O$43)=0,"",IF(G89=0,"",$O$43))</f>
        <v/>
      </c>
      <c r="P91" s="25">
        <f>ROUND(IF(M91="",0,G89*M91*O91/1000),2)</f>
        <v>0</v>
      </c>
      <c r="Q91" s="937"/>
      <c r="R91" s="938">
        <v>2025</v>
      </c>
      <c r="S91" s="939"/>
    </row>
    <row r="92" spans="1:24" ht="14.25" customHeight="1" x14ac:dyDescent="0.2">
      <c r="H92" s="907"/>
      <c r="I92" s="42"/>
      <c r="M92" s="915" t="s">
        <v>129</v>
      </c>
      <c r="N92" s="80" t="s">
        <v>125</v>
      </c>
      <c r="O92" s="75" t="str">
        <f>IF(IF(G89=0,"",$O$44)=0,"",IF(G89=0,"",$O$44))</f>
        <v/>
      </c>
      <c r="P92" s="25">
        <f>ROUND(IF(O92="",0,G89*O92/1000),2)</f>
        <v>0</v>
      </c>
      <c r="Q92" s="942" t="s">
        <v>737</v>
      </c>
      <c r="R92" s="141">
        <f>'päd.Personal - Leitung'!$R$44</f>
        <v>556</v>
      </c>
      <c r="S92" s="955">
        <f>'päd.Personal - Leitung'!$S$44</f>
        <v>12.82</v>
      </c>
    </row>
    <row r="93" spans="1:24" ht="14.25" customHeight="1" x14ac:dyDescent="0.2">
      <c r="H93" s="912" t="s">
        <v>126</v>
      </c>
      <c r="I93" s="980" t="s">
        <v>127</v>
      </c>
      <c r="J93" s="975" t="str">
        <f>IF(IF(G89=0,"",$J$45)=0,"",IF(G89=0,"",$J$45))</f>
        <v/>
      </c>
      <c r="K93" s="902" t="s">
        <v>128</v>
      </c>
      <c r="L93" s="964" t="str">
        <f>IF(IF(G89=0,"",$L$45)=0,"",IF(G89=0,"",$L$45))</f>
        <v/>
      </c>
      <c r="M93" s="16"/>
      <c r="N93" s="900" t="s">
        <v>132</v>
      </c>
      <c r="O93" s="965" t="str">
        <f>IF(IF(G89=0,"",$O$45)=0,"",IF(G89=0,"",$O$45))</f>
        <v/>
      </c>
      <c r="P93" s="25">
        <f>ROUND(IF(J93="",0,(J93*L93/O93)/M57*M58),2)</f>
        <v>0</v>
      </c>
      <c r="Q93" s="942" t="s">
        <v>738</v>
      </c>
      <c r="R93" s="140">
        <f>'päd.Personal - Leitung'!$R$45</f>
        <v>2000</v>
      </c>
      <c r="S93" s="939"/>
    </row>
    <row r="94" spans="1:24" ht="14.25" customHeight="1" x14ac:dyDescent="0.2">
      <c r="D94" s="16"/>
      <c r="I94" s="16"/>
      <c r="J94" s="16"/>
      <c r="K94" s="63"/>
      <c r="L94" s="67"/>
      <c r="M94" s="915" t="s">
        <v>130</v>
      </c>
      <c r="N94" s="80" t="s">
        <v>131</v>
      </c>
      <c r="O94" s="904">
        <f>IF(IF(M60="",0,$O$46)=0,0,IF(M60="",0,$O$46))</f>
        <v>0</v>
      </c>
      <c r="P94" s="21">
        <f>ROUND(IF(G89=0,0,O94/M55*M56),2)</f>
        <v>0</v>
      </c>
      <c r="Q94" s="942" t="s">
        <v>740</v>
      </c>
      <c r="R94" s="956">
        <f>'päd.Personal - Leitung'!$R$46</f>
        <v>0.40900000000000003</v>
      </c>
    </row>
    <row r="95" spans="1:24" ht="14.25" customHeight="1" x14ac:dyDescent="0.2">
      <c r="A95" s="16"/>
      <c r="B95" s="16"/>
      <c r="I95" s="905"/>
      <c r="J95" s="961" t="s">
        <v>176</v>
      </c>
      <c r="K95" s="1312" t="str">
        <f>IF($K$47="","",$K$47)</f>
        <v/>
      </c>
      <c r="L95" s="1312"/>
      <c r="M95" s="1312"/>
      <c r="N95" s="80" t="s">
        <v>131</v>
      </c>
      <c r="O95" s="904">
        <f>IF(IF(M60="",0,$O$47)=0,0,IF(M60="",0,$O$47))</f>
        <v>0</v>
      </c>
      <c r="P95" s="21">
        <f>ROUND(IF(G89=0,0,O95/M55*M56),2)</f>
        <v>0</v>
      </c>
      <c r="Q95" s="942" t="s">
        <v>739</v>
      </c>
      <c r="R95" s="940">
        <f>'päd.Personal - Leitung'!$R$47</f>
        <v>0.68459999999999999</v>
      </c>
      <c r="S95" s="957">
        <f>'päd.Personal - Leitung'!$S$47</f>
        <v>0.28000000000000003</v>
      </c>
    </row>
    <row r="96" spans="1:24" ht="14.25" customHeight="1" x14ac:dyDescent="0.2">
      <c r="A96" s="908"/>
      <c r="B96" s="908"/>
      <c r="C96" s="980"/>
      <c r="D96" s="980"/>
      <c r="I96" s="913"/>
      <c r="J96" s="913"/>
      <c r="K96" s="916"/>
      <c r="L96" s="27"/>
      <c r="M96" s="27"/>
      <c r="N96" s="27"/>
      <c r="O96" s="26" t="s">
        <v>0</v>
      </c>
      <c r="P96" s="25">
        <f>P89+SUM(P91:P95)</f>
        <v>0</v>
      </c>
    </row>
    <row r="97" spans="1:19" s="10" customFormat="1" ht="13.5" customHeight="1" x14ac:dyDescent="0.2">
      <c r="A97" s="1321" t="s">
        <v>17</v>
      </c>
      <c r="B97" s="1321"/>
      <c r="C97" s="1321"/>
      <c r="D97" s="1320" t="str">
        <f>IF('päd.Personal - Leitung'!$D$1="","",'päd.Personal - Leitung'!$D$1)</f>
        <v/>
      </c>
      <c r="E97" s="1320"/>
      <c r="F97" s="1320"/>
      <c r="G97" s="1320"/>
      <c r="H97" s="1320"/>
      <c r="I97" s="1320"/>
      <c r="J97" s="1320"/>
      <c r="K97" s="1320"/>
      <c r="L97" s="1320"/>
      <c r="M97" s="1320"/>
      <c r="N97" s="1320"/>
    </row>
    <row r="98" spans="1:19" s="10" customFormat="1" ht="15" customHeight="1" x14ac:dyDescent="0.2">
      <c r="A98" s="1321" t="s">
        <v>16</v>
      </c>
      <c r="B98" s="1321"/>
      <c r="C98" s="1321" t="s">
        <v>14</v>
      </c>
      <c r="D98" s="1320" t="str">
        <f>IF('päd.Personal - Leitung'!$D$2="","",'päd.Personal - Leitung'!$D$2)</f>
        <v/>
      </c>
      <c r="E98" s="1320"/>
      <c r="F98" s="1320"/>
      <c r="G98" s="1320"/>
      <c r="H98" s="1320"/>
      <c r="I98" s="1320"/>
      <c r="J98" s="1320"/>
      <c r="K98" s="1320"/>
      <c r="L98" s="1320"/>
      <c r="M98" s="1320"/>
      <c r="N98" s="1320"/>
    </row>
    <row r="99" spans="1:19" s="10" customFormat="1" ht="15" customHeight="1" x14ac:dyDescent="0.2">
      <c r="A99" s="1321" t="s">
        <v>15</v>
      </c>
      <c r="B99" s="1321"/>
      <c r="C99" s="1321" t="s">
        <v>14</v>
      </c>
      <c r="D99" s="1320" t="str">
        <f>IF('päd.Personal - Leitung'!$D$3="","",'päd.Personal - Leitung'!$D$3)</f>
        <v/>
      </c>
      <c r="E99" s="1320"/>
      <c r="F99" s="1320"/>
      <c r="G99" s="1320"/>
      <c r="H99" s="1320"/>
      <c r="I99" s="1320"/>
      <c r="J99" s="1320"/>
      <c r="K99" s="1321" t="s">
        <v>100</v>
      </c>
      <c r="L99" s="1321"/>
      <c r="M99" s="1321"/>
      <c r="N99" s="38" t="str">
        <f>IF('päd.Personal - Leitung'!$N$3="","",'päd.Personal - Leitung'!$N$3)</f>
        <v/>
      </c>
    </row>
    <row r="100" spans="1:19" s="923" customFormat="1" ht="7.5" customHeight="1" x14ac:dyDescent="0.15">
      <c r="A100" s="1353"/>
      <c r="B100" s="1353"/>
      <c r="C100" s="1353"/>
      <c r="D100" s="1354"/>
      <c r="E100" s="1354"/>
      <c r="F100" s="1354"/>
      <c r="G100" s="1354"/>
      <c r="H100" s="1354"/>
      <c r="I100" s="1354"/>
      <c r="J100" s="1354"/>
      <c r="K100" s="922"/>
      <c r="L100" s="922"/>
      <c r="M100" s="922"/>
      <c r="N100" s="922"/>
      <c r="O100" s="922"/>
      <c r="P100" s="922"/>
    </row>
    <row r="101" spans="1:19" s="13" customFormat="1" ht="13.5" customHeight="1" x14ac:dyDescent="0.2">
      <c r="A101" s="1355" t="s">
        <v>112</v>
      </c>
      <c r="B101" s="1355"/>
      <c r="C101" s="1355"/>
      <c r="D101" s="1355"/>
      <c r="E101" s="1355"/>
      <c r="F101" s="1355"/>
      <c r="G101" s="1355"/>
      <c r="H101" s="1355"/>
      <c r="I101" s="1355"/>
      <c r="J101" s="1355"/>
      <c r="K101" s="7"/>
      <c r="L101" s="7"/>
      <c r="M101" s="7"/>
      <c r="N101" s="52"/>
      <c r="O101" s="138">
        <f>'päd.Personal - Leitung'!$O$5</f>
        <v>2025</v>
      </c>
      <c r="P101" s="52" t="s">
        <v>140</v>
      </c>
    </row>
    <row r="102" spans="1:19" s="8" customFormat="1" ht="13.5" customHeight="1" x14ac:dyDescent="0.25">
      <c r="B102" s="29"/>
      <c r="C102" s="29"/>
      <c r="D102" s="3" t="s">
        <v>185</v>
      </c>
      <c r="E102" s="28"/>
      <c r="F102" s="28"/>
      <c r="G102" s="28"/>
      <c r="H102" s="28"/>
      <c r="I102" s="24"/>
      <c r="K102" s="1327" t="s">
        <v>13</v>
      </c>
      <c r="L102" s="1327"/>
      <c r="M102" s="131"/>
      <c r="O102" s="928" t="str">
        <f>A125</f>
        <v>Jan 2025</v>
      </c>
      <c r="P102" s="1402">
        <f>IF(M104="","",M104)</f>
        <v>0</v>
      </c>
    </row>
    <row r="103" spans="1:19" s="5" customFormat="1" ht="13.5" customHeight="1" x14ac:dyDescent="0.25">
      <c r="A103" s="1328" t="s">
        <v>754</v>
      </c>
      <c r="B103" s="1328"/>
      <c r="C103" s="1328"/>
      <c r="D103" s="1345"/>
      <c r="E103" s="1345"/>
      <c r="F103" s="1345"/>
      <c r="G103" s="1345"/>
      <c r="H103" s="1345"/>
      <c r="I103" s="1345"/>
      <c r="K103" s="1327" t="s">
        <v>101</v>
      </c>
      <c r="L103" s="1327"/>
      <c r="M103" s="101"/>
      <c r="O103" s="928" t="str">
        <f t="shared" ref="O103:O113" si="14">A126</f>
        <v>Feb 2025</v>
      </c>
      <c r="P103" s="1403">
        <f t="shared" ref="P103:P113" si="15">IF(P102="","",P102)</f>
        <v>0</v>
      </c>
    </row>
    <row r="104" spans="1:19" ht="13.5" customHeight="1" x14ac:dyDescent="0.2">
      <c r="A104" s="1328" t="s">
        <v>12</v>
      </c>
      <c r="B104" s="1328"/>
      <c r="C104" s="1328"/>
      <c r="D104" s="1345"/>
      <c r="E104" s="1345"/>
      <c r="F104" s="1345"/>
      <c r="G104" s="1345"/>
      <c r="H104" s="1345"/>
      <c r="I104" s="1345"/>
      <c r="K104" s="1327" t="s">
        <v>149</v>
      </c>
      <c r="L104" s="1327"/>
      <c r="M104" s="101">
        <f>IF((M105+M106)&gt;M103,0,M103-M105-M106)</f>
        <v>0</v>
      </c>
      <c r="O104" s="928" t="str">
        <f t="shared" si="14"/>
        <v>Mrz 2025</v>
      </c>
      <c r="P104" s="1403">
        <f t="shared" si="15"/>
        <v>0</v>
      </c>
    </row>
    <row r="105" spans="1:19" ht="13.5" customHeight="1" x14ac:dyDescent="0.2">
      <c r="A105" s="1328" t="s">
        <v>11</v>
      </c>
      <c r="B105" s="1328"/>
      <c r="C105" s="1328"/>
      <c r="D105" s="1345"/>
      <c r="E105" s="1345"/>
      <c r="F105" s="1345"/>
      <c r="G105" s="1345"/>
      <c r="H105" s="1345"/>
      <c r="I105" s="1345"/>
      <c r="K105" s="1327" t="s">
        <v>150</v>
      </c>
      <c r="L105" s="1327"/>
      <c r="M105" s="101"/>
      <c r="O105" s="928" t="str">
        <f t="shared" si="14"/>
        <v>Apr 2025</v>
      </c>
      <c r="P105" s="1403">
        <f t="shared" si="15"/>
        <v>0</v>
      </c>
    </row>
    <row r="106" spans="1:19" ht="13.5" customHeight="1" x14ac:dyDescent="0.2">
      <c r="A106" s="1328" t="s">
        <v>18</v>
      </c>
      <c r="B106" s="1328"/>
      <c r="C106" s="1328"/>
      <c r="D106" s="1345"/>
      <c r="E106" s="1345"/>
      <c r="F106" s="1345"/>
      <c r="G106" s="1345"/>
      <c r="H106" s="1345"/>
      <c r="I106" s="1345"/>
      <c r="K106" s="1327" t="s">
        <v>222</v>
      </c>
      <c r="L106" s="1327"/>
      <c r="M106" s="101"/>
      <c r="O106" s="928" t="str">
        <f t="shared" si="14"/>
        <v>Mai 2025</v>
      </c>
      <c r="P106" s="1403">
        <f t="shared" si="15"/>
        <v>0</v>
      </c>
    </row>
    <row r="107" spans="1:19" ht="13.5" customHeight="1" x14ac:dyDescent="0.2">
      <c r="B107" s="6"/>
      <c r="C107" s="979" t="s">
        <v>147</v>
      </c>
      <c r="D107" s="1324"/>
      <c r="E107" s="1324"/>
      <c r="F107" s="1359" t="s">
        <v>103</v>
      </c>
      <c r="G107" s="1359"/>
      <c r="H107" s="1361"/>
      <c r="I107" s="1361"/>
      <c r="K107" s="1327" t="s">
        <v>94</v>
      </c>
      <c r="L107" s="1327"/>
      <c r="M107" s="15" t="str">
        <f>IF(IF((COUNTIF(B125:B136,"&gt;0"))=0,0,(COUNTIF(B125:B136,"&gt;0")))&gt;Grundlagen!$C$26,Grundlagen!$C$26,IF((COUNTIF(B125:B136,"&gt;0"))=0,"",(COUNTIF(B125:B136,"&gt;0"))))</f>
        <v/>
      </c>
      <c r="O107" s="928" t="str">
        <f t="shared" si="14"/>
        <v>Jun 2025</v>
      </c>
      <c r="P107" s="1403">
        <f t="shared" si="15"/>
        <v>0</v>
      </c>
    </row>
    <row r="108" spans="1:19" ht="13.5" customHeight="1" x14ac:dyDescent="0.2">
      <c r="I108" s="4"/>
      <c r="M108" s="102" t="str">
        <f>IF((SUM(F110:F113))=0,"",IF(P114&gt;M104,M104,IF(M104="","",IF(M107="","",P114))))</f>
        <v/>
      </c>
      <c r="O108" s="928" t="str">
        <f t="shared" si="14"/>
        <v>Jul 2025</v>
      </c>
      <c r="P108" s="1403">
        <f t="shared" si="15"/>
        <v>0</v>
      </c>
    </row>
    <row r="109" spans="1:19" s="46" customFormat="1" ht="13.5" customHeight="1" x14ac:dyDescent="0.2">
      <c r="A109" s="54" t="s">
        <v>134</v>
      </c>
      <c r="B109" s="1356" t="s">
        <v>135</v>
      </c>
      <c r="C109" s="1356"/>
      <c r="D109" s="55" t="s">
        <v>136</v>
      </c>
      <c r="E109" s="56" t="s">
        <v>137</v>
      </c>
      <c r="F109" s="57" t="str">
        <f>CONCATENATE("Entg. ",N99," h/Wo")</f>
        <v>Entg.  h/Wo</v>
      </c>
      <c r="G109" s="58" t="s">
        <v>138</v>
      </c>
      <c r="I109" s="58" t="s">
        <v>139</v>
      </c>
      <c r="K109" s="970"/>
      <c r="L109" s="970"/>
      <c r="M109" s="59"/>
      <c r="N109" s="968" t="str">
        <f>IF(A111="","",A111)</f>
        <v/>
      </c>
      <c r="O109" s="928" t="str">
        <f t="shared" si="14"/>
        <v>Aug 2025</v>
      </c>
      <c r="P109" s="1403">
        <f t="shared" si="15"/>
        <v>0</v>
      </c>
      <c r="Q109" s="85"/>
      <c r="R109" s="85"/>
      <c r="S109" s="85"/>
    </row>
    <row r="110" spans="1:19" s="46" customFormat="1" ht="13.5" customHeight="1" x14ac:dyDescent="0.25">
      <c r="A110" s="48" t="str">
        <f>'päd.Personal - Leitung'!$A$14</f>
        <v>Jan 2025</v>
      </c>
      <c r="B110" s="1357" t="str">
        <f>IF($D$3="","",$D$3)</f>
        <v/>
      </c>
      <c r="C110" s="1358"/>
      <c r="D110" s="132"/>
      <c r="E110" s="132"/>
      <c r="F110" s="71"/>
      <c r="G110" s="50">
        <f>IF(N99="",0,F110/N99/4.348)</f>
        <v>0</v>
      </c>
      <c r="I110" s="125">
        <f>SUM(J110:M110)</f>
        <v>0</v>
      </c>
      <c r="J110" s="124"/>
      <c r="K110" s="124"/>
      <c r="L110" s="124"/>
      <c r="M110" s="124"/>
      <c r="N110" s="969"/>
      <c r="O110" s="928" t="str">
        <f t="shared" si="14"/>
        <v>Sep 2025</v>
      </c>
      <c r="P110" s="1403">
        <f t="shared" si="15"/>
        <v>0</v>
      </c>
      <c r="Q110" s="85"/>
      <c r="R110" s="85"/>
      <c r="S110" s="85"/>
    </row>
    <row r="111" spans="1:19" s="46" customFormat="1" ht="13.5" customHeight="1" x14ac:dyDescent="0.25">
      <c r="A111" s="49"/>
      <c r="B111" s="1322" t="str">
        <f>IF(A111="","",B110)</f>
        <v/>
      </c>
      <c r="C111" s="1323"/>
      <c r="D111" s="132"/>
      <c r="E111" s="132"/>
      <c r="F111" s="71"/>
      <c r="G111" s="50">
        <f>IF(N99="",0,F111/N99/4.348)</f>
        <v>0</v>
      </c>
      <c r="I111" s="125">
        <f t="shared" ref="I111:I113" si="16">SUM(J111:M111)</f>
        <v>0</v>
      </c>
      <c r="J111" s="124"/>
      <c r="K111" s="124"/>
      <c r="L111" s="124"/>
      <c r="M111" s="124"/>
      <c r="N111" s="969"/>
      <c r="O111" s="928" t="str">
        <f t="shared" si="14"/>
        <v>Okt 2025</v>
      </c>
      <c r="P111" s="1403">
        <f t="shared" si="15"/>
        <v>0</v>
      </c>
      <c r="Q111" s="85"/>
      <c r="R111" s="85"/>
      <c r="S111" s="85"/>
    </row>
    <row r="112" spans="1:19" s="46" customFormat="1" ht="13.5" customHeight="1" x14ac:dyDescent="0.25">
      <c r="A112" s="49"/>
      <c r="B112" s="1322" t="str">
        <f>IF(A112="","",B111)</f>
        <v/>
      </c>
      <c r="C112" s="1323"/>
      <c r="D112" s="132"/>
      <c r="E112" s="132"/>
      <c r="F112" s="71"/>
      <c r="G112" s="50">
        <f>IF(N99="",0,F112/N99/4.348)</f>
        <v>0</v>
      </c>
      <c r="I112" s="125">
        <f t="shared" si="16"/>
        <v>0</v>
      </c>
      <c r="J112" s="124"/>
      <c r="K112" s="124"/>
      <c r="L112" s="124"/>
      <c r="M112" s="124"/>
      <c r="N112" s="969"/>
      <c r="O112" s="928" t="str">
        <f t="shared" si="14"/>
        <v>Nov 2025</v>
      </c>
      <c r="P112" s="1403">
        <f t="shared" si="15"/>
        <v>0</v>
      </c>
      <c r="Q112" s="85"/>
      <c r="R112" s="85"/>
      <c r="S112" s="85"/>
    </row>
    <row r="113" spans="1:22" s="46" customFormat="1" ht="13.5" customHeight="1" x14ac:dyDescent="0.25">
      <c r="A113" s="49"/>
      <c r="B113" s="1322" t="str">
        <f>IF(A113="","",B112)</f>
        <v/>
      </c>
      <c r="C113" s="1323"/>
      <c r="D113" s="132"/>
      <c r="E113" s="132"/>
      <c r="F113" s="71"/>
      <c r="G113" s="50">
        <f>IF(N99="",0,F113/N99/4.348)</f>
        <v>0</v>
      </c>
      <c r="I113" s="125">
        <f t="shared" si="16"/>
        <v>0</v>
      </c>
      <c r="J113" s="124"/>
      <c r="K113" s="124"/>
      <c r="L113" s="124"/>
      <c r="M113" s="124"/>
      <c r="N113" s="969"/>
      <c r="O113" s="928" t="str">
        <f t="shared" si="14"/>
        <v>Dez 2025</v>
      </c>
      <c r="P113" s="1403">
        <f t="shared" si="15"/>
        <v>0</v>
      </c>
      <c r="Q113" s="85"/>
      <c r="R113" s="85"/>
      <c r="S113" s="85"/>
    </row>
    <row r="114" spans="1:22" s="46" customFormat="1" ht="13.5" customHeight="1" x14ac:dyDescent="0.25">
      <c r="B114" s="972"/>
      <c r="C114" s="972"/>
      <c r="E114" s="972"/>
      <c r="F114" s="972"/>
      <c r="I114" s="930" t="s">
        <v>730</v>
      </c>
      <c r="J114" s="976"/>
      <c r="K114" s="976"/>
      <c r="L114" s="976"/>
      <c r="M114" s="976"/>
      <c r="N114" s="971"/>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c r="Q114" s="978" t="str">
        <f>CONCATENATE("BBG"," anteilig ",O116)</f>
        <v>BBG anteilig 2025</v>
      </c>
      <c r="R114" s="931" t="s">
        <v>659</v>
      </c>
      <c r="S114" s="931" t="s">
        <v>398</v>
      </c>
      <c r="T114" s="107"/>
    </row>
    <row r="115" spans="1:22" s="46" customFormat="1" ht="13.5" customHeight="1" x14ac:dyDescent="0.2">
      <c r="A115" s="924" t="s">
        <v>732</v>
      </c>
      <c r="D115" s="55" t="s">
        <v>369</v>
      </c>
      <c r="E115" s="56" t="s">
        <v>368</v>
      </c>
      <c r="F115" s="58"/>
      <c r="J115" s="61"/>
      <c r="Q115" s="932" t="s">
        <v>144</v>
      </c>
      <c r="R115" s="140">
        <f>IF(M104=0,R119,IF(M103="",R119,(SUM(R125:R136)/M107)))</f>
        <v>5175</v>
      </c>
      <c r="S115" s="933">
        <f>IF(M104=0,S119,IF(M103="",S119,SUM(R125:R136)))</f>
        <v>0</v>
      </c>
      <c r="T115" s="107"/>
    </row>
    <row r="116" spans="1:22" s="46" customFormat="1" ht="13.5" customHeight="1" x14ac:dyDescent="0.25">
      <c r="A116" s="60"/>
      <c r="B116" s="1314" t="str">
        <f>IF($B$20="","",$B$20)</f>
        <v>Jahressonderzahlung (JSZ)</v>
      </c>
      <c r="C116" s="1315"/>
      <c r="D116" s="926"/>
      <c r="E116" s="929" t="str">
        <f>IF(A116="","",ROUND((((SUM(B131:B133)+SUM(F131:F133))/3)*D116)/Grundlagen!$C$26*M107,2))</f>
        <v/>
      </c>
      <c r="G116" s="941" t="s">
        <v>733</v>
      </c>
      <c r="H116" s="943"/>
      <c r="I116" s="1316" t="str">
        <f>CONCATENATE(R139,":"," Übergangsbereich von ",R140+0.01," €"," bis ",R141," €")</f>
        <v>2025: Übergangsbereich von 556,01 € bis 2000 €</v>
      </c>
      <c r="J116" s="1317"/>
      <c r="K116" s="1317"/>
      <c r="M116" s="1067"/>
      <c r="N116" s="1068" t="s">
        <v>736</v>
      </c>
      <c r="O116" s="1069">
        <f>P116+1</f>
        <v>2025</v>
      </c>
      <c r="P116" s="1069" t="s">
        <v>721</v>
      </c>
      <c r="Q116" s="932" t="s">
        <v>145</v>
      </c>
      <c r="R116" s="140">
        <f>IF(M104=0,R120,IF(M103="",R120,(SUM(S125:S136)/M107)))</f>
        <v>7450</v>
      </c>
      <c r="S116" s="933">
        <f>IF(M104=0,S120,IF(M103="",S120,SUM(S125:S136)))</f>
        <v>0</v>
      </c>
      <c r="T116" s="109"/>
    </row>
    <row r="117" spans="1:22" ht="14.25" customHeight="1" x14ac:dyDescent="0.2">
      <c r="A117" s="60"/>
      <c r="B117" s="1314" t="str">
        <f>IF($B$21="","",$B$21)</f>
        <v>Leistungsentgelt (LOB)</v>
      </c>
      <c r="C117" s="1315"/>
      <c r="D117" s="926"/>
      <c r="E117" s="929" t="str">
        <f>IF(A117="","",ROUND(((B137+F137)*D117)/Grundlagen!$C$26*M107,2))</f>
        <v/>
      </c>
      <c r="G117" s="941" t="str">
        <f>IF(OR(H116="",H116="nein")=TRUE,"","Faktor (F):")</f>
        <v/>
      </c>
      <c r="H117" s="949" t="str">
        <f>IF(OR(H116="",H116="nein")=TRUE,"",IF(H116="","",R143))</f>
        <v/>
      </c>
      <c r="I117" s="1318" t="str">
        <f>IF(OR(H116="",H116="nein")=TRUE,"",IF(H117="","",CONCATENATE(S143*100,"%"," / ","(",R142*100,"%"," Gesamt-SV-Beitragssatz 2024)")))</f>
        <v/>
      </c>
      <c r="J117" s="1319"/>
      <c r="K117" s="1319"/>
      <c r="M117" s="1070"/>
      <c r="N117" s="1071" t="s">
        <v>144</v>
      </c>
      <c r="O117" s="1072">
        <f>'päd.Personal - Leitung'!$O$21</f>
        <v>5175</v>
      </c>
      <c r="P117" s="1072">
        <f>'päd.Personal - Leitung'!$P$21</f>
        <v>5175</v>
      </c>
      <c r="Q117" s="11"/>
      <c r="R117" s="11"/>
      <c r="S117" s="11"/>
      <c r="T117" s="109"/>
    </row>
    <row r="118" spans="1:22" ht="14.25" customHeight="1" x14ac:dyDescent="0.2">
      <c r="C118" s="925" t="s">
        <v>731</v>
      </c>
      <c r="M118" s="1070"/>
      <c r="N118" s="1071" t="s">
        <v>145</v>
      </c>
      <c r="O118" s="1073">
        <f>'päd.Personal - Leitung'!$O$22</f>
        <v>7450</v>
      </c>
      <c r="P118" s="1073">
        <f>'päd.Personal - Leitung'!$P$22</f>
        <v>7450</v>
      </c>
      <c r="Q118" s="978" t="str">
        <f>CONCATENATE("BBG"," ",O116)</f>
        <v>BBG 2025</v>
      </c>
      <c r="R118" s="11"/>
      <c r="S118" s="11"/>
      <c r="T118" s="109"/>
    </row>
    <row r="119" spans="1:22" ht="14.25" customHeight="1" x14ac:dyDescent="0.2">
      <c r="A119" s="53" t="s">
        <v>141</v>
      </c>
      <c r="B119" s="46"/>
      <c r="C119" s="46"/>
      <c r="D119" s="46"/>
      <c r="E119" s="46"/>
      <c r="F119" s="46"/>
      <c r="G119" s="46"/>
      <c r="H119" s="46"/>
      <c r="I119" s="46"/>
      <c r="J119" s="46"/>
      <c r="K119" s="46"/>
      <c r="L119" s="46"/>
      <c r="M119" s="46"/>
      <c r="N119" s="46"/>
      <c r="O119" s="46"/>
      <c r="P119" s="46"/>
      <c r="Q119" s="932" t="s">
        <v>144</v>
      </c>
      <c r="R119" s="141">
        <f>IF($O$21="",0,$O$21)</f>
        <v>5175</v>
      </c>
      <c r="S119" s="933">
        <f>R119*IF(M107="",0,M107)</f>
        <v>0</v>
      </c>
      <c r="T119" s="295"/>
    </row>
    <row r="120" spans="1:22" x14ac:dyDescent="0.2">
      <c r="A120" s="1346"/>
      <c r="B120" s="1348" t="s">
        <v>8</v>
      </c>
      <c r="C120" s="1349"/>
      <c r="D120" s="1349"/>
      <c r="E120" s="1349"/>
      <c r="F120" s="1349"/>
      <c r="G120" s="1350"/>
      <c r="H120" s="1351" t="s">
        <v>113</v>
      </c>
      <c r="I120" s="1352"/>
      <c r="J120" s="1352"/>
      <c r="K120" s="1352"/>
      <c r="L120" s="1352"/>
      <c r="M120" s="1352"/>
      <c r="N120" s="1352"/>
      <c r="O120" s="30"/>
      <c r="P120" s="1330" t="s">
        <v>0</v>
      </c>
      <c r="Q120" s="932" t="s">
        <v>145</v>
      </c>
      <c r="R120" s="141">
        <f>IF($O$22="",0,$O$22)</f>
        <v>7450</v>
      </c>
      <c r="S120" s="933">
        <f>R120*IF(M107="",0,M107)</f>
        <v>0</v>
      </c>
      <c r="T120" s="830"/>
    </row>
    <row r="121" spans="1:22" ht="14.25" customHeight="1" x14ac:dyDescent="0.2">
      <c r="A121" s="1347"/>
      <c r="B121" s="1333" t="s">
        <v>111</v>
      </c>
      <c r="C121" s="1335" t="s">
        <v>743</v>
      </c>
      <c r="D121" s="1337" t="s">
        <v>226</v>
      </c>
      <c r="E121" s="1339" t="s">
        <v>133</v>
      </c>
      <c r="F121" s="981" t="s">
        <v>6</v>
      </c>
      <c r="G121" s="1340" t="s">
        <v>5</v>
      </c>
      <c r="H121" s="1339" t="s">
        <v>119</v>
      </c>
      <c r="I121" s="1339" t="s">
        <v>4</v>
      </c>
      <c r="J121" s="1339" t="s">
        <v>3</v>
      </c>
      <c r="K121" s="1339" t="s">
        <v>2</v>
      </c>
      <c r="L121" s="1339" t="s">
        <v>114</v>
      </c>
      <c r="M121" s="1339" t="s">
        <v>115</v>
      </c>
      <c r="N121" s="1339" t="s">
        <v>116</v>
      </c>
      <c r="O121" s="1338" t="s">
        <v>109</v>
      </c>
      <c r="P121" s="1331"/>
      <c r="Q121" s="456"/>
      <c r="R121" s="11"/>
      <c r="S121" s="11"/>
      <c r="T121" s="621"/>
    </row>
    <row r="122" spans="1:22" x14ac:dyDescent="0.2">
      <c r="A122" s="1347"/>
      <c r="B122" s="1333"/>
      <c r="C122" s="1335"/>
      <c r="D122" s="1338"/>
      <c r="E122" s="1339"/>
      <c r="F122" s="1343" t="str">
        <f>I114</f>
        <v>Zuschläge / Zulagen / o.ä.:</v>
      </c>
      <c r="G122" s="1340"/>
      <c r="H122" s="1342" t="s">
        <v>117</v>
      </c>
      <c r="I122" s="1342"/>
      <c r="J122" s="1342"/>
      <c r="K122" s="1342"/>
      <c r="L122" s="1342"/>
      <c r="M122" s="1342"/>
      <c r="N122" s="1342"/>
      <c r="O122" s="1338"/>
      <c r="P122" s="1331"/>
      <c r="Q122" s="456"/>
      <c r="R122" s="1306" t="str">
        <f>Q114</f>
        <v>BBG anteilig 2025</v>
      </c>
      <c r="S122" s="1306"/>
      <c r="T122" s="829"/>
    </row>
    <row r="123" spans="1:22" ht="14.25" customHeight="1" x14ac:dyDescent="0.2">
      <c r="A123" s="1347"/>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c r="Q123" s="456"/>
      <c r="R123" s="1307" t="s">
        <v>659</v>
      </c>
      <c r="S123" s="1307"/>
      <c r="T123" s="829"/>
      <c r="U123" s="1308" t="s">
        <v>1</v>
      </c>
      <c r="V123" s="1308" t="s">
        <v>741</v>
      </c>
    </row>
    <row r="124" spans="1:22" x14ac:dyDescent="0.2">
      <c r="A124" s="1347"/>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c r="Q124" s="456"/>
      <c r="R124" s="935" t="s">
        <v>144</v>
      </c>
      <c r="S124" s="935" t="s">
        <v>145</v>
      </c>
      <c r="T124" s="829"/>
      <c r="U124" s="1308"/>
      <c r="V124" s="1308"/>
    </row>
    <row r="125" spans="1:22"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17">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56"/>
      <c r="R125" s="140">
        <f>ROUND(IF(M103="",R119,R119/M103*P102),2)</f>
        <v>5175</v>
      </c>
      <c r="S125" s="140">
        <f>ROUND(IF(M103="",R120,R120/M103*P102),2)</f>
        <v>7450</v>
      </c>
      <c r="U125" s="950">
        <f>SUM(B125:F125)</f>
        <v>0</v>
      </c>
      <c r="V125" s="950">
        <f>SUM(B125:F125)</f>
        <v>0</v>
      </c>
    </row>
    <row r="126" spans="1:22"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17"/>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18">SUM(G126:O126)</f>
        <v>0</v>
      </c>
      <c r="Q126" s="456"/>
      <c r="R126" s="140">
        <f>ROUND(IF(M103="",R119,R119/M103*P103),2)</f>
        <v>5175</v>
      </c>
      <c r="S126" s="140">
        <f>ROUND(IF(M103="",R120,R120/M103*P103),2)</f>
        <v>7450</v>
      </c>
      <c r="U126" s="950">
        <f t="shared" ref="U126:U136" si="19">SUM(B126:F126)</f>
        <v>0</v>
      </c>
      <c r="V126" s="950">
        <f>SUM(B125:F126)</f>
        <v>0</v>
      </c>
    </row>
    <row r="127" spans="1:22"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17"/>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18"/>
        <v>0</v>
      </c>
      <c r="Q127" s="456"/>
      <c r="R127" s="140">
        <f>ROUND(IF(M103="",R119,R119/M103*P104),2)</f>
        <v>5175</v>
      </c>
      <c r="S127" s="140">
        <f>ROUND(IF(M103="",R120,R120/M103*P104),2)</f>
        <v>7450</v>
      </c>
      <c r="U127" s="950">
        <f t="shared" si="19"/>
        <v>0</v>
      </c>
      <c r="V127" s="950">
        <f>SUM(B125:F127)</f>
        <v>0</v>
      </c>
    </row>
    <row r="128" spans="1:22"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17"/>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18"/>
        <v>0</v>
      </c>
      <c r="Q128" s="456"/>
      <c r="R128" s="140">
        <f>ROUND(IF(M103="",R119,R119/M103*P105),2)</f>
        <v>5175</v>
      </c>
      <c r="S128" s="140">
        <f>ROUND(IF(M103="",R120,R120/M103*P105),2)</f>
        <v>7450</v>
      </c>
      <c r="U128" s="950">
        <f t="shared" si="19"/>
        <v>0</v>
      </c>
      <c r="V128" s="950">
        <f>SUM(B125:F128)</f>
        <v>0</v>
      </c>
    </row>
    <row r="129" spans="1:24"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17"/>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18"/>
        <v>0</v>
      </c>
      <c r="Q129" s="456"/>
      <c r="R129" s="140">
        <f>ROUND(IF(M103="",R119,R119/M103*P106),2)</f>
        <v>5175</v>
      </c>
      <c r="S129" s="140">
        <f>ROUND(IF(M103="",R120,R120/M103*P106),2)</f>
        <v>7450</v>
      </c>
      <c r="U129" s="950">
        <f t="shared" si="19"/>
        <v>0</v>
      </c>
      <c r="V129" s="950">
        <f>SUM(B125:F129)</f>
        <v>0</v>
      </c>
    </row>
    <row r="130" spans="1:24"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17"/>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18"/>
        <v>0</v>
      </c>
      <c r="Q130" s="456"/>
      <c r="R130" s="140">
        <f>ROUND(IF(M103="",R119,R119/M103*P107),2)</f>
        <v>5175</v>
      </c>
      <c r="S130" s="140">
        <f>ROUND(IF(M103="",R120,R120/M103*P107),2)</f>
        <v>7450</v>
      </c>
      <c r="U130" s="950">
        <f t="shared" si="19"/>
        <v>0</v>
      </c>
      <c r="V130" s="950">
        <f>SUM(B125:F130)</f>
        <v>0</v>
      </c>
    </row>
    <row r="131" spans="1:24"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17"/>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18"/>
        <v>0</v>
      </c>
      <c r="Q131" s="456"/>
      <c r="R131" s="140">
        <f>ROUND(IF(M103="",R119,R119/M103*P108),2)</f>
        <v>5175</v>
      </c>
      <c r="S131" s="140">
        <f>ROUND(IF(M103="",R120,R120/M103*P108),2)</f>
        <v>7450</v>
      </c>
      <c r="U131" s="950">
        <f t="shared" si="19"/>
        <v>0</v>
      </c>
      <c r="V131" s="950">
        <f>SUM(B125:F131)</f>
        <v>0</v>
      </c>
    </row>
    <row r="132" spans="1:24"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17"/>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18"/>
        <v>0</v>
      </c>
      <c r="Q132" s="456"/>
      <c r="R132" s="140">
        <f>ROUND(IF(M103="",R119,R119/M103*P109),2)</f>
        <v>5175</v>
      </c>
      <c r="S132" s="140">
        <f>ROUND(IF(M103="",R120,R120/M103*P109),2)</f>
        <v>7450</v>
      </c>
      <c r="U132" s="950">
        <f t="shared" si="19"/>
        <v>0</v>
      </c>
      <c r="V132" s="950">
        <f>SUM(B125:F132)</f>
        <v>0</v>
      </c>
    </row>
    <row r="133" spans="1:24"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17"/>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18"/>
        <v>0</v>
      </c>
      <c r="Q133" s="456"/>
      <c r="R133" s="140">
        <f>ROUND(IF(M103="",R119,R119/M103*P110),2)</f>
        <v>5175</v>
      </c>
      <c r="S133" s="140">
        <f>ROUND(IF(M103="",R120,R120/M103*P110),2)</f>
        <v>7450</v>
      </c>
      <c r="U133" s="950">
        <f t="shared" si="19"/>
        <v>0</v>
      </c>
      <c r="V133" s="950">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17"/>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18"/>
        <v>0</v>
      </c>
      <c r="Q134" s="936"/>
      <c r="R134" s="140">
        <f>ROUND(IF(M103="",R119,R119/M103*P111),2)</f>
        <v>5175</v>
      </c>
      <c r="S134" s="140">
        <f>ROUND(IF(M103="",R120,R120/M103*P111),2)</f>
        <v>7450</v>
      </c>
      <c r="U134" s="950">
        <f t="shared" si="19"/>
        <v>0</v>
      </c>
      <c r="V134" s="950">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17"/>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18"/>
        <v>0</v>
      </c>
      <c r="R135" s="140">
        <f>ROUND(IF(M103="",R119,R119/M103*P112),2)</f>
        <v>5175</v>
      </c>
      <c r="S135" s="140">
        <f>ROUND(IF(M103="",R120,R120/M103*P112),2)</f>
        <v>7450</v>
      </c>
      <c r="U135" s="950">
        <f t="shared" si="19"/>
        <v>0</v>
      </c>
      <c r="V135" s="950">
        <f>SUM(B125:F135)</f>
        <v>0</v>
      </c>
      <c r="X135" s="1"/>
    </row>
    <row r="136" spans="1:24"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17"/>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18"/>
        <v>0</v>
      </c>
      <c r="Q136" s="11"/>
      <c r="R136" s="140">
        <f>ROUND(IF(M103="",R119,R119/M103*P113),2)</f>
        <v>5175</v>
      </c>
      <c r="S136" s="140">
        <f>ROUND(IF(M103="",R120,R120/M103*P113),2)</f>
        <v>7450</v>
      </c>
      <c r="U136" s="950">
        <f t="shared" si="19"/>
        <v>0</v>
      </c>
      <c r="V136" s="950">
        <f>SUM(B125:F136)</f>
        <v>0</v>
      </c>
    </row>
    <row r="137" spans="1:24" ht="15" customHeight="1" x14ac:dyDescent="0.2">
      <c r="A137" s="2" t="s">
        <v>1</v>
      </c>
      <c r="B137" s="25">
        <f>SUM(B125:B136)</f>
        <v>0</v>
      </c>
      <c r="C137" s="25">
        <f t="shared" ref="C137:G137" si="20">SUM(C125:C136)</f>
        <v>0</v>
      </c>
      <c r="D137" s="25">
        <f t="shared" si="20"/>
        <v>0</v>
      </c>
      <c r="E137" s="25">
        <f t="shared" si="20"/>
        <v>0</v>
      </c>
      <c r="F137" s="25">
        <f t="shared" si="20"/>
        <v>0</v>
      </c>
      <c r="G137" s="25">
        <f t="shared" si="20"/>
        <v>0</v>
      </c>
      <c r="H137" s="1309">
        <f>SUM(H125:N136)</f>
        <v>0</v>
      </c>
      <c r="I137" s="1310"/>
      <c r="J137" s="1310"/>
      <c r="K137" s="1310"/>
      <c r="L137" s="1310"/>
      <c r="M137" s="1310"/>
      <c r="N137" s="1311"/>
      <c r="O137" s="25">
        <f>SUM(O125:O136)</f>
        <v>0</v>
      </c>
      <c r="P137" s="25">
        <f>SUM(P125:P136)</f>
        <v>0</v>
      </c>
    </row>
    <row r="138" spans="1:24" ht="12" customHeight="1" x14ac:dyDescent="0.2"/>
    <row r="139" spans="1:24" ht="14.25" customHeight="1" x14ac:dyDescent="0.2">
      <c r="B139" s="906"/>
      <c r="H139" s="905"/>
      <c r="I139" s="62"/>
      <c r="J139" s="914" t="s">
        <v>123</v>
      </c>
      <c r="L139" s="900" t="s">
        <v>124</v>
      </c>
      <c r="M139" s="974" t="str">
        <f>IF(IF(G137=0,"",$M$43)=0,"",IF(G137=0,"",$M$43))</f>
        <v/>
      </c>
      <c r="N139" s="902" t="s">
        <v>125</v>
      </c>
      <c r="O139" s="963" t="str">
        <f>IF(IF(G137=0,"",$O$43)=0,"",IF(G137=0,"",$O$43))</f>
        <v/>
      </c>
      <c r="P139" s="25">
        <f>ROUND(IF(M139="",0,G137*M139*O139/1000),2)</f>
        <v>0</v>
      </c>
      <c r="Q139" s="937"/>
      <c r="R139" s="938">
        <v>2025</v>
      </c>
      <c r="S139" s="939"/>
    </row>
    <row r="140" spans="1:24" ht="14.25" customHeight="1" x14ac:dyDescent="0.2">
      <c r="H140" s="907"/>
      <c r="I140" s="42"/>
      <c r="M140" s="915" t="s">
        <v>129</v>
      </c>
      <c r="N140" s="80" t="s">
        <v>125</v>
      </c>
      <c r="O140" s="75" t="str">
        <f>IF(IF(G137=0,"",$O$44)=0,"",IF(G137=0,"",$O$44))</f>
        <v/>
      </c>
      <c r="P140" s="25">
        <f>ROUND(IF(O140="",0,G137*O140/1000),2)</f>
        <v>0</v>
      </c>
      <c r="Q140" s="942" t="s">
        <v>737</v>
      </c>
      <c r="R140" s="141">
        <f>'päd.Personal - Leitung'!$R$44</f>
        <v>556</v>
      </c>
      <c r="S140" s="955">
        <f>'päd.Personal - Leitung'!$S$44</f>
        <v>12.82</v>
      </c>
    </row>
    <row r="141" spans="1:24" ht="14.25" customHeight="1" x14ac:dyDescent="0.2">
      <c r="H141" s="912" t="s">
        <v>126</v>
      </c>
      <c r="I141" s="1013" t="s">
        <v>127</v>
      </c>
      <c r="J141" s="975" t="str">
        <f>IF(IF(G137=0,"",$J$45)=0,"",IF(G137=0,"",$J$45))</f>
        <v/>
      </c>
      <c r="K141" s="902" t="s">
        <v>128</v>
      </c>
      <c r="L141" s="964" t="str">
        <f>IF(IF(G137=0,"",$L$45)=0,"",IF(G137=0,"",$L$45))</f>
        <v/>
      </c>
      <c r="M141" s="16"/>
      <c r="N141" s="900" t="s">
        <v>132</v>
      </c>
      <c r="O141" s="965" t="str">
        <f>IF(IF(G137=0,"",$O$45)=0,"",IF(G137=0,"",$O$45))</f>
        <v/>
      </c>
      <c r="P141" s="25">
        <f>ROUND(IF(J141="",0,(J141*L141/O141)/M105*M106),2)</f>
        <v>0</v>
      </c>
      <c r="Q141" s="942" t="s">
        <v>738</v>
      </c>
      <c r="R141" s="140">
        <f>'päd.Personal - Leitung'!$R$45</f>
        <v>2000</v>
      </c>
      <c r="S141" s="939"/>
    </row>
    <row r="142" spans="1:24" ht="14.25" customHeight="1" x14ac:dyDescent="0.2">
      <c r="D142" s="16"/>
      <c r="I142" s="16"/>
      <c r="J142" s="16"/>
      <c r="K142" s="63"/>
      <c r="L142" s="67"/>
      <c r="M142" s="915" t="s">
        <v>130</v>
      </c>
      <c r="N142" s="80" t="s">
        <v>131</v>
      </c>
      <c r="O142" s="904">
        <f>IF(IF(M108="",0,$O$46)=0,0,IF(M108="",0,$O$46))</f>
        <v>0</v>
      </c>
      <c r="P142" s="21">
        <f>ROUND(IF(G137=0,0,O142/M103*M104),2)</f>
        <v>0</v>
      </c>
      <c r="Q142" s="942" t="s">
        <v>740</v>
      </c>
      <c r="R142" s="956">
        <f>'päd.Personal - Leitung'!$R$46</f>
        <v>0.40900000000000003</v>
      </c>
    </row>
    <row r="143" spans="1:24" ht="14.25" customHeight="1" x14ac:dyDescent="0.2">
      <c r="A143" s="16"/>
      <c r="B143" s="16"/>
      <c r="I143" s="905"/>
      <c r="J143" s="961" t="s">
        <v>176</v>
      </c>
      <c r="K143" s="1312" t="str">
        <f>IF($K$47="","",$K$47)</f>
        <v/>
      </c>
      <c r="L143" s="1312"/>
      <c r="M143" s="1312"/>
      <c r="N143" s="80" t="s">
        <v>131</v>
      </c>
      <c r="O143" s="904">
        <f>IF(IF(M108="",0,$O$47)=0,0,IF(M108="",0,$O$47))</f>
        <v>0</v>
      </c>
      <c r="P143" s="21">
        <f>ROUND(IF(G137=0,0,O143/M103*M104),2)</f>
        <v>0</v>
      </c>
      <c r="Q143" s="942" t="s">
        <v>739</v>
      </c>
      <c r="R143" s="940">
        <f>'päd.Personal - Leitung'!$R$47</f>
        <v>0.68459999999999999</v>
      </c>
      <c r="S143" s="957">
        <f>'päd.Personal - Leitung'!$S$47</f>
        <v>0.28000000000000003</v>
      </c>
    </row>
    <row r="144" spans="1:24" ht="14.25" customHeight="1" x14ac:dyDescent="0.2">
      <c r="A144" s="908"/>
      <c r="B144" s="908"/>
      <c r="C144" s="980"/>
      <c r="D144" s="980"/>
      <c r="I144" s="913"/>
      <c r="J144" s="913"/>
      <c r="K144" s="916"/>
      <c r="L144" s="27"/>
      <c r="M144" s="27"/>
      <c r="N144" s="27"/>
      <c r="O144" s="26" t="s">
        <v>0</v>
      </c>
      <c r="P144" s="25">
        <f>P137+SUM(P139:P143)</f>
        <v>0</v>
      </c>
    </row>
  </sheetData>
  <sheetProtection algorithmName="SHA-512" hashValue="m7Sf+swqOIfP/wnd2ep6WO5XiCDG+OKOT6N0YM5KSZoMqI0YbnaWUN/xqjBXkaDl4azXr9JyBTpe6lly3j5Jug==" saltValue="7Mn4w56nEmAeTy4EQxtwLg==" spinCount="100000" sheet="1" objects="1" scenarios="1"/>
  <mergeCells count="180">
    <mergeCell ref="R122:S122"/>
    <mergeCell ref="R123:S123"/>
    <mergeCell ref="U123:U124"/>
    <mergeCell ref="V123:V124"/>
    <mergeCell ref="H137:N137"/>
    <mergeCell ref="K143:M143"/>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R74:S74"/>
    <mergeCell ref="R75:S75"/>
    <mergeCell ref="U75:U76"/>
    <mergeCell ref="V75:V76"/>
    <mergeCell ref="H89:N89"/>
    <mergeCell ref="K95:M95"/>
    <mergeCell ref="K102:L102"/>
    <mergeCell ref="K103:L103"/>
    <mergeCell ref="K104:L104"/>
    <mergeCell ref="P72:P76"/>
    <mergeCell ref="L73:L74"/>
    <mergeCell ref="M73:M74"/>
    <mergeCell ref="N73:N74"/>
    <mergeCell ref="O73:O75"/>
    <mergeCell ref="B73:B76"/>
    <mergeCell ref="C73:C76"/>
    <mergeCell ref="D73:D75"/>
    <mergeCell ref="E73:E75"/>
    <mergeCell ref="G73:G76"/>
    <mergeCell ref="H73:H74"/>
    <mergeCell ref="I73:I74"/>
    <mergeCell ref="J73:J74"/>
    <mergeCell ref="K73:K74"/>
    <mergeCell ref="F74:F76"/>
    <mergeCell ref="U27:U28"/>
    <mergeCell ref="V27:V28"/>
    <mergeCell ref="K25:K26"/>
    <mergeCell ref="L25:L26"/>
    <mergeCell ref="M25:M26"/>
    <mergeCell ref="P24:P28"/>
    <mergeCell ref="N25:N26"/>
    <mergeCell ref="O25:O27"/>
    <mergeCell ref="F26:F28"/>
    <mergeCell ref="K9:L9"/>
    <mergeCell ref="K10:L10"/>
    <mergeCell ref="K11:L11"/>
    <mergeCell ref="B20:C20"/>
    <mergeCell ref="I20:K20"/>
    <mergeCell ref="B21:C21"/>
    <mergeCell ref="I21:K21"/>
    <mergeCell ref="R26:S26"/>
    <mergeCell ref="R27:S27"/>
    <mergeCell ref="H11:I11"/>
    <mergeCell ref="B13:C13"/>
    <mergeCell ref="B14:C14"/>
    <mergeCell ref="B15:C15"/>
    <mergeCell ref="D11:E11"/>
    <mergeCell ref="F11:G11"/>
    <mergeCell ref="B16:C16"/>
    <mergeCell ref="B17:C17"/>
    <mergeCell ref="A72:A76"/>
    <mergeCell ref="B72:G72"/>
    <mergeCell ref="H72:N72"/>
    <mergeCell ref="A1:C1"/>
    <mergeCell ref="D1:N1"/>
    <mergeCell ref="A2:C2"/>
    <mergeCell ref="D2:N2"/>
    <mergeCell ref="A3:C3"/>
    <mergeCell ref="D3:J3"/>
    <mergeCell ref="K3:M3"/>
    <mergeCell ref="A8:C8"/>
    <mergeCell ref="A10:C10"/>
    <mergeCell ref="A9:C9"/>
    <mergeCell ref="A4:C4"/>
    <mergeCell ref="A7:C7"/>
    <mergeCell ref="D4:J4"/>
    <mergeCell ref="D7:I7"/>
    <mergeCell ref="D8:I8"/>
    <mergeCell ref="D9:I9"/>
    <mergeCell ref="D10:I10"/>
    <mergeCell ref="A5:J5"/>
    <mergeCell ref="K6:L6"/>
    <mergeCell ref="K7:L7"/>
    <mergeCell ref="K8:L8"/>
    <mergeCell ref="K58:L58"/>
    <mergeCell ref="K59:L59"/>
    <mergeCell ref="B62:C62"/>
    <mergeCell ref="B63:C63"/>
    <mergeCell ref="B64:C64"/>
    <mergeCell ref="B65:C65"/>
    <mergeCell ref="B68:C68"/>
    <mergeCell ref="I68:K68"/>
    <mergeCell ref="B69:C69"/>
    <mergeCell ref="I69:K69"/>
    <mergeCell ref="A24:A28"/>
    <mergeCell ref="B24:G24"/>
    <mergeCell ref="H24:N24"/>
    <mergeCell ref="B25:B28"/>
    <mergeCell ref="C25:C28"/>
    <mergeCell ref="D25:D27"/>
    <mergeCell ref="E25:E27"/>
    <mergeCell ref="G25:G28"/>
    <mergeCell ref="H25:H26"/>
    <mergeCell ref="I25:I26"/>
    <mergeCell ref="J25:J26"/>
    <mergeCell ref="A52:C52"/>
    <mergeCell ref="D52:J52"/>
    <mergeCell ref="A53:J53"/>
    <mergeCell ref="A55:C55"/>
    <mergeCell ref="D55:I55"/>
    <mergeCell ref="A56:C56"/>
    <mergeCell ref="D56:I56"/>
    <mergeCell ref="A57:C57"/>
    <mergeCell ref="D57:I57"/>
    <mergeCell ref="A50:C50"/>
    <mergeCell ref="A51:C51"/>
    <mergeCell ref="A49:C49"/>
    <mergeCell ref="D49:N49"/>
    <mergeCell ref="D50:N50"/>
    <mergeCell ref="D51:J51"/>
    <mergeCell ref="K51:M51"/>
    <mergeCell ref="H41:N41"/>
    <mergeCell ref="K47:M47"/>
    <mergeCell ref="K54:L54"/>
    <mergeCell ref="K55:L55"/>
    <mergeCell ref="K56:L56"/>
    <mergeCell ref="A100:C100"/>
    <mergeCell ref="D100:J100"/>
    <mergeCell ref="A101:J101"/>
    <mergeCell ref="A103:C103"/>
    <mergeCell ref="D103:I103"/>
    <mergeCell ref="A104:C104"/>
    <mergeCell ref="D104:I104"/>
    <mergeCell ref="A98:C98"/>
    <mergeCell ref="D98:N98"/>
    <mergeCell ref="A99:C99"/>
    <mergeCell ref="D99:J99"/>
    <mergeCell ref="K99:M99"/>
    <mergeCell ref="A97:C97"/>
    <mergeCell ref="D97:N97"/>
    <mergeCell ref="D59:E59"/>
    <mergeCell ref="F59:G59"/>
    <mergeCell ref="H59:I59"/>
    <mergeCell ref="B61:C61"/>
    <mergeCell ref="A58:C58"/>
    <mergeCell ref="D58:I58"/>
    <mergeCell ref="K57:L57"/>
    <mergeCell ref="A105:C105"/>
    <mergeCell ref="D105:I105"/>
    <mergeCell ref="A106:C106"/>
    <mergeCell ref="D106:I106"/>
    <mergeCell ref="D107:E107"/>
    <mergeCell ref="F107:G107"/>
    <mergeCell ref="H107:I107"/>
    <mergeCell ref="K105:L105"/>
    <mergeCell ref="K106:L106"/>
    <mergeCell ref="K107:L107"/>
    <mergeCell ref="B109:C109"/>
    <mergeCell ref="B110:C110"/>
    <mergeCell ref="B111:C111"/>
    <mergeCell ref="B112:C112"/>
    <mergeCell ref="B116:C116"/>
    <mergeCell ref="I116:K116"/>
    <mergeCell ref="B117:C117"/>
    <mergeCell ref="I117:K117"/>
    <mergeCell ref="A120:A124"/>
    <mergeCell ref="B120:G120"/>
    <mergeCell ref="B113:C113"/>
  </mergeCells>
  <dataValidations count="1">
    <dataValidation type="list" allowBlank="1" showInputMessage="1" showErrorMessage="1" sqref="A15:A17 A20:A21 A63:A65 A68:A69 A111:A113 A116:A11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 23 KiFöG&amp;R&amp;G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Grundlagen!$P$8:$P$9</xm:f>
          </x14:formula1>
          <xm:sqref>H20 H68 H116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3" tint="0.39997558519241921"/>
  </sheetPr>
  <dimension ref="A1:X33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19" width="11.42578125" style="1" hidden="1" customWidth="1"/>
    <col min="20" max="24" width="0" style="1" hidden="1" customWidth="1"/>
    <col min="25" max="16384" width="11.42578125" style="1"/>
  </cols>
  <sheetData>
    <row r="1" spans="1:19" s="10" customFormat="1" ht="13.5" customHeight="1" x14ac:dyDescent="0.2">
      <c r="A1" s="1321" t="s">
        <v>17</v>
      </c>
      <c r="B1" s="1321"/>
      <c r="C1" s="1321"/>
      <c r="D1" s="1320" t="str">
        <f>IF('päd.Personal - Leitung'!$D$1="","",'päd.Personal - Leitung'!$D$1)</f>
        <v/>
      </c>
      <c r="E1" s="1320"/>
      <c r="F1" s="1320"/>
      <c r="G1" s="1320"/>
      <c r="H1" s="1320"/>
      <c r="I1" s="1320"/>
      <c r="J1" s="1320"/>
      <c r="K1" s="1320"/>
      <c r="L1" s="1320"/>
      <c r="M1" s="1320"/>
      <c r="N1" s="1320"/>
    </row>
    <row r="2" spans="1:19" s="10" customFormat="1" ht="15" customHeight="1" x14ac:dyDescent="0.2">
      <c r="A2" s="1321" t="s">
        <v>16</v>
      </c>
      <c r="B2" s="1321"/>
      <c r="C2" s="1321" t="s">
        <v>14</v>
      </c>
      <c r="D2" s="1320" t="str">
        <f>IF('päd.Personal - Leitung'!$D$2="","",'päd.Personal - Leitung'!$D$2)</f>
        <v/>
      </c>
      <c r="E2" s="1320"/>
      <c r="F2" s="1320"/>
      <c r="G2" s="1320"/>
      <c r="H2" s="1320"/>
      <c r="I2" s="1320"/>
      <c r="J2" s="1320"/>
      <c r="K2" s="1320"/>
      <c r="L2" s="1320"/>
      <c r="M2" s="1320"/>
      <c r="N2" s="1320"/>
    </row>
    <row r="3" spans="1:19" s="10" customFormat="1" ht="15" customHeight="1" x14ac:dyDescent="0.2">
      <c r="A3" s="1321" t="s">
        <v>15</v>
      </c>
      <c r="B3" s="1321"/>
      <c r="C3" s="1321" t="s">
        <v>14</v>
      </c>
      <c r="D3" s="1320" t="str">
        <f>IF('päd.Personal - Leitung'!$D$3="","",'päd.Personal - Leitung'!$D$3)</f>
        <v/>
      </c>
      <c r="E3" s="1320"/>
      <c r="F3" s="1320"/>
      <c r="G3" s="1320"/>
      <c r="H3" s="1320"/>
      <c r="I3" s="1320"/>
      <c r="J3" s="1320"/>
      <c r="K3" s="1321" t="s">
        <v>100</v>
      </c>
      <c r="L3" s="1321"/>
      <c r="M3" s="1321"/>
      <c r="N3" s="38" t="str">
        <f>IF('päd.Personal - Leitung'!$N$3="","",'päd.Personal - Leitung'!$N$3)</f>
        <v/>
      </c>
    </row>
    <row r="4" spans="1:19" s="923" customFormat="1" ht="7.5" customHeight="1" x14ac:dyDescent="0.15">
      <c r="A4" s="1353"/>
      <c r="B4" s="1353"/>
      <c r="C4" s="1353"/>
      <c r="D4" s="1354"/>
      <c r="E4" s="1354"/>
      <c r="F4" s="1354"/>
      <c r="G4" s="1354"/>
      <c r="H4" s="1354"/>
      <c r="I4" s="1354"/>
      <c r="J4" s="1354"/>
      <c r="K4" s="922"/>
      <c r="L4" s="922"/>
      <c r="M4" s="922"/>
      <c r="N4" s="922"/>
      <c r="O4" s="922"/>
      <c r="P4" s="922"/>
    </row>
    <row r="5" spans="1:19" s="13" customFormat="1" ht="13.5" customHeight="1" x14ac:dyDescent="0.2">
      <c r="A5" s="1355" t="s">
        <v>190</v>
      </c>
      <c r="B5" s="1355"/>
      <c r="C5" s="1355"/>
      <c r="D5" s="1355"/>
      <c r="E5" s="1355"/>
      <c r="F5" s="1355"/>
      <c r="G5" s="1355"/>
      <c r="H5" s="1355"/>
      <c r="I5" s="1355"/>
      <c r="J5" s="1355"/>
      <c r="K5" s="7"/>
      <c r="L5" s="7"/>
      <c r="M5" s="7"/>
      <c r="N5" s="52"/>
      <c r="O5" s="138">
        <f>'päd.Personal - Leitung'!$O$5</f>
        <v>2025</v>
      </c>
      <c r="P5" s="52" t="s">
        <v>140</v>
      </c>
    </row>
    <row r="6" spans="1:19" s="8" customFormat="1" ht="13.5" customHeight="1" x14ac:dyDescent="0.25">
      <c r="B6" s="29"/>
      <c r="C6" s="29"/>
      <c r="D6" s="3" t="s">
        <v>27</v>
      </c>
      <c r="E6" s="28"/>
      <c r="F6" s="28"/>
      <c r="G6" s="28"/>
      <c r="H6" s="28"/>
      <c r="I6" s="24"/>
      <c r="K6" s="1327" t="s">
        <v>13</v>
      </c>
      <c r="L6" s="1327"/>
      <c r="M6" s="131"/>
      <c r="O6" s="928" t="str">
        <f>A29</f>
        <v>Jan 2025</v>
      </c>
      <c r="P6" s="1402">
        <f>IF(M8="","",M8)</f>
        <v>0</v>
      </c>
    </row>
    <row r="7" spans="1:19" s="5" customFormat="1" ht="13.5" customHeight="1" x14ac:dyDescent="0.25">
      <c r="A7" s="1328" t="s">
        <v>754</v>
      </c>
      <c r="B7" s="1328"/>
      <c r="C7" s="1328"/>
      <c r="D7" s="1329"/>
      <c r="E7" s="1329"/>
      <c r="F7" s="1329"/>
      <c r="G7" s="1329"/>
      <c r="H7" s="1329"/>
      <c r="I7" s="1329"/>
      <c r="K7" s="1327" t="s">
        <v>101</v>
      </c>
      <c r="L7" s="1327"/>
      <c r="M7" s="101"/>
      <c r="O7" s="928" t="str">
        <f t="shared" ref="O7:O17" si="0">A30</f>
        <v>Feb 2025</v>
      </c>
      <c r="P7" s="1403">
        <f t="shared" ref="P7:P14" si="1">IF(P6="","",P6)</f>
        <v>0</v>
      </c>
    </row>
    <row r="8" spans="1:19" ht="13.5" customHeight="1" x14ac:dyDescent="0.2">
      <c r="A8" s="1328" t="s">
        <v>12</v>
      </c>
      <c r="B8" s="1328"/>
      <c r="C8" s="1328"/>
      <c r="D8" s="1345"/>
      <c r="E8" s="1345"/>
      <c r="F8" s="1345"/>
      <c r="G8" s="1345"/>
      <c r="H8" s="1345"/>
      <c r="I8" s="1345"/>
      <c r="K8" s="1327" t="s">
        <v>194</v>
      </c>
      <c r="L8" s="1327"/>
      <c r="M8" s="101">
        <f>IF(M9&gt;M7,0,M7-M9)</f>
        <v>0</v>
      </c>
      <c r="O8" s="928" t="str">
        <f t="shared" si="0"/>
        <v>Mrz 2025</v>
      </c>
      <c r="P8" s="1403">
        <f t="shared" si="1"/>
        <v>0</v>
      </c>
    </row>
    <row r="9" spans="1:19" ht="13.5" customHeight="1" x14ac:dyDescent="0.2">
      <c r="A9" s="1328" t="s">
        <v>11</v>
      </c>
      <c r="B9" s="1328"/>
      <c r="C9" s="1328"/>
      <c r="D9" s="1345"/>
      <c r="E9" s="1345"/>
      <c r="F9" s="1345"/>
      <c r="G9" s="1345"/>
      <c r="H9" s="1345"/>
      <c r="I9" s="1345"/>
      <c r="K9" s="1327" t="s">
        <v>195</v>
      </c>
      <c r="L9" s="1327"/>
      <c r="M9" s="101"/>
      <c r="O9" s="928" t="str">
        <f t="shared" si="0"/>
        <v>Apr 2025</v>
      </c>
      <c r="P9" s="1403">
        <f t="shared" si="1"/>
        <v>0</v>
      </c>
    </row>
    <row r="10" spans="1:19" ht="13.5" customHeight="1" x14ac:dyDescent="0.2">
      <c r="A10" s="1328" t="s">
        <v>18</v>
      </c>
      <c r="B10" s="1328"/>
      <c r="C10" s="1328"/>
      <c r="D10" s="1345"/>
      <c r="E10" s="1345"/>
      <c r="F10" s="1345"/>
      <c r="G10" s="1345"/>
      <c r="H10" s="1345"/>
      <c r="I10" s="1345"/>
      <c r="K10" s="1327" t="s">
        <v>94</v>
      </c>
      <c r="L10" s="1327"/>
      <c r="M10" s="15" t="str">
        <f>IF(IF((COUNTIF(B29:B40,"&gt;0"))=0,0,(COUNTIF(B29:B40,"&gt;0")))&gt;Grundlagen!$C$26,Grundlagen!$C$26,IF((COUNTIF(B29:B40,"&gt;0"))=0,"",(COUNTIF(B29:B40,"&gt;0"))))</f>
        <v/>
      </c>
      <c r="O10" s="928" t="str">
        <f t="shared" si="0"/>
        <v>Mai 2025</v>
      </c>
      <c r="P10" s="1403">
        <f t="shared" si="1"/>
        <v>0</v>
      </c>
    </row>
    <row r="11" spans="1:19" ht="13.5" customHeight="1" x14ac:dyDescent="0.2">
      <c r="B11" s="6"/>
      <c r="C11" s="100" t="s">
        <v>147</v>
      </c>
      <c r="D11" s="1324"/>
      <c r="E11" s="1324"/>
      <c r="F11" s="1359" t="s">
        <v>103</v>
      </c>
      <c r="G11" s="1359"/>
      <c r="H11" s="1361"/>
      <c r="I11" s="1361"/>
      <c r="M11" s="102" t="str">
        <f>IF((SUM(F14:F17))=0,"",IF(P18&gt;M8,M8,IF(M8="","",IF(M10="","",P18))))</f>
        <v/>
      </c>
      <c r="O11" s="928" t="str">
        <f t="shared" si="0"/>
        <v>Jun 2025</v>
      </c>
      <c r="P11" s="1403">
        <f t="shared" si="1"/>
        <v>0</v>
      </c>
    </row>
    <row r="12" spans="1:19" ht="13.5" customHeight="1" x14ac:dyDescent="0.2">
      <c r="I12" s="4"/>
      <c r="O12" s="928" t="str">
        <f t="shared" si="0"/>
        <v>Jul 2025</v>
      </c>
      <c r="P12" s="1403">
        <f t="shared" si="1"/>
        <v>0</v>
      </c>
    </row>
    <row r="13" spans="1:19" s="46" customFormat="1" ht="13.5" customHeight="1" x14ac:dyDescent="0.2">
      <c r="A13" s="54" t="s">
        <v>134</v>
      </c>
      <c r="B13" s="1356" t="s">
        <v>135</v>
      </c>
      <c r="C13" s="1356"/>
      <c r="D13" s="55" t="s">
        <v>136</v>
      </c>
      <c r="E13" s="56" t="s">
        <v>137</v>
      </c>
      <c r="F13" s="57" t="str">
        <f>CONCATENATE("Entg. ",N3," h/Wo")</f>
        <v>Entg.  h/Wo</v>
      </c>
      <c r="G13" s="58" t="s">
        <v>138</v>
      </c>
      <c r="I13" s="58" t="s">
        <v>139</v>
      </c>
      <c r="K13" s="970"/>
      <c r="L13" s="970"/>
      <c r="M13" s="59"/>
      <c r="N13" s="968" t="str">
        <f>IF(A15="","",A15)</f>
        <v/>
      </c>
      <c r="O13" s="928" t="str">
        <f t="shared" si="0"/>
        <v>Aug 2025</v>
      </c>
      <c r="P13" s="1403">
        <f t="shared" si="1"/>
        <v>0</v>
      </c>
      <c r="Q13" s="85"/>
      <c r="R13" s="85"/>
      <c r="S13" s="85"/>
    </row>
    <row r="14" spans="1:19" s="46" customFormat="1" ht="13.5" customHeight="1" x14ac:dyDescent="0.25">
      <c r="A14" s="48" t="str">
        <f>'päd.Personal - Leitung'!$A$14</f>
        <v>Jan 2025</v>
      </c>
      <c r="B14" s="1357" t="str">
        <f>IF($D$3="","",$D$3)</f>
        <v/>
      </c>
      <c r="C14" s="1358"/>
      <c r="D14" s="132"/>
      <c r="E14" s="132"/>
      <c r="F14" s="71"/>
      <c r="G14" s="50">
        <f>IF(N3="",0,F14/N3/4.348)</f>
        <v>0</v>
      </c>
      <c r="I14" s="125">
        <f>SUM(J14:M14)</f>
        <v>0</v>
      </c>
      <c r="J14" s="124"/>
      <c r="K14" s="124"/>
      <c r="L14" s="124"/>
      <c r="M14" s="124"/>
      <c r="N14" s="969"/>
      <c r="O14" s="928" t="str">
        <f t="shared" si="0"/>
        <v>Sep 2025</v>
      </c>
      <c r="P14" s="1403">
        <f t="shared" si="1"/>
        <v>0</v>
      </c>
      <c r="Q14" s="85"/>
      <c r="R14" s="85"/>
      <c r="S14" s="85"/>
    </row>
    <row r="15" spans="1:19" s="46" customFormat="1" ht="13.5" customHeight="1" x14ac:dyDescent="0.25">
      <c r="A15" s="49"/>
      <c r="B15" s="1322" t="str">
        <f>IF(A15="","",B14)</f>
        <v/>
      </c>
      <c r="C15" s="1323"/>
      <c r="D15" s="132"/>
      <c r="E15" s="132"/>
      <c r="F15" s="71"/>
      <c r="G15" s="50">
        <f>IF(N3="",0,F15/N3/4.348)</f>
        <v>0</v>
      </c>
      <c r="I15" s="125">
        <f t="shared" ref="I15:I17" si="2">SUM(J15:M15)</f>
        <v>0</v>
      </c>
      <c r="J15" s="124"/>
      <c r="K15" s="124"/>
      <c r="L15" s="124"/>
      <c r="M15" s="124"/>
      <c r="N15" s="969"/>
      <c r="O15" s="928" t="str">
        <f t="shared" si="0"/>
        <v>Okt 2025</v>
      </c>
      <c r="P15" s="1403">
        <f t="shared" ref="P15:P17" si="3">IF(P14="","",P14)</f>
        <v>0</v>
      </c>
      <c r="Q15" s="85"/>
      <c r="R15" s="85"/>
      <c r="S15" s="85"/>
    </row>
    <row r="16" spans="1:19" s="46" customFormat="1" ht="13.5" customHeight="1" x14ac:dyDescent="0.25">
      <c r="A16" s="49"/>
      <c r="B16" s="1322" t="str">
        <f>IF(A16="","",B15)</f>
        <v/>
      </c>
      <c r="C16" s="1323"/>
      <c r="D16" s="132"/>
      <c r="E16" s="132"/>
      <c r="F16" s="71"/>
      <c r="G16" s="50">
        <f>IF(N3="",0,F16/N3/4.348)</f>
        <v>0</v>
      </c>
      <c r="I16" s="125">
        <f t="shared" si="2"/>
        <v>0</v>
      </c>
      <c r="J16" s="124"/>
      <c r="K16" s="124"/>
      <c r="L16" s="124"/>
      <c r="M16" s="124"/>
      <c r="N16" s="969"/>
      <c r="O16" s="928" t="str">
        <f t="shared" si="0"/>
        <v>Nov 2025</v>
      </c>
      <c r="P16" s="1403">
        <f t="shared" si="3"/>
        <v>0</v>
      </c>
      <c r="Q16" s="85"/>
      <c r="R16" s="85"/>
      <c r="S16" s="85"/>
    </row>
    <row r="17" spans="1:22" s="46" customFormat="1" ht="13.5" customHeight="1" x14ac:dyDescent="0.25">
      <c r="A17" s="49"/>
      <c r="B17" s="1322" t="str">
        <f>IF(A17="","",B16)</f>
        <v/>
      </c>
      <c r="C17" s="1323"/>
      <c r="D17" s="132"/>
      <c r="E17" s="132"/>
      <c r="F17" s="71"/>
      <c r="G17" s="50">
        <f>IF(N3="",0,F17/N3/4.348)</f>
        <v>0</v>
      </c>
      <c r="I17" s="125">
        <f t="shared" si="2"/>
        <v>0</v>
      </c>
      <c r="J17" s="124"/>
      <c r="K17" s="124"/>
      <c r="L17" s="124"/>
      <c r="M17" s="124"/>
      <c r="N17" s="969"/>
      <c r="O17" s="928" t="str">
        <f t="shared" si="0"/>
        <v>Dez 2025</v>
      </c>
      <c r="P17" s="1403">
        <f t="shared" si="3"/>
        <v>0</v>
      </c>
      <c r="Q17" s="85"/>
      <c r="R17" s="85"/>
      <c r="S17" s="85"/>
    </row>
    <row r="18" spans="1:22" s="46" customFormat="1" ht="13.5" customHeight="1" x14ac:dyDescent="0.25">
      <c r="B18" s="972"/>
      <c r="C18" s="972"/>
      <c r="E18" s="972"/>
      <c r="F18" s="972"/>
      <c r="I18" s="930" t="s">
        <v>730</v>
      </c>
      <c r="J18" s="976"/>
      <c r="K18" s="976"/>
      <c r="L18" s="976"/>
      <c r="M18" s="976"/>
      <c r="N18" s="971"/>
      <c r="O18" s="126" t="s">
        <v>221</v>
      </c>
      <c r="P18" s="127">
        <f>IF(M10="",0,((IF(SUMIF(B29,"&gt;0"),P6,0))+(IF(SUMIF(B30,"&gt;0"),P7,0))+(IF(SUMIF(B31,"&gt;0"),P8,0))+(IF(SUMIF(B32,"&gt;0"),P9,0))+(IF(SUMIF(B33,"&gt;0"),P10,0))+(IF(SUMIF(B34,"&gt;0"),P11,0))+(IF(SUMIF(B35,"&gt;0"),P12,0))+(IF(SUMIF(B36,"&gt;0"),P13,0))+(IF(SUMIF(B37,"&gt;0"),P14,0))+(IF(SUMIF(B38,"&gt;0"),P15,0))+(IF(SUMIF(B39,"&gt;0"),P16,0))+(IF(SUMIF(B40,"&gt;0"),P17,0)))/Grundlagen!$C$26)</f>
        <v>0</v>
      </c>
      <c r="Q18" s="978" t="str">
        <f>CONCATENATE("BBG"," anteilig ",O20)</f>
        <v>BBG anteilig 2025</v>
      </c>
      <c r="R18" s="931" t="s">
        <v>659</v>
      </c>
      <c r="S18" s="931" t="s">
        <v>398</v>
      </c>
      <c r="T18" s="107"/>
    </row>
    <row r="19" spans="1:22" s="46" customFormat="1" ht="13.5" customHeight="1" x14ac:dyDescent="0.2">
      <c r="A19" s="924" t="s">
        <v>732</v>
      </c>
      <c r="D19" s="55" t="s">
        <v>369</v>
      </c>
      <c r="E19" s="56" t="s">
        <v>368</v>
      </c>
      <c r="F19" s="58"/>
      <c r="J19" s="61"/>
      <c r="Q19" s="932" t="s">
        <v>144</v>
      </c>
      <c r="R19" s="140">
        <f>IF(M8=0,R23,IF(M7="",R23,(SUM(R29:R40)/M11)))</f>
        <v>5175</v>
      </c>
      <c r="S19" s="933">
        <f>IF(M8=0,S23,IF(M7="",S23,SUM(R29:R40)))</f>
        <v>0</v>
      </c>
      <c r="T19" s="107"/>
    </row>
    <row r="20" spans="1:22" s="46" customFormat="1" ht="13.5" customHeight="1" x14ac:dyDescent="0.25">
      <c r="A20" s="60"/>
      <c r="B20" s="1314" t="str">
        <f>IF('päd.Personal - Leitung'!$B$20="","",'päd.Personal - Leitung'!$B$20)</f>
        <v>Jahressonderzahlung (JSZ)</v>
      </c>
      <c r="C20" s="1315"/>
      <c r="D20" s="926"/>
      <c r="E20" s="929" t="str">
        <f>IF(A20="","",ROUND((((SUM(B35:B37)+SUM(F35:F37))/3)*D20)/Grundlagen!$C$26*M10,2))</f>
        <v/>
      </c>
      <c r="G20" s="941" t="s">
        <v>733</v>
      </c>
      <c r="H20" s="943"/>
      <c r="I20" s="1316" t="str">
        <f>CONCATENATE(R43,":"," Übergangsbereich von ",R44+0.01," €"," bis ",R45," €")</f>
        <v>2025: Übergangsbereich von 556,01 € bis 2000 €</v>
      </c>
      <c r="J20" s="1317"/>
      <c r="K20" s="1317"/>
      <c r="L20" s="1067"/>
      <c r="M20" s="1067"/>
      <c r="N20" s="1068" t="s">
        <v>736</v>
      </c>
      <c r="O20" s="1069">
        <f>P20+1</f>
        <v>2025</v>
      </c>
      <c r="P20" s="1069" t="s">
        <v>721</v>
      </c>
      <c r="Q20" s="932" t="s">
        <v>145</v>
      </c>
      <c r="R20" s="140">
        <f>IF(M8=0,R24,IF(M7="",R24,(SUM(S29:S40)/M11)))</f>
        <v>7450</v>
      </c>
      <c r="S20" s="933">
        <f>IF(M8=0,S24,IF(M7="",S24,SUM(S29:S40)))</f>
        <v>0</v>
      </c>
      <c r="T20" s="109"/>
    </row>
    <row r="21" spans="1:22" ht="14.25" customHeight="1" x14ac:dyDescent="0.2">
      <c r="A21" s="60"/>
      <c r="B21" s="1314" t="str">
        <f>IF('päd.Personal - Leitung'!$B$21="","",'päd.Personal - Leitung'!$B$21)</f>
        <v>Leistungsentgelt (LOB)</v>
      </c>
      <c r="C21" s="1315"/>
      <c r="D21" s="926"/>
      <c r="E21" s="929" t="str">
        <f>IF(A21="","",ROUND(((B41+F41)*D21)/Grundlagen!$C$26*M10,2))</f>
        <v/>
      </c>
      <c r="G21" s="941" t="str">
        <f>IF(OR(H20="",H20="nein")=TRUE,"","Faktor (F):")</f>
        <v/>
      </c>
      <c r="H21" s="949" t="str">
        <f>IF(OR(H20="",H20="nein")=TRUE,"",IF(H20="","",R47))</f>
        <v/>
      </c>
      <c r="I21" s="1318" t="str">
        <f>IF(OR(H20="",H20="nein")=TRUE,"",IF(H21="","",CONCATENATE(S47*100,"%"," / ","(",R46*100,"%"," Gesamt-SV-Beitragssatz 2024)")))</f>
        <v/>
      </c>
      <c r="J21" s="1319"/>
      <c r="K21" s="1319"/>
      <c r="L21" s="1070"/>
      <c r="M21" s="1070"/>
      <c r="N21" s="1071" t="s">
        <v>144</v>
      </c>
      <c r="O21" s="1072">
        <f>'päd.Personal - Leitung'!$O$21</f>
        <v>5175</v>
      </c>
      <c r="P21" s="1072">
        <f>'päd.Personal - Leitung'!$P$21</f>
        <v>5175</v>
      </c>
      <c r="Q21" s="11"/>
      <c r="R21" s="11"/>
      <c r="S21" s="11"/>
      <c r="T21" s="109"/>
    </row>
    <row r="22" spans="1:22" ht="14.25" customHeight="1" x14ac:dyDescent="0.2">
      <c r="C22" s="925" t="s">
        <v>731</v>
      </c>
      <c r="L22" s="1070"/>
      <c r="M22" s="1070"/>
      <c r="N22" s="1071" t="s">
        <v>145</v>
      </c>
      <c r="O22" s="1073">
        <f>'päd.Personal - Leitung'!$O$22</f>
        <v>7450</v>
      </c>
      <c r="P22" s="1073">
        <f>'päd.Personal - Leitung'!$P$22</f>
        <v>7450</v>
      </c>
      <c r="Q22" s="978" t="str">
        <f>CONCATENATE("BBG"," ",O20)</f>
        <v>BBG 2025</v>
      </c>
      <c r="R22" s="11"/>
      <c r="S22" s="11"/>
      <c r="T22" s="109"/>
    </row>
    <row r="23" spans="1:22" ht="14.25" customHeight="1" x14ac:dyDescent="0.2">
      <c r="A23" s="53" t="s">
        <v>141</v>
      </c>
      <c r="B23" s="46"/>
      <c r="C23" s="46"/>
      <c r="D23" s="46"/>
      <c r="E23" s="46"/>
      <c r="F23" s="46"/>
      <c r="G23" s="46"/>
      <c r="H23" s="46"/>
      <c r="I23" s="46"/>
      <c r="J23" s="46"/>
      <c r="K23" s="46"/>
      <c r="L23" s="46"/>
      <c r="M23" s="46"/>
      <c r="N23" s="46"/>
      <c r="O23" s="46"/>
      <c r="P23" s="46"/>
      <c r="Q23" s="932" t="s">
        <v>144</v>
      </c>
      <c r="R23" s="141">
        <f>IF($O$21="",0,$O$21)</f>
        <v>5175</v>
      </c>
      <c r="S23" s="933">
        <f>R23*IF(M11="",0,M11)</f>
        <v>0</v>
      </c>
      <c r="T23" s="295"/>
    </row>
    <row r="24" spans="1:22" x14ac:dyDescent="0.2">
      <c r="A24" s="1346"/>
      <c r="B24" s="1348" t="s">
        <v>8</v>
      </c>
      <c r="C24" s="1349"/>
      <c r="D24" s="1349"/>
      <c r="E24" s="1349"/>
      <c r="F24" s="1349"/>
      <c r="G24" s="1350"/>
      <c r="H24" s="1351" t="s">
        <v>113</v>
      </c>
      <c r="I24" s="1352"/>
      <c r="J24" s="1352"/>
      <c r="K24" s="1352"/>
      <c r="L24" s="1352"/>
      <c r="M24" s="1352"/>
      <c r="N24" s="1352"/>
      <c r="O24" s="30"/>
      <c r="P24" s="1330" t="s">
        <v>0</v>
      </c>
      <c r="Q24" s="932" t="s">
        <v>145</v>
      </c>
      <c r="R24" s="141">
        <f>IF($O$22="",0,$O$22)</f>
        <v>7450</v>
      </c>
      <c r="S24" s="933">
        <f>R24*IF(M11="",0,M11)</f>
        <v>0</v>
      </c>
      <c r="T24" s="830"/>
    </row>
    <row r="25" spans="1:22" ht="14.25" customHeight="1" x14ac:dyDescent="0.2">
      <c r="A25" s="1347"/>
      <c r="B25" s="1333" t="s">
        <v>111</v>
      </c>
      <c r="C25" s="1335" t="s">
        <v>743</v>
      </c>
      <c r="D25" s="1337" t="s">
        <v>226</v>
      </c>
      <c r="E25" s="1339" t="s">
        <v>133</v>
      </c>
      <c r="F25" s="981" t="s">
        <v>6</v>
      </c>
      <c r="G25" s="1340" t="s">
        <v>5</v>
      </c>
      <c r="H25" s="1339" t="s">
        <v>119</v>
      </c>
      <c r="I25" s="1339" t="s">
        <v>4</v>
      </c>
      <c r="J25" s="1339" t="s">
        <v>3</v>
      </c>
      <c r="K25" s="1339" t="s">
        <v>2</v>
      </c>
      <c r="L25" s="1339" t="s">
        <v>114</v>
      </c>
      <c r="M25" s="1339" t="s">
        <v>115</v>
      </c>
      <c r="N25" s="1339" t="s">
        <v>116</v>
      </c>
      <c r="O25" s="1338" t="s">
        <v>109</v>
      </c>
      <c r="P25" s="1331"/>
      <c r="Q25" s="456"/>
      <c r="R25" s="11"/>
      <c r="S25" s="11"/>
      <c r="T25" s="621"/>
    </row>
    <row r="26" spans="1:22" x14ac:dyDescent="0.2">
      <c r="A26" s="1347"/>
      <c r="B26" s="1333"/>
      <c r="C26" s="1335"/>
      <c r="D26" s="1338"/>
      <c r="E26" s="1339"/>
      <c r="F26" s="1343" t="str">
        <f>I18</f>
        <v>Zuschläge / Zulagen / o.ä.:</v>
      </c>
      <c r="G26" s="1340"/>
      <c r="H26" s="1342" t="s">
        <v>117</v>
      </c>
      <c r="I26" s="1342"/>
      <c r="J26" s="1342"/>
      <c r="K26" s="1342"/>
      <c r="L26" s="1342"/>
      <c r="M26" s="1342"/>
      <c r="N26" s="1342"/>
      <c r="O26" s="1338"/>
      <c r="P26" s="1331"/>
      <c r="Q26" s="456"/>
      <c r="R26" s="1306" t="str">
        <f>Q18</f>
        <v>BBG anteilig 2025</v>
      </c>
      <c r="S26" s="1306"/>
      <c r="T26" s="829"/>
    </row>
    <row r="27" spans="1:22" ht="14.25" customHeight="1" x14ac:dyDescent="0.2">
      <c r="A27" s="1347"/>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c r="Q27" s="456"/>
      <c r="R27" s="1307" t="s">
        <v>659</v>
      </c>
      <c r="S27" s="1307"/>
      <c r="T27" s="829"/>
      <c r="U27" s="1308" t="s">
        <v>1</v>
      </c>
      <c r="V27" s="1308" t="s">
        <v>741</v>
      </c>
    </row>
    <row r="28" spans="1:22" x14ac:dyDescent="0.2">
      <c r="A28" s="1347"/>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c r="Q28" s="456"/>
      <c r="R28" s="935" t="s">
        <v>144</v>
      </c>
      <c r="S28" s="935" t="s">
        <v>145</v>
      </c>
      <c r="T28" s="829"/>
      <c r="U28" s="1308"/>
      <c r="V28" s="1308"/>
    </row>
    <row r="29" spans="1:22"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4">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56"/>
      <c r="R29" s="140">
        <f>ROUND(IF(M7="",R23,R23/M7*P6),2)</f>
        <v>5175</v>
      </c>
      <c r="S29" s="140">
        <f>ROUND(IF(M7="",R24,R24/M7*P6),2)</f>
        <v>7450</v>
      </c>
      <c r="U29" s="950">
        <f>SUM(B29:F29)</f>
        <v>0</v>
      </c>
      <c r="V29" s="950">
        <f>SUM(B29:F29)</f>
        <v>0</v>
      </c>
    </row>
    <row r="30" spans="1:22"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4"/>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5">SUM(G30:O30)</f>
        <v>0</v>
      </c>
      <c r="Q30" s="456"/>
      <c r="R30" s="140">
        <f>ROUND(IF(M7="",R23,R23/M7*P7),2)</f>
        <v>5175</v>
      </c>
      <c r="S30" s="140">
        <f>ROUND(IF(M7="",R24,R24/M7*P7),2)</f>
        <v>7450</v>
      </c>
      <c r="U30" s="950">
        <f t="shared" ref="U30:U40" si="6">SUM(B30:F30)</f>
        <v>0</v>
      </c>
      <c r="V30" s="950">
        <f>SUM(B29:F30)</f>
        <v>0</v>
      </c>
    </row>
    <row r="31" spans="1:22"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4"/>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5"/>
        <v>0</v>
      </c>
      <c r="Q31" s="456"/>
      <c r="R31" s="140">
        <f>ROUND(IF(M7="",R23,R23/M7*P8),2)</f>
        <v>5175</v>
      </c>
      <c r="S31" s="140">
        <f>ROUND(IF(M7="",R24,R24/M7*P8),2)</f>
        <v>7450</v>
      </c>
      <c r="U31" s="950">
        <f t="shared" si="6"/>
        <v>0</v>
      </c>
      <c r="V31" s="950">
        <f>SUM(B29:F31)</f>
        <v>0</v>
      </c>
    </row>
    <row r="32" spans="1:22"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4"/>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5"/>
        <v>0</v>
      </c>
      <c r="Q32" s="456"/>
      <c r="R32" s="140">
        <f>ROUND(IF(M7="",R23,R23/M7*P9),2)</f>
        <v>5175</v>
      </c>
      <c r="S32" s="140">
        <f>ROUND(IF(M7="",R24,R24/M7*P9),2)</f>
        <v>7450</v>
      </c>
      <c r="U32" s="950">
        <f t="shared" si="6"/>
        <v>0</v>
      </c>
      <c r="V32" s="950">
        <f>SUM(B29:F32)</f>
        <v>0</v>
      </c>
    </row>
    <row r="33" spans="1:24"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4"/>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5"/>
        <v>0</v>
      </c>
      <c r="Q33" s="456"/>
      <c r="R33" s="140">
        <f>ROUND(IF(M7="",R23,R23/M7*P10),2)</f>
        <v>5175</v>
      </c>
      <c r="S33" s="140">
        <f>ROUND(IF(M7="",R24,R24/M7*P10),2)</f>
        <v>7450</v>
      </c>
      <c r="U33" s="950">
        <f t="shared" si="6"/>
        <v>0</v>
      </c>
      <c r="V33" s="950">
        <f>SUM(B29:F33)</f>
        <v>0</v>
      </c>
    </row>
    <row r="34" spans="1:24"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4"/>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5"/>
        <v>0</v>
      </c>
      <c r="Q34" s="456"/>
      <c r="R34" s="140">
        <f>ROUND(IF(M7="",R23,R23/M7*P11),2)</f>
        <v>5175</v>
      </c>
      <c r="S34" s="140">
        <f>ROUND(IF(M7="",R24,R24/M7*P11),2)</f>
        <v>7450</v>
      </c>
      <c r="U34" s="950">
        <f t="shared" si="6"/>
        <v>0</v>
      </c>
      <c r="V34" s="950">
        <f>SUM(B29:F34)</f>
        <v>0</v>
      </c>
    </row>
    <row r="35" spans="1:24"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4"/>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5"/>
        <v>0</v>
      </c>
      <c r="Q35" s="456"/>
      <c r="R35" s="140">
        <f>ROUND(IF(M7="",R23,R23/M7*P12),2)</f>
        <v>5175</v>
      </c>
      <c r="S35" s="140">
        <f>ROUND(IF(M7="",R24,R24/M7*P12),2)</f>
        <v>7450</v>
      </c>
      <c r="U35" s="950">
        <f t="shared" si="6"/>
        <v>0</v>
      </c>
      <c r="V35" s="950">
        <f>SUM(B29:F35)</f>
        <v>0</v>
      </c>
    </row>
    <row r="36" spans="1:24"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4"/>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5"/>
        <v>0</v>
      </c>
      <c r="Q36" s="456"/>
      <c r="R36" s="140">
        <f>ROUND(IF(M7="",R23,R23/M7*P13),2)</f>
        <v>5175</v>
      </c>
      <c r="S36" s="140">
        <f>ROUND(IF(M7="",R24,R24/M7*P13),2)</f>
        <v>7450</v>
      </c>
      <c r="U36" s="950">
        <f t="shared" si="6"/>
        <v>0</v>
      </c>
      <c r="V36" s="950">
        <f>SUM(B29:F36)</f>
        <v>0</v>
      </c>
    </row>
    <row r="37" spans="1:24"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4"/>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5"/>
        <v>0</v>
      </c>
      <c r="Q37" s="456"/>
      <c r="R37" s="140">
        <f>ROUND(IF(M7="",R23,R23/M7*P14),2)</f>
        <v>5175</v>
      </c>
      <c r="S37" s="140">
        <f>ROUND(IF(M7="",R24,R24/M7*P14),2)</f>
        <v>7450</v>
      </c>
      <c r="U37" s="950">
        <f t="shared" si="6"/>
        <v>0</v>
      </c>
      <c r="V37" s="950">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4"/>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5"/>
        <v>0</v>
      </c>
      <c r="Q38" s="936"/>
      <c r="R38" s="140">
        <f>ROUND(IF(M7="",R23,R23/M7*P15),2)</f>
        <v>5175</v>
      </c>
      <c r="S38" s="140">
        <f>ROUND(IF(M7="",R24,R24/M7*P15),2)</f>
        <v>7450</v>
      </c>
      <c r="U38" s="950">
        <f t="shared" si="6"/>
        <v>0</v>
      </c>
      <c r="V38" s="950">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4"/>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5"/>
        <v>0</v>
      </c>
      <c r="R39" s="140">
        <f>ROUND(IF(M7="",R23,R23/M7*P16),2)</f>
        <v>5175</v>
      </c>
      <c r="S39" s="140">
        <f>ROUND(IF(M7="",R24,R24/M7*P16),2)</f>
        <v>7450</v>
      </c>
      <c r="U39" s="950">
        <f t="shared" si="6"/>
        <v>0</v>
      </c>
      <c r="V39" s="950">
        <f>SUM(B29:F39)</f>
        <v>0</v>
      </c>
      <c r="X39" s="1"/>
    </row>
    <row r="40" spans="1:24"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4"/>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5"/>
        <v>0</v>
      </c>
      <c r="Q40" s="11"/>
      <c r="R40" s="140">
        <f>ROUND(IF(M7="",R23,R23/M7*P17),2)</f>
        <v>5175</v>
      </c>
      <c r="S40" s="140">
        <f>ROUND(IF(M7="",R24,R24/M7*P17),2)</f>
        <v>7450</v>
      </c>
      <c r="U40" s="950">
        <f t="shared" si="6"/>
        <v>0</v>
      </c>
      <c r="V40" s="950">
        <f>SUM(B29:F40)</f>
        <v>0</v>
      </c>
    </row>
    <row r="41" spans="1:24" ht="15" customHeight="1" x14ac:dyDescent="0.2">
      <c r="A41" s="2" t="s">
        <v>1</v>
      </c>
      <c r="B41" s="25">
        <f>SUM(B29:B40)</f>
        <v>0</v>
      </c>
      <c r="C41" s="25">
        <f t="shared" ref="C41:G41" si="7">SUM(C29:C40)</f>
        <v>0</v>
      </c>
      <c r="D41" s="25">
        <f t="shared" si="7"/>
        <v>0</v>
      </c>
      <c r="E41" s="25">
        <f t="shared" si="7"/>
        <v>0</v>
      </c>
      <c r="F41" s="25">
        <f t="shared" si="7"/>
        <v>0</v>
      </c>
      <c r="G41" s="25">
        <f t="shared" si="7"/>
        <v>0</v>
      </c>
      <c r="H41" s="1309">
        <f>SUM(H29:N40)</f>
        <v>0</v>
      </c>
      <c r="I41" s="1310"/>
      <c r="J41" s="1310"/>
      <c r="K41" s="1310"/>
      <c r="L41" s="1310"/>
      <c r="M41" s="1310"/>
      <c r="N41" s="1311"/>
      <c r="O41" s="25">
        <f>SUM(O29:O40)</f>
        <v>0</v>
      </c>
      <c r="P41" s="25">
        <f>SUM(P29:P40)</f>
        <v>0</v>
      </c>
    </row>
    <row r="42" spans="1:24" ht="12" customHeight="1" x14ac:dyDescent="0.2"/>
    <row r="43" spans="1:24" ht="14.25" customHeight="1" x14ac:dyDescent="0.2">
      <c r="B43" s="906"/>
      <c r="H43" s="905"/>
      <c r="I43" s="62"/>
      <c r="J43" s="914" t="s">
        <v>123</v>
      </c>
      <c r="L43" s="900" t="s">
        <v>124</v>
      </c>
      <c r="M43" s="1032"/>
      <c r="N43" s="902" t="s">
        <v>125</v>
      </c>
      <c r="O43" s="1033"/>
      <c r="P43" s="25">
        <f>ROUND(IF(M43="",0,G41*M43*O43/1000),2)</f>
        <v>0</v>
      </c>
      <c r="Q43" s="937"/>
      <c r="R43" s="938">
        <v>2025</v>
      </c>
      <c r="S43" s="939"/>
    </row>
    <row r="44" spans="1:24" ht="14.25" customHeight="1" x14ac:dyDescent="0.2">
      <c r="H44" s="907"/>
      <c r="I44" s="42"/>
      <c r="M44" s="915" t="s">
        <v>129</v>
      </c>
      <c r="N44" s="80" t="s">
        <v>125</v>
      </c>
      <c r="O44" s="1034"/>
      <c r="P44" s="25">
        <f>ROUND(IF(O44="",0,G41*O44/1000),2)</f>
        <v>0</v>
      </c>
      <c r="Q44" s="942" t="s">
        <v>737</v>
      </c>
      <c r="R44" s="141">
        <f>'päd.Personal - Leitung'!$R$44</f>
        <v>556</v>
      </c>
      <c r="S44" s="955">
        <f>'päd.Personal - Leitung'!$S$44</f>
        <v>12.82</v>
      </c>
    </row>
    <row r="45" spans="1:24" ht="14.25" customHeight="1" x14ac:dyDescent="0.2">
      <c r="H45" s="912" t="s">
        <v>126</v>
      </c>
      <c r="I45" s="980" t="s">
        <v>127</v>
      </c>
      <c r="J45" s="1037"/>
      <c r="K45" s="902" t="s">
        <v>128</v>
      </c>
      <c r="L45" s="1036"/>
      <c r="M45" s="16"/>
      <c r="N45" s="900" t="s">
        <v>132</v>
      </c>
      <c r="O45" s="1035"/>
      <c r="P45" s="25">
        <f>ROUND(IF(J45="",0,(J45*L45/O45)/M9*M10),2)</f>
        <v>0</v>
      </c>
      <c r="Q45" s="942" t="s">
        <v>738</v>
      </c>
      <c r="R45" s="140">
        <f>'päd.Personal - Leitung'!$R$45</f>
        <v>2000</v>
      </c>
      <c r="S45" s="939"/>
    </row>
    <row r="46" spans="1:24" ht="14.25" customHeight="1" x14ac:dyDescent="0.2">
      <c r="D46" s="16"/>
      <c r="I46" s="16"/>
      <c r="J46" s="16"/>
      <c r="K46" s="63"/>
      <c r="L46" s="67"/>
      <c r="M46" s="915" t="s">
        <v>130</v>
      </c>
      <c r="N46" s="80" t="s">
        <v>131</v>
      </c>
      <c r="O46" s="904"/>
      <c r="P46" s="21">
        <f>ROUND(IF(G41=0,0,O46/M7*M8),2)</f>
        <v>0</v>
      </c>
      <c r="Q46" s="942" t="s">
        <v>740</v>
      </c>
      <c r="R46" s="956">
        <f>'päd.Personal - Leitung'!$R$46</f>
        <v>0.40900000000000003</v>
      </c>
    </row>
    <row r="47" spans="1:24" ht="14.25" customHeight="1" x14ac:dyDescent="0.2">
      <c r="A47" s="16"/>
      <c r="B47" s="16"/>
      <c r="I47" s="905"/>
      <c r="J47" s="961" t="s">
        <v>176</v>
      </c>
      <c r="K47" s="1312"/>
      <c r="L47" s="1312"/>
      <c r="M47" s="1312"/>
      <c r="N47" s="80" t="s">
        <v>131</v>
      </c>
      <c r="O47" s="904"/>
      <c r="P47" s="21">
        <f>ROUND(IF(G41=0,0,O47/M7*M8),2)</f>
        <v>0</v>
      </c>
      <c r="Q47" s="942" t="s">
        <v>739</v>
      </c>
      <c r="R47" s="940">
        <f>'päd.Personal - Leitung'!$R$47</f>
        <v>0.68459999999999999</v>
      </c>
      <c r="S47" s="957">
        <f>'päd.Personal - Leitung'!$S$47</f>
        <v>0.28000000000000003</v>
      </c>
    </row>
    <row r="48" spans="1:24" ht="14.25" customHeight="1" x14ac:dyDescent="0.2">
      <c r="A48" s="908"/>
      <c r="B48" s="908"/>
      <c r="C48" s="980"/>
      <c r="D48" s="980"/>
      <c r="I48" s="913"/>
      <c r="J48" s="913"/>
      <c r="K48" s="916"/>
      <c r="L48" s="27"/>
      <c r="M48" s="27"/>
      <c r="N48" s="27"/>
      <c r="O48" s="26" t="s">
        <v>0</v>
      </c>
      <c r="P48" s="25">
        <f>P41+SUM(P43:P47)</f>
        <v>0</v>
      </c>
    </row>
    <row r="49" spans="1:19" s="10" customFormat="1" ht="13.5" customHeight="1" x14ac:dyDescent="0.2">
      <c r="A49" s="1321" t="s">
        <v>17</v>
      </c>
      <c r="B49" s="1321"/>
      <c r="C49" s="1321"/>
      <c r="D49" s="1320" t="str">
        <f>IF('päd.Personal - Leitung'!$D$1="","",'päd.Personal - Leitung'!$D$1)</f>
        <v/>
      </c>
      <c r="E49" s="1320"/>
      <c r="F49" s="1320"/>
      <c r="G49" s="1320"/>
      <c r="H49" s="1320"/>
      <c r="I49" s="1320"/>
      <c r="J49" s="1320"/>
      <c r="K49" s="1320"/>
      <c r="L49" s="1320"/>
      <c r="M49" s="1320"/>
      <c r="N49" s="1320"/>
    </row>
    <row r="50" spans="1:19" s="10" customFormat="1" ht="15" customHeight="1" x14ac:dyDescent="0.2">
      <c r="A50" s="1321" t="s">
        <v>16</v>
      </c>
      <c r="B50" s="1321"/>
      <c r="C50" s="1321" t="s">
        <v>14</v>
      </c>
      <c r="D50" s="1320" t="str">
        <f>IF('päd.Personal - Leitung'!$D$2="","",'päd.Personal - Leitung'!$D$2)</f>
        <v/>
      </c>
      <c r="E50" s="1320"/>
      <c r="F50" s="1320"/>
      <c r="G50" s="1320"/>
      <c r="H50" s="1320"/>
      <c r="I50" s="1320"/>
      <c r="J50" s="1320"/>
      <c r="K50" s="1320"/>
      <c r="L50" s="1320"/>
      <c r="M50" s="1320"/>
      <c r="N50" s="1320"/>
    </row>
    <row r="51" spans="1:19" s="10" customFormat="1" ht="15" customHeight="1" x14ac:dyDescent="0.2">
      <c r="A51" s="1321" t="s">
        <v>15</v>
      </c>
      <c r="B51" s="1321"/>
      <c r="C51" s="1321" t="s">
        <v>14</v>
      </c>
      <c r="D51" s="1320" t="str">
        <f>IF('päd.Personal - Leitung'!$D$3="","",'päd.Personal - Leitung'!$D$3)</f>
        <v/>
      </c>
      <c r="E51" s="1320"/>
      <c r="F51" s="1320"/>
      <c r="G51" s="1320"/>
      <c r="H51" s="1320"/>
      <c r="I51" s="1320"/>
      <c r="J51" s="1320"/>
      <c r="K51" s="1321" t="s">
        <v>100</v>
      </c>
      <c r="L51" s="1321"/>
      <c r="M51" s="1321"/>
      <c r="N51" s="38" t="str">
        <f>IF('päd.Personal - Leitung'!$N$3="","",'päd.Personal - Leitung'!$N$3)</f>
        <v/>
      </c>
    </row>
    <row r="52" spans="1:19" s="923" customFormat="1" ht="7.5" customHeight="1" x14ac:dyDescent="0.15">
      <c r="A52" s="1353"/>
      <c r="B52" s="1353"/>
      <c r="C52" s="1353"/>
      <c r="D52" s="1354"/>
      <c r="E52" s="1354"/>
      <c r="F52" s="1354"/>
      <c r="G52" s="1354"/>
      <c r="H52" s="1354"/>
      <c r="I52" s="1354"/>
      <c r="J52" s="1354"/>
      <c r="K52" s="922"/>
      <c r="L52" s="922"/>
      <c r="M52" s="922"/>
      <c r="N52" s="922"/>
      <c r="O52" s="922"/>
      <c r="P52" s="922"/>
    </row>
    <row r="53" spans="1:19" s="13" customFormat="1" ht="13.5" customHeight="1" x14ac:dyDescent="0.2">
      <c r="A53" s="1355" t="s">
        <v>190</v>
      </c>
      <c r="B53" s="1355"/>
      <c r="C53" s="1355"/>
      <c r="D53" s="1355"/>
      <c r="E53" s="1355"/>
      <c r="F53" s="1355"/>
      <c r="G53" s="1355"/>
      <c r="H53" s="1355"/>
      <c r="I53" s="1355"/>
      <c r="J53" s="1355"/>
      <c r="K53" s="7"/>
      <c r="L53" s="7"/>
      <c r="M53" s="7"/>
      <c r="N53" s="52"/>
      <c r="O53" s="138">
        <f>'päd.Personal - Leitung'!$O$5</f>
        <v>2025</v>
      </c>
      <c r="P53" s="52" t="s">
        <v>140</v>
      </c>
    </row>
    <row r="54" spans="1:19" s="8" customFormat="1" ht="13.5" customHeight="1" x14ac:dyDescent="0.25">
      <c r="B54" s="29"/>
      <c r="C54" s="29"/>
      <c r="D54" s="3" t="s">
        <v>28</v>
      </c>
      <c r="E54" s="28"/>
      <c r="F54" s="28"/>
      <c r="G54" s="28"/>
      <c r="H54" s="28"/>
      <c r="I54" s="24"/>
      <c r="K54" s="1327" t="s">
        <v>13</v>
      </c>
      <c r="L54" s="1327"/>
      <c r="M54" s="131"/>
      <c r="O54" s="928" t="str">
        <f>A77</f>
        <v>Jan 2025</v>
      </c>
      <c r="P54" s="1402">
        <f>IF(M56="","",M56)</f>
        <v>0</v>
      </c>
    </row>
    <row r="55" spans="1:19" s="5" customFormat="1" ht="13.5" customHeight="1" x14ac:dyDescent="0.25">
      <c r="A55" s="1328" t="s">
        <v>754</v>
      </c>
      <c r="B55" s="1328"/>
      <c r="C55" s="1328"/>
      <c r="D55" s="1329"/>
      <c r="E55" s="1329"/>
      <c r="F55" s="1329"/>
      <c r="G55" s="1329"/>
      <c r="H55" s="1329"/>
      <c r="I55" s="1329"/>
      <c r="K55" s="1327" t="s">
        <v>101</v>
      </c>
      <c r="L55" s="1327"/>
      <c r="M55" s="101"/>
      <c r="O55" s="928" t="str">
        <f t="shared" ref="O55:O65" si="8">A78</f>
        <v>Feb 2025</v>
      </c>
      <c r="P55" s="1403">
        <f t="shared" ref="P55:P62" si="9">IF(P54="","",P54)</f>
        <v>0</v>
      </c>
    </row>
    <row r="56" spans="1:19" ht="13.5" customHeight="1" x14ac:dyDescent="0.2">
      <c r="A56" s="1328" t="s">
        <v>12</v>
      </c>
      <c r="B56" s="1328"/>
      <c r="C56" s="1328"/>
      <c r="D56" s="1345"/>
      <c r="E56" s="1345"/>
      <c r="F56" s="1345"/>
      <c r="G56" s="1345"/>
      <c r="H56" s="1345"/>
      <c r="I56" s="1345"/>
      <c r="K56" s="1327" t="s">
        <v>194</v>
      </c>
      <c r="L56" s="1327"/>
      <c r="M56" s="101">
        <f>IF(M57&gt;M55,0,M55-M57)</f>
        <v>0</v>
      </c>
      <c r="O56" s="928" t="str">
        <f t="shared" si="8"/>
        <v>Mrz 2025</v>
      </c>
      <c r="P56" s="1403">
        <f t="shared" si="9"/>
        <v>0</v>
      </c>
    </row>
    <row r="57" spans="1:19" ht="13.5" customHeight="1" x14ac:dyDescent="0.2">
      <c r="A57" s="1328" t="s">
        <v>11</v>
      </c>
      <c r="B57" s="1328"/>
      <c r="C57" s="1328"/>
      <c r="D57" s="1345"/>
      <c r="E57" s="1345"/>
      <c r="F57" s="1345"/>
      <c r="G57" s="1345"/>
      <c r="H57" s="1345"/>
      <c r="I57" s="1345"/>
      <c r="K57" s="1327" t="s">
        <v>195</v>
      </c>
      <c r="L57" s="1327"/>
      <c r="M57" s="101"/>
      <c r="O57" s="928" t="str">
        <f t="shared" si="8"/>
        <v>Apr 2025</v>
      </c>
      <c r="P57" s="1403">
        <f t="shared" si="9"/>
        <v>0</v>
      </c>
    </row>
    <row r="58" spans="1:19" ht="13.5" customHeight="1" x14ac:dyDescent="0.2">
      <c r="A58" s="1328" t="s">
        <v>18</v>
      </c>
      <c r="B58" s="1328"/>
      <c r="C58" s="1328"/>
      <c r="D58" s="1345"/>
      <c r="E58" s="1345"/>
      <c r="F58" s="1345"/>
      <c r="G58" s="1345"/>
      <c r="H58" s="1345"/>
      <c r="I58" s="1345"/>
      <c r="K58" s="1327" t="s">
        <v>94</v>
      </c>
      <c r="L58" s="1327"/>
      <c r="M58" s="15" t="str">
        <f>IF(IF((COUNTIF(B77:B88,"&gt;0"))=0,0,(COUNTIF(B77:B88,"&gt;0")))&gt;Grundlagen!$C$26,Grundlagen!$C$26,IF((COUNTIF(B77:B88,"&gt;0"))=0,"",(COUNTIF(B77:B88,"&gt;0"))))</f>
        <v/>
      </c>
      <c r="O58" s="928" t="str">
        <f t="shared" si="8"/>
        <v>Mai 2025</v>
      </c>
      <c r="P58" s="1403">
        <f t="shared" si="9"/>
        <v>0</v>
      </c>
    </row>
    <row r="59" spans="1:19" ht="13.5" customHeight="1" x14ac:dyDescent="0.2">
      <c r="B59" s="6"/>
      <c r="C59" s="979" t="s">
        <v>147</v>
      </c>
      <c r="D59" s="1324"/>
      <c r="E59" s="1324"/>
      <c r="F59" s="1359" t="s">
        <v>103</v>
      </c>
      <c r="G59" s="1359"/>
      <c r="H59" s="1361"/>
      <c r="I59" s="1361"/>
      <c r="M59" s="102" t="str">
        <f>IF((SUM(F62:F65))=0,"",IF(P66&gt;M56,M56,IF(M56="","",IF(M58="","",P66))))</f>
        <v/>
      </c>
      <c r="O59" s="928" t="str">
        <f t="shared" si="8"/>
        <v>Jun 2025</v>
      </c>
      <c r="P59" s="1403">
        <f t="shared" si="9"/>
        <v>0</v>
      </c>
    </row>
    <row r="60" spans="1:19" ht="13.5" customHeight="1" x14ac:dyDescent="0.2">
      <c r="I60" s="4"/>
      <c r="O60" s="928" t="str">
        <f t="shared" si="8"/>
        <v>Jul 2025</v>
      </c>
      <c r="P60" s="1403">
        <f t="shared" si="9"/>
        <v>0</v>
      </c>
    </row>
    <row r="61" spans="1:19" s="46" customFormat="1" ht="13.5" customHeight="1" x14ac:dyDescent="0.2">
      <c r="A61" s="54" t="s">
        <v>134</v>
      </c>
      <c r="B61" s="1356" t="s">
        <v>135</v>
      </c>
      <c r="C61" s="1356"/>
      <c r="D61" s="55" t="s">
        <v>136</v>
      </c>
      <c r="E61" s="56" t="s">
        <v>137</v>
      </c>
      <c r="F61" s="57" t="str">
        <f>CONCATENATE("Entg. ",N51," h/Wo")</f>
        <v>Entg.  h/Wo</v>
      </c>
      <c r="G61" s="58" t="s">
        <v>138</v>
      </c>
      <c r="I61" s="58" t="s">
        <v>139</v>
      </c>
      <c r="K61" s="970"/>
      <c r="L61" s="970"/>
      <c r="M61" s="59"/>
      <c r="N61" s="968" t="str">
        <f>IF(A63="","",A63)</f>
        <v/>
      </c>
      <c r="O61" s="928" t="str">
        <f t="shared" si="8"/>
        <v>Aug 2025</v>
      </c>
      <c r="P61" s="1403">
        <f t="shared" si="9"/>
        <v>0</v>
      </c>
      <c r="Q61" s="85"/>
      <c r="R61" s="85"/>
      <c r="S61" s="85"/>
    </row>
    <row r="62" spans="1:19" s="46" customFormat="1" ht="13.5" customHeight="1" x14ac:dyDescent="0.25">
      <c r="A62" s="48" t="str">
        <f>'päd.Personal - Leitung'!$A$14</f>
        <v>Jan 2025</v>
      </c>
      <c r="B62" s="1357" t="str">
        <f>IF($D$3="","",$D$3)</f>
        <v/>
      </c>
      <c r="C62" s="1358"/>
      <c r="D62" s="132"/>
      <c r="E62" s="132"/>
      <c r="F62" s="71"/>
      <c r="G62" s="50">
        <f>IF(N51="",0,F62/N51/4.348)</f>
        <v>0</v>
      </c>
      <c r="I62" s="125">
        <f>SUM(J62:M62)</f>
        <v>0</v>
      </c>
      <c r="J62" s="124"/>
      <c r="K62" s="124"/>
      <c r="L62" s="124"/>
      <c r="M62" s="124"/>
      <c r="N62" s="969"/>
      <c r="O62" s="928" t="str">
        <f t="shared" si="8"/>
        <v>Sep 2025</v>
      </c>
      <c r="P62" s="1403">
        <f t="shared" si="9"/>
        <v>0</v>
      </c>
      <c r="Q62" s="85"/>
      <c r="R62" s="85"/>
      <c r="S62" s="85"/>
    </row>
    <row r="63" spans="1:19" s="46" customFormat="1" ht="13.5" customHeight="1" x14ac:dyDescent="0.25">
      <c r="A63" s="49"/>
      <c r="B63" s="1322" t="str">
        <f>IF(A63="","",B62)</f>
        <v/>
      </c>
      <c r="C63" s="1323"/>
      <c r="D63" s="132"/>
      <c r="E63" s="132"/>
      <c r="F63" s="71"/>
      <c r="G63" s="50">
        <f>IF(N51="",0,F63/N51/4.348)</f>
        <v>0</v>
      </c>
      <c r="I63" s="125">
        <f t="shared" ref="I63:I65" si="10">SUM(J63:M63)</f>
        <v>0</v>
      </c>
      <c r="J63" s="124"/>
      <c r="K63" s="124"/>
      <c r="L63" s="124"/>
      <c r="M63" s="124"/>
      <c r="N63" s="969"/>
      <c r="O63" s="928" t="str">
        <f t="shared" si="8"/>
        <v>Okt 2025</v>
      </c>
      <c r="P63" s="1403">
        <f t="shared" ref="P63:P65" si="11">IF(P62="","",P62)</f>
        <v>0</v>
      </c>
      <c r="Q63" s="85"/>
      <c r="R63" s="85"/>
      <c r="S63" s="85"/>
    </row>
    <row r="64" spans="1:19" s="46" customFormat="1" ht="13.5" customHeight="1" x14ac:dyDescent="0.25">
      <c r="A64" s="49"/>
      <c r="B64" s="1322" t="str">
        <f>IF(A64="","",B63)</f>
        <v/>
      </c>
      <c r="C64" s="1323"/>
      <c r="D64" s="132"/>
      <c r="E64" s="132"/>
      <c r="F64" s="71"/>
      <c r="G64" s="50">
        <f>IF(N51="",0,F64/N51/4.348)</f>
        <v>0</v>
      </c>
      <c r="I64" s="125">
        <f t="shared" si="10"/>
        <v>0</v>
      </c>
      <c r="J64" s="124"/>
      <c r="K64" s="124"/>
      <c r="L64" s="124"/>
      <c r="M64" s="124"/>
      <c r="N64" s="969"/>
      <c r="O64" s="928" t="str">
        <f t="shared" si="8"/>
        <v>Nov 2025</v>
      </c>
      <c r="P64" s="1403">
        <f t="shared" si="11"/>
        <v>0</v>
      </c>
      <c r="Q64" s="85"/>
      <c r="R64" s="85"/>
      <c r="S64" s="85"/>
    </row>
    <row r="65" spans="1:22" s="46" customFormat="1" ht="13.5" customHeight="1" x14ac:dyDescent="0.25">
      <c r="A65" s="49"/>
      <c r="B65" s="1322" t="str">
        <f>IF(A65="","",B64)</f>
        <v/>
      </c>
      <c r="C65" s="1323"/>
      <c r="D65" s="132"/>
      <c r="E65" s="132"/>
      <c r="F65" s="71"/>
      <c r="G65" s="50">
        <f>IF(N51="",0,F65/N51/4.348)</f>
        <v>0</v>
      </c>
      <c r="I65" s="125">
        <f t="shared" si="10"/>
        <v>0</v>
      </c>
      <c r="J65" s="124"/>
      <c r="K65" s="124"/>
      <c r="L65" s="124"/>
      <c r="M65" s="124"/>
      <c r="N65" s="969"/>
      <c r="O65" s="928" t="str">
        <f t="shared" si="8"/>
        <v>Dez 2025</v>
      </c>
      <c r="P65" s="1403">
        <f t="shared" si="11"/>
        <v>0</v>
      </c>
      <c r="Q65" s="85"/>
      <c r="R65" s="85"/>
      <c r="S65" s="85"/>
    </row>
    <row r="66" spans="1:22" s="46" customFormat="1" ht="13.5" customHeight="1" x14ac:dyDescent="0.25">
      <c r="B66" s="972"/>
      <c r="C66" s="972"/>
      <c r="E66" s="972"/>
      <c r="F66" s="972"/>
      <c r="I66" s="930" t="s">
        <v>730</v>
      </c>
      <c r="J66" s="976"/>
      <c r="K66" s="976"/>
      <c r="L66" s="976"/>
      <c r="M66" s="976"/>
      <c r="N66" s="971"/>
      <c r="O66" s="126" t="s">
        <v>221</v>
      </c>
      <c r="P66" s="127">
        <f>IF(M58="",0,((IF(SUMIF(B77,"&gt;0"),P54,0))+(IF(SUMIF(B78,"&gt;0"),P55,0))+(IF(SUMIF(B79,"&gt;0"),P56,0))+(IF(SUMIF(B80,"&gt;0"),P57,0))+(IF(SUMIF(B81,"&gt;0"),P58,0))+(IF(SUMIF(B82,"&gt;0"),P59,0))+(IF(SUMIF(B83,"&gt;0"),P60,0))+(IF(SUMIF(B84,"&gt;0"),P61,0))+(IF(SUMIF(B85,"&gt;0"),P62,0))+(IF(SUMIF(B86,"&gt;0"),P63,0))+(IF(SUMIF(B87,"&gt;0"),P64,0))+(IF(SUMIF(B88,"&gt;0"),P65,0)))/Grundlagen!$C$26)</f>
        <v>0</v>
      </c>
      <c r="Q66" s="978" t="str">
        <f>CONCATENATE("BBG"," anteilig ",O68)</f>
        <v>BBG anteilig 2025</v>
      </c>
      <c r="R66" s="931" t="s">
        <v>659</v>
      </c>
      <c r="S66" s="931" t="s">
        <v>398</v>
      </c>
      <c r="T66" s="107"/>
    </row>
    <row r="67" spans="1:22" s="46" customFormat="1" ht="13.5" customHeight="1" x14ac:dyDescent="0.2">
      <c r="A67" s="924" t="s">
        <v>732</v>
      </c>
      <c r="D67" s="55" t="s">
        <v>369</v>
      </c>
      <c r="E67" s="56" t="s">
        <v>368</v>
      </c>
      <c r="F67" s="58"/>
      <c r="J67" s="61"/>
      <c r="Q67" s="932" t="s">
        <v>144</v>
      </c>
      <c r="R67" s="140">
        <f>IF(M56=0,R71,IF(M55="",R71,(SUM(R77:R88)/M59)))</f>
        <v>5175</v>
      </c>
      <c r="S67" s="933">
        <f>IF(M56=0,S71,IF(M55="",S71,SUM(R77:R88)))</f>
        <v>0</v>
      </c>
      <c r="T67" s="107"/>
    </row>
    <row r="68" spans="1:22" s="46" customFormat="1" ht="13.5" customHeight="1" x14ac:dyDescent="0.25">
      <c r="A68" s="60"/>
      <c r="B68" s="1314" t="str">
        <f>IF($B$20="","",$B$20)</f>
        <v>Jahressonderzahlung (JSZ)</v>
      </c>
      <c r="C68" s="1315"/>
      <c r="D68" s="926"/>
      <c r="E68" s="929" t="str">
        <f>IF(A68="","",ROUND((((SUM(B83:B85)+SUM(F83:F85))/3)*D68)/Grundlagen!$C$26*M58,2))</f>
        <v/>
      </c>
      <c r="G68" s="941" t="s">
        <v>733</v>
      </c>
      <c r="H68" s="943"/>
      <c r="I68" s="1316" t="str">
        <f>CONCATENATE(R91,":"," Übergangsbereich von ",R92+0.01," €"," bis ",R93," €")</f>
        <v>2025: Übergangsbereich von 556,01 € bis 2000 €</v>
      </c>
      <c r="J68" s="1317"/>
      <c r="K68" s="1317"/>
      <c r="L68" s="1067"/>
      <c r="M68" s="1067"/>
      <c r="N68" s="1068" t="s">
        <v>736</v>
      </c>
      <c r="O68" s="1069">
        <f>P68+1</f>
        <v>2025</v>
      </c>
      <c r="P68" s="1069" t="s">
        <v>721</v>
      </c>
      <c r="Q68" s="932" t="s">
        <v>145</v>
      </c>
      <c r="R68" s="140">
        <f>IF(M56=0,R72,IF(M55="",R72,(SUM(S77:S88)/M59)))</f>
        <v>7450</v>
      </c>
      <c r="S68" s="933">
        <f>IF(M56=0,S72,IF(M55="",S72,SUM(S77:S88)))</f>
        <v>0</v>
      </c>
      <c r="T68" s="109"/>
    </row>
    <row r="69" spans="1:22" ht="14.25" customHeight="1" x14ac:dyDescent="0.2">
      <c r="A69" s="60"/>
      <c r="B69" s="1314" t="str">
        <f>IF($B$21="","",$B$21)</f>
        <v>Leistungsentgelt (LOB)</v>
      </c>
      <c r="C69" s="1315"/>
      <c r="D69" s="926"/>
      <c r="E69" s="929" t="str">
        <f>IF(A69="","",ROUND(((B89+F89)*D69)/Grundlagen!$C$26*M58,2))</f>
        <v/>
      </c>
      <c r="G69" s="941" t="str">
        <f>IF(OR(H68="",H68="nein")=TRUE,"","Faktor (F):")</f>
        <v/>
      </c>
      <c r="H69" s="949" t="str">
        <f>IF(OR(H68="",H68="nein")=TRUE,"",IF(H68="","",R95))</f>
        <v/>
      </c>
      <c r="I69" s="1318" t="str">
        <f>IF(OR(H68="",H68="nein")=TRUE,"",IF(H69="","",CONCATENATE(S95*100,"%"," / ","(",R94*100,"%"," Gesamt-SV-Beitragssatz 2024)")))</f>
        <v/>
      </c>
      <c r="J69" s="1319"/>
      <c r="K69" s="1319"/>
      <c r="L69" s="1070"/>
      <c r="M69" s="1070"/>
      <c r="N69" s="1071" t="s">
        <v>144</v>
      </c>
      <c r="O69" s="1072">
        <f>'päd.Personal - Leitung'!$O$21</f>
        <v>5175</v>
      </c>
      <c r="P69" s="1072">
        <f>'päd.Personal - Leitung'!$P$21</f>
        <v>5175</v>
      </c>
      <c r="Q69" s="11"/>
      <c r="R69" s="11"/>
      <c r="S69" s="11"/>
      <c r="T69" s="109"/>
    </row>
    <row r="70" spans="1:22" ht="14.25" customHeight="1" x14ac:dyDescent="0.2">
      <c r="C70" s="925" t="s">
        <v>731</v>
      </c>
      <c r="L70" s="1070"/>
      <c r="M70" s="1070"/>
      <c r="N70" s="1071" t="s">
        <v>145</v>
      </c>
      <c r="O70" s="1073">
        <f>'päd.Personal - Leitung'!$O$22</f>
        <v>7450</v>
      </c>
      <c r="P70" s="1073">
        <f>'päd.Personal - Leitung'!$P$22</f>
        <v>7450</v>
      </c>
      <c r="Q70" s="978" t="str">
        <f>CONCATENATE("BBG"," ",O68)</f>
        <v>BBG 2025</v>
      </c>
      <c r="R70" s="11"/>
      <c r="S70" s="11"/>
      <c r="T70" s="109"/>
    </row>
    <row r="71" spans="1:22" ht="14.25" customHeight="1" x14ac:dyDescent="0.2">
      <c r="A71" s="53" t="s">
        <v>141</v>
      </c>
      <c r="B71" s="46"/>
      <c r="C71" s="46"/>
      <c r="D71" s="46"/>
      <c r="E71" s="46"/>
      <c r="F71" s="46"/>
      <c r="G71" s="46"/>
      <c r="H71" s="46"/>
      <c r="I71" s="46"/>
      <c r="J71" s="46"/>
      <c r="K71" s="46"/>
      <c r="L71" s="46"/>
      <c r="M71" s="46"/>
      <c r="N71" s="46"/>
      <c r="O71" s="46"/>
      <c r="P71" s="46"/>
      <c r="Q71" s="932" t="s">
        <v>144</v>
      </c>
      <c r="R71" s="141">
        <f>IF($O$21="",0,$O$21)</f>
        <v>5175</v>
      </c>
      <c r="S71" s="933">
        <f>R71*IF(M59="",0,M59)</f>
        <v>0</v>
      </c>
      <c r="T71" s="295"/>
    </row>
    <row r="72" spans="1:22" x14ac:dyDescent="0.2">
      <c r="A72" s="1346"/>
      <c r="B72" s="1348" t="s">
        <v>8</v>
      </c>
      <c r="C72" s="1349"/>
      <c r="D72" s="1349"/>
      <c r="E72" s="1349"/>
      <c r="F72" s="1349"/>
      <c r="G72" s="1350"/>
      <c r="H72" s="1351" t="s">
        <v>113</v>
      </c>
      <c r="I72" s="1352"/>
      <c r="J72" s="1352"/>
      <c r="K72" s="1352"/>
      <c r="L72" s="1352"/>
      <c r="M72" s="1352"/>
      <c r="N72" s="1352"/>
      <c r="O72" s="30"/>
      <c r="P72" s="1330" t="s">
        <v>0</v>
      </c>
      <c r="Q72" s="932" t="s">
        <v>145</v>
      </c>
      <c r="R72" s="141">
        <f>IF($O$22="",0,$O$22)</f>
        <v>7450</v>
      </c>
      <c r="S72" s="933">
        <f>R72*IF(M59="",0,M59)</f>
        <v>0</v>
      </c>
      <c r="T72" s="830"/>
    </row>
    <row r="73" spans="1:22" ht="14.25" customHeight="1" x14ac:dyDescent="0.2">
      <c r="A73" s="1347"/>
      <c r="B73" s="1333" t="s">
        <v>111</v>
      </c>
      <c r="C73" s="1335" t="s">
        <v>743</v>
      </c>
      <c r="D73" s="1337" t="s">
        <v>226</v>
      </c>
      <c r="E73" s="1339" t="s">
        <v>133</v>
      </c>
      <c r="F73" s="981" t="s">
        <v>6</v>
      </c>
      <c r="G73" s="1340" t="s">
        <v>5</v>
      </c>
      <c r="H73" s="1339" t="s">
        <v>119</v>
      </c>
      <c r="I73" s="1339" t="s">
        <v>4</v>
      </c>
      <c r="J73" s="1339" t="s">
        <v>3</v>
      </c>
      <c r="K73" s="1339" t="s">
        <v>2</v>
      </c>
      <c r="L73" s="1339" t="s">
        <v>114</v>
      </c>
      <c r="M73" s="1339" t="s">
        <v>115</v>
      </c>
      <c r="N73" s="1339" t="s">
        <v>116</v>
      </c>
      <c r="O73" s="1338" t="s">
        <v>109</v>
      </c>
      <c r="P73" s="1331"/>
      <c r="Q73" s="456"/>
      <c r="R73" s="11"/>
      <c r="S73" s="11"/>
      <c r="T73" s="621"/>
    </row>
    <row r="74" spans="1:22" x14ac:dyDescent="0.2">
      <c r="A74" s="1347"/>
      <c r="B74" s="1333"/>
      <c r="C74" s="1335"/>
      <c r="D74" s="1338"/>
      <c r="E74" s="1339"/>
      <c r="F74" s="1343" t="str">
        <f>I66</f>
        <v>Zuschläge / Zulagen / o.ä.:</v>
      </c>
      <c r="G74" s="1340"/>
      <c r="H74" s="1342" t="s">
        <v>117</v>
      </c>
      <c r="I74" s="1342"/>
      <c r="J74" s="1342"/>
      <c r="K74" s="1342"/>
      <c r="L74" s="1342"/>
      <c r="M74" s="1342"/>
      <c r="N74" s="1342"/>
      <c r="O74" s="1338"/>
      <c r="P74" s="1331"/>
      <c r="Q74" s="456"/>
      <c r="R74" s="1306" t="str">
        <f>Q66</f>
        <v>BBG anteilig 2025</v>
      </c>
      <c r="S74" s="1306"/>
      <c r="T74" s="829"/>
    </row>
    <row r="75" spans="1:22" ht="14.25" customHeight="1" x14ac:dyDescent="0.2">
      <c r="A75" s="1347"/>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c r="Q75" s="456"/>
      <c r="R75" s="1307" t="s">
        <v>659</v>
      </c>
      <c r="S75" s="1307"/>
      <c r="T75" s="829"/>
      <c r="U75" s="1308" t="s">
        <v>1</v>
      </c>
      <c r="V75" s="1308" t="s">
        <v>741</v>
      </c>
    </row>
    <row r="76" spans="1:22" x14ac:dyDescent="0.2">
      <c r="A76" s="1347"/>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c r="Q76" s="456"/>
      <c r="R76" s="935" t="s">
        <v>144</v>
      </c>
      <c r="S76" s="935" t="s">
        <v>145</v>
      </c>
      <c r="T76" s="829"/>
      <c r="U76" s="1308"/>
      <c r="V76" s="1308"/>
    </row>
    <row r="77" spans="1:22"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2">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56"/>
      <c r="R77" s="140">
        <f>ROUND(IF(M55="",R71,R71/M55*P54),2)</f>
        <v>5175</v>
      </c>
      <c r="S77" s="140">
        <f>ROUND(IF(M55="",R72,R72/M55*P54),2)</f>
        <v>7450</v>
      </c>
      <c r="U77" s="950">
        <f>SUM(B77:F77)</f>
        <v>0</v>
      </c>
      <c r="V77" s="950">
        <f>SUM(B77:F77)</f>
        <v>0</v>
      </c>
    </row>
    <row r="78" spans="1:22"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2"/>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3">SUM(G78:O78)</f>
        <v>0</v>
      </c>
      <c r="Q78" s="456"/>
      <c r="R78" s="140">
        <f>ROUND(IF(M55="",R71,R71/M55*P55),2)</f>
        <v>5175</v>
      </c>
      <c r="S78" s="140">
        <f>ROUND(IF(M55="",R72,R72/M55*P55),2)</f>
        <v>7450</v>
      </c>
      <c r="U78" s="950">
        <f t="shared" ref="U78:U88" si="14">SUM(B78:F78)</f>
        <v>0</v>
      </c>
      <c r="V78" s="950">
        <f>SUM(B77:F78)</f>
        <v>0</v>
      </c>
    </row>
    <row r="79" spans="1:22"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2"/>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3"/>
        <v>0</v>
      </c>
      <c r="Q79" s="456"/>
      <c r="R79" s="140">
        <f>ROUND(IF(M55="",R71,R71/M55*P56),2)</f>
        <v>5175</v>
      </c>
      <c r="S79" s="140">
        <f>ROUND(IF(M55="",R72,R72/M55*P56),2)</f>
        <v>7450</v>
      </c>
      <c r="U79" s="950">
        <f t="shared" si="14"/>
        <v>0</v>
      </c>
      <c r="V79" s="950">
        <f>SUM(B77:F79)</f>
        <v>0</v>
      </c>
    </row>
    <row r="80" spans="1:22"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2"/>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3"/>
        <v>0</v>
      </c>
      <c r="Q80" s="456"/>
      <c r="R80" s="140">
        <f>ROUND(IF(M55="",R71,R71/M55*P57),2)</f>
        <v>5175</v>
      </c>
      <c r="S80" s="140">
        <f>ROUND(IF(M55="",R72,R72/M55*P57),2)</f>
        <v>7450</v>
      </c>
      <c r="U80" s="950">
        <f t="shared" si="14"/>
        <v>0</v>
      </c>
      <c r="V80" s="950">
        <f>SUM(B77:F80)</f>
        <v>0</v>
      </c>
    </row>
    <row r="81" spans="1:24"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2"/>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3"/>
        <v>0</v>
      </c>
      <c r="Q81" s="456"/>
      <c r="R81" s="140">
        <f>ROUND(IF(M55="",R71,R71/M55*P58),2)</f>
        <v>5175</v>
      </c>
      <c r="S81" s="140">
        <f>ROUND(IF(M55="",R72,R72/M55*P58),2)</f>
        <v>7450</v>
      </c>
      <c r="U81" s="950">
        <f t="shared" si="14"/>
        <v>0</v>
      </c>
      <c r="V81" s="950">
        <f>SUM(B77:F81)</f>
        <v>0</v>
      </c>
    </row>
    <row r="82" spans="1:24"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2"/>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3"/>
        <v>0</v>
      </c>
      <c r="Q82" s="456"/>
      <c r="R82" s="140">
        <f>ROUND(IF(M55="",R71,R71/M55*P59),2)</f>
        <v>5175</v>
      </c>
      <c r="S82" s="140">
        <f>ROUND(IF(M55="",R72,R72/M55*P59),2)</f>
        <v>7450</v>
      </c>
      <c r="U82" s="950">
        <f t="shared" si="14"/>
        <v>0</v>
      </c>
      <c r="V82" s="950">
        <f>SUM(B77:F82)</f>
        <v>0</v>
      </c>
    </row>
    <row r="83" spans="1:24"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2"/>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3"/>
        <v>0</v>
      </c>
      <c r="Q83" s="456"/>
      <c r="R83" s="140">
        <f>ROUND(IF(M55="",R71,R71/M55*P60),2)</f>
        <v>5175</v>
      </c>
      <c r="S83" s="140">
        <f>ROUND(IF(M55="",R72,R72/M55*P60),2)</f>
        <v>7450</v>
      </c>
      <c r="U83" s="950">
        <f t="shared" si="14"/>
        <v>0</v>
      </c>
      <c r="V83" s="950">
        <f>SUM(B77:F83)</f>
        <v>0</v>
      </c>
    </row>
    <row r="84" spans="1:24"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2"/>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3"/>
        <v>0</v>
      </c>
      <c r="Q84" s="456"/>
      <c r="R84" s="140">
        <f>ROUND(IF(M55="",R71,R71/M55*P61),2)</f>
        <v>5175</v>
      </c>
      <c r="S84" s="140">
        <f>ROUND(IF(M55="",R72,R72/M55*P61),2)</f>
        <v>7450</v>
      </c>
      <c r="U84" s="950">
        <f t="shared" si="14"/>
        <v>0</v>
      </c>
      <c r="V84" s="950">
        <f>SUM(B77:F84)</f>
        <v>0</v>
      </c>
    </row>
    <row r="85" spans="1:24"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2"/>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3"/>
        <v>0</v>
      </c>
      <c r="Q85" s="456"/>
      <c r="R85" s="140">
        <f>ROUND(IF(M55="",R71,R71/M55*P62),2)</f>
        <v>5175</v>
      </c>
      <c r="S85" s="140">
        <f>ROUND(IF(M55="",R72,R72/M55*P62),2)</f>
        <v>7450</v>
      </c>
      <c r="U85" s="950">
        <f t="shared" si="14"/>
        <v>0</v>
      </c>
      <c r="V85" s="950">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2"/>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3"/>
        <v>0</v>
      </c>
      <c r="Q86" s="936"/>
      <c r="R86" s="140">
        <f>ROUND(IF(M55="",R71,R71/M55*P63),2)</f>
        <v>5175</v>
      </c>
      <c r="S86" s="140">
        <f>ROUND(IF(M55="",R72,R72/M55*P63),2)</f>
        <v>7450</v>
      </c>
      <c r="U86" s="950">
        <f t="shared" si="14"/>
        <v>0</v>
      </c>
      <c r="V86" s="950">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2"/>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3"/>
        <v>0</v>
      </c>
      <c r="R87" s="140">
        <f>ROUND(IF(M55="",R71,R71/M55*P64),2)</f>
        <v>5175</v>
      </c>
      <c r="S87" s="140">
        <f>ROUND(IF(M55="",R72,R72/M55*P64),2)</f>
        <v>7450</v>
      </c>
      <c r="U87" s="950">
        <f t="shared" si="14"/>
        <v>0</v>
      </c>
      <c r="V87" s="950">
        <f>SUM(B77:F87)</f>
        <v>0</v>
      </c>
      <c r="X87" s="1"/>
    </row>
    <row r="88" spans="1:24"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2"/>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3"/>
        <v>0</v>
      </c>
      <c r="Q88" s="11"/>
      <c r="R88" s="140">
        <f>ROUND(IF(M55="",R71,R71/M55*P65),2)</f>
        <v>5175</v>
      </c>
      <c r="S88" s="140">
        <f>ROUND(IF(M55="",R72,R72/M55*P65),2)</f>
        <v>7450</v>
      </c>
      <c r="U88" s="950">
        <f t="shared" si="14"/>
        <v>0</v>
      </c>
      <c r="V88" s="950">
        <f>SUM(B77:F88)</f>
        <v>0</v>
      </c>
    </row>
    <row r="89" spans="1:24" ht="15" customHeight="1" x14ac:dyDescent="0.2">
      <c r="A89" s="2" t="s">
        <v>1</v>
      </c>
      <c r="B89" s="25">
        <f>SUM(B77:B88)</f>
        <v>0</v>
      </c>
      <c r="C89" s="25">
        <f t="shared" ref="C89:G89" si="15">SUM(C77:C88)</f>
        <v>0</v>
      </c>
      <c r="D89" s="25">
        <f t="shared" si="15"/>
        <v>0</v>
      </c>
      <c r="E89" s="25">
        <f t="shared" si="15"/>
        <v>0</v>
      </c>
      <c r="F89" s="25">
        <f t="shared" si="15"/>
        <v>0</v>
      </c>
      <c r="G89" s="25">
        <f t="shared" si="15"/>
        <v>0</v>
      </c>
      <c r="H89" s="1309">
        <f>SUM(H77:N88)</f>
        <v>0</v>
      </c>
      <c r="I89" s="1310"/>
      <c r="J89" s="1310"/>
      <c r="K89" s="1310"/>
      <c r="L89" s="1310"/>
      <c r="M89" s="1310"/>
      <c r="N89" s="1311"/>
      <c r="O89" s="25">
        <f>SUM(O77:O88)</f>
        <v>0</v>
      </c>
      <c r="P89" s="25">
        <f>SUM(P77:P88)</f>
        <v>0</v>
      </c>
    </row>
    <row r="90" spans="1:24" ht="12" customHeight="1" x14ac:dyDescent="0.2"/>
    <row r="91" spans="1:24" ht="14.25" customHeight="1" x14ac:dyDescent="0.2">
      <c r="B91" s="906"/>
      <c r="H91" s="905"/>
      <c r="I91" s="62"/>
      <c r="J91" s="914" t="s">
        <v>123</v>
      </c>
      <c r="L91" s="900" t="s">
        <v>124</v>
      </c>
      <c r="M91" s="974" t="str">
        <f>IF(IF(G89=0,"",$M$43)=0,"",IF(G89=0,"",$M$43))</f>
        <v/>
      </c>
      <c r="N91" s="902" t="s">
        <v>125</v>
      </c>
      <c r="O91" s="963" t="str">
        <f>IF(IF(G89=0,"",$O$43)=0,"",IF(G89=0,"",$O$43))</f>
        <v/>
      </c>
      <c r="P91" s="25">
        <f>ROUND(IF(M91="",0,G89*M91*O91/1000),2)</f>
        <v>0</v>
      </c>
      <c r="Q91" s="937"/>
      <c r="R91" s="938">
        <v>2025</v>
      </c>
      <c r="S91" s="939"/>
    </row>
    <row r="92" spans="1:24" ht="14.25" customHeight="1" x14ac:dyDescent="0.2">
      <c r="H92" s="907"/>
      <c r="I92" s="42"/>
      <c r="M92" s="915" t="s">
        <v>129</v>
      </c>
      <c r="N92" s="80" t="s">
        <v>125</v>
      </c>
      <c r="O92" s="75" t="str">
        <f>IF(IF(G89=0,"",$O$44)=0,"",IF(G89=0,"",$O$44))</f>
        <v/>
      </c>
      <c r="P92" s="25">
        <f>ROUND(IF(O92="",0,G89*O92/1000),2)</f>
        <v>0</v>
      </c>
      <c r="Q92" s="942" t="s">
        <v>737</v>
      </c>
      <c r="R92" s="141">
        <f>'päd.Personal - Leitung'!$R$44</f>
        <v>556</v>
      </c>
      <c r="S92" s="955">
        <f>'päd.Personal - Leitung'!$S$44</f>
        <v>12.82</v>
      </c>
    </row>
    <row r="93" spans="1:24" ht="14.25" customHeight="1" x14ac:dyDescent="0.2">
      <c r="H93" s="912" t="s">
        <v>126</v>
      </c>
      <c r="I93" s="980" t="s">
        <v>127</v>
      </c>
      <c r="J93" s="975" t="str">
        <f>IF(IF(G89=0,"",$J$45)=0,"",IF(G89=0,"",$J$45))</f>
        <v/>
      </c>
      <c r="K93" s="902" t="s">
        <v>128</v>
      </c>
      <c r="L93" s="964" t="str">
        <f>IF(IF(G89=0,"",$L$45)=0,"",IF(G89=0,"",$L$45))</f>
        <v/>
      </c>
      <c r="M93" s="16"/>
      <c r="N93" s="900" t="s">
        <v>132</v>
      </c>
      <c r="O93" s="965" t="str">
        <f>IF(IF(G89=0,"",$O$45)=0,"",IF(G89=0,"",$O$45))</f>
        <v/>
      </c>
      <c r="P93" s="25">
        <f>ROUND(IF(J93="",0,(J93*L93/O93)/M57*M58),2)</f>
        <v>0</v>
      </c>
      <c r="Q93" s="942" t="s">
        <v>738</v>
      </c>
      <c r="R93" s="140">
        <f>'päd.Personal - Leitung'!$R$45</f>
        <v>2000</v>
      </c>
      <c r="S93" s="939"/>
    </row>
    <row r="94" spans="1:24" ht="14.25" customHeight="1" x14ac:dyDescent="0.2">
      <c r="D94" s="16"/>
      <c r="I94" s="16"/>
      <c r="J94" s="16"/>
      <c r="K94" s="63"/>
      <c r="L94" s="67"/>
      <c r="M94" s="915" t="s">
        <v>130</v>
      </c>
      <c r="N94" s="80" t="s">
        <v>131</v>
      </c>
      <c r="O94" s="904">
        <f>IF(IF(M59="",0,$O$46)=0,0,IF(M59="",0,$O$46))</f>
        <v>0</v>
      </c>
      <c r="P94" s="21">
        <f>ROUND(IF(G89=0,0,O94/M55*M56),2)</f>
        <v>0</v>
      </c>
      <c r="Q94" s="942" t="s">
        <v>740</v>
      </c>
      <c r="R94" s="956">
        <f>'päd.Personal - Leitung'!$R$46</f>
        <v>0.40900000000000003</v>
      </c>
    </row>
    <row r="95" spans="1:24" ht="14.25" customHeight="1" x14ac:dyDescent="0.2">
      <c r="A95" s="16"/>
      <c r="B95" s="16"/>
      <c r="I95" s="905"/>
      <c r="J95" s="961" t="s">
        <v>176</v>
      </c>
      <c r="K95" s="1312" t="str">
        <f>IF($K$47="","",$K$47)</f>
        <v/>
      </c>
      <c r="L95" s="1312"/>
      <c r="M95" s="1312"/>
      <c r="N95" s="80" t="s">
        <v>131</v>
      </c>
      <c r="O95" s="904">
        <f>IF(IF(M59="",0,$O$47)=0,0,IF(M59="",0,$O$47))</f>
        <v>0</v>
      </c>
      <c r="P95" s="21">
        <f>ROUND(IF(G89=0,0,O95/M55*M56),2)</f>
        <v>0</v>
      </c>
      <c r="Q95" s="942" t="s">
        <v>739</v>
      </c>
      <c r="R95" s="940">
        <f>'päd.Personal - Leitung'!$R$47</f>
        <v>0.68459999999999999</v>
      </c>
      <c r="S95" s="957">
        <f>'päd.Personal - Leitung'!$S$47</f>
        <v>0.28000000000000003</v>
      </c>
    </row>
    <row r="96" spans="1:24" ht="14.25" customHeight="1" x14ac:dyDescent="0.2">
      <c r="A96" s="908"/>
      <c r="B96" s="908"/>
      <c r="C96" s="980"/>
      <c r="D96" s="980"/>
      <c r="I96" s="913"/>
      <c r="J96" s="913"/>
      <c r="K96" s="916"/>
      <c r="L96" s="27"/>
      <c r="M96" s="27"/>
      <c r="N96" s="27"/>
      <c r="O96" s="26" t="s">
        <v>0</v>
      </c>
      <c r="P96" s="25">
        <f>P89+SUM(P91:P95)</f>
        <v>0</v>
      </c>
    </row>
    <row r="97" spans="1:19" s="10" customFormat="1" ht="13.5" customHeight="1" x14ac:dyDescent="0.2">
      <c r="A97" s="1321" t="s">
        <v>17</v>
      </c>
      <c r="B97" s="1321"/>
      <c r="C97" s="1321"/>
      <c r="D97" s="1320" t="str">
        <f>IF('päd.Personal - Leitung'!$D$1="","",'päd.Personal - Leitung'!$D$1)</f>
        <v/>
      </c>
      <c r="E97" s="1320"/>
      <c r="F97" s="1320"/>
      <c r="G97" s="1320"/>
      <c r="H97" s="1320"/>
      <c r="I97" s="1320"/>
      <c r="J97" s="1320"/>
      <c r="K97" s="1320"/>
      <c r="L97" s="1320"/>
      <c r="M97" s="1320"/>
      <c r="N97" s="1320"/>
    </row>
    <row r="98" spans="1:19" s="10" customFormat="1" ht="15" customHeight="1" x14ac:dyDescent="0.2">
      <c r="A98" s="1321" t="s">
        <v>16</v>
      </c>
      <c r="B98" s="1321"/>
      <c r="C98" s="1321" t="s">
        <v>14</v>
      </c>
      <c r="D98" s="1320" t="str">
        <f>IF('päd.Personal - Leitung'!$D$2="","",'päd.Personal - Leitung'!$D$2)</f>
        <v/>
      </c>
      <c r="E98" s="1320"/>
      <c r="F98" s="1320"/>
      <c r="G98" s="1320"/>
      <c r="H98" s="1320"/>
      <c r="I98" s="1320"/>
      <c r="J98" s="1320"/>
      <c r="K98" s="1320"/>
      <c r="L98" s="1320"/>
      <c r="M98" s="1320"/>
      <c r="N98" s="1320"/>
    </row>
    <row r="99" spans="1:19" s="10" customFormat="1" ht="15" customHeight="1" x14ac:dyDescent="0.2">
      <c r="A99" s="1321" t="s">
        <v>15</v>
      </c>
      <c r="B99" s="1321"/>
      <c r="C99" s="1321" t="s">
        <v>14</v>
      </c>
      <c r="D99" s="1320" t="str">
        <f>IF('päd.Personal - Leitung'!$D$3="","",'päd.Personal - Leitung'!$D$3)</f>
        <v/>
      </c>
      <c r="E99" s="1320"/>
      <c r="F99" s="1320"/>
      <c r="G99" s="1320"/>
      <c r="H99" s="1320"/>
      <c r="I99" s="1320"/>
      <c r="J99" s="1320"/>
      <c r="K99" s="1321" t="s">
        <v>100</v>
      </c>
      <c r="L99" s="1321"/>
      <c r="M99" s="1321"/>
      <c r="N99" s="38" t="str">
        <f>IF('päd.Personal - Leitung'!$N$3="","",'päd.Personal - Leitung'!$N$3)</f>
        <v/>
      </c>
    </row>
    <row r="100" spans="1:19" s="923" customFormat="1" ht="7.5" customHeight="1" x14ac:dyDescent="0.15">
      <c r="A100" s="1353"/>
      <c r="B100" s="1353"/>
      <c r="C100" s="1353"/>
      <c r="D100" s="1354"/>
      <c r="E100" s="1354"/>
      <c r="F100" s="1354"/>
      <c r="G100" s="1354"/>
      <c r="H100" s="1354"/>
      <c r="I100" s="1354"/>
      <c r="J100" s="1354"/>
      <c r="K100" s="922"/>
      <c r="L100" s="922"/>
      <c r="M100" s="922"/>
      <c r="N100" s="922"/>
      <c r="O100" s="922"/>
      <c r="P100" s="922"/>
    </row>
    <row r="101" spans="1:19" s="13" customFormat="1" ht="13.5" customHeight="1" x14ac:dyDescent="0.2">
      <c r="A101" s="1355" t="s">
        <v>190</v>
      </c>
      <c r="B101" s="1355"/>
      <c r="C101" s="1355"/>
      <c r="D101" s="1355"/>
      <c r="E101" s="1355"/>
      <c r="F101" s="1355"/>
      <c r="G101" s="1355"/>
      <c r="H101" s="1355"/>
      <c r="I101" s="1355"/>
      <c r="J101" s="1355"/>
      <c r="K101" s="7"/>
      <c r="L101" s="7"/>
      <c r="M101" s="7"/>
      <c r="N101" s="52"/>
      <c r="O101" s="138">
        <f>'päd.Personal - Leitung'!$O$5</f>
        <v>2025</v>
      </c>
      <c r="P101" s="52" t="s">
        <v>140</v>
      </c>
    </row>
    <row r="102" spans="1:19" s="8" customFormat="1" ht="13.5" customHeight="1" x14ac:dyDescent="0.25">
      <c r="B102" s="29"/>
      <c r="C102" s="29"/>
      <c r="D102" s="3" t="s">
        <v>29</v>
      </c>
      <c r="E102" s="28"/>
      <c r="F102" s="28"/>
      <c r="G102" s="28"/>
      <c r="H102" s="28"/>
      <c r="I102" s="24"/>
      <c r="K102" s="1327" t="s">
        <v>13</v>
      </c>
      <c r="L102" s="1327"/>
      <c r="M102" s="131"/>
      <c r="O102" s="928" t="str">
        <f>A125</f>
        <v>Jan 2025</v>
      </c>
      <c r="P102" s="1402">
        <f>IF(M104="","",M104)</f>
        <v>0</v>
      </c>
    </row>
    <row r="103" spans="1:19" s="5" customFormat="1" ht="13.5" customHeight="1" x14ac:dyDescent="0.25">
      <c r="A103" s="1328" t="s">
        <v>754</v>
      </c>
      <c r="B103" s="1328"/>
      <c r="C103" s="1328"/>
      <c r="D103" s="1329"/>
      <c r="E103" s="1329"/>
      <c r="F103" s="1329"/>
      <c r="G103" s="1329"/>
      <c r="H103" s="1329"/>
      <c r="I103" s="1329"/>
      <c r="K103" s="1327" t="s">
        <v>101</v>
      </c>
      <c r="L103" s="1327"/>
      <c r="M103" s="101"/>
      <c r="O103" s="928" t="str">
        <f t="shared" ref="O103:O113" si="16">A126</f>
        <v>Feb 2025</v>
      </c>
      <c r="P103" s="1403">
        <f t="shared" ref="P103:P110" si="17">IF(P102="","",P102)</f>
        <v>0</v>
      </c>
    </row>
    <row r="104" spans="1:19" ht="13.5" customHeight="1" x14ac:dyDescent="0.2">
      <c r="A104" s="1328" t="s">
        <v>12</v>
      </c>
      <c r="B104" s="1328"/>
      <c r="C104" s="1328"/>
      <c r="D104" s="1345"/>
      <c r="E104" s="1345"/>
      <c r="F104" s="1345"/>
      <c r="G104" s="1345"/>
      <c r="H104" s="1345"/>
      <c r="I104" s="1345"/>
      <c r="K104" s="1327" t="s">
        <v>194</v>
      </c>
      <c r="L104" s="1327"/>
      <c r="M104" s="101">
        <f>IF(M105&gt;M103,0,M103-M105)</f>
        <v>0</v>
      </c>
      <c r="O104" s="928" t="str">
        <f t="shared" si="16"/>
        <v>Mrz 2025</v>
      </c>
      <c r="P104" s="1403">
        <f t="shared" si="17"/>
        <v>0</v>
      </c>
    </row>
    <row r="105" spans="1:19" ht="13.5" customHeight="1" x14ac:dyDescent="0.2">
      <c r="A105" s="1328" t="s">
        <v>11</v>
      </c>
      <c r="B105" s="1328"/>
      <c r="C105" s="1328"/>
      <c r="D105" s="1345"/>
      <c r="E105" s="1345"/>
      <c r="F105" s="1345"/>
      <c r="G105" s="1345"/>
      <c r="H105" s="1345"/>
      <c r="I105" s="1345"/>
      <c r="K105" s="1327" t="s">
        <v>195</v>
      </c>
      <c r="L105" s="1327"/>
      <c r="M105" s="101"/>
      <c r="O105" s="928" t="str">
        <f t="shared" si="16"/>
        <v>Apr 2025</v>
      </c>
      <c r="P105" s="1403">
        <f t="shared" si="17"/>
        <v>0</v>
      </c>
    </row>
    <row r="106" spans="1:19" ht="13.5" customHeight="1" x14ac:dyDescent="0.2">
      <c r="A106" s="1328" t="s">
        <v>18</v>
      </c>
      <c r="B106" s="1328"/>
      <c r="C106" s="1328"/>
      <c r="D106" s="1345"/>
      <c r="E106" s="1345"/>
      <c r="F106" s="1345"/>
      <c r="G106" s="1345"/>
      <c r="H106" s="1345"/>
      <c r="I106" s="1345"/>
      <c r="K106" s="1327" t="s">
        <v>94</v>
      </c>
      <c r="L106" s="1327"/>
      <c r="M106" s="15" t="str">
        <f>IF(IF((COUNTIF(B125:B136,"&gt;0"))=0,0,(COUNTIF(B125:B136,"&gt;0")))&gt;Grundlagen!$C$26,Grundlagen!$C$26,IF((COUNTIF(B125:B136,"&gt;0"))=0,"",(COUNTIF(B125:B136,"&gt;0"))))</f>
        <v/>
      </c>
      <c r="O106" s="928" t="str">
        <f t="shared" si="16"/>
        <v>Mai 2025</v>
      </c>
      <c r="P106" s="1403">
        <f t="shared" si="17"/>
        <v>0</v>
      </c>
    </row>
    <row r="107" spans="1:19" ht="13.5" customHeight="1" x14ac:dyDescent="0.2">
      <c r="B107" s="6"/>
      <c r="C107" s="979" t="s">
        <v>147</v>
      </c>
      <c r="D107" s="1324"/>
      <c r="E107" s="1324"/>
      <c r="F107" s="1359" t="s">
        <v>103</v>
      </c>
      <c r="G107" s="1359"/>
      <c r="H107" s="1361"/>
      <c r="I107" s="1361"/>
      <c r="M107" s="102" t="str">
        <f>IF((SUM(F110:F113))=0,"",IF(P114&gt;M104,M104,IF(M104="","",IF(M106="","",P114))))</f>
        <v/>
      </c>
      <c r="O107" s="928" t="str">
        <f t="shared" si="16"/>
        <v>Jun 2025</v>
      </c>
      <c r="P107" s="1403">
        <f t="shared" si="17"/>
        <v>0</v>
      </c>
    </row>
    <row r="108" spans="1:19" ht="13.5" customHeight="1" x14ac:dyDescent="0.2">
      <c r="I108" s="4"/>
      <c r="O108" s="928" t="str">
        <f t="shared" si="16"/>
        <v>Jul 2025</v>
      </c>
      <c r="P108" s="1403">
        <f t="shared" si="17"/>
        <v>0</v>
      </c>
    </row>
    <row r="109" spans="1:19" s="46" customFormat="1" ht="13.5" customHeight="1" x14ac:dyDescent="0.2">
      <c r="A109" s="54" t="s">
        <v>134</v>
      </c>
      <c r="B109" s="1356" t="s">
        <v>135</v>
      </c>
      <c r="C109" s="1356"/>
      <c r="D109" s="55" t="s">
        <v>136</v>
      </c>
      <c r="E109" s="56" t="s">
        <v>137</v>
      </c>
      <c r="F109" s="57" t="str">
        <f>CONCATENATE("Entg. ",N99," h/Wo")</f>
        <v>Entg.  h/Wo</v>
      </c>
      <c r="G109" s="58" t="s">
        <v>138</v>
      </c>
      <c r="I109" s="58" t="s">
        <v>139</v>
      </c>
      <c r="K109" s="970"/>
      <c r="L109" s="970"/>
      <c r="M109" s="59"/>
      <c r="N109" s="968" t="str">
        <f>IF(A111="","",A111)</f>
        <v/>
      </c>
      <c r="O109" s="928" t="str">
        <f t="shared" si="16"/>
        <v>Aug 2025</v>
      </c>
      <c r="P109" s="1403">
        <f t="shared" si="17"/>
        <v>0</v>
      </c>
      <c r="Q109" s="85"/>
      <c r="R109" s="85"/>
      <c r="S109" s="85"/>
    </row>
    <row r="110" spans="1:19" s="46" customFormat="1" ht="13.5" customHeight="1" x14ac:dyDescent="0.25">
      <c r="A110" s="48" t="str">
        <f>'päd.Personal - Leitung'!$A$14</f>
        <v>Jan 2025</v>
      </c>
      <c r="B110" s="1357" t="str">
        <f>IF($D$3="","",$D$3)</f>
        <v/>
      </c>
      <c r="C110" s="1358"/>
      <c r="D110" s="132"/>
      <c r="E110" s="132"/>
      <c r="F110" s="71"/>
      <c r="G110" s="50">
        <f>IF(N99="",0,F110/N99/4.348)</f>
        <v>0</v>
      </c>
      <c r="I110" s="125">
        <f>SUM(J110:M110)</f>
        <v>0</v>
      </c>
      <c r="J110" s="124"/>
      <c r="K110" s="124"/>
      <c r="L110" s="124"/>
      <c r="M110" s="124"/>
      <c r="N110" s="969"/>
      <c r="O110" s="928" t="str">
        <f t="shared" si="16"/>
        <v>Sep 2025</v>
      </c>
      <c r="P110" s="1403">
        <f t="shared" si="17"/>
        <v>0</v>
      </c>
      <c r="Q110" s="85"/>
      <c r="R110" s="85"/>
      <c r="S110" s="85"/>
    </row>
    <row r="111" spans="1:19" s="46" customFormat="1" ht="13.5" customHeight="1" x14ac:dyDescent="0.25">
      <c r="A111" s="49"/>
      <c r="B111" s="1322" t="str">
        <f>IF(A111="","",B110)</f>
        <v/>
      </c>
      <c r="C111" s="1323"/>
      <c r="D111" s="132"/>
      <c r="E111" s="132"/>
      <c r="F111" s="71"/>
      <c r="G111" s="50">
        <f>IF(N99="",0,F111/N99/4.348)</f>
        <v>0</v>
      </c>
      <c r="I111" s="125">
        <f t="shared" ref="I111:I113" si="18">SUM(J111:M111)</f>
        <v>0</v>
      </c>
      <c r="J111" s="124"/>
      <c r="K111" s="124"/>
      <c r="L111" s="124"/>
      <c r="M111" s="124"/>
      <c r="N111" s="969"/>
      <c r="O111" s="928" t="str">
        <f t="shared" si="16"/>
        <v>Okt 2025</v>
      </c>
      <c r="P111" s="1403">
        <f t="shared" ref="P111:P113" si="19">IF(P110="","",P110)</f>
        <v>0</v>
      </c>
      <c r="Q111" s="85"/>
      <c r="R111" s="85"/>
      <c r="S111" s="85"/>
    </row>
    <row r="112" spans="1:19" s="46" customFormat="1" ht="13.5" customHeight="1" x14ac:dyDescent="0.25">
      <c r="A112" s="49"/>
      <c r="B112" s="1322" t="str">
        <f>IF(A112="","",B111)</f>
        <v/>
      </c>
      <c r="C112" s="1323"/>
      <c r="D112" s="132"/>
      <c r="E112" s="132"/>
      <c r="F112" s="71"/>
      <c r="G112" s="50">
        <f>IF(N99="",0,F112/N99/4.348)</f>
        <v>0</v>
      </c>
      <c r="I112" s="125">
        <f t="shared" si="18"/>
        <v>0</v>
      </c>
      <c r="J112" s="124"/>
      <c r="K112" s="124"/>
      <c r="L112" s="124"/>
      <c r="M112" s="124"/>
      <c r="N112" s="969"/>
      <c r="O112" s="928" t="str">
        <f t="shared" si="16"/>
        <v>Nov 2025</v>
      </c>
      <c r="P112" s="1403">
        <f t="shared" si="19"/>
        <v>0</v>
      </c>
      <c r="Q112" s="85"/>
      <c r="R112" s="85"/>
      <c r="S112" s="85"/>
    </row>
    <row r="113" spans="1:22" s="46" customFormat="1" ht="13.5" customHeight="1" x14ac:dyDescent="0.25">
      <c r="A113" s="49"/>
      <c r="B113" s="1322" t="str">
        <f>IF(A113="","",B112)</f>
        <v/>
      </c>
      <c r="C113" s="1323"/>
      <c r="D113" s="132"/>
      <c r="E113" s="132"/>
      <c r="F113" s="71"/>
      <c r="G113" s="50">
        <f>IF(N99="",0,F113/N99/4.348)</f>
        <v>0</v>
      </c>
      <c r="I113" s="125">
        <f t="shared" si="18"/>
        <v>0</v>
      </c>
      <c r="J113" s="124"/>
      <c r="K113" s="124"/>
      <c r="L113" s="124"/>
      <c r="M113" s="124"/>
      <c r="N113" s="969"/>
      <c r="O113" s="928" t="str">
        <f t="shared" si="16"/>
        <v>Dez 2025</v>
      </c>
      <c r="P113" s="1403">
        <f t="shared" si="19"/>
        <v>0</v>
      </c>
      <c r="Q113" s="85"/>
      <c r="R113" s="85"/>
      <c r="S113" s="85"/>
    </row>
    <row r="114" spans="1:22" s="46" customFormat="1" ht="13.5" customHeight="1" x14ac:dyDescent="0.25">
      <c r="B114" s="972"/>
      <c r="C114" s="972"/>
      <c r="E114" s="972"/>
      <c r="F114" s="972"/>
      <c r="I114" s="930" t="s">
        <v>730</v>
      </c>
      <c r="J114" s="976"/>
      <c r="K114" s="976"/>
      <c r="L114" s="976"/>
      <c r="M114" s="976"/>
      <c r="N114" s="971"/>
      <c r="O114" s="126" t="s">
        <v>221</v>
      </c>
      <c r="P114" s="127">
        <f>IF(M106="",0,((IF(SUMIF(B125,"&gt;0"),P102,0))+(IF(SUMIF(B126,"&gt;0"),P103,0))+(IF(SUMIF(B127,"&gt;0"),P104,0))+(IF(SUMIF(B128,"&gt;0"),P105,0))+(IF(SUMIF(B129,"&gt;0"),P106,0))+(IF(SUMIF(B130,"&gt;0"),P107,0))+(IF(SUMIF(B131,"&gt;0"),P108,0))+(IF(SUMIF(B132,"&gt;0"),P109,0))+(IF(SUMIF(B133,"&gt;0"),P110,0))+(IF(SUMIF(B134,"&gt;0"),P111,0))+(IF(SUMIF(B135,"&gt;0"),P112,0))+(IF(SUMIF(B136,"&gt;0"),P113,0)))/Grundlagen!$C$26)</f>
        <v>0</v>
      </c>
      <c r="Q114" s="978" t="str">
        <f>CONCATENATE("BBG"," anteilig ",O116)</f>
        <v>BBG anteilig 2025</v>
      </c>
      <c r="R114" s="931" t="s">
        <v>659</v>
      </c>
      <c r="S114" s="931" t="s">
        <v>398</v>
      </c>
      <c r="T114" s="107"/>
    </row>
    <row r="115" spans="1:22" s="46" customFormat="1" ht="13.5" customHeight="1" x14ac:dyDescent="0.2">
      <c r="A115" s="924" t="s">
        <v>732</v>
      </c>
      <c r="D115" s="55" t="s">
        <v>369</v>
      </c>
      <c r="E115" s="56" t="s">
        <v>368</v>
      </c>
      <c r="F115" s="58"/>
      <c r="J115" s="61"/>
      <c r="Q115" s="932" t="s">
        <v>144</v>
      </c>
      <c r="R115" s="140">
        <f>IF(M104=0,R119,IF(M103="",R119,(SUM(R125:R136)/M107)))</f>
        <v>5175</v>
      </c>
      <c r="S115" s="933">
        <f>IF(M104=0,S119,IF(M103="",S119,SUM(R125:R136)))</f>
        <v>0</v>
      </c>
      <c r="T115" s="107"/>
    </row>
    <row r="116" spans="1:22" s="46" customFormat="1" ht="13.5" customHeight="1" x14ac:dyDescent="0.25">
      <c r="A116" s="60"/>
      <c r="B116" s="1314" t="str">
        <f>IF($B$20="","",$B$20)</f>
        <v>Jahressonderzahlung (JSZ)</v>
      </c>
      <c r="C116" s="1315"/>
      <c r="D116" s="926"/>
      <c r="E116" s="929" t="str">
        <f>IF(A116="","",ROUND((((SUM(B131:B133)+SUM(F131:F133))/3)*D116)/Grundlagen!$C$26*M106,2))</f>
        <v/>
      </c>
      <c r="G116" s="941" t="s">
        <v>733</v>
      </c>
      <c r="H116" s="943"/>
      <c r="I116" s="1316" t="str">
        <f>CONCATENATE(R139,":"," Übergangsbereich von ",R140+0.01," €"," bis ",R141," €")</f>
        <v>2025: Übergangsbereich von 556,01 € bis 2000 €</v>
      </c>
      <c r="J116" s="1317"/>
      <c r="K116" s="1317"/>
      <c r="L116" s="1067"/>
      <c r="M116" s="1067"/>
      <c r="N116" s="1068" t="s">
        <v>736</v>
      </c>
      <c r="O116" s="1069">
        <f>P116+1</f>
        <v>2025</v>
      </c>
      <c r="P116" s="1069" t="s">
        <v>721</v>
      </c>
      <c r="Q116" s="932" t="s">
        <v>145</v>
      </c>
      <c r="R116" s="140">
        <f>IF(M104=0,R120,IF(M103="",R120,(SUM(S125:S136)/M107)))</f>
        <v>7450</v>
      </c>
      <c r="S116" s="933">
        <f>IF(M104=0,S120,IF(M103="",S120,SUM(S125:S136)))</f>
        <v>0</v>
      </c>
      <c r="T116" s="109"/>
    </row>
    <row r="117" spans="1:22" ht="14.25" customHeight="1" x14ac:dyDescent="0.2">
      <c r="A117" s="60"/>
      <c r="B117" s="1314" t="str">
        <f>IF($B$21="","",$B$21)</f>
        <v>Leistungsentgelt (LOB)</v>
      </c>
      <c r="C117" s="1315"/>
      <c r="D117" s="926"/>
      <c r="E117" s="929" t="str">
        <f>IF(A117="","",ROUND(((B137+F137)*D117)/Grundlagen!$C$26*M106,2))</f>
        <v/>
      </c>
      <c r="G117" s="941" t="str">
        <f>IF(OR(H116="",H116="nein")=TRUE,"","Faktor (F):")</f>
        <v/>
      </c>
      <c r="H117" s="949" t="str">
        <f>IF(OR(H116="",H116="nein")=TRUE,"",IF(H116="","",R143))</f>
        <v/>
      </c>
      <c r="I117" s="1318" t="str">
        <f>IF(OR(H116="",H116="nein")=TRUE,"",IF(H117="","",CONCATENATE(S143*100,"%"," / ","(",R142*100,"%"," Gesamt-SV-Beitragssatz 2024)")))</f>
        <v/>
      </c>
      <c r="J117" s="1319"/>
      <c r="K117" s="1319"/>
      <c r="L117" s="1070"/>
      <c r="M117" s="1070"/>
      <c r="N117" s="1071" t="s">
        <v>144</v>
      </c>
      <c r="O117" s="1072">
        <f>'päd.Personal - Leitung'!$O$21</f>
        <v>5175</v>
      </c>
      <c r="P117" s="1072">
        <f>'päd.Personal - Leitung'!$P$21</f>
        <v>5175</v>
      </c>
      <c r="Q117" s="11"/>
      <c r="R117" s="11"/>
      <c r="S117" s="11"/>
      <c r="T117" s="109"/>
    </row>
    <row r="118" spans="1:22" ht="14.25" customHeight="1" x14ac:dyDescent="0.2">
      <c r="C118" s="925" t="s">
        <v>731</v>
      </c>
      <c r="L118" s="1070"/>
      <c r="M118" s="1070"/>
      <c r="N118" s="1071" t="s">
        <v>145</v>
      </c>
      <c r="O118" s="1073">
        <f>'päd.Personal - Leitung'!$O$22</f>
        <v>7450</v>
      </c>
      <c r="P118" s="1073">
        <f>'päd.Personal - Leitung'!$P$22</f>
        <v>7450</v>
      </c>
      <c r="Q118" s="978" t="str">
        <f>CONCATENATE("BBG"," ",O116)</f>
        <v>BBG 2025</v>
      </c>
      <c r="R118" s="11"/>
      <c r="S118" s="11"/>
      <c r="T118" s="109"/>
    </row>
    <row r="119" spans="1:22" ht="14.25" customHeight="1" x14ac:dyDescent="0.2">
      <c r="A119" s="53" t="s">
        <v>141</v>
      </c>
      <c r="B119" s="46"/>
      <c r="C119" s="46"/>
      <c r="D119" s="46"/>
      <c r="E119" s="46"/>
      <c r="F119" s="46"/>
      <c r="G119" s="46"/>
      <c r="H119" s="46"/>
      <c r="I119" s="46"/>
      <c r="J119" s="46"/>
      <c r="K119" s="46"/>
      <c r="L119" s="46"/>
      <c r="M119" s="46"/>
      <c r="N119" s="46"/>
      <c r="O119" s="46"/>
      <c r="P119" s="46"/>
      <c r="Q119" s="932" t="s">
        <v>144</v>
      </c>
      <c r="R119" s="141">
        <f>IF($O$21="",0,$O$21)</f>
        <v>5175</v>
      </c>
      <c r="S119" s="933">
        <f>R119*IF(M107="",0,M107)</f>
        <v>0</v>
      </c>
      <c r="T119" s="295"/>
    </row>
    <row r="120" spans="1:22" x14ac:dyDescent="0.2">
      <c r="A120" s="1346"/>
      <c r="B120" s="1348" t="s">
        <v>8</v>
      </c>
      <c r="C120" s="1349"/>
      <c r="D120" s="1349"/>
      <c r="E120" s="1349"/>
      <c r="F120" s="1349"/>
      <c r="G120" s="1350"/>
      <c r="H120" s="1351" t="s">
        <v>113</v>
      </c>
      <c r="I120" s="1352"/>
      <c r="J120" s="1352"/>
      <c r="K120" s="1352"/>
      <c r="L120" s="1352"/>
      <c r="M120" s="1352"/>
      <c r="N120" s="1352"/>
      <c r="O120" s="30"/>
      <c r="P120" s="1330" t="s">
        <v>0</v>
      </c>
      <c r="Q120" s="932" t="s">
        <v>145</v>
      </c>
      <c r="R120" s="141">
        <f>IF($O$22="",0,$O$22)</f>
        <v>7450</v>
      </c>
      <c r="S120" s="933">
        <f>R120*IF(M107="",0,M107)</f>
        <v>0</v>
      </c>
      <c r="T120" s="830"/>
    </row>
    <row r="121" spans="1:22" ht="14.25" customHeight="1" x14ac:dyDescent="0.2">
      <c r="A121" s="1347"/>
      <c r="B121" s="1333" t="s">
        <v>111</v>
      </c>
      <c r="C121" s="1335" t="s">
        <v>743</v>
      </c>
      <c r="D121" s="1337" t="s">
        <v>226</v>
      </c>
      <c r="E121" s="1339" t="s">
        <v>133</v>
      </c>
      <c r="F121" s="981" t="s">
        <v>6</v>
      </c>
      <c r="G121" s="1340" t="s">
        <v>5</v>
      </c>
      <c r="H121" s="1339" t="s">
        <v>119</v>
      </c>
      <c r="I121" s="1339" t="s">
        <v>4</v>
      </c>
      <c r="J121" s="1339" t="s">
        <v>3</v>
      </c>
      <c r="K121" s="1339" t="s">
        <v>2</v>
      </c>
      <c r="L121" s="1339" t="s">
        <v>114</v>
      </c>
      <c r="M121" s="1339" t="s">
        <v>115</v>
      </c>
      <c r="N121" s="1339" t="s">
        <v>116</v>
      </c>
      <c r="O121" s="1338" t="s">
        <v>109</v>
      </c>
      <c r="P121" s="1331"/>
      <c r="Q121" s="456"/>
      <c r="R121" s="11"/>
      <c r="S121" s="11"/>
      <c r="T121" s="621"/>
    </row>
    <row r="122" spans="1:22" x14ac:dyDescent="0.2">
      <c r="A122" s="1347"/>
      <c r="B122" s="1333"/>
      <c r="C122" s="1335"/>
      <c r="D122" s="1338"/>
      <c r="E122" s="1339"/>
      <c r="F122" s="1343" t="str">
        <f>I114</f>
        <v>Zuschläge / Zulagen / o.ä.:</v>
      </c>
      <c r="G122" s="1340"/>
      <c r="H122" s="1342" t="s">
        <v>117</v>
      </c>
      <c r="I122" s="1342"/>
      <c r="J122" s="1342"/>
      <c r="K122" s="1342"/>
      <c r="L122" s="1342"/>
      <c r="M122" s="1342"/>
      <c r="N122" s="1342"/>
      <c r="O122" s="1338"/>
      <c r="P122" s="1331"/>
      <c r="Q122" s="456"/>
      <c r="R122" s="1306" t="str">
        <f>Q114</f>
        <v>BBG anteilig 2025</v>
      </c>
      <c r="S122" s="1306"/>
      <c r="T122" s="829"/>
    </row>
    <row r="123" spans="1:22" ht="14.25" customHeight="1" x14ac:dyDescent="0.2">
      <c r="A123" s="1347"/>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c r="Q123" s="456"/>
      <c r="R123" s="1307" t="s">
        <v>659</v>
      </c>
      <c r="S123" s="1307"/>
      <c r="T123" s="829"/>
      <c r="U123" s="1308" t="s">
        <v>1</v>
      </c>
      <c r="V123" s="1308" t="s">
        <v>741</v>
      </c>
    </row>
    <row r="124" spans="1:22" x14ac:dyDescent="0.2">
      <c r="A124" s="1347"/>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c r="Q124" s="456"/>
      <c r="R124" s="935" t="s">
        <v>144</v>
      </c>
      <c r="S124" s="935" t="s">
        <v>145</v>
      </c>
      <c r="T124" s="829"/>
      <c r="U124" s="1308"/>
      <c r="V124" s="1308"/>
    </row>
    <row r="125" spans="1:22"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0">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56"/>
      <c r="R125" s="140">
        <f>ROUND(IF(M103="",R119,R119/M103*P102),2)</f>
        <v>5175</v>
      </c>
      <c r="S125" s="140">
        <f>ROUND(IF(M103="",R120,R120/M103*P102),2)</f>
        <v>7450</v>
      </c>
      <c r="U125" s="950">
        <f>SUM(B125:F125)</f>
        <v>0</v>
      </c>
      <c r="V125" s="950">
        <f>SUM(B125:F125)</f>
        <v>0</v>
      </c>
    </row>
    <row r="126" spans="1:22"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0"/>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21">SUM(G126:O126)</f>
        <v>0</v>
      </c>
      <c r="Q126" s="456"/>
      <c r="R126" s="140">
        <f>ROUND(IF(M103="",R119,R119/M103*P103),2)</f>
        <v>5175</v>
      </c>
      <c r="S126" s="140">
        <f>ROUND(IF(M103="",R120,R120/M103*P103),2)</f>
        <v>7450</v>
      </c>
      <c r="U126" s="950">
        <f t="shared" ref="U126:U136" si="22">SUM(B126:F126)</f>
        <v>0</v>
      </c>
      <c r="V126" s="950">
        <f>SUM(B125:F126)</f>
        <v>0</v>
      </c>
    </row>
    <row r="127" spans="1:22"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0"/>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1"/>
        <v>0</v>
      </c>
      <c r="Q127" s="456"/>
      <c r="R127" s="140">
        <f>ROUND(IF(M103="",R119,R119/M103*P104),2)</f>
        <v>5175</v>
      </c>
      <c r="S127" s="140">
        <f>ROUND(IF(M103="",R120,R120/M103*P104),2)</f>
        <v>7450</v>
      </c>
      <c r="U127" s="950">
        <f t="shared" si="22"/>
        <v>0</v>
      </c>
      <c r="V127" s="950">
        <f>SUM(B125:F127)</f>
        <v>0</v>
      </c>
    </row>
    <row r="128" spans="1:22"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0"/>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1"/>
        <v>0</v>
      </c>
      <c r="Q128" s="456"/>
      <c r="R128" s="140">
        <f>ROUND(IF(M103="",R119,R119/M103*P105),2)</f>
        <v>5175</v>
      </c>
      <c r="S128" s="140">
        <f>ROUND(IF(M103="",R120,R120/M103*P105),2)</f>
        <v>7450</v>
      </c>
      <c r="U128" s="950">
        <f t="shared" si="22"/>
        <v>0</v>
      </c>
      <c r="V128" s="950">
        <f>SUM(B125:F128)</f>
        <v>0</v>
      </c>
    </row>
    <row r="129" spans="1:24"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0"/>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1"/>
        <v>0</v>
      </c>
      <c r="Q129" s="456"/>
      <c r="R129" s="140">
        <f>ROUND(IF(M103="",R119,R119/M103*P106),2)</f>
        <v>5175</v>
      </c>
      <c r="S129" s="140">
        <f>ROUND(IF(M103="",R120,R120/M103*P106),2)</f>
        <v>7450</v>
      </c>
      <c r="U129" s="950">
        <f t="shared" si="22"/>
        <v>0</v>
      </c>
      <c r="V129" s="950">
        <f>SUM(B125:F129)</f>
        <v>0</v>
      </c>
    </row>
    <row r="130" spans="1:24"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0"/>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1"/>
        <v>0</v>
      </c>
      <c r="Q130" s="456"/>
      <c r="R130" s="140">
        <f>ROUND(IF(M103="",R119,R119/M103*P107),2)</f>
        <v>5175</v>
      </c>
      <c r="S130" s="140">
        <f>ROUND(IF(M103="",R120,R120/M103*P107),2)</f>
        <v>7450</v>
      </c>
      <c r="U130" s="950">
        <f t="shared" si="22"/>
        <v>0</v>
      </c>
      <c r="V130" s="950">
        <f>SUM(B125:F130)</f>
        <v>0</v>
      </c>
    </row>
    <row r="131" spans="1:24"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0"/>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1"/>
        <v>0</v>
      </c>
      <c r="Q131" s="456"/>
      <c r="R131" s="140">
        <f>ROUND(IF(M103="",R119,R119/M103*P108),2)</f>
        <v>5175</v>
      </c>
      <c r="S131" s="140">
        <f>ROUND(IF(M103="",R120,R120/M103*P108),2)</f>
        <v>7450</v>
      </c>
      <c r="U131" s="950">
        <f t="shared" si="22"/>
        <v>0</v>
      </c>
      <c r="V131" s="950">
        <f>SUM(B125:F131)</f>
        <v>0</v>
      </c>
    </row>
    <row r="132" spans="1:24"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0"/>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1"/>
        <v>0</v>
      </c>
      <c r="Q132" s="456"/>
      <c r="R132" s="140">
        <f>ROUND(IF(M103="",R119,R119/M103*P109),2)</f>
        <v>5175</v>
      </c>
      <c r="S132" s="140">
        <f>ROUND(IF(M103="",R120,R120/M103*P109),2)</f>
        <v>7450</v>
      </c>
      <c r="U132" s="950">
        <f t="shared" si="22"/>
        <v>0</v>
      </c>
      <c r="V132" s="950">
        <f>SUM(B125:F132)</f>
        <v>0</v>
      </c>
    </row>
    <row r="133" spans="1:24"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0"/>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1"/>
        <v>0</v>
      </c>
      <c r="Q133" s="456"/>
      <c r="R133" s="140">
        <f>ROUND(IF(M103="",R119,R119/M103*P110),2)</f>
        <v>5175</v>
      </c>
      <c r="S133" s="140">
        <f>ROUND(IF(M103="",R120,R120/M103*P110),2)</f>
        <v>7450</v>
      </c>
      <c r="U133" s="950">
        <f t="shared" si="22"/>
        <v>0</v>
      </c>
      <c r="V133" s="950">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0"/>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1"/>
        <v>0</v>
      </c>
      <c r="Q134" s="936"/>
      <c r="R134" s="140">
        <f>ROUND(IF(M103="",R119,R119/M103*P111),2)</f>
        <v>5175</v>
      </c>
      <c r="S134" s="140">
        <f>ROUND(IF(M103="",R120,R120/M103*P111),2)</f>
        <v>7450</v>
      </c>
      <c r="U134" s="950">
        <f t="shared" si="22"/>
        <v>0</v>
      </c>
      <c r="V134" s="950">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0"/>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1"/>
        <v>0</v>
      </c>
      <c r="R135" s="140">
        <f>ROUND(IF(M103="",R119,R119/M103*P112),2)</f>
        <v>5175</v>
      </c>
      <c r="S135" s="140">
        <f>ROUND(IF(M103="",R120,R120/M103*P112),2)</f>
        <v>7450</v>
      </c>
      <c r="U135" s="950">
        <f t="shared" si="22"/>
        <v>0</v>
      </c>
      <c r="V135" s="950">
        <f>SUM(B125:F135)</f>
        <v>0</v>
      </c>
      <c r="X135" s="1"/>
    </row>
    <row r="136" spans="1:24"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0"/>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1"/>
        <v>0</v>
      </c>
      <c r="Q136" s="11"/>
      <c r="R136" s="140">
        <f>ROUND(IF(M103="",R119,R119/M103*P113),2)</f>
        <v>5175</v>
      </c>
      <c r="S136" s="140">
        <f>ROUND(IF(M103="",R120,R120/M103*P113),2)</f>
        <v>7450</v>
      </c>
      <c r="U136" s="950">
        <f t="shared" si="22"/>
        <v>0</v>
      </c>
      <c r="V136" s="950">
        <f>SUM(B125:F136)</f>
        <v>0</v>
      </c>
    </row>
    <row r="137" spans="1:24" ht="15" customHeight="1" x14ac:dyDescent="0.2">
      <c r="A137" s="2" t="s">
        <v>1</v>
      </c>
      <c r="B137" s="25">
        <f>SUM(B125:B136)</f>
        <v>0</v>
      </c>
      <c r="C137" s="25">
        <f t="shared" ref="C137:G137" si="23">SUM(C125:C136)</f>
        <v>0</v>
      </c>
      <c r="D137" s="25">
        <f t="shared" si="23"/>
        <v>0</v>
      </c>
      <c r="E137" s="25">
        <f t="shared" si="23"/>
        <v>0</v>
      </c>
      <c r="F137" s="25">
        <f t="shared" si="23"/>
        <v>0</v>
      </c>
      <c r="G137" s="25">
        <f t="shared" si="23"/>
        <v>0</v>
      </c>
      <c r="H137" s="1309">
        <f>SUM(H125:N136)</f>
        <v>0</v>
      </c>
      <c r="I137" s="1310"/>
      <c r="J137" s="1310"/>
      <c r="K137" s="1310"/>
      <c r="L137" s="1310"/>
      <c r="M137" s="1310"/>
      <c r="N137" s="1311"/>
      <c r="O137" s="25">
        <f>SUM(O125:O136)</f>
        <v>0</v>
      </c>
      <c r="P137" s="25">
        <f>SUM(P125:P136)</f>
        <v>0</v>
      </c>
    </row>
    <row r="138" spans="1:24" ht="12" customHeight="1" x14ac:dyDescent="0.2"/>
    <row r="139" spans="1:24" ht="14.25" customHeight="1" x14ac:dyDescent="0.2">
      <c r="B139" s="906"/>
      <c r="H139" s="905"/>
      <c r="I139" s="62"/>
      <c r="J139" s="914" t="s">
        <v>123</v>
      </c>
      <c r="L139" s="900" t="s">
        <v>124</v>
      </c>
      <c r="M139" s="974" t="str">
        <f>IF(IF(G137=0,"",$M$43)=0,"",IF(G137=0,"",$M$43))</f>
        <v/>
      </c>
      <c r="N139" s="902" t="s">
        <v>125</v>
      </c>
      <c r="O139" s="963" t="str">
        <f>IF(IF(G137=0,"",$O$43)=0,"",IF(G137=0,"",$O$43))</f>
        <v/>
      </c>
      <c r="P139" s="25">
        <f>ROUND(IF(M139="",0,G137*M139*O139/1000),2)</f>
        <v>0</v>
      </c>
      <c r="Q139" s="937"/>
      <c r="R139" s="938">
        <v>2025</v>
      </c>
      <c r="S139" s="939"/>
    </row>
    <row r="140" spans="1:24" ht="14.25" customHeight="1" x14ac:dyDescent="0.2">
      <c r="H140" s="907"/>
      <c r="I140" s="42"/>
      <c r="M140" s="915" t="s">
        <v>129</v>
      </c>
      <c r="N140" s="80" t="s">
        <v>125</v>
      </c>
      <c r="O140" s="75" t="str">
        <f>IF(IF(G137=0,"",$O$44)=0,"",IF(G137=0,"",$O$44))</f>
        <v/>
      </c>
      <c r="P140" s="25">
        <f>ROUND(IF(O140="",0,G137*O140/1000),2)</f>
        <v>0</v>
      </c>
      <c r="Q140" s="942" t="s">
        <v>737</v>
      </c>
      <c r="R140" s="141">
        <f>'päd.Personal - Leitung'!$R$44</f>
        <v>556</v>
      </c>
      <c r="S140" s="955">
        <f>'päd.Personal - Leitung'!$S$44</f>
        <v>12.82</v>
      </c>
    </row>
    <row r="141" spans="1:24" ht="14.25" customHeight="1" x14ac:dyDescent="0.2">
      <c r="H141" s="912" t="s">
        <v>126</v>
      </c>
      <c r="I141" s="980" t="s">
        <v>127</v>
      </c>
      <c r="J141" s="975" t="str">
        <f>IF(IF(G137=0,"",$J$45)=0,"",IF(G137=0,"",$J$45))</f>
        <v/>
      </c>
      <c r="K141" s="902" t="s">
        <v>128</v>
      </c>
      <c r="L141" s="964" t="str">
        <f>IF(IF(G137=0,"",$L$45)=0,"",IF(G137=0,"",$L$45))</f>
        <v/>
      </c>
      <c r="M141" s="16"/>
      <c r="N141" s="900" t="s">
        <v>132</v>
      </c>
      <c r="O141" s="965" t="str">
        <f>IF(IF(G137=0,"",$O$45)=0,"",IF(G137=0,"",$O$45))</f>
        <v/>
      </c>
      <c r="P141" s="25">
        <f>ROUND(IF(J141="",0,(J141*L141/O141)/M105*M106),2)</f>
        <v>0</v>
      </c>
      <c r="Q141" s="942" t="s">
        <v>738</v>
      </c>
      <c r="R141" s="140">
        <f>'päd.Personal - Leitung'!$R$45</f>
        <v>2000</v>
      </c>
      <c r="S141" s="939"/>
    </row>
    <row r="142" spans="1:24" ht="14.25" customHeight="1" x14ac:dyDescent="0.2">
      <c r="D142" s="16"/>
      <c r="I142" s="16"/>
      <c r="J142" s="16"/>
      <c r="K142" s="63"/>
      <c r="L142" s="67"/>
      <c r="M142" s="915" t="s">
        <v>130</v>
      </c>
      <c r="N142" s="80" t="s">
        <v>131</v>
      </c>
      <c r="O142" s="904">
        <f>IF(IF(M107="",0,$O$46)=0,0,IF(M107="",0,$O$46))</f>
        <v>0</v>
      </c>
      <c r="P142" s="21">
        <f>ROUND(IF(G137=0,0,O142/M103*M104),2)</f>
        <v>0</v>
      </c>
      <c r="Q142" s="942" t="s">
        <v>740</v>
      </c>
      <c r="R142" s="956">
        <f>'päd.Personal - Leitung'!$R$46</f>
        <v>0.40900000000000003</v>
      </c>
    </row>
    <row r="143" spans="1:24" ht="14.25" customHeight="1" x14ac:dyDescent="0.2">
      <c r="A143" s="16"/>
      <c r="B143" s="16"/>
      <c r="I143" s="905"/>
      <c r="J143" s="961" t="s">
        <v>176</v>
      </c>
      <c r="K143" s="1312" t="str">
        <f>IF($K$47="","",$K$47)</f>
        <v/>
      </c>
      <c r="L143" s="1312"/>
      <c r="M143" s="1312"/>
      <c r="N143" s="80" t="s">
        <v>131</v>
      </c>
      <c r="O143" s="904">
        <f>IF(IF(M107="",0,$O$47)=0,0,IF(M107="",0,$O$47))</f>
        <v>0</v>
      </c>
      <c r="P143" s="21">
        <f>ROUND(IF(G137=0,0,O143/M103*M104),2)</f>
        <v>0</v>
      </c>
      <c r="Q143" s="942" t="s">
        <v>739</v>
      </c>
      <c r="R143" s="940">
        <f>'päd.Personal - Leitung'!$R$47</f>
        <v>0.68459999999999999</v>
      </c>
      <c r="S143" s="957">
        <f>'päd.Personal - Leitung'!$S$47</f>
        <v>0.28000000000000003</v>
      </c>
    </row>
    <row r="144" spans="1:24" ht="14.25" customHeight="1" x14ac:dyDescent="0.2">
      <c r="A144" s="908"/>
      <c r="B144" s="908"/>
      <c r="C144" s="980"/>
      <c r="D144" s="980"/>
      <c r="I144" s="913"/>
      <c r="J144" s="913"/>
      <c r="K144" s="916"/>
      <c r="L144" s="27"/>
      <c r="M144" s="27"/>
      <c r="N144" s="27"/>
      <c r="O144" s="26" t="s">
        <v>0</v>
      </c>
      <c r="P144" s="25">
        <f>P137+SUM(P139:P143)</f>
        <v>0</v>
      </c>
    </row>
    <row r="145" spans="1:19" s="10" customFormat="1" ht="13.5" hidden="1" customHeight="1" x14ac:dyDescent="0.2">
      <c r="A145" s="1321" t="s">
        <v>17</v>
      </c>
      <c r="B145" s="1321"/>
      <c r="C145" s="1321"/>
      <c r="D145" s="1320" t="str">
        <f>IF('päd.Personal - Leitung'!$D$1="","",'päd.Personal - Leitung'!$D$1)</f>
        <v/>
      </c>
      <c r="E145" s="1320"/>
      <c r="F145" s="1320"/>
      <c r="G145" s="1320"/>
      <c r="H145" s="1320"/>
      <c r="I145" s="1320"/>
      <c r="J145" s="1320"/>
      <c r="K145" s="1320"/>
      <c r="L145" s="1320"/>
      <c r="M145" s="1320"/>
      <c r="N145" s="1320"/>
    </row>
    <row r="146" spans="1:19" s="10" customFormat="1" ht="15" hidden="1" customHeight="1" x14ac:dyDescent="0.2">
      <c r="A146" s="1321" t="s">
        <v>16</v>
      </c>
      <c r="B146" s="1321"/>
      <c r="C146" s="1321" t="s">
        <v>14</v>
      </c>
      <c r="D146" s="1320" t="str">
        <f>IF('päd.Personal - Leitung'!$D$2="","",'päd.Personal - Leitung'!$D$2)</f>
        <v/>
      </c>
      <c r="E146" s="1320"/>
      <c r="F146" s="1320"/>
      <c r="G146" s="1320"/>
      <c r="H146" s="1320"/>
      <c r="I146" s="1320"/>
      <c r="J146" s="1320"/>
      <c r="K146" s="1320"/>
      <c r="L146" s="1320"/>
      <c r="M146" s="1320"/>
      <c r="N146" s="1320"/>
    </row>
    <row r="147" spans="1:19" s="10" customFormat="1" ht="15" hidden="1" customHeight="1" x14ac:dyDescent="0.2">
      <c r="A147" s="1321" t="s">
        <v>15</v>
      </c>
      <c r="B147" s="1321"/>
      <c r="C147" s="1321" t="s">
        <v>14</v>
      </c>
      <c r="D147" s="1320" t="str">
        <f>IF('päd.Personal - Leitung'!$D$3="","",'päd.Personal - Leitung'!$D$3)</f>
        <v/>
      </c>
      <c r="E147" s="1320"/>
      <c r="F147" s="1320"/>
      <c r="G147" s="1320"/>
      <c r="H147" s="1320"/>
      <c r="I147" s="1320"/>
      <c r="J147" s="1320"/>
      <c r="K147" s="1321" t="s">
        <v>100</v>
      </c>
      <c r="L147" s="1321"/>
      <c r="M147" s="1321"/>
      <c r="N147" s="38" t="str">
        <f>IF('päd.Personal - Leitung'!$N$3="","",'päd.Personal - Leitung'!$N$3)</f>
        <v/>
      </c>
    </row>
    <row r="148" spans="1:19" s="923" customFormat="1" ht="7.5" hidden="1" customHeight="1" x14ac:dyDescent="0.15">
      <c r="A148" s="1353"/>
      <c r="B148" s="1353"/>
      <c r="C148" s="1353"/>
      <c r="D148" s="1354"/>
      <c r="E148" s="1354"/>
      <c r="F148" s="1354"/>
      <c r="G148" s="1354"/>
      <c r="H148" s="1354"/>
      <c r="I148" s="1354"/>
      <c r="J148" s="1354"/>
      <c r="K148" s="922"/>
      <c r="L148" s="922"/>
      <c r="M148" s="922"/>
      <c r="N148" s="922"/>
      <c r="O148" s="922"/>
      <c r="P148" s="922"/>
    </row>
    <row r="149" spans="1:19" s="18" customFormat="1" hidden="1" x14ac:dyDescent="0.2">
      <c r="A149" s="1355" t="s">
        <v>193</v>
      </c>
      <c r="B149" s="1355"/>
      <c r="C149" s="1355"/>
      <c r="D149" s="1355"/>
      <c r="E149" s="1355"/>
      <c r="F149" s="1355"/>
      <c r="G149" s="1355"/>
      <c r="H149" s="1355"/>
      <c r="I149" s="1355"/>
      <c r="J149" s="1355"/>
      <c r="K149" s="1355"/>
      <c r="L149" s="1355"/>
      <c r="M149" s="1355"/>
      <c r="N149" s="52"/>
      <c r="O149" s="138">
        <f>'päd.Personal - Leitung'!$O$5</f>
        <v>2025</v>
      </c>
      <c r="P149" s="52" t="s">
        <v>140</v>
      </c>
    </row>
    <row r="150" spans="1:19" s="8" customFormat="1" ht="13.5" hidden="1" customHeight="1" x14ac:dyDescent="0.25">
      <c r="B150" s="29"/>
      <c r="C150" s="29"/>
      <c r="D150" s="3" t="s">
        <v>96</v>
      </c>
      <c r="E150" s="28"/>
      <c r="F150" s="28"/>
      <c r="G150" s="28"/>
      <c r="H150" s="28"/>
      <c r="I150" s="24"/>
      <c r="K150" s="1327" t="s">
        <v>13</v>
      </c>
      <c r="L150" s="1327"/>
      <c r="M150" s="131"/>
      <c r="O150" s="928" t="str">
        <f>A173</f>
        <v>Jan 2025</v>
      </c>
      <c r="P150" s="68">
        <f>IF(M152="","",M152)</f>
        <v>0</v>
      </c>
    </row>
    <row r="151" spans="1:19" s="5" customFormat="1" ht="13.5" hidden="1" customHeight="1" x14ac:dyDescent="0.25">
      <c r="A151" s="1328" t="s">
        <v>754</v>
      </c>
      <c r="B151" s="1328"/>
      <c r="C151" s="1328"/>
      <c r="D151" s="1329"/>
      <c r="E151" s="1329"/>
      <c r="F151" s="1329"/>
      <c r="G151" s="1329"/>
      <c r="H151" s="1329"/>
      <c r="I151" s="1329"/>
      <c r="K151" s="1327" t="s">
        <v>101</v>
      </c>
      <c r="L151" s="1327"/>
      <c r="M151" s="101"/>
      <c r="O151" s="928" t="str">
        <f t="shared" ref="O151:O161" si="24">A174</f>
        <v>Feb 2025</v>
      </c>
      <c r="P151" s="69">
        <f t="shared" ref="P151:P161" si="25">IF(P150="","",P150)</f>
        <v>0</v>
      </c>
    </row>
    <row r="152" spans="1:19" ht="13.5" hidden="1" customHeight="1" x14ac:dyDescent="0.2">
      <c r="A152" s="1328" t="s">
        <v>12</v>
      </c>
      <c r="B152" s="1328"/>
      <c r="C152" s="1328"/>
      <c r="D152" s="1345"/>
      <c r="E152" s="1345"/>
      <c r="F152" s="1345"/>
      <c r="G152" s="1345"/>
      <c r="H152" s="1345"/>
      <c r="I152" s="1345"/>
      <c r="K152" s="1327" t="s">
        <v>149</v>
      </c>
      <c r="L152" s="1327"/>
      <c r="M152" s="101">
        <f>IF((M153+M154)&gt;M151,0,M151-M153-M154)</f>
        <v>0</v>
      </c>
      <c r="O152" s="928" t="str">
        <f t="shared" si="24"/>
        <v>Mrz 2025</v>
      </c>
      <c r="P152" s="69">
        <f t="shared" si="25"/>
        <v>0</v>
      </c>
    </row>
    <row r="153" spans="1:19" ht="13.5" hidden="1" customHeight="1" x14ac:dyDescent="0.2">
      <c r="A153" s="1328" t="s">
        <v>11</v>
      </c>
      <c r="B153" s="1328"/>
      <c r="C153" s="1328"/>
      <c r="D153" s="1345"/>
      <c r="E153" s="1345"/>
      <c r="F153" s="1345"/>
      <c r="G153" s="1345"/>
      <c r="H153" s="1345"/>
      <c r="I153" s="1345"/>
      <c r="K153" s="1327" t="s">
        <v>150</v>
      </c>
      <c r="L153" s="1327"/>
      <c r="M153" s="101"/>
      <c r="O153" s="928" t="str">
        <f t="shared" si="24"/>
        <v>Apr 2025</v>
      </c>
      <c r="P153" s="69">
        <f t="shared" si="25"/>
        <v>0</v>
      </c>
    </row>
    <row r="154" spans="1:19" ht="13.5" hidden="1" customHeight="1" x14ac:dyDescent="0.2">
      <c r="A154" s="1328" t="s">
        <v>18</v>
      </c>
      <c r="B154" s="1328"/>
      <c r="C154" s="1328"/>
      <c r="D154" s="1345"/>
      <c r="E154" s="1345"/>
      <c r="F154" s="1345"/>
      <c r="G154" s="1345"/>
      <c r="H154" s="1345"/>
      <c r="I154" s="1345"/>
      <c r="K154" s="1327" t="s">
        <v>222</v>
      </c>
      <c r="L154" s="1327"/>
      <c r="M154" s="101"/>
      <c r="O154" s="928" t="str">
        <f t="shared" si="24"/>
        <v>Mai 2025</v>
      </c>
      <c r="P154" s="69">
        <f t="shared" si="25"/>
        <v>0</v>
      </c>
    </row>
    <row r="155" spans="1:19" ht="13.5" hidden="1" customHeight="1" x14ac:dyDescent="0.2">
      <c r="B155" s="6"/>
      <c r="C155" s="1012" t="s">
        <v>147</v>
      </c>
      <c r="D155" s="1324"/>
      <c r="E155" s="1324"/>
      <c r="F155" s="1359" t="s">
        <v>107</v>
      </c>
      <c r="G155" s="1359"/>
      <c r="H155" s="1361"/>
      <c r="I155" s="1361"/>
      <c r="K155" s="1327" t="s">
        <v>94</v>
      </c>
      <c r="L155" s="1327"/>
      <c r="M155" s="15" t="str">
        <f>IF(IF((COUNTIF(B173:B184,"&gt;0"))=0,0,(COUNTIF(B173:B184,"&gt;0")))&gt;Grundlagen!$C$26,Grundlagen!$C$26,IF((COUNTIF(B173:B184,"&gt;0"))=0,"",(COUNTIF(B173:B184,"&gt;0"))))</f>
        <v/>
      </c>
      <c r="O155" s="928" t="str">
        <f t="shared" si="24"/>
        <v>Jun 2025</v>
      </c>
      <c r="P155" s="69">
        <f t="shared" si="25"/>
        <v>0</v>
      </c>
    </row>
    <row r="156" spans="1:19" ht="13.5" hidden="1" customHeight="1" x14ac:dyDescent="0.2">
      <c r="F156" s="1359" t="s">
        <v>160</v>
      </c>
      <c r="G156" s="1359"/>
      <c r="H156" s="1361"/>
      <c r="I156" s="1361"/>
      <c r="M156" s="102" t="str">
        <f>IF((SUM(F158:F161))=0,"",IF(P162&gt;M152,M152,IF(M152="","",IF(M155="","",P162))))</f>
        <v/>
      </c>
      <c r="O156" s="928" t="str">
        <f t="shared" si="24"/>
        <v>Jul 2025</v>
      </c>
      <c r="P156" s="69">
        <f t="shared" si="25"/>
        <v>0</v>
      </c>
    </row>
    <row r="157" spans="1:19" s="46" customFormat="1" ht="13.5" hidden="1" customHeight="1" x14ac:dyDescent="0.2">
      <c r="A157" s="54" t="s">
        <v>134</v>
      </c>
      <c r="B157" s="1356" t="s">
        <v>135</v>
      </c>
      <c r="C157" s="1356"/>
      <c r="D157" s="55" t="s">
        <v>136</v>
      </c>
      <c r="E157" s="56" t="s">
        <v>137</v>
      </c>
      <c r="F157" s="57" t="str">
        <f>CONCATENATE("Entg. ",N147," h/Wo")</f>
        <v>Entg.  h/Wo</v>
      </c>
      <c r="G157" s="58" t="s">
        <v>138</v>
      </c>
      <c r="I157" s="58" t="s">
        <v>139</v>
      </c>
      <c r="K157" s="970"/>
      <c r="L157" s="970"/>
      <c r="M157" s="59"/>
      <c r="N157" s="968" t="str">
        <f>IF(A159="","",A159)</f>
        <v/>
      </c>
      <c r="O157" s="928" t="str">
        <f t="shared" si="24"/>
        <v>Aug 2025</v>
      </c>
      <c r="P157" s="69">
        <f t="shared" si="25"/>
        <v>0</v>
      </c>
      <c r="Q157" s="1027"/>
      <c r="R157" s="1025"/>
      <c r="S157" s="1025"/>
    </row>
    <row r="158" spans="1:19" s="46" customFormat="1" ht="13.5" hidden="1" customHeight="1" x14ac:dyDescent="0.25">
      <c r="A158" s="48" t="str">
        <f>A173</f>
        <v>Jan 2025</v>
      </c>
      <c r="B158" s="1357" t="str">
        <f>IF($D$3="","",$D$3)</f>
        <v/>
      </c>
      <c r="C158" s="1358"/>
      <c r="D158" s="132"/>
      <c r="E158" s="132"/>
      <c r="F158" s="71"/>
      <c r="G158" s="50">
        <f>IF(N147="",0,F158/N147/4.348)</f>
        <v>0</v>
      </c>
      <c r="I158" s="51">
        <f>SUM(J158:M158)</f>
        <v>0</v>
      </c>
      <c r="J158" s="70"/>
      <c r="K158" s="70"/>
      <c r="L158" s="70"/>
      <c r="M158" s="70"/>
      <c r="N158" s="983"/>
      <c r="O158" s="928" t="str">
        <f t="shared" si="24"/>
        <v>Sep 2025</v>
      </c>
      <c r="P158" s="69">
        <f t="shared" si="25"/>
        <v>0</v>
      </c>
      <c r="Q158" s="1026"/>
      <c r="R158" s="829"/>
      <c r="S158" s="1028"/>
    </row>
    <row r="159" spans="1:19" s="46" customFormat="1" ht="13.5" hidden="1" customHeight="1" x14ac:dyDescent="0.25">
      <c r="A159" s="49"/>
      <c r="B159" s="1322" t="str">
        <f>IF(A159="","",B158)</f>
        <v/>
      </c>
      <c r="C159" s="1323"/>
      <c r="D159" s="132"/>
      <c r="E159" s="132"/>
      <c r="F159" s="71"/>
      <c r="G159" s="50">
        <f>IF(N147="",0,F159/N147/4.348)</f>
        <v>0</v>
      </c>
      <c r="I159" s="51">
        <f t="shared" ref="I159:I161" si="26">SUM(J159:M159)</f>
        <v>0</v>
      </c>
      <c r="J159" s="70"/>
      <c r="K159" s="70"/>
      <c r="L159" s="70"/>
      <c r="M159" s="70"/>
      <c r="N159" s="983"/>
      <c r="O159" s="928" t="str">
        <f t="shared" si="24"/>
        <v>Okt 2025</v>
      </c>
      <c r="P159" s="69">
        <f t="shared" si="25"/>
        <v>0</v>
      </c>
      <c r="Q159" s="1026"/>
      <c r="R159" s="829"/>
      <c r="S159" s="1028"/>
    </row>
    <row r="160" spans="1:19" s="46" customFormat="1" ht="13.5" hidden="1" customHeight="1" x14ac:dyDescent="0.25">
      <c r="A160" s="49"/>
      <c r="B160" s="1322" t="str">
        <f>IF(A160="","",B159)</f>
        <v/>
      </c>
      <c r="C160" s="1323"/>
      <c r="D160" s="132"/>
      <c r="E160" s="132"/>
      <c r="F160" s="71"/>
      <c r="G160" s="50">
        <f>IF(N147="",0,F160/N147/4.348)</f>
        <v>0</v>
      </c>
      <c r="I160" s="51">
        <f t="shared" si="26"/>
        <v>0</v>
      </c>
      <c r="J160" s="70"/>
      <c r="K160" s="70"/>
      <c r="L160" s="70"/>
      <c r="M160" s="70"/>
      <c r="N160" s="983"/>
      <c r="O160" s="928" t="str">
        <f t="shared" si="24"/>
        <v>Nov 2025</v>
      </c>
      <c r="P160" s="69">
        <f t="shared" si="25"/>
        <v>0</v>
      </c>
      <c r="Q160" s="828"/>
      <c r="R160" s="829"/>
      <c r="S160" s="829"/>
    </row>
    <row r="161" spans="1:20" s="46" customFormat="1" ht="13.5" hidden="1" customHeight="1" x14ac:dyDescent="0.25">
      <c r="A161" s="49"/>
      <c r="B161" s="1322" t="str">
        <f>IF(A161="","",B160)</f>
        <v/>
      </c>
      <c r="C161" s="1323"/>
      <c r="D161" s="132"/>
      <c r="E161" s="132"/>
      <c r="F161" s="71"/>
      <c r="G161" s="50">
        <f>IF(N147="",0,F161/N147/4.348)</f>
        <v>0</v>
      </c>
      <c r="I161" s="51">
        <f t="shared" si="26"/>
        <v>0</v>
      </c>
      <c r="J161" s="70"/>
      <c r="K161" s="70"/>
      <c r="L161" s="70"/>
      <c r="M161" s="70"/>
      <c r="N161" s="983"/>
      <c r="O161" s="928" t="str">
        <f t="shared" si="24"/>
        <v>Dez 2025</v>
      </c>
      <c r="P161" s="69">
        <f t="shared" si="25"/>
        <v>0</v>
      </c>
      <c r="Q161" s="276"/>
      <c r="R161" s="827"/>
      <c r="S161" s="827"/>
    </row>
    <row r="162" spans="1:20" s="46" customFormat="1" ht="13.5" hidden="1" customHeight="1" x14ac:dyDescent="0.25">
      <c r="B162" s="972"/>
      <c r="C162" s="972"/>
      <c r="E162" s="972"/>
      <c r="F162" s="972"/>
      <c r="I162" s="930" t="s">
        <v>730</v>
      </c>
      <c r="J162" s="982"/>
      <c r="K162" s="982"/>
      <c r="L162" s="982"/>
      <c r="M162" s="982"/>
      <c r="N162" s="994"/>
      <c r="O162" s="126" t="s">
        <v>221</v>
      </c>
      <c r="P162" s="127">
        <f>IF(M155="",0,((IF(SUMIF(B173,"&gt;0"),P150,0))+(IF(SUMIF(B174,"&gt;0"),P151,0))+(IF(SUMIF(B175,"&gt;0"),P152,0))+(IF(SUMIF(B176,"&gt;0"),P153,0))+(IF(SUMIF(B177,"&gt;0"),P154,0))+(IF(SUMIF(B178,"&gt;0"),P155,0))+(IF(SUMIF(B179,"&gt;0"),P156,0))+(IF(SUMIF(B180,"&gt;0"),P157,0))+(IF(SUMIF(B181,"&gt;0"),P158,0))+(IF(SUMIF(B182,"&gt;0"),P159,0))+(IF(SUMIF(B183,"&gt;0"),P160,0))+(IF(SUMIF(B184,"&gt;0"),P161,0)))/Grundlagen!$C$26)</f>
        <v>0</v>
      </c>
      <c r="Q162" s="1009" t="str">
        <f>CONCATENATE("BBG"," anteilig ",O164)</f>
        <v>BBG anteilig 2025</v>
      </c>
      <c r="R162" s="931" t="s">
        <v>659</v>
      </c>
      <c r="S162" s="931" t="s">
        <v>398</v>
      </c>
      <c r="T162" s="107"/>
    </row>
    <row r="163" spans="1:20" s="46" customFormat="1" ht="13.5" hidden="1" customHeight="1" x14ac:dyDescent="0.2">
      <c r="A163" s="924" t="s">
        <v>732</v>
      </c>
      <c r="D163" s="55" t="s">
        <v>369</v>
      </c>
      <c r="E163" s="56" t="s">
        <v>368</v>
      </c>
      <c r="F163" s="58"/>
      <c r="J163" s="61"/>
      <c r="Q163" s="932" t="s">
        <v>144</v>
      </c>
      <c r="R163" s="140">
        <f>IF(M152=0,R167,IF(M151="",R167,(SUM(R173:R184)/M155)))</f>
        <v>5175</v>
      </c>
      <c r="S163" s="933">
        <f>IF(M152=0,S167,IF(M151="",S167,SUM(R173:R184)))</f>
        <v>0</v>
      </c>
      <c r="T163" s="107"/>
    </row>
    <row r="164" spans="1:20" s="46" customFormat="1" ht="13.5" hidden="1" customHeight="1" x14ac:dyDescent="0.25">
      <c r="A164" s="60"/>
      <c r="B164" s="1314" t="str">
        <f>IF($B$20="","",$B$20)</f>
        <v>Jahressonderzahlung (JSZ)</v>
      </c>
      <c r="C164" s="1315"/>
      <c r="D164" s="926"/>
      <c r="E164" s="929" t="str">
        <f>IF(A164="","",ROUND((((SUM(B179:B181)+SUM(F179:F181))/3)*D164)/Grundlagen!$C$26*M155,2))</f>
        <v/>
      </c>
      <c r="N164" s="917" t="s">
        <v>736</v>
      </c>
      <c r="O164" s="918">
        <f>P164+1</f>
        <v>2025</v>
      </c>
      <c r="P164" s="918" t="s">
        <v>721</v>
      </c>
      <c r="Q164" s="932" t="s">
        <v>145</v>
      </c>
      <c r="R164" s="140">
        <f>IF(M152=0,R168,IF(M151="",R168,(SUM(S173:S184)/M155)))</f>
        <v>7450</v>
      </c>
      <c r="S164" s="933">
        <f>IF(M152=0,S168,IF(M151="",S168,SUM(S173:S184)))</f>
        <v>0</v>
      </c>
      <c r="T164" s="109"/>
    </row>
    <row r="165" spans="1:20" s="18" customFormat="1" ht="14.25" hidden="1" customHeight="1" x14ac:dyDescent="0.2">
      <c r="A165" s="60"/>
      <c r="B165" s="1314" t="str">
        <f>IF($B$21="","",$B$21)</f>
        <v>Leistungsentgelt (LOB)</v>
      </c>
      <c r="C165" s="1315"/>
      <c r="D165" s="926"/>
      <c r="E165" s="929" t="str">
        <f>IF(A165="","",ROUND(((B185+F185)*D165)/Grundlagen!$C$26*M155,2))</f>
        <v/>
      </c>
      <c r="F165" s="1"/>
      <c r="N165" s="139" t="s">
        <v>144</v>
      </c>
      <c r="O165" s="141">
        <f>'päd.Personal - Leitung'!$O$21</f>
        <v>5175</v>
      </c>
      <c r="P165" s="141">
        <f>'päd.Personal - Leitung'!$P$21</f>
        <v>5175</v>
      </c>
      <c r="Q165" s="11"/>
      <c r="R165" s="11"/>
      <c r="S165" s="11"/>
      <c r="T165" s="109"/>
    </row>
    <row r="166" spans="1:20" s="18" customFormat="1" ht="14.25" hidden="1" customHeight="1" x14ac:dyDescent="0.2">
      <c r="A166" s="1"/>
      <c r="B166" s="1"/>
      <c r="C166" s="925" t="s">
        <v>731</v>
      </c>
      <c r="D166" s="1"/>
      <c r="E166" s="1"/>
      <c r="F166" s="1"/>
      <c r="N166" s="139" t="s">
        <v>145</v>
      </c>
      <c r="O166" s="899">
        <f>'päd.Personal - Leitung'!$O$22</f>
        <v>7450</v>
      </c>
      <c r="P166" s="899">
        <f>'päd.Personal - Leitung'!$P$22</f>
        <v>7450</v>
      </c>
      <c r="Q166" s="1009" t="str">
        <f>CONCATENATE("BBG"," ",O164)</f>
        <v>BBG 2025</v>
      </c>
      <c r="R166" s="11"/>
      <c r="S166" s="11"/>
      <c r="T166" s="109"/>
    </row>
    <row r="167" spans="1:20" s="18" customFormat="1" ht="14.25" hidden="1" customHeight="1" x14ac:dyDescent="0.2">
      <c r="A167" s="53" t="s">
        <v>141</v>
      </c>
      <c r="Q167" s="932" t="s">
        <v>144</v>
      </c>
      <c r="R167" s="141">
        <f>IF($O$21="",0,$O$21)</f>
        <v>5175</v>
      </c>
      <c r="S167" s="933">
        <f>R167*IF(M155="",0,M155)</f>
        <v>0</v>
      </c>
      <c r="T167" s="295"/>
    </row>
    <row r="168" spans="1:20" s="18" customFormat="1" ht="14.25" hidden="1" customHeight="1" x14ac:dyDescent="0.2">
      <c r="A168" s="1346"/>
      <c r="B168" s="1348" t="s">
        <v>8</v>
      </c>
      <c r="C168" s="1349"/>
      <c r="D168" s="1349"/>
      <c r="E168" s="1349"/>
      <c r="F168" s="1349"/>
      <c r="G168" s="1350"/>
      <c r="H168" s="1351" t="s">
        <v>113</v>
      </c>
      <c r="I168" s="1352"/>
      <c r="J168" s="1352"/>
      <c r="K168" s="1352"/>
      <c r="L168" s="1352"/>
      <c r="M168" s="1352"/>
      <c r="N168" s="1368" t="s">
        <v>658</v>
      </c>
      <c r="O168" s="30"/>
      <c r="P168" s="1330" t="s">
        <v>0</v>
      </c>
      <c r="Q168" s="932" t="s">
        <v>145</v>
      </c>
      <c r="R168" s="141">
        <f>IF($O$22="",0,$O$22)</f>
        <v>7450</v>
      </c>
      <c r="S168" s="933">
        <f>R168*IF(M155="",0,M155)</f>
        <v>0</v>
      </c>
      <c r="T168" s="830"/>
    </row>
    <row r="169" spans="1:20" s="18" customFormat="1" ht="14.25" hidden="1" customHeight="1" x14ac:dyDescent="0.2">
      <c r="A169" s="1347"/>
      <c r="B169" s="1333" t="s">
        <v>111</v>
      </c>
      <c r="C169" s="1335" t="s">
        <v>743</v>
      </c>
      <c r="D169" s="1337" t="s">
        <v>226</v>
      </c>
      <c r="E169" s="1339" t="s">
        <v>133</v>
      </c>
      <c r="F169" s="1014" t="s">
        <v>6</v>
      </c>
      <c r="G169" s="1340" t="s">
        <v>5</v>
      </c>
      <c r="H169" s="1339" t="s">
        <v>119</v>
      </c>
      <c r="I169" s="1339" t="s">
        <v>657</v>
      </c>
      <c r="J169" s="1339" t="s">
        <v>4</v>
      </c>
      <c r="K169" s="1339" t="s">
        <v>3</v>
      </c>
      <c r="L169" s="1339" t="s">
        <v>2</v>
      </c>
      <c r="M169" s="1339" t="s">
        <v>95</v>
      </c>
      <c r="N169" s="1369"/>
      <c r="O169" s="1338" t="s">
        <v>109</v>
      </c>
      <c r="P169" s="1331"/>
      <c r="Q169" s="456"/>
      <c r="R169" s="11"/>
      <c r="S169" s="11"/>
      <c r="T169" s="621"/>
    </row>
    <row r="170" spans="1:20" s="18" customFormat="1" ht="14.25" hidden="1" customHeight="1" x14ac:dyDescent="0.2">
      <c r="A170" s="1347"/>
      <c r="B170" s="1333"/>
      <c r="C170" s="1335"/>
      <c r="D170" s="1338"/>
      <c r="E170" s="1339"/>
      <c r="F170" s="1343" t="str">
        <f>I162</f>
        <v>Zuschläge / Zulagen / o.ä.:</v>
      </c>
      <c r="G170" s="1340"/>
      <c r="H170" s="1342" t="s">
        <v>117</v>
      </c>
      <c r="I170" s="1339"/>
      <c r="J170" s="1342"/>
      <c r="K170" s="1342"/>
      <c r="L170" s="1342"/>
      <c r="M170" s="1339"/>
      <c r="N170" s="1369"/>
      <c r="O170" s="1338"/>
      <c r="P170" s="1331"/>
      <c r="Q170" s="456"/>
      <c r="R170" s="1306" t="str">
        <f>Q162</f>
        <v>BBG anteilig 2025</v>
      </c>
      <c r="S170" s="1306"/>
      <c r="T170" s="829"/>
    </row>
    <row r="171" spans="1:20" s="18" customFormat="1" ht="14.25" hidden="1" customHeight="1" x14ac:dyDescent="0.2">
      <c r="A171" s="1347"/>
      <c r="B171" s="1333"/>
      <c r="C171" s="1335"/>
      <c r="D171" s="1338"/>
      <c r="E171" s="1339"/>
      <c r="F171" s="1343"/>
      <c r="G171" s="1340"/>
      <c r="H171" s="39" t="str">
        <f>'päd.Personal - Leitung'!$H$27</f>
        <v>(7,30% + Zusatz)</v>
      </c>
      <c r="I171" s="39" t="s">
        <v>722</v>
      </c>
      <c r="J171" s="39" t="str">
        <f>'päd.Personal - Leitung'!$I$27</f>
        <v xml:space="preserve"> (2024: 9,30%)</v>
      </c>
      <c r="K171" s="39" t="str">
        <f>'päd.Personal - Leitung'!$J$27</f>
        <v>(2024: 1,30%)</v>
      </c>
      <c r="L171" s="39" t="str">
        <f>'päd.Personal - Leitung'!$K$27</f>
        <v>(2024: 1,700%)</v>
      </c>
      <c r="M171" s="1339"/>
      <c r="N171" s="39" t="s">
        <v>747</v>
      </c>
      <c r="O171" s="1338"/>
      <c r="P171" s="1331"/>
      <c r="Q171" s="456"/>
      <c r="R171" s="1307" t="s">
        <v>659</v>
      </c>
      <c r="S171" s="1307"/>
      <c r="T171" s="829"/>
    </row>
    <row r="172" spans="1:20" s="18" customFormat="1" ht="14.25" hidden="1" customHeight="1" x14ac:dyDescent="0.2">
      <c r="A172" s="1347"/>
      <c r="B172" s="1334"/>
      <c r="C172" s="1336"/>
      <c r="D172" s="45"/>
      <c r="E172" s="45"/>
      <c r="F172" s="1344"/>
      <c r="G172" s="1341"/>
      <c r="H172" s="74"/>
      <c r="I172" s="19"/>
      <c r="J172" s="99">
        <f>'päd.Personal - Leitung'!$I$28</f>
        <v>0</v>
      </c>
      <c r="K172" s="99">
        <f>'päd.Personal - Leitung'!$J$28</f>
        <v>0</v>
      </c>
      <c r="L172" s="40">
        <f>'päd.Personal - Leitung'!$K$28</f>
        <v>0</v>
      </c>
      <c r="M172" s="19"/>
      <c r="N172" s="19"/>
      <c r="O172" s="19"/>
      <c r="P172" s="1332"/>
      <c r="Q172" s="456"/>
      <c r="R172" s="935" t="s">
        <v>144</v>
      </c>
      <c r="S172" s="935" t="s">
        <v>145</v>
      </c>
      <c r="T172" s="829"/>
    </row>
    <row r="173" spans="1:20" s="18" customFormat="1" hidden="1" x14ac:dyDescent="0.2">
      <c r="A173" s="76" t="str">
        <f>'päd.Personal - Leitung'!$A$29</f>
        <v>Jan 2025</v>
      </c>
      <c r="B173" s="22">
        <f>ROUND(IF(P150=0,0,(LOOKUP(2,1/(A158:A161=A173),G158:G161))*P150*4.348)*50%,2)</f>
        <v>0</v>
      </c>
      <c r="C173" s="21">
        <f>ROUND(IFERROR((LOOKUP(2,1/(A164=A173),E164)),0)+IFERROR((LOOKUP(2,1/(A165=A173),E165)),0),2)</f>
        <v>0</v>
      </c>
      <c r="D173" s="21">
        <f>ROUND(IF(B173=0,0,D172/M151*P150*50%),2)</f>
        <v>0</v>
      </c>
      <c r="E173" s="21">
        <f>ROUND(IF(B173=0,0,E172/N147*P150*50%),2)</f>
        <v>0</v>
      </c>
      <c r="F173" s="22">
        <f>ROUND(IF(P150=0,0,(LOOKUP(2,1/(A158:A161=A173),I158:I161))/N147*P150)*50%,2)</f>
        <v>0</v>
      </c>
      <c r="G173" s="25">
        <f>SUM(B173+C173+E173+F173)</f>
        <v>0</v>
      </c>
      <c r="H173" s="831">
        <f>ROUND(SUM(B173:F173)*H172,2)</f>
        <v>0</v>
      </c>
      <c r="I173" s="64">
        <f>ROUND(IF((SUM(B173:F173)*80%)&gt;((S173)*90%),((((S173)*90%)-((SUM(B173:F173)-C173))*I172)+((SUM(B173:F173)-C173)*I172)*80%),((SUM(B173:F173)-C173)*I172)*80%),2)</f>
        <v>0</v>
      </c>
      <c r="J173" s="831">
        <f>ROUND(SUM(B173:F173)*J172,2)</f>
        <v>0</v>
      </c>
      <c r="K173" s="831">
        <f>ROUND(SUM(B173:F173)*K172,2)</f>
        <v>0</v>
      </c>
      <c r="L173" s="831">
        <f>ROUND(SUM(B173:F173)*L172,2)</f>
        <v>0</v>
      </c>
      <c r="M173" s="831">
        <f>ROUND((SUM(B173:F173)-C173)*M172,2)</f>
        <v>0</v>
      </c>
      <c r="N173" s="21">
        <f>ROUND((B173+E173+F173)*N172,2)</f>
        <v>0</v>
      </c>
      <c r="O173" s="21">
        <f>ROUND(SUM(B173+C173+F173)*O172,2)</f>
        <v>0</v>
      </c>
      <c r="P173" s="25">
        <f>SUM(G173:O173)</f>
        <v>0</v>
      </c>
      <c r="Q173" s="456"/>
      <c r="R173" s="140">
        <f>ROUND(IF(M151="",R167,R167/M151*P150),2)</f>
        <v>5175</v>
      </c>
      <c r="S173" s="140">
        <f>ROUND(IF(M151="",R168,R168/M151*P150),2)</f>
        <v>7450</v>
      </c>
      <c r="T173" s="1"/>
    </row>
    <row r="174" spans="1:20" s="18" customFormat="1" hidden="1" x14ac:dyDescent="0.2">
      <c r="A174" s="76" t="str">
        <f>'päd.Personal - Leitung'!$A$30</f>
        <v>Feb 2025</v>
      </c>
      <c r="B174" s="22">
        <f>ROUND(IF(P151=0,0,IFERROR((((LOOKUP(2,1/(A158:A161=A174),G158:G161))*P151*4.348)*50%),B173/P150*P151)),2)</f>
        <v>0</v>
      </c>
      <c r="C174" s="21">
        <f>ROUND(IFERROR((LOOKUP(2,1/(A164=A174),E164)),0)+IFERROR((LOOKUP(2,1/(A165=A174),E165)),0),2)</f>
        <v>0</v>
      </c>
      <c r="D174" s="21">
        <f>ROUND(IF(B174=0,0,D172/M151*P151*50%),2)</f>
        <v>0</v>
      </c>
      <c r="E174" s="21">
        <f>ROUND(IF(B174=0,0,E172/N147*P151*50%),2)</f>
        <v>0</v>
      </c>
      <c r="F174" s="22">
        <f>ROUND(IF(P151=0,0,IFERROR((((LOOKUP(2,1/(A158:A161=A174),I158:I161))/N147*P151)*50%),F173/P150*P151)),2)</f>
        <v>0</v>
      </c>
      <c r="G174" s="25">
        <f t="shared" ref="G174:G184" si="27">SUM(B174+C174+E174+F174)</f>
        <v>0</v>
      </c>
      <c r="H174" s="831">
        <f>ROUND(SUM(B174:F174)*H172,2)</f>
        <v>0</v>
      </c>
      <c r="I174" s="64">
        <f>ROUND(IF((SUM(B174:F174)*80%)&gt;((SUM(S170:S174))*90%),((((SUM(S170:S174))*90%)-((SUM(B174:F174)-C174))*I172)+((SUM(B174:F174)-C174)*I172)*80%),((SUM(B174:F174)-C174)*I172)*80%),2)</f>
        <v>0</v>
      </c>
      <c r="J174" s="831">
        <f>ROUND(SUM(B174:F174)*J172,2)</f>
        <v>0</v>
      </c>
      <c r="K174" s="831">
        <f>ROUND(SUM(B174:F174)*K172,2)</f>
        <v>0</v>
      </c>
      <c r="L174" s="831">
        <f>ROUND(SUM(B174:F174)*L172,2)</f>
        <v>0</v>
      </c>
      <c r="M174" s="831">
        <f>ROUND((SUM(B174:F174)-C174)*M172,2)</f>
        <v>0</v>
      </c>
      <c r="N174" s="21">
        <f>ROUND((B174+E174+F174)*N172,2)</f>
        <v>0</v>
      </c>
      <c r="O174" s="21">
        <f>ROUND(SUM(B174+C174+F174)*O172,2)</f>
        <v>0</v>
      </c>
      <c r="P174" s="25">
        <f t="shared" ref="P174" si="28">SUM(G174:O174)</f>
        <v>0</v>
      </c>
      <c r="Q174" s="456"/>
      <c r="R174" s="140">
        <f>ROUND(IF(M151="",R167,R167/M151*P151),2)</f>
        <v>5175</v>
      </c>
      <c r="S174" s="140">
        <f>ROUND(IF(M151="",R168,R168/M151*P151),2)</f>
        <v>7450</v>
      </c>
      <c r="T174" s="1"/>
    </row>
    <row r="175" spans="1:20" s="18" customFormat="1" hidden="1" x14ac:dyDescent="0.2">
      <c r="A175" s="76" t="str">
        <f>'päd.Personal - Leitung'!$A$31</f>
        <v>Mrz 2025</v>
      </c>
      <c r="B175" s="22">
        <f>ROUND(IF(P152=0,0,IFERROR((((LOOKUP(2,1/(A158:A161=A175),G158:G161))*P152*4.348)*50%),B174/P151*P152)),2)</f>
        <v>0</v>
      </c>
      <c r="C175" s="21">
        <f>ROUND(IFERROR((LOOKUP(2,1/(A164=A175),E164)),0)+IFERROR((LOOKUP(2,1/(A165=A175),E165)),0),2)</f>
        <v>0</v>
      </c>
      <c r="D175" s="21">
        <f>ROUND(IF(B175=0,0,D172/M151*P152*50%),2)</f>
        <v>0</v>
      </c>
      <c r="E175" s="21">
        <f>ROUND(IF(B175=0,0,E172/N147*P152*50%),2)</f>
        <v>0</v>
      </c>
      <c r="F175" s="22">
        <f>ROUND(IF(P152=0,0,IFERROR((((LOOKUP(2,1/(A158:A161=A175),I158:I161))/N147*P152)*50%),F174/P151*P152)),2)</f>
        <v>0</v>
      </c>
      <c r="G175" s="25">
        <f t="shared" si="27"/>
        <v>0</v>
      </c>
      <c r="H175" s="831">
        <f>ROUND(SUM(B175:F175)*H172,2)</f>
        <v>0</v>
      </c>
      <c r="I175" s="64">
        <f>ROUND(IF((SUM(B174:F175)*80%)&gt;((SUM(S170:S175))*90%),((((SUM(S170:S175))*90%)-((SUM(B174:F175)-C175))*I172)+((SUM(B175:F175)-C175)*I172)*80%),((SUM(B175:F175)-C175)*I172)*80%),2)</f>
        <v>0</v>
      </c>
      <c r="J175" s="831">
        <f>ROUND(SUM(B175:F175)*J172,2)</f>
        <v>0</v>
      </c>
      <c r="K175" s="831">
        <f>ROUND(SUM(B175:F175)*K172,2)</f>
        <v>0</v>
      </c>
      <c r="L175" s="831">
        <f>ROUND(SUM(B175:F175)*L172,2)</f>
        <v>0</v>
      </c>
      <c r="M175" s="831">
        <f>ROUND((SUM(B175:F175)-C175)*M172,2)</f>
        <v>0</v>
      </c>
      <c r="N175" s="21">
        <f>ROUND((B175+E175+F175)*N172,2)</f>
        <v>0</v>
      </c>
      <c r="O175" s="21">
        <f>ROUND(SUM(B175+C175+F175)*O172,2)</f>
        <v>0</v>
      </c>
      <c r="P175" s="25">
        <f t="shared" ref="P175:P184" si="29">SUM(G175:O175)</f>
        <v>0</v>
      </c>
      <c r="Q175" s="456"/>
      <c r="R175" s="140">
        <f>ROUND(IF(M151="",R167,R167/M151*P152),2)</f>
        <v>5175</v>
      </c>
      <c r="S175" s="140">
        <f>ROUND(IF(M151="",R168,R168/M151*P152),2)</f>
        <v>7450</v>
      </c>
      <c r="T175" s="1"/>
    </row>
    <row r="176" spans="1:20" s="18" customFormat="1" hidden="1" x14ac:dyDescent="0.2">
      <c r="A176" s="76" t="str">
        <f>'päd.Personal - Leitung'!$A$32</f>
        <v>Apr 2025</v>
      </c>
      <c r="B176" s="22">
        <f>ROUND(IF(P153=0,0,IFERROR((((LOOKUP(2,1/(A158:A161=A176),G158:G161))*P153*4.348)*50%),B175/P152*P153)),2)</f>
        <v>0</v>
      </c>
      <c r="C176" s="21">
        <f>ROUND(IFERROR((LOOKUP(2,1/(A164=A176),E164)),0)+IFERROR((LOOKUP(2,1/(A165=A176),E165)),0),2)</f>
        <v>0</v>
      </c>
      <c r="D176" s="21">
        <f>ROUND(IF(B176=0,0,D172/M151*P153*50%),2)</f>
        <v>0</v>
      </c>
      <c r="E176" s="21">
        <f>ROUND(IF(B176=0,0,E172/N147*P153*50%),2)</f>
        <v>0</v>
      </c>
      <c r="F176" s="22">
        <f>ROUND(IF(P153=0,0,IFERROR((((LOOKUP(2,1/(A158:A161=A176),I158:I161))/N147*P153)*50%),F175/P152*P153)),2)</f>
        <v>0</v>
      </c>
      <c r="G176" s="25">
        <f t="shared" si="27"/>
        <v>0</v>
      </c>
      <c r="H176" s="831">
        <f>ROUND(SUM(B176:F176)*H172,2)</f>
        <v>0</v>
      </c>
      <c r="I176" s="64">
        <f>ROUND(IF((SUM(B174:F176)*80%)&gt;((SUM(S170:S176))*90%),((((SUM(S170:S176))*90%)-((SUM(B174:F176)-C176))*I172)+((SUM(B176:F176)-C176)*I172)*80%),((SUM(B176:F176)-C176)*I172)*80%),2)</f>
        <v>0</v>
      </c>
      <c r="J176" s="831">
        <f>ROUND(SUM(B176:F176)*J172,2)</f>
        <v>0</v>
      </c>
      <c r="K176" s="831">
        <f>ROUND(SUM(B176:F176)*K172,2)</f>
        <v>0</v>
      </c>
      <c r="L176" s="831">
        <f>ROUND(SUM(B176:F176)*L172,2)</f>
        <v>0</v>
      </c>
      <c r="M176" s="831">
        <f>ROUND((SUM(B176:F176)-C176)*M172,2)</f>
        <v>0</v>
      </c>
      <c r="N176" s="21">
        <f>ROUND((B176+E176+F176)*N172,2)</f>
        <v>0</v>
      </c>
      <c r="O176" s="21">
        <f>ROUND(SUM(B176+C176+F176)*O172,2)</f>
        <v>0</v>
      </c>
      <c r="P176" s="25">
        <f t="shared" si="29"/>
        <v>0</v>
      </c>
      <c r="Q176" s="456"/>
      <c r="R176" s="140">
        <f>ROUND(IF(M151="",R167,R167/M151*P153),2)</f>
        <v>5175</v>
      </c>
      <c r="S176" s="140">
        <f>ROUND(IF(M151="",R168,R168/M151*P153),2)</f>
        <v>7450</v>
      </c>
      <c r="T176" s="1"/>
    </row>
    <row r="177" spans="1:20" s="18" customFormat="1" hidden="1" x14ac:dyDescent="0.2">
      <c r="A177" s="76" t="str">
        <f>'päd.Personal - Leitung'!$A$33</f>
        <v>Mai 2025</v>
      </c>
      <c r="B177" s="22">
        <f>ROUND(IF(P154=0,0,IFERROR((((LOOKUP(2,1/(A158:A161=A177),G158:G161))*P154*4.348)*50%),B176/P153*P154)),2)</f>
        <v>0</v>
      </c>
      <c r="C177" s="21">
        <f>ROUND(IFERROR((LOOKUP(2,1/(A164=A177),E164)),0)+IFERROR((LOOKUP(2,1/(A165=A177),E165)),0),2)</f>
        <v>0</v>
      </c>
      <c r="D177" s="21">
        <f>ROUND(IF(B177=0,0,D172/M151*P154*50%),2)</f>
        <v>0</v>
      </c>
      <c r="E177" s="21">
        <f>ROUND(IF(B177=0,0,E172/N147*P154*50%),2)</f>
        <v>0</v>
      </c>
      <c r="F177" s="22">
        <f>ROUND(IF(P154=0,0,IFERROR((((LOOKUP(2,1/(A158:A161=A177),I158:I161))/N147*P154)*50%),F176/P153*P154)),2)</f>
        <v>0</v>
      </c>
      <c r="G177" s="25">
        <f t="shared" si="27"/>
        <v>0</v>
      </c>
      <c r="H177" s="831">
        <f>ROUND(SUM(B177:F177)*H172,2)</f>
        <v>0</v>
      </c>
      <c r="I177" s="64">
        <f>ROUND(IF((SUM(B174:F177)*80%)&gt;((SUM(S170:S177))*90%),((((SUM(S170:S177))*90%)-((SUM(B174:F177)-C177))*I172)+((SUM(B177:F177)-C177)*I172)*80%),((SUM(B177:F177)-C177)*I172)*80%),2)</f>
        <v>0</v>
      </c>
      <c r="J177" s="831">
        <f>ROUND(SUM(B177:F177)*J172,2)</f>
        <v>0</v>
      </c>
      <c r="K177" s="831">
        <f>ROUND(SUM(B177:F177)*K172,2)</f>
        <v>0</v>
      </c>
      <c r="L177" s="831">
        <f>ROUND(SUM(B177:F177)*L172,2)</f>
        <v>0</v>
      </c>
      <c r="M177" s="831">
        <f>ROUND((SUM(B177:F177)-C177)*M172,2)</f>
        <v>0</v>
      </c>
      <c r="N177" s="21">
        <f>ROUND((B177+E177+F177)*N172,2)</f>
        <v>0</v>
      </c>
      <c r="O177" s="21">
        <f>ROUND(SUM(B177+C177+F177)*O172,2)</f>
        <v>0</v>
      </c>
      <c r="P177" s="25">
        <f t="shared" si="29"/>
        <v>0</v>
      </c>
      <c r="Q177" s="456"/>
      <c r="R177" s="140">
        <f>ROUND(IF(M151="",R167,R167/M151*P154),2)</f>
        <v>5175</v>
      </c>
      <c r="S177" s="140">
        <f>ROUND(IF(M151="",R168,R168/M151*P154),2)</f>
        <v>7450</v>
      </c>
      <c r="T177" s="1"/>
    </row>
    <row r="178" spans="1:20" s="18" customFormat="1" hidden="1" x14ac:dyDescent="0.2">
      <c r="A178" s="76" t="str">
        <f>'päd.Personal - Leitung'!$A$34</f>
        <v>Jun 2025</v>
      </c>
      <c r="B178" s="22">
        <f>ROUND(IF(P155=0,0,IFERROR((((LOOKUP(2,1/(A158:A161=A178),G158:G161))*P155*4.348)*50%),B177/P154*P155)),2)</f>
        <v>0</v>
      </c>
      <c r="C178" s="21">
        <f>ROUND(IFERROR((LOOKUP(2,1/(A164=A178),E164)),0)+IFERROR((LOOKUP(2,1/(A165=A178),E165)),0),2)</f>
        <v>0</v>
      </c>
      <c r="D178" s="21">
        <f>ROUND(IF(B178=0,0,D172/M151*P155*50%),2)</f>
        <v>0</v>
      </c>
      <c r="E178" s="21">
        <f>ROUND(IF(B178=0,0,E172/N147*P155*50%),2)</f>
        <v>0</v>
      </c>
      <c r="F178" s="22">
        <f>ROUND(IF(P155=0,0,IFERROR((((LOOKUP(2,1/(A158:A161=A178),I158:I161))/N147*P155)*50%),F177/P154*P155)),2)</f>
        <v>0</v>
      </c>
      <c r="G178" s="25">
        <f t="shared" si="27"/>
        <v>0</v>
      </c>
      <c r="H178" s="831">
        <f>ROUND(SUM(B178:F178)*H172,2)</f>
        <v>0</v>
      </c>
      <c r="I178" s="64">
        <f>ROUND(IF((SUM(B174:F178)*80%)&gt;((SUM(S170:S178))*90%),((((SUM(S170:S178))*90%)-((SUM(B174:F178)-C178))*I172)+((SUM(B178:F178)-C178)*I172)*80%),((SUM(B178:F178)-C178)*I172)*80%),2)</f>
        <v>0</v>
      </c>
      <c r="J178" s="831">
        <f>ROUND(SUM(B178:F178)*J172,2)</f>
        <v>0</v>
      </c>
      <c r="K178" s="831">
        <f>ROUND(SUM(B178:F178)*K172,2)</f>
        <v>0</v>
      </c>
      <c r="L178" s="831">
        <f>ROUND(SUM(B178:F178)*L172,2)</f>
        <v>0</v>
      </c>
      <c r="M178" s="831">
        <f>ROUND((SUM(B178:F178)-C178)*M172,2)</f>
        <v>0</v>
      </c>
      <c r="N178" s="21">
        <f>ROUND((B178+E178+F178)*N172,2)</f>
        <v>0</v>
      </c>
      <c r="O178" s="21">
        <f>ROUND(SUM(B178+C178+F178)*O172,2)</f>
        <v>0</v>
      </c>
      <c r="P178" s="25">
        <f t="shared" si="29"/>
        <v>0</v>
      </c>
      <c r="Q178" s="456"/>
      <c r="R178" s="140">
        <f>ROUND(IF(M151="",R167,R167/M151*P155),2)</f>
        <v>5175</v>
      </c>
      <c r="S178" s="140">
        <f>ROUND(IF(M151="",R168,R168/M151*P155),2)</f>
        <v>7450</v>
      </c>
      <c r="T178" s="1"/>
    </row>
    <row r="179" spans="1:20" s="18" customFormat="1" hidden="1" x14ac:dyDescent="0.2">
      <c r="A179" s="76" t="str">
        <f>'päd.Personal - Leitung'!$A$35</f>
        <v>Jul 2025</v>
      </c>
      <c r="B179" s="22">
        <f>ROUND(IF(P156=0,0,IFERROR((((LOOKUP(2,1/(A158:A161=A179),G158:G161))*P156*4.348)*50%),B178/P155*P156)),2)</f>
        <v>0</v>
      </c>
      <c r="C179" s="21">
        <f>ROUND(IFERROR((LOOKUP(2,1/(A164=A179),E164)),0)+IFERROR((LOOKUP(2,1/(A165=A179),E165)),0),2)</f>
        <v>0</v>
      </c>
      <c r="D179" s="21">
        <f>ROUND(IF(B179=0,0,D172/M151*P156*50%),2)</f>
        <v>0</v>
      </c>
      <c r="E179" s="21">
        <f>ROUND(IF(B179=0,0,E172/N147*P156*50%),2)</f>
        <v>0</v>
      </c>
      <c r="F179" s="22">
        <f>ROUND(IF(P156=0,0,IFERROR((((LOOKUP(2,1/(A158:A161=A179),I158:I161))/N147*P156)*50%),F178/P155*P156)),2)</f>
        <v>0</v>
      </c>
      <c r="G179" s="25">
        <f t="shared" si="27"/>
        <v>0</v>
      </c>
      <c r="H179" s="831">
        <f>ROUND(SUM(B179:F179)*H172,2)</f>
        <v>0</v>
      </c>
      <c r="I179" s="64">
        <f>ROUND(IF((SUM(B174:F179)*80%)&gt;((SUM(S170:S179))*90%),((((SUM(S170:S179))*90%)-((SUM(B174:F179)-C179))*I172)+((SUM(B179:F179)-C179)*I172)*80%),((SUM(B179:F179)-C179)*I172)*80%),2)</f>
        <v>0</v>
      </c>
      <c r="J179" s="831">
        <f>ROUND(SUM(B179:F179)*J172,2)</f>
        <v>0</v>
      </c>
      <c r="K179" s="831">
        <f>ROUND(SUM(B179:F179)*K172,2)</f>
        <v>0</v>
      </c>
      <c r="L179" s="831">
        <f>ROUND(SUM(B179:F179)*L172,2)</f>
        <v>0</v>
      </c>
      <c r="M179" s="831">
        <f>ROUND((SUM(B179:F179)-C179)*M172,2)</f>
        <v>0</v>
      </c>
      <c r="N179" s="21">
        <f>ROUND((B179+E179+F179)*N172,2)</f>
        <v>0</v>
      </c>
      <c r="O179" s="21">
        <f>ROUND(SUM(B179+C179+F179)*O172,2)</f>
        <v>0</v>
      </c>
      <c r="P179" s="25">
        <f t="shared" si="29"/>
        <v>0</v>
      </c>
      <c r="Q179" s="456"/>
      <c r="R179" s="140">
        <f>ROUND(IF(M151="",R167,R167/M151*P156),2)</f>
        <v>5175</v>
      </c>
      <c r="S179" s="140">
        <f>ROUND(IF(M151="",R168,R168/M151*P156),2)</f>
        <v>7450</v>
      </c>
      <c r="T179" s="1"/>
    </row>
    <row r="180" spans="1:20" s="18" customFormat="1" hidden="1" x14ac:dyDescent="0.2">
      <c r="A180" s="76" t="str">
        <f>'päd.Personal - Leitung'!$A$36</f>
        <v>Aug 2025</v>
      </c>
      <c r="B180" s="22">
        <f>ROUND(IF(P157=0,0,IFERROR((((LOOKUP(2,1/(A158:A161=A180),G158:G161))*P157*4.348)*50%),B179/P156*P157)),2)</f>
        <v>0</v>
      </c>
      <c r="C180" s="21">
        <f>ROUND(IFERROR((LOOKUP(2,1/(A164=A180),E164)),0)+IFERROR((LOOKUP(2,1/(A165=A180),E165)),0),2)</f>
        <v>0</v>
      </c>
      <c r="D180" s="21">
        <f>ROUND(IF(B180=0,0,D172/M151*P157*50%),2)</f>
        <v>0</v>
      </c>
      <c r="E180" s="21">
        <f>ROUND(IF(B180=0,0,E172/N147*P157*50%),2)</f>
        <v>0</v>
      </c>
      <c r="F180" s="22">
        <f>ROUND(IF(P157=0,0,IFERROR((((LOOKUP(2,1/(A158:A161=A180),I158:I161))/N147*P157)*50%),F179/P156*P157)),2)</f>
        <v>0</v>
      </c>
      <c r="G180" s="25">
        <f t="shared" si="27"/>
        <v>0</v>
      </c>
      <c r="H180" s="831">
        <f>ROUND(SUM(B180:F180)*H172,2)</f>
        <v>0</v>
      </c>
      <c r="I180" s="64">
        <f>ROUND(IF((SUM(B174:F180)*80%)&gt;((SUM(S170:S180))*90%),((((SUM(S170:S180))*90%)-((SUM(B174:F180)-C180))*I172)+((SUM(B180:F180)-C180)*I172)*80%),((SUM(B180:F180)-C180)*I172)*80%),2)</f>
        <v>0</v>
      </c>
      <c r="J180" s="831">
        <f>ROUND(SUM(B180:F180)*J172,2)</f>
        <v>0</v>
      </c>
      <c r="K180" s="831">
        <f>ROUND(SUM(B180:F180)*K172,2)</f>
        <v>0</v>
      </c>
      <c r="L180" s="831">
        <f>ROUND(SUM(B180:F180)*L172,2)</f>
        <v>0</v>
      </c>
      <c r="M180" s="831">
        <f>ROUND((SUM(B180:F180)-C180)*M172,2)</f>
        <v>0</v>
      </c>
      <c r="N180" s="21">
        <f>ROUND((B180+E180+F180)*N172,2)</f>
        <v>0</v>
      </c>
      <c r="O180" s="21">
        <f>ROUND(SUM(B180+C180+F180)*O172,2)</f>
        <v>0</v>
      </c>
      <c r="P180" s="25">
        <f t="shared" si="29"/>
        <v>0</v>
      </c>
      <c r="Q180" s="456"/>
      <c r="R180" s="140">
        <f>ROUND(IF(M151="",R167,R167/M151*P157),2)</f>
        <v>5175</v>
      </c>
      <c r="S180" s="140">
        <f>ROUND(IF(M151="",R168,R168/M151*P157),2)</f>
        <v>7450</v>
      </c>
      <c r="T180" s="1"/>
    </row>
    <row r="181" spans="1:20" s="18" customFormat="1" hidden="1" x14ac:dyDescent="0.2">
      <c r="A181" s="76" t="str">
        <f>'päd.Personal - Leitung'!$A$37</f>
        <v>Sep 2025</v>
      </c>
      <c r="B181" s="22">
        <f>ROUND(IF(P158=0,0,IFERROR((((LOOKUP(2,1/(A158:A161=A181),G158:G161))*P158*4.348)*50%),B180/P157*P158)),2)</f>
        <v>0</v>
      </c>
      <c r="C181" s="21">
        <f>ROUND(IFERROR((LOOKUP(2,1/(A164=A181),E164)),0)+IFERROR((LOOKUP(2,1/(A165=A181),E165)),0),2)</f>
        <v>0</v>
      </c>
      <c r="D181" s="21">
        <f>ROUND(IF(B181=0,0,D172/M151*P158*50%),2)</f>
        <v>0</v>
      </c>
      <c r="E181" s="21">
        <f>ROUND(IF(B181=0,0,E172/N147*P158*50%),2)</f>
        <v>0</v>
      </c>
      <c r="F181" s="22">
        <f>ROUND(IF(P158=0,0,IFERROR((((LOOKUP(2,1/(A158:A161=A181),I158:I161))/N147*P158)*50%),F180/P157*P158)),2)</f>
        <v>0</v>
      </c>
      <c r="G181" s="25">
        <f t="shared" si="27"/>
        <v>0</v>
      </c>
      <c r="H181" s="831">
        <f>ROUND(SUM(B181:F181)*H172,2)</f>
        <v>0</v>
      </c>
      <c r="I181" s="64">
        <f>ROUND(IF((SUM(B174:F181)*80%)&gt;((SUM(S170:S181))*90%),((((SUM(S170:S181))*90%)-((SUM(B174:F181)-C181))*I172)+((SUM(B181:F181)-C181)*I172)*80%),((SUM(B181:F181)-C181)*I172)*80%),2)</f>
        <v>0</v>
      </c>
      <c r="J181" s="831">
        <f>ROUND(SUM(B181:F181)*J172,2)</f>
        <v>0</v>
      </c>
      <c r="K181" s="831">
        <f>ROUND(SUM(B181:F181)*K172,2)</f>
        <v>0</v>
      </c>
      <c r="L181" s="831">
        <f>ROUND(SUM(B181:F181)*L172,2)</f>
        <v>0</v>
      </c>
      <c r="M181" s="831">
        <f>ROUND((SUM(B181:F181)-C181)*M172,2)</f>
        <v>0</v>
      </c>
      <c r="N181" s="21">
        <f>ROUND((B181+E181+F181)*N172,2)</f>
        <v>0</v>
      </c>
      <c r="O181" s="21">
        <f>ROUND(SUM(B181+C181+F181)*O172,2)</f>
        <v>0</v>
      </c>
      <c r="P181" s="25">
        <f t="shared" si="29"/>
        <v>0</v>
      </c>
      <c r="Q181" s="456"/>
      <c r="R181" s="140">
        <f>ROUND(IF(M151="",R167,R167/M151*P158),2)</f>
        <v>5175</v>
      </c>
      <c r="S181" s="140">
        <f>ROUND(IF(M151="",R168,R168/M151*P158),2)</f>
        <v>7450</v>
      </c>
      <c r="T181" s="1"/>
    </row>
    <row r="182" spans="1:20" s="18" customFormat="1" ht="15" hidden="1" x14ac:dyDescent="0.25">
      <c r="A182" s="76" t="str">
        <f>'päd.Personal - Leitung'!$A$38</f>
        <v>Okt 2025</v>
      </c>
      <c r="B182" s="22">
        <f>ROUND(IF(P159=0,0,IFERROR((((LOOKUP(2,1/(A158:A161=A182),G158:G161))*P159*4.348)*50%),B181/P158*P159)),2)</f>
        <v>0</v>
      </c>
      <c r="C182" s="21">
        <f>ROUND(IFERROR((LOOKUP(2,1/(A164=A182),E164)),0)+IFERROR((LOOKUP(2,1/(A165=A182),E165)),0),2)</f>
        <v>0</v>
      </c>
      <c r="D182" s="21">
        <f>ROUND(IF(B182=0,0,D172/M151*P159*50%),2)</f>
        <v>0</v>
      </c>
      <c r="E182" s="21">
        <f>ROUND(IF(B182=0,0,E172/N147*P159*50%),2)</f>
        <v>0</v>
      </c>
      <c r="F182" s="22">
        <f>ROUND(IF(P159=0,0,IFERROR((((LOOKUP(2,1/(A158:A161=A182),I158:I161))/N147*P159)*50%),F181/P158*P159)),2)</f>
        <v>0</v>
      </c>
      <c r="G182" s="25">
        <f t="shared" si="27"/>
        <v>0</v>
      </c>
      <c r="H182" s="831">
        <f>ROUND(SUM(B182:F182)*H172,2)</f>
        <v>0</v>
      </c>
      <c r="I182" s="64">
        <f>ROUND(IF((SUM(B174:F182)*80%)&gt;((SUM(S170:S182))*90%),((((SUM(S170:S182))*90%)-((SUM(B174:F182)-C182))*I172)+((SUM(B182:F182)-C182)*I172)*80%),((SUM(B182:F182)-C182)*I172)*80%),2)</f>
        <v>0</v>
      </c>
      <c r="J182" s="831">
        <f>ROUND(SUM(B182:F182)*J172,2)</f>
        <v>0</v>
      </c>
      <c r="K182" s="831">
        <f>ROUND(SUM(B182:F182)*K172,2)</f>
        <v>0</v>
      </c>
      <c r="L182" s="831">
        <f>ROUND(SUM(B182:F182)*L172,2)</f>
        <v>0</v>
      </c>
      <c r="M182" s="831">
        <f>ROUND((SUM(B182:F182)-C182)*M172,2)</f>
        <v>0</v>
      </c>
      <c r="N182" s="21">
        <f>ROUND((B182+E182+F182)*N172,2)</f>
        <v>0</v>
      </c>
      <c r="O182" s="21">
        <f>ROUND(SUM(B182+C182+F182)*O172,2)</f>
        <v>0</v>
      </c>
      <c r="P182" s="25">
        <f t="shared" si="29"/>
        <v>0</v>
      </c>
      <c r="Q182" s="936"/>
      <c r="R182" s="140">
        <f>ROUND(IF(M151="",R167,R167/M151*P159),2)</f>
        <v>5175</v>
      </c>
      <c r="S182" s="140">
        <f>ROUND(IF(M151="",R168,R168/M151*P159),2)</f>
        <v>7450</v>
      </c>
      <c r="T182" s="12"/>
    </row>
    <row r="183" spans="1:20" s="18" customFormat="1" hidden="1" x14ac:dyDescent="0.2">
      <c r="A183" s="76" t="str">
        <f>'päd.Personal - Leitung'!$A$39</f>
        <v>Nov 2025</v>
      </c>
      <c r="B183" s="22">
        <f>ROUND(IF(P160=0,0,IFERROR((((LOOKUP(2,1/(A158:A161=A183),G158:G161))*P160*4.348)*50%),B182/P159*P160)),2)</f>
        <v>0</v>
      </c>
      <c r="C183" s="21">
        <f>ROUND(IFERROR((LOOKUP(2,1/(A164=A183),E164)),0)+(IFERROR((LOOKUP(2,1/(A165=A183),E165)),0)),2)</f>
        <v>0</v>
      </c>
      <c r="D183" s="21">
        <f>ROUND(IF(B183=0,0,D172/M151*P160*50%),2)</f>
        <v>0</v>
      </c>
      <c r="E183" s="21">
        <f>ROUND(IF(B183=0,0,E172/N147*P160*50%),2)</f>
        <v>0</v>
      </c>
      <c r="F183" s="22">
        <f>ROUND(IF(P160=0,0,IFERROR((((LOOKUP(2,1/(A158:A161=A183),I158:I161))/N147*P160)*50%),F182/P159*P160)),2)</f>
        <v>0</v>
      </c>
      <c r="G183" s="25">
        <f t="shared" si="27"/>
        <v>0</v>
      </c>
      <c r="H183" s="831">
        <f>ROUND(SUM(B183:F183)*H172,2)</f>
        <v>0</v>
      </c>
      <c r="I183" s="64">
        <f>ROUND(IF((SUM(B174:F183)*80%)&gt;((SUM(S170:S183))*90%),((((SUM(S170:S183))*90%)-((SUM(B174:F183)-C183))*I172)+((SUM(B183:F183)-C183)*I172)*80%),((SUM(B183:F183)-C183)*I172)*80%),2)</f>
        <v>0</v>
      </c>
      <c r="J183" s="831">
        <f>ROUND(SUM(B183:F183)*J172,2)</f>
        <v>0</v>
      </c>
      <c r="K183" s="831">
        <f>ROUND(SUM(B183:F183)*K172,2)</f>
        <v>0</v>
      </c>
      <c r="L183" s="831">
        <f>ROUND(SUM(B183:F183)*L172,2)</f>
        <v>0</v>
      </c>
      <c r="M183" s="831">
        <f>ROUND((SUM(B183:F183)-C183)*M172,2)</f>
        <v>0</v>
      </c>
      <c r="N183" s="21">
        <f>ROUND((B183+E183+F183)*N172,2)</f>
        <v>0</v>
      </c>
      <c r="O183" s="21">
        <f>ROUND(SUM(B183+C183+F183)*O172,2)</f>
        <v>0</v>
      </c>
      <c r="P183" s="25">
        <f t="shared" si="29"/>
        <v>0</v>
      </c>
      <c r="Q183" s="11"/>
      <c r="R183" s="140">
        <f>ROUND(IF(M151="",R167,R167/M151*P160),2)</f>
        <v>5175</v>
      </c>
      <c r="S183" s="140">
        <f>ROUND(IF(M151="",R168,R168/M151*P160),2)</f>
        <v>7450</v>
      </c>
      <c r="T183" s="11"/>
    </row>
    <row r="184" spans="1:20" s="18" customFormat="1" hidden="1" x14ac:dyDescent="0.2">
      <c r="A184" s="76" t="str">
        <f>'päd.Personal - Leitung'!$A$40</f>
        <v>Dez 2025</v>
      </c>
      <c r="B184" s="22">
        <f>ROUND(IF(P161=0,0,IFERROR((((LOOKUP(2,1/(A158:A161=A184),G158:G161))*P161*4.348)*50%),B183/P160*P161)),2)</f>
        <v>0</v>
      </c>
      <c r="C184" s="21">
        <f>ROUND(IFERROR((LOOKUP(2,1/(A164=A184),E164)),0)+IFERROR((LOOKUP(2,1/(A165=A184),E165)),0),2)</f>
        <v>0</v>
      </c>
      <c r="D184" s="21">
        <f>ROUND(IF(B184=0,0,D172/M151*P161*50%),2)</f>
        <v>0</v>
      </c>
      <c r="E184" s="21">
        <f>ROUND(IF(B184=0,0,E172/N147*P161*50%),2)</f>
        <v>0</v>
      </c>
      <c r="F184" s="22">
        <f>ROUND(IF(P161=0,0,IFERROR((((LOOKUP(2,1/(A158:A161=A184),I158:I161))/N147*P161)*50%),F183/P160*P161)),2)</f>
        <v>0</v>
      </c>
      <c r="G184" s="25">
        <f t="shared" si="27"/>
        <v>0</v>
      </c>
      <c r="H184" s="831">
        <f>ROUND(SUM(B184:F184)*H172,2)</f>
        <v>0</v>
      </c>
      <c r="I184" s="64">
        <f>ROUND(IF((SUM(B174:F184)*80%)&gt;((SUM(S170:S184))*90%),((((SUM(S170:S184))*90%)-((SUM(B174:F184)-C184))*I172)+((SUM(B184:F184)-C184)*I172)*80%),((SUM(B184:F184)-C184)*I172)*80%),2)</f>
        <v>0</v>
      </c>
      <c r="J184" s="831">
        <f>ROUND(SUM(B184:F184)*J172,2)</f>
        <v>0</v>
      </c>
      <c r="K184" s="831">
        <f>ROUND(SUM(B184:F184)*K172,2)</f>
        <v>0</v>
      </c>
      <c r="L184" s="831">
        <f>ROUND(SUM(B184:F184)*L172,2)</f>
        <v>0</v>
      </c>
      <c r="M184" s="831">
        <f>ROUND((SUM(B184:F184)-C184)*M172,2)</f>
        <v>0</v>
      </c>
      <c r="N184" s="21">
        <f>ROUND((B184+E184+F184)*N172,2)</f>
        <v>0</v>
      </c>
      <c r="O184" s="21">
        <f>ROUND(SUM(B184+C184+F184)*O172,2)</f>
        <v>0</v>
      </c>
      <c r="P184" s="25">
        <f t="shared" si="29"/>
        <v>0</v>
      </c>
      <c r="Q184" s="11"/>
      <c r="R184" s="140">
        <f>ROUND(IF(M151="",R167,R167/M151*P161),2)</f>
        <v>5175</v>
      </c>
      <c r="S184" s="140">
        <f>ROUND(IF(M151="",R168,R168/M151*P161),2)</f>
        <v>7450</v>
      </c>
      <c r="T184" s="1"/>
    </row>
    <row r="185" spans="1:20" s="18" customFormat="1" hidden="1" x14ac:dyDescent="0.2">
      <c r="A185" s="2" t="s">
        <v>1</v>
      </c>
      <c r="B185" s="25">
        <f t="shared" ref="B185:G185" si="30">SUM(B174:B184)</f>
        <v>0</v>
      </c>
      <c r="C185" s="25">
        <f t="shared" si="30"/>
        <v>0</v>
      </c>
      <c r="D185" s="25">
        <f t="shared" si="30"/>
        <v>0</v>
      </c>
      <c r="E185" s="25">
        <f t="shared" si="30"/>
        <v>0</v>
      </c>
      <c r="F185" s="25">
        <f t="shared" si="30"/>
        <v>0</v>
      </c>
      <c r="G185" s="25">
        <f t="shared" si="30"/>
        <v>0</v>
      </c>
      <c r="H185" s="1309">
        <f>SUM(H174:M184)</f>
        <v>0</v>
      </c>
      <c r="I185" s="1310"/>
      <c r="J185" s="1310"/>
      <c r="K185" s="1310"/>
      <c r="L185" s="1310"/>
      <c r="M185" s="1310"/>
      <c r="N185" s="25">
        <f>SUM(N174:N184)</f>
        <v>0</v>
      </c>
      <c r="O185" s="25">
        <f>SUM(O174:O184)</f>
        <v>0</v>
      </c>
      <c r="P185" s="25">
        <f>SUM(P174:P184)</f>
        <v>0</v>
      </c>
      <c r="Q185" s="1"/>
      <c r="R185" s="1"/>
      <c r="S185" s="1"/>
      <c r="T185" s="1"/>
    </row>
    <row r="186" spans="1:20" s="18" customFormat="1" hidden="1" x14ac:dyDescent="0.2">
      <c r="O186" s="14"/>
      <c r="Q186" s="1021"/>
      <c r="R186" s="1021"/>
      <c r="S186" s="1021"/>
    </row>
    <row r="187" spans="1:20" ht="14.25" hidden="1" customHeight="1" x14ac:dyDescent="0.2">
      <c r="B187" s="906"/>
      <c r="H187" s="905"/>
      <c r="I187" s="62"/>
      <c r="J187" s="914" t="s">
        <v>123</v>
      </c>
      <c r="L187" s="900" t="s">
        <v>124</v>
      </c>
      <c r="M187" s="1032"/>
      <c r="N187" s="902" t="s">
        <v>125</v>
      </c>
      <c r="O187" s="1033"/>
      <c r="P187" s="25">
        <f>ROUND(IF(M187="",0,G185*M187*O187/1000),2)</f>
        <v>0</v>
      </c>
      <c r="Q187" s="1015"/>
      <c r="R187" s="1022"/>
      <c r="S187" s="1016"/>
    </row>
    <row r="188" spans="1:20" ht="14.25" hidden="1" customHeight="1" x14ac:dyDescent="0.2">
      <c r="H188" s="907"/>
      <c r="I188" s="42"/>
      <c r="M188" s="915" t="s">
        <v>129</v>
      </c>
      <c r="N188" s="80" t="s">
        <v>125</v>
      </c>
      <c r="O188" s="1034"/>
      <c r="P188" s="25">
        <f>ROUND(IF(O188="",0,G185*O188/1000),2)</f>
        <v>0</v>
      </c>
      <c r="Q188" s="1023"/>
      <c r="R188" s="65"/>
      <c r="S188" s="1017"/>
    </row>
    <row r="189" spans="1:20" ht="14.25" hidden="1" customHeight="1" x14ac:dyDescent="0.2">
      <c r="H189" s="912" t="s">
        <v>126</v>
      </c>
      <c r="I189" s="1013" t="s">
        <v>127</v>
      </c>
      <c r="J189" s="1037"/>
      <c r="K189" s="902" t="s">
        <v>128</v>
      </c>
      <c r="L189" s="1036"/>
      <c r="M189" s="16"/>
      <c r="N189" s="900" t="s">
        <v>132</v>
      </c>
      <c r="O189" s="1035"/>
      <c r="P189" s="25">
        <f>ROUND(IF(J189="",0,(J189*L189/O189)/M153*M154),2)</f>
        <v>0</v>
      </c>
      <c r="Q189" s="1023"/>
      <c r="R189" s="66"/>
      <c r="S189" s="1016"/>
    </row>
    <row r="190" spans="1:20" ht="14.25" hidden="1" customHeight="1" x14ac:dyDescent="0.2">
      <c r="D190" s="16"/>
      <c r="I190" s="16"/>
      <c r="J190" s="16"/>
      <c r="K190" s="63"/>
      <c r="L190" s="67"/>
      <c r="M190" s="915" t="s">
        <v>130</v>
      </c>
      <c r="N190" s="80" t="s">
        <v>131</v>
      </c>
      <c r="O190" s="904"/>
      <c r="P190" s="21">
        <f>ROUND(IF(G185=0,0,O190/M151*M152),2)</f>
        <v>0</v>
      </c>
      <c r="Q190" s="1023"/>
      <c r="R190" s="1018"/>
      <c r="S190" s="1024"/>
    </row>
    <row r="191" spans="1:20" ht="14.25" hidden="1" customHeight="1" x14ac:dyDescent="0.2">
      <c r="A191" s="16"/>
      <c r="B191" s="16"/>
      <c r="I191" s="905"/>
      <c r="J191" s="961" t="s">
        <v>176</v>
      </c>
      <c r="K191" s="1312"/>
      <c r="L191" s="1312"/>
      <c r="M191" s="1312"/>
      <c r="N191" s="80" t="s">
        <v>131</v>
      </c>
      <c r="O191" s="904"/>
      <c r="P191" s="21">
        <f>ROUND(IF(G185=0,0,O191/M151*M152),2)</f>
        <v>0</v>
      </c>
      <c r="Q191" s="1023"/>
      <c r="R191" s="1019"/>
      <c r="S191" s="1020"/>
    </row>
    <row r="192" spans="1:20" ht="14.25" hidden="1" customHeight="1" x14ac:dyDescent="0.2">
      <c r="A192" s="908"/>
      <c r="B192" s="908"/>
      <c r="C192" s="1013"/>
      <c r="D192" s="1013"/>
      <c r="I192" s="913"/>
      <c r="J192" s="913"/>
      <c r="K192" s="916"/>
      <c r="L192" s="27"/>
      <c r="M192" s="27"/>
      <c r="N192" s="27"/>
      <c r="O192" s="26" t="s">
        <v>0</v>
      </c>
      <c r="P192" s="25">
        <f>P185+SUM(P187:P191)</f>
        <v>0</v>
      </c>
    </row>
    <row r="193" spans="1:19" s="10" customFormat="1" ht="13.5" hidden="1" customHeight="1" x14ac:dyDescent="0.2">
      <c r="A193" s="1321" t="s">
        <v>17</v>
      </c>
      <c r="B193" s="1321"/>
      <c r="C193" s="1321"/>
      <c r="D193" s="1320" t="str">
        <f>IF('päd.Personal - Leitung'!$D$1="","",'päd.Personal - Leitung'!$D$1)</f>
        <v/>
      </c>
      <c r="E193" s="1320"/>
      <c r="F193" s="1320"/>
      <c r="G193" s="1320"/>
      <c r="H193" s="1320"/>
      <c r="I193" s="1320"/>
      <c r="J193" s="1320"/>
      <c r="K193" s="1320"/>
      <c r="L193" s="1320"/>
      <c r="M193" s="1320"/>
      <c r="N193" s="1320"/>
    </row>
    <row r="194" spans="1:19" s="10" customFormat="1" ht="15" hidden="1" customHeight="1" x14ac:dyDescent="0.2">
      <c r="A194" s="1321" t="s">
        <v>16</v>
      </c>
      <c r="B194" s="1321"/>
      <c r="C194" s="1321" t="s">
        <v>14</v>
      </c>
      <c r="D194" s="1320" t="str">
        <f>IF('päd.Personal - Leitung'!$D$2="","",'päd.Personal - Leitung'!$D$2)</f>
        <v/>
      </c>
      <c r="E194" s="1320"/>
      <c r="F194" s="1320"/>
      <c r="G194" s="1320"/>
      <c r="H194" s="1320"/>
      <c r="I194" s="1320"/>
      <c r="J194" s="1320"/>
      <c r="K194" s="1320"/>
      <c r="L194" s="1320"/>
      <c r="M194" s="1320"/>
      <c r="N194" s="1320"/>
    </row>
    <row r="195" spans="1:19" s="10" customFormat="1" ht="15" hidden="1" customHeight="1" x14ac:dyDescent="0.2">
      <c r="A195" s="1321" t="s">
        <v>15</v>
      </c>
      <c r="B195" s="1321"/>
      <c r="C195" s="1321" t="s">
        <v>14</v>
      </c>
      <c r="D195" s="1320" t="str">
        <f>IF('päd.Personal - Leitung'!$D$3="","",'päd.Personal - Leitung'!$D$3)</f>
        <v/>
      </c>
      <c r="E195" s="1320"/>
      <c r="F195" s="1320"/>
      <c r="G195" s="1320"/>
      <c r="H195" s="1320"/>
      <c r="I195" s="1320"/>
      <c r="J195" s="1320"/>
      <c r="K195" s="1321" t="s">
        <v>100</v>
      </c>
      <c r="L195" s="1321"/>
      <c r="M195" s="1321"/>
      <c r="N195" s="38" t="str">
        <f>IF('päd.Personal - Leitung'!$N$3="","",'päd.Personal - Leitung'!$N$3)</f>
        <v/>
      </c>
    </row>
    <row r="196" spans="1:19" s="923" customFormat="1" ht="7.5" hidden="1" customHeight="1" x14ac:dyDescent="0.15">
      <c r="A196" s="1353"/>
      <c r="B196" s="1353"/>
      <c r="C196" s="1353"/>
      <c r="D196" s="1354"/>
      <c r="E196" s="1354"/>
      <c r="F196" s="1354"/>
      <c r="G196" s="1354"/>
      <c r="H196" s="1354"/>
      <c r="I196" s="1354"/>
      <c r="J196" s="1354"/>
      <c r="K196" s="922"/>
      <c r="L196" s="922"/>
      <c r="M196" s="922"/>
      <c r="N196" s="922"/>
      <c r="O196" s="922"/>
      <c r="P196" s="922"/>
    </row>
    <row r="197" spans="1:19" s="18" customFormat="1" hidden="1" x14ac:dyDescent="0.2">
      <c r="A197" s="1355" t="s">
        <v>193</v>
      </c>
      <c r="B197" s="1355"/>
      <c r="C197" s="1355"/>
      <c r="D197" s="1355"/>
      <c r="E197" s="1355"/>
      <c r="F197" s="1355"/>
      <c r="G197" s="1355"/>
      <c r="H197" s="1355"/>
      <c r="I197" s="1355"/>
      <c r="J197" s="1355"/>
      <c r="K197" s="1355"/>
      <c r="L197" s="1355"/>
      <c r="M197" s="1355"/>
      <c r="N197" s="52"/>
      <c r="O197" s="138">
        <f>'päd.Personal - Leitung'!$O$5</f>
        <v>2025</v>
      </c>
      <c r="P197" s="52" t="s">
        <v>140</v>
      </c>
    </row>
    <row r="198" spans="1:19" s="8" customFormat="1" ht="13.5" hidden="1" customHeight="1" x14ac:dyDescent="0.25">
      <c r="B198" s="29"/>
      <c r="C198" s="29"/>
      <c r="D198" s="3" t="s">
        <v>97</v>
      </c>
      <c r="E198" s="28"/>
      <c r="F198" s="28"/>
      <c r="G198" s="28"/>
      <c r="H198" s="28"/>
      <c r="I198" s="24"/>
      <c r="K198" s="1327" t="s">
        <v>13</v>
      </c>
      <c r="L198" s="1327"/>
      <c r="M198" s="131"/>
      <c r="O198" s="928" t="str">
        <f>A221</f>
        <v>Jan 2025</v>
      </c>
      <c r="P198" s="68">
        <f>IF(M200="","",M200)</f>
        <v>0</v>
      </c>
    </row>
    <row r="199" spans="1:19" s="5" customFormat="1" ht="13.5" hidden="1" customHeight="1" x14ac:dyDescent="0.25">
      <c r="A199" s="1328" t="s">
        <v>754</v>
      </c>
      <c r="B199" s="1328"/>
      <c r="C199" s="1328"/>
      <c r="D199" s="1329"/>
      <c r="E199" s="1329"/>
      <c r="F199" s="1329"/>
      <c r="G199" s="1329"/>
      <c r="H199" s="1329"/>
      <c r="I199" s="1329"/>
      <c r="K199" s="1327" t="s">
        <v>101</v>
      </c>
      <c r="L199" s="1327"/>
      <c r="M199" s="101"/>
      <c r="O199" s="928" t="str">
        <f t="shared" ref="O199:O209" si="31">A222</f>
        <v>Feb 2025</v>
      </c>
      <c r="P199" s="69">
        <f t="shared" ref="P199:P209" si="32">IF(P198="","",P198)</f>
        <v>0</v>
      </c>
    </row>
    <row r="200" spans="1:19" ht="13.5" hidden="1" customHeight="1" x14ac:dyDescent="0.2">
      <c r="A200" s="1328" t="s">
        <v>12</v>
      </c>
      <c r="B200" s="1328"/>
      <c r="C200" s="1328"/>
      <c r="D200" s="1345"/>
      <c r="E200" s="1345"/>
      <c r="F200" s="1345"/>
      <c r="G200" s="1345"/>
      <c r="H200" s="1345"/>
      <c r="I200" s="1345"/>
      <c r="K200" s="1327" t="s">
        <v>149</v>
      </c>
      <c r="L200" s="1327"/>
      <c r="M200" s="101">
        <f>IF((M201+M202)&gt;M199,0,M199-M201-M202)</f>
        <v>0</v>
      </c>
      <c r="O200" s="928" t="str">
        <f t="shared" si="31"/>
        <v>Mrz 2025</v>
      </c>
      <c r="P200" s="69">
        <f t="shared" si="32"/>
        <v>0</v>
      </c>
    </row>
    <row r="201" spans="1:19" ht="13.5" hidden="1" customHeight="1" x14ac:dyDescent="0.2">
      <c r="A201" s="1328" t="s">
        <v>11</v>
      </c>
      <c r="B201" s="1328"/>
      <c r="C201" s="1328"/>
      <c r="D201" s="1345"/>
      <c r="E201" s="1345"/>
      <c r="F201" s="1345"/>
      <c r="G201" s="1345"/>
      <c r="H201" s="1345"/>
      <c r="I201" s="1345"/>
      <c r="K201" s="1327" t="s">
        <v>150</v>
      </c>
      <c r="L201" s="1327"/>
      <c r="M201" s="101"/>
      <c r="O201" s="928" t="str">
        <f t="shared" si="31"/>
        <v>Apr 2025</v>
      </c>
      <c r="P201" s="69">
        <f t="shared" si="32"/>
        <v>0</v>
      </c>
    </row>
    <row r="202" spans="1:19" ht="13.5" hidden="1" customHeight="1" x14ac:dyDescent="0.2">
      <c r="A202" s="1328" t="s">
        <v>18</v>
      </c>
      <c r="B202" s="1328"/>
      <c r="C202" s="1328"/>
      <c r="D202" s="1345"/>
      <c r="E202" s="1345"/>
      <c r="F202" s="1345"/>
      <c r="G202" s="1345"/>
      <c r="H202" s="1345"/>
      <c r="I202" s="1345"/>
      <c r="K202" s="1327" t="s">
        <v>222</v>
      </c>
      <c r="L202" s="1327"/>
      <c r="M202" s="101"/>
      <c r="O202" s="928" t="str">
        <f t="shared" si="31"/>
        <v>Mai 2025</v>
      </c>
      <c r="P202" s="69">
        <f t="shared" si="32"/>
        <v>0</v>
      </c>
    </row>
    <row r="203" spans="1:19" ht="13.5" hidden="1" customHeight="1" x14ac:dyDescent="0.2">
      <c r="B203" s="6"/>
      <c r="C203" s="1012" t="s">
        <v>147</v>
      </c>
      <c r="D203" s="1324"/>
      <c r="E203" s="1324"/>
      <c r="F203" s="1359" t="s">
        <v>107</v>
      </c>
      <c r="G203" s="1359"/>
      <c r="H203" s="1361"/>
      <c r="I203" s="1361"/>
      <c r="K203" s="1327" t="s">
        <v>94</v>
      </c>
      <c r="L203" s="1327"/>
      <c r="M203" s="15" t="str">
        <f>IF(IF((COUNTIF(B221:B232,"&gt;0"))=0,0,(COUNTIF(B221:B232,"&gt;0")))&gt;Grundlagen!$C$26,Grundlagen!$C$26,IF((COUNTIF(B221:B232,"&gt;0"))=0,"",(COUNTIF(B221:B232,"&gt;0"))))</f>
        <v/>
      </c>
      <c r="O203" s="928" t="str">
        <f t="shared" si="31"/>
        <v>Jun 2025</v>
      </c>
      <c r="P203" s="69">
        <f t="shared" si="32"/>
        <v>0</v>
      </c>
    </row>
    <row r="204" spans="1:19" ht="13.5" hidden="1" customHeight="1" x14ac:dyDescent="0.2">
      <c r="F204" s="1359" t="s">
        <v>160</v>
      </c>
      <c r="G204" s="1359"/>
      <c r="H204" s="1361"/>
      <c r="I204" s="1361"/>
      <c r="M204" s="102" t="str">
        <f>IF((SUM(F206:F209))=0,"",IF(P210&gt;M200,M200,IF(M200="","",IF(M203="","",P210))))</f>
        <v/>
      </c>
      <c r="O204" s="928" t="str">
        <f t="shared" si="31"/>
        <v>Jul 2025</v>
      </c>
      <c r="P204" s="69">
        <f t="shared" si="32"/>
        <v>0</v>
      </c>
    </row>
    <row r="205" spans="1:19" s="46" customFormat="1" ht="13.5" hidden="1" customHeight="1" x14ac:dyDescent="0.2">
      <c r="A205" s="54" t="s">
        <v>134</v>
      </c>
      <c r="B205" s="1356" t="s">
        <v>135</v>
      </c>
      <c r="C205" s="1356"/>
      <c r="D205" s="55" t="s">
        <v>136</v>
      </c>
      <c r="E205" s="56" t="s">
        <v>137</v>
      </c>
      <c r="F205" s="57" t="str">
        <f>CONCATENATE("Entg. ",N195," h/Wo")</f>
        <v>Entg.  h/Wo</v>
      </c>
      <c r="G205" s="58" t="s">
        <v>138</v>
      </c>
      <c r="I205" s="58" t="s">
        <v>139</v>
      </c>
      <c r="K205" s="970"/>
      <c r="L205" s="970"/>
      <c r="M205" s="59"/>
      <c r="N205" s="968" t="str">
        <f>IF(A207="","",A207)</f>
        <v/>
      </c>
      <c r="O205" s="928" t="str">
        <f t="shared" si="31"/>
        <v>Aug 2025</v>
      </c>
      <c r="P205" s="69">
        <f t="shared" si="32"/>
        <v>0</v>
      </c>
      <c r="Q205" s="1027"/>
      <c r="R205" s="1025"/>
      <c r="S205" s="1025"/>
    </row>
    <row r="206" spans="1:19" s="46" customFormat="1" ht="13.5" hidden="1" customHeight="1" x14ac:dyDescent="0.25">
      <c r="A206" s="48" t="str">
        <f>A221</f>
        <v>Jan 2025</v>
      </c>
      <c r="B206" s="1357" t="str">
        <f>IF($D$3="","",$D$3)</f>
        <v/>
      </c>
      <c r="C206" s="1358"/>
      <c r="D206" s="132"/>
      <c r="E206" s="132"/>
      <c r="F206" s="71"/>
      <c r="G206" s="50">
        <f>IF(N195="",0,F206/N195/4.348)</f>
        <v>0</v>
      </c>
      <c r="I206" s="51">
        <f>SUM(J206:M206)</f>
        <v>0</v>
      </c>
      <c r="J206" s="70"/>
      <c r="K206" s="70"/>
      <c r="L206" s="70"/>
      <c r="M206" s="70"/>
      <c r="N206" s="983"/>
      <c r="O206" s="928" t="str">
        <f t="shared" si="31"/>
        <v>Sep 2025</v>
      </c>
      <c r="P206" s="69">
        <f t="shared" si="32"/>
        <v>0</v>
      </c>
      <c r="Q206" s="1026"/>
      <c r="R206" s="829"/>
      <c r="S206" s="1028"/>
    </row>
    <row r="207" spans="1:19" s="46" customFormat="1" ht="13.5" hidden="1" customHeight="1" x14ac:dyDescent="0.25">
      <c r="A207" s="49"/>
      <c r="B207" s="1322" t="str">
        <f>IF(A207="","",B206)</f>
        <v/>
      </c>
      <c r="C207" s="1323"/>
      <c r="D207" s="132"/>
      <c r="E207" s="132"/>
      <c r="F207" s="71"/>
      <c r="G207" s="50">
        <f>IF(N195="",0,F207/N195/4.348)</f>
        <v>0</v>
      </c>
      <c r="I207" s="51">
        <f t="shared" ref="I207:I209" si="33">SUM(J207:M207)</f>
        <v>0</v>
      </c>
      <c r="J207" s="70"/>
      <c r="K207" s="70"/>
      <c r="L207" s="70"/>
      <c r="M207" s="70"/>
      <c r="N207" s="983"/>
      <c r="O207" s="928" t="str">
        <f t="shared" si="31"/>
        <v>Okt 2025</v>
      </c>
      <c r="P207" s="69">
        <f t="shared" si="32"/>
        <v>0</v>
      </c>
      <c r="Q207" s="1026"/>
      <c r="R207" s="829"/>
      <c r="S207" s="1028"/>
    </row>
    <row r="208" spans="1:19" s="46" customFormat="1" ht="13.5" hidden="1" customHeight="1" x14ac:dyDescent="0.25">
      <c r="A208" s="49"/>
      <c r="B208" s="1322" t="str">
        <f>IF(A208="","",B207)</f>
        <v/>
      </c>
      <c r="C208" s="1323"/>
      <c r="D208" s="132"/>
      <c r="E208" s="132"/>
      <c r="F208" s="71"/>
      <c r="G208" s="50">
        <f>IF(N195="",0,F208/N195/4.348)</f>
        <v>0</v>
      </c>
      <c r="I208" s="51">
        <f t="shared" si="33"/>
        <v>0</v>
      </c>
      <c r="J208" s="70"/>
      <c r="K208" s="70"/>
      <c r="L208" s="70"/>
      <c r="M208" s="70"/>
      <c r="N208" s="983"/>
      <c r="O208" s="928" t="str">
        <f t="shared" si="31"/>
        <v>Nov 2025</v>
      </c>
      <c r="P208" s="69">
        <f t="shared" si="32"/>
        <v>0</v>
      </c>
      <c r="Q208" s="828"/>
      <c r="R208" s="829"/>
      <c r="S208" s="829"/>
    </row>
    <row r="209" spans="1:20" s="46" customFormat="1" ht="13.5" hidden="1" customHeight="1" x14ac:dyDescent="0.25">
      <c r="A209" s="49"/>
      <c r="B209" s="1322" t="str">
        <f>IF(A209="","",B208)</f>
        <v/>
      </c>
      <c r="C209" s="1323"/>
      <c r="D209" s="132"/>
      <c r="E209" s="132"/>
      <c r="F209" s="71"/>
      <c r="G209" s="50">
        <f>IF(N195="",0,F209/N195/4.348)</f>
        <v>0</v>
      </c>
      <c r="I209" s="51">
        <f t="shared" si="33"/>
        <v>0</v>
      </c>
      <c r="J209" s="70"/>
      <c r="K209" s="70"/>
      <c r="L209" s="70"/>
      <c r="M209" s="70"/>
      <c r="N209" s="983"/>
      <c r="O209" s="928" t="str">
        <f t="shared" si="31"/>
        <v>Dez 2025</v>
      </c>
      <c r="P209" s="69">
        <f t="shared" si="32"/>
        <v>0</v>
      </c>
      <c r="Q209" s="276"/>
      <c r="R209" s="827"/>
      <c r="S209" s="827"/>
    </row>
    <row r="210" spans="1:20" s="46" customFormat="1" ht="13.5" hidden="1" customHeight="1" x14ac:dyDescent="0.25">
      <c r="B210" s="972"/>
      <c r="C210" s="972"/>
      <c r="E210" s="972"/>
      <c r="F210" s="972"/>
      <c r="I210" s="930" t="s">
        <v>730</v>
      </c>
      <c r="J210" s="982"/>
      <c r="K210" s="982"/>
      <c r="L210" s="982"/>
      <c r="M210" s="982"/>
      <c r="N210" s="994"/>
      <c r="O210" s="126" t="s">
        <v>221</v>
      </c>
      <c r="P210" s="127">
        <f>IF(M203="",0,((IF(SUMIF(B221,"&gt;0"),P198,0))+(IF(SUMIF(B222,"&gt;0"),P199,0))+(IF(SUMIF(B223,"&gt;0"),P200,0))+(IF(SUMIF(B224,"&gt;0"),P201,0))+(IF(SUMIF(B225,"&gt;0"),P202,0))+(IF(SUMIF(B226,"&gt;0"),P203,0))+(IF(SUMIF(B227,"&gt;0"),P204,0))+(IF(SUMIF(B228,"&gt;0"),P205,0))+(IF(SUMIF(B229,"&gt;0"),P206,0))+(IF(SUMIF(B230,"&gt;0"),P207,0))+(IF(SUMIF(B231,"&gt;0"),P208,0))+(IF(SUMIF(B232,"&gt;0"),P209,0)))/Grundlagen!$C$26)</f>
        <v>0</v>
      </c>
      <c r="Q210" s="1009" t="str">
        <f>CONCATENATE("BBG"," anteilig ",O212)</f>
        <v>BBG anteilig 2025</v>
      </c>
      <c r="R210" s="931" t="s">
        <v>659</v>
      </c>
      <c r="S210" s="931" t="s">
        <v>398</v>
      </c>
      <c r="T210" s="107"/>
    </row>
    <row r="211" spans="1:20" s="46" customFormat="1" ht="13.5" hidden="1" customHeight="1" x14ac:dyDescent="0.2">
      <c r="A211" s="924" t="s">
        <v>732</v>
      </c>
      <c r="D211" s="55" t="s">
        <v>369</v>
      </c>
      <c r="E211" s="56" t="s">
        <v>368</v>
      </c>
      <c r="F211" s="58"/>
      <c r="J211" s="61"/>
      <c r="Q211" s="932" t="s">
        <v>144</v>
      </c>
      <c r="R211" s="140">
        <f>IF(M200=0,R215,IF(M199="",R215,(SUM(R221:R232)/M203)))</f>
        <v>5175</v>
      </c>
      <c r="S211" s="933">
        <f>IF(M200=0,S215,IF(M199="",S215,SUM(R221:R232)))</f>
        <v>0</v>
      </c>
      <c r="T211" s="107"/>
    </row>
    <row r="212" spans="1:20" s="46" customFormat="1" ht="13.5" hidden="1" customHeight="1" x14ac:dyDescent="0.25">
      <c r="A212" s="60"/>
      <c r="B212" s="1314" t="str">
        <f>IF($B$20="","",$B$20)</f>
        <v>Jahressonderzahlung (JSZ)</v>
      </c>
      <c r="C212" s="1315"/>
      <c r="D212" s="926"/>
      <c r="E212" s="929" t="str">
        <f>IF(A212="","",ROUND((((SUM(B227:B229)+SUM(F227:F229))/3)*D212)/Grundlagen!$C$26*M203,2))</f>
        <v/>
      </c>
      <c r="N212" s="917" t="s">
        <v>736</v>
      </c>
      <c r="O212" s="918">
        <f>P212+1</f>
        <v>2025</v>
      </c>
      <c r="P212" s="918" t="s">
        <v>721</v>
      </c>
      <c r="Q212" s="932" t="s">
        <v>145</v>
      </c>
      <c r="R212" s="140">
        <f>IF(M200=0,R216,IF(M199="",R216,(SUM(S221:S232)/M203)))</f>
        <v>7450</v>
      </c>
      <c r="S212" s="933">
        <f>IF(M200=0,S216,IF(M199="",S216,SUM(S221:S232)))</f>
        <v>0</v>
      </c>
      <c r="T212" s="109"/>
    </row>
    <row r="213" spans="1:20" s="18" customFormat="1" ht="14.25" hidden="1" customHeight="1" x14ac:dyDescent="0.2">
      <c r="A213" s="60"/>
      <c r="B213" s="1314" t="str">
        <f>IF($B$21="","",$B$21)</f>
        <v>Leistungsentgelt (LOB)</v>
      </c>
      <c r="C213" s="1315"/>
      <c r="D213" s="926"/>
      <c r="E213" s="929" t="str">
        <f>IF(A213="","",ROUND(((B233+F233)*D213)/Grundlagen!$C$26*M203,2))</f>
        <v/>
      </c>
      <c r="F213" s="1"/>
      <c r="N213" s="139" t="s">
        <v>144</v>
      </c>
      <c r="O213" s="141">
        <f>'päd.Personal - Leitung'!$O$21</f>
        <v>5175</v>
      </c>
      <c r="P213" s="141">
        <f>'päd.Personal - Leitung'!$P$21</f>
        <v>5175</v>
      </c>
      <c r="Q213" s="11"/>
      <c r="R213" s="11"/>
      <c r="S213" s="11"/>
      <c r="T213" s="109"/>
    </row>
    <row r="214" spans="1:20" s="18" customFormat="1" ht="14.25" hidden="1" customHeight="1" x14ac:dyDescent="0.2">
      <c r="A214" s="1"/>
      <c r="B214" s="1"/>
      <c r="C214" s="925" t="s">
        <v>731</v>
      </c>
      <c r="D214" s="1"/>
      <c r="E214" s="1"/>
      <c r="F214" s="1"/>
      <c r="N214" s="139" t="s">
        <v>145</v>
      </c>
      <c r="O214" s="899">
        <f>'päd.Personal - Leitung'!$O$22</f>
        <v>7450</v>
      </c>
      <c r="P214" s="899">
        <f>'päd.Personal - Leitung'!$P$22</f>
        <v>7450</v>
      </c>
      <c r="Q214" s="1009" t="str">
        <f>CONCATENATE("BBG"," ",O212)</f>
        <v>BBG 2025</v>
      </c>
      <c r="R214" s="11"/>
      <c r="S214" s="11"/>
      <c r="T214" s="109"/>
    </row>
    <row r="215" spans="1:20" s="18" customFormat="1" ht="14.25" hidden="1" customHeight="1" x14ac:dyDescent="0.2">
      <c r="A215" s="53" t="s">
        <v>141</v>
      </c>
      <c r="Q215" s="932" t="s">
        <v>144</v>
      </c>
      <c r="R215" s="141">
        <f>IF($O$21="",0,$O$21)</f>
        <v>5175</v>
      </c>
      <c r="S215" s="933">
        <f>R215*IF(M203="",0,M203)</f>
        <v>0</v>
      </c>
      <c r="T215" s="295"/>
    </row>
    <row r="216" spans="1:20" s="18" customFormat="1" ht="14.25" hidden="1" customHeight="1" x14ac:dyDescent="0.2">
      <c r="A216" s="1346"/>
      <c r="B216" s="1348" t="s">
        <v>8</v>
      </c>
      <c r="C216" s="1349"/>
      <c r="D216" s="1349"/>
      <c r="E216" s="1349"/>
      <c r="F216" s="1349"/>
      <c r="G216" s="1350"/>
      <c r="H216" s="1351" t="s">
        <v>113</v>
      </c>
      <c r="I216" s="1352"/>
      <c r="J216" s="1352"/>
      <c r="K216" s="1352"/>
      <c r="L216" s="1352"/>
      <c r="M216" s="1352"/>
      <c r="N216" s="1368" t="s">
        <v>658</v>
      </c>
      <c r="O216" s="30"/>
      <c r="P216" s="1330" t="s">
        <v>0</v>
      </c>
      <c r="Q216" s="932" t="s">
        <v>145</v>
      </c>
      <c r="R216" s="141">
        <f>IF($O$22="",0,$O$22)</f>
        <v>7450</v>
      </c>
      <c r="S216" s="933">
        <f>R216*IF(M203="",0,M203)</f>
        <v>0</v>
      </c>
      <c r="T216" s="830"/>
    </row>
    <row r="217" spans="1:20" s="18" customFormat="1" ht="14.25" hidden="1" customHeight="1" x14ac:dyDescent="0.2">
      <c r="A217" s="1347"/>
      <c r="B217" s="1333" t="s">
        <v>111</v>
      </c>
      <c r="C217" s="1335" t="s">
        <v>743</v>
      </c>
      <c r="D217" s="1337" t="s">
        <v>226</v>
      </c>
      <c r="E217" s="1339" t="s">
        <v>133</v>
      </c>
      <c r="F217" s="1014" t="s">
        <v>6</v>
      </c>
      <c r="G217" s="1340" t="s">
        <v>5</v>
      </c>
      <c r="H217" s="1339" t="s">
        <v>119</v>
      </c>
      <c r="I217" s="1339" t="s">
        <v>657</v>
      </c>
      <c r="J217" s="1339" t="s">
        <v>4</v>
      </c>
      <c r="K217" s="1339" t="s">
        <v>3</v>
      </c>
      <c r="L217" s="1339" t="s">
        <v>2</v>
      </c>
      <c r="M217" s="1339" t="s">
        <v>95</v>
      </c>
      <c r="N217" s="1369"/>
      <c r="O217" s="1338" t="s">
        <v>109</v>
      </c>
      <c r="P217" s="1331"/>
      <c r="Q217" s="456"/>
      <c r="R217" s="11"/>
      <c r="S217" s="11"/>
      <c r="T217" s="621"/>
    </row>
    <row r="218" spans="1:20" s="18" customFormat="1" ht="14.25" hidden="1" customHeight="1" x14ac:dyDescent="0.2">
      <c r="A218" s="1347"/>
      <c r="B218" s="1333"/>
      <c r="C218" s="1335"/>
      <c r="D218" s="1338"/>
      <c r="E218" s="1339"/>
      <c r="F218" s="1343" t="str">
        <f>I210</f>
        <v>Zuschläge / Zulagen / o.ä.:</v>
      </c>
      <c r="G218" s="1340"/>
      <c r="H218" s="1342" t="s">
        <v>117</v>
      </c>
      <c r="I218" s="1339"/>
      <c r="J218" s="1342"/>
      <c r="K218" s="1342"/>
      <c r="L218" s="1342"/>
      <c r="M218" s="1339"/>
      <c r="N218" s="1369"/>
      <c r="O218" s="1338"/>
      <c r="P218" s="1331"/>
      <c r="Q218" s="456"/>
      <c r="R218" s="1306" t="str">
        <f>Q210</f>
        <v>BBG anteilig 2025</v>
      </c>
      <c r="S218" s="1306"/>
      <c r="T218" s="829"/>
    </row>
    <row r="219" spans="1:20" s="18" customFormat="1" ht="14.25" hidden="1" customHeight="1" x14ac:dyDescent="0.2">
      <c r="A219" s="1347"/>
      <c r="B219" s="1333"/>
      <c r="C219" s="1335"/>
      <c r="D219" s="1338"/>
      <c r="E219" s="1339"/>
      <c r="F219" s="1343"/>
      <c r="G219" s="1340"/>
      <c r="H219" s="39" t="str">
        <f>'päd.Personal - Leitung'!$H$27</f>
        <v>(7,30% + Zusatz)</v>
      </c>
      <c r="I219" s="39" t="str">
        <f>$I$171</f>
        <v xml:space="preserve"> (2024: 18,60%)</v>
      </c>
      <c r="J219" s="39" t="str">
        <f>'päd.Personal - Leitung'!$I$27</f>
        <v xml:space="preserve"> (2024: 9,30%)</v>
      </c>
      <c r="K219" s="39" t="str">
        <f>'päd.Personal - Leitung'!$J$27</f>
        <v>(2024: 1,30%)</v>
      </c>
      <c r="L219" s="39" t="str">
        <f>'päd.Personal - Leitung'!$K$27</f>
        <v>(2024: 1,700%)</v>
      </c>
      <c r="M219" s="1339"/>
      <c r="N219" s="39" t="str">
        <f>$N$171</f>
        <v xml:space="preserve"> (2024: 20%)</v>
      </c>
      <c r="O219" s="1338"/>
      <c r="P219" s="1331"/>
      <c r="Q219" s="456"/>
      <c r="R219" s="1307" t="s">
        <v>659</v>
      </c>
      <c r="S219" s="1307"/>
      <c r="T219" s="829"/>
    </row>
    <row r="220" spans="1:20" s="18" customFormat="1" ht="14.25" hidden="1" customHeight="1" x14ac:dyDescent="0.2">
      <c r="A220" s="1347"/>
      <c r="B220" s="1334"/>
      <c r="C220" s="1336"/>
      <c r="D220" s="45"/>
      <c r="E220" s="45"/>
      <c r="F220" s="1344"/>
      <c r="G220" s="1341"/>
      <c r="H220" s="74"/>
      <c r="I220" s="19"/>
      <c r="J220" s="99">
        <f>'päd.Personal - Leitung'!$I$28</f>
        <v>0</v>
      </c>
      <c r="K220" s="99">
        <f>'päd.Personal - Leitung'!$J$28</f>
        <v>0</v>
      </c>
      <c r="L220" s="40">
        <f>'päd.Personal - Leitung'!$K$28</f>
        <v>0</v>
      </c>
      <c r="M220" s="19"/>
      <c r="N220" s="19"/>
      <c r="O220" s="19"/>
      <c r="P220" s="1332"/>
      <c r="Q220" s="456"/>
      <c r="R220" s="935" t="s">
        <v>144</v>
      </c>
      <c r="S220" s="935" t="s">
        <v>145</v>
      </c>
      <c r="T220" s="829"/>
    </row>
    <row r="221" spans="1:20" s="18" customFormat="1" hidden="1" x14ac:dyDescent="0.2">
      <c r="A221" s="76" t="str">
        <f>'päd.Personal - Leitung'!$A$29</f>
        <v>Jan 2025</v>
      </c>
      <c r="B221" s="22">
        <f>ROUND(IF(P198=0,0,(LOOKUP(2,1/(A206:A209=A221),G206:G209))*P198*4.348)*50%,2)</f>
        <v>0</v>
      </c>
      <c r="C221" s="21">
        <f>ROUND(IFERROR((LOOKUP(2,1/(A212=A221),E212)),0)+IFERROR((LOOKUP(2,1/(A213=A221),E213)),0),2)</f>
        <v>0</v>
      </c>
      <c r="D221" s="21">
        <f>ROUND(IF(B221=0,0,D220/M199*P198*50%),2)</f>
        <v>0</v>
      </c>
      <c r="E221" s="21">
        <f>ROUND(IF(B221=0,0,E220/N195*P198*50%),2)</f>
        <v>0</v>
      </c>
      <c r="F221" s="22">
        <f>ROUND(IF(P198=0,0,(LOOKUP(2,1/(A206:A209=A221),I206:I209))/N195*P198)*50%,2)</f>
        <v>0</v>
      </c>
      <c r="G221" s="25">
        <f>SUM(B221+C221+E221+F221)</f>
        <v>0</v>
      </c>
      <c r="H221" s="831">
        <f>ROUND(SUM(B221:F221)*H220,2)</f>
        <v>0</v>
      </c>
      <c r="I221" s="64">
        <f>ROUND(IF((SUM(B221:F221)*80%)&gt;((S221)*90%),((((S221)*90%)-((SUM(B221:F221)-C221))*I220)+((SUM(B221:F221)-C221)*I220)*80%),((SUM(B221:F221)-C221)*I220)*80%),2)</f>
        <v>0</v>
      </c>
      <c r="J221" s="831">
        <f>ROUND(SUM(B221:F221)*J220,2)</f>
        <v>0</v>
      </c>
      <c r="K221" s="831">
        <f>ROUND(SUM(B221:F221)*K220,2)</f>
        <v>0</v>
      </c>
      <c r="L221" s="831">
        <f>ROUND(SUM(B221:F221)*L220,2)</f>
        <v>0</v>
      </c>
      <c r="M221" s="831">
        <f>ROUND((SUM(B221:F221)-C221)*M220,2)</f>
        <v>0</v>
      </c>
      <c r="N221" s="21">
        <f>ROUND((B221+E221+F221)*N220,2)</f>
        <v>0</v>
      </c>
      <c r="O221" s="21">
        <f>ROUND(SUM(B221+C221+F221)*O220,2)</f>
        <v>0</v>
      </c>
      <c r="P221" s="25">
        <f>SUM(G221:O221)</f>
        <v>0</v>
      </c>
      <c r="Q221" s="456"/>
      <c r="R221" s="140">
        <f>ROUND(IF(M199="",R215,R215/M199*P198),2)</f>
        <v>5175</v>
      </c>
      <c r="S221" s="140">
        <f>ROUND(IF(M199="",R216,R216/M199*P198),2)</f>
        <v>7450</v>
      </c>
      <c r="T221" s="1"/>
    </row>
    <row r="222" spans="1:20" s="18" customFormat="1" hidden="1" x14ac:dyDescent="0.2">
      <c r="A222" s="76" t="str">
        <f>'päd.Personal - Leitung'!$A$30</f>
        <v>Feb 2025</v>
      </c>
      <c r="B222" s="22">
        <f>ROUND(IF(P199=0,0,IFERROR((((LOOKUP(2,1/(A206:A209=A222),G206:G209))*P199*4.348)*50%),B221/P198*P199)),2)</f>
        <v>0</v>
      </c>
      <c r="C222" s="21">
        <f>ROUND(IFERROR((LOOKUP(2,1/(A212=A222),E212)),0)+IFERROR((LOOKUP(2,1/(A213=A222),E213)),0),2)</f>
        <v>0</v>
      </c>
      <c r="D222" s="21">
        <f>ROUND(IF(B222=0,0,D220/M199*P199*50%),2)</f>
        <v>0</v>
      </c>
      <c r="E222" s="21">
        <f>ROUND(IF(B222=0,0,E220/N195*P199*50%),2)</f>
        <v>0</v>
      </c>
      <c r="F222" s="22">
        <f>ROUND(IF(P199=0,0,IFERROR((((LOOKUP(2,1/(A206:A209=A222),I206:I209))/N195*P199)*50%),F221/P198*P199)),2)</f>
        <v>0</v>
      </c>
      <c r="G222" s="25">
        <f t="shared" ref="G222:G232" si="34">SUM(B222+C222+E222+F222)</f>
        <v>0</v>
      </c>
      <c r="H222" s="831">
        <f>ROUND(SUM(B222:F222)*H220,2)</f>
        <v>0</v>
      </c>
      <c r="I222" s="64">
        <f>ROUND(IF((SUM(B222:F222)*80%)&gt;((SUM(S218:S222))*90%),((((SUM(S218:S222))*90%)-((SUM(B222:F222)-C222))*I220)+((SUM(B222:F222)-C222)*I220)*80%),((SUM(B222:F222)-C222)*I220)*80%),2)</f>
        <v>0</v>
      </c>
      <c r="J222" s="831">
        <f>ROUND(SUM(B222:F222)*J220,2)</f>
        <v>0</v>
      </c>
      <c r="K222" s="831">
        <f>ROUND(SUM(B222:F222)*K220,2)</f>
        <v>0</v>
      </c>
      <c r="L222" s="831">
        <f>ROUND(SUM(B222:F222)*L220,2)</f>
        <v>0</v>
      </c>
      <c r="M222" s="831">
        <f>ROUND((SUM(B222:F222)-C222)*M220,2)</f>
        <v>0</v>
      </c>
      <c r="N222" s="21">
        <f>ROUND((B222+E222+F222)*N220,2)</f>
        <v>0</v>
      </c>
      <c r="O222" s="21">
        <f>ROUND(SUM(B222+C222+F222)*O220,2)</f>
        <v>0</v>
      </c>
      <c r="P222" s="25">
        <f t="shared" ref="P222" si="35">SUM(G222:O222)</f>
        <v>0</v>
      </c>
      <c r="Q222" s="456"/>
      <c r="R222" s="140">
        <f>ROUND(IF(M199="",R215,R215/M199*P199),2)</f>
        <v>5175</v>
      </c>
      <c r="S222" s="140">
        <f>ROUND(IF(M199="",R216,R216/M199*P199),2)</f>
        <v>7450</v>
      </c>
      <c r="T222" s="1"/>
    </row>
    <row r="223" spans="1:20" s="18" customFormat="1" hidden="1" x14ac:dyDescent="0.2">
      <c r="A223" s="76" t="str">
        <f>'päd.Personal - Leitung'!$A$31</f>
        <v>Mrz 2025</v>
      </c>
      <c r="B223" s="22">
        <f>ROUND(IF(P200=0,0,IFERROR((((LOOKUP(2,1/(A206:A209=A223),G206:G209))*P200*4.348)*50%),B222/P199*P200)),2)</f>
        <v>0</v>
      </c>
      <c r="C223" s="21">
        <f>ROUND(IFERROR((LOOKUP(2,1/(A212=A223),E212)),0)+IFERROR((LOOKUP(2,1/(A213=A223),E213)),0),2)</f>
        <v>0</v>
      </c>
      <c r="D223" s="21">
        <f>ROUND(IF(B223=0,0,D220/M199*P200*50%),2)</f>
        <v>0</v>
      </c>
      <c r="E223" s="21">
        <f>ROUND(IF(B223=0,0,E220/N195*P200*50%),2)</f>
        <v>0</v>
      </c>
      <c r="F223" s="22">
        <f>ROUND(IF(P200=0,0,IFERROR((((LOOKUP(2,1/(A206:A209=A223),I206:I209))/N195*P200)*50%),F222/P199*P200)),2)</f>
        <v>0</v>
      </c>
      <c r="G223" s="25">
        <f t="shared" si="34"/>
        <v>0</v>
      </c>
      <c r="H223" s="831">
        <f>ROUND(SUM(B223:F223)*H220,2)</f>
        <v>0</v>
      </c>
      <c r="I223" s="64">
        <f>ROUND(IF((SUM(B222:F223)*80%)&gt;((SUM(S218:S223))*90%),((((SUM(S218:S223))*90%)-((SUM(B222:F223)-C223))*I220)+((SUM(B223:F223)-C223)*I220)*80%),((SUM(B223:F223)-C223)*I220)*80%),2)</f>
        <v>0</v>
      </c>
      <c r="J223" s="831">
        <f>ROUND(SUM(B223:F223)*J220,2)</f>
        <v>0</v>
      </c>
      <c r="K223" s="831">
        <f>ROUND(SUM(B223:F223)*K220,2)</f>
        <v>0</v>
      </c>
      <c r="L223" s="831">
        <f>ROUND(SUM(B223:F223)*L220,2)</f>
        <v>0</v>
      </c>
      <c r="M223" s="831">
        <f>ROUND((SUM(B223:F223)-C223)*M220,2)</f>
        <v>0</v>
      </c>
      <c r="N223" s="21">
        <f>ROUND((B223+E223+F223)*N220,2)</f>
        <v>0</v>
      </c>
      <c r="O223" s="21">
        <f>ROUND(SUM(B223+C223+F223)*O220,2)</f>
        <v>0</v>
      </c>
      <c r="P223" s="25">
        <f t="shared" ref="P223:P232" si="36">SUM(G223:O223)</f>
        <v>0</v>
      </c>
      <c r="Q223" s="456"/>
      <c r="R223" s="140">
        <f>ROUND(IF(M199="",R215,R215/M199*P200),2)</f>
        <v>5175</v>
      </c>
      <c r="S223" s="140">
        <f>ROUND(IF(M199="",R216,R216/M199*P200),2)</f>
        <v>7450</v>
      </c>
      <c r="T223" s="1"/>
    </row>
    <row r="224" spans="1:20" s="18" customFormat="1" hidden="1" x14ac:dyDescent="0.2">
      <c r="A224" s="76" t="str">
        <f>'päd.Personal - Leitung'!$A$32</f>
        <v>Apr 2025</v>
      </c>
      <c r="B224" s="22">
        <f>ROUND(IF(P201=0,0,IFERROR((((LOOKUP(2,1/(A206:A209=A224),G206:G209))*P201*4.348)*50%),B223/P200*P201)),2)</f>
        <v>0</v>
      </c>
      <c r="C224" s="21">
        <f>ROUND(IFERROR((LOOKUP(2,1/(A212=A224),E212)),0)+IFERROR((LOOKUP(2,1/(A213=A224),E213)),0),2)</f>
        <v>0</v>
      </c>
      <c r="D224" s="21">
        <f>ROUND(IF(B224=0,0,D220/M199*P201*50%),2)</f>
        <v>0</v>
      </c>
      <c r="E224" s="21">
        <f>ROUND(IF(B224=0,0,E220/N195*P201*50%),2)</f>
        <v>0</v>
      </c>
      <c r="F224" s="22">
        <f>ROUND(IF(P201=0,0,IFERROR((((LOOKUP(2,1/(A206:A209=A224),I206:I209))/N195*P201)*50%),F223/P200*P201)),2)</f>
        <v>0</v>
      </c>
      <c r="G224" s="25">
        <f t="shared" si="34"/>
        <v>0</v>
      </c>
      <c r="H224" s="831">
        <f>ROUND(SUM(B224:F224)*H220,2)</f>
        <v>0</v>
      </c>
      <c r="I224" s="64">
        <f>ROUND(IF((SUM(B222:F224)*80%)&gt;((SUM(S218:S224))*90%),((((SUM(S218:S224))*90%)-((SUM(B222:F224)-C224))*I220)+((SUM(B224:F224)-C224)*I220)*80%),((SUM(B224:F224)-C224)*I220)*80%),2)</f>
        <v>0</v>
      </c>
      <c r="J224" s="831">
        <f>ROUND(SUM(B224:F224)*J220,2)</f>
        <v>0</v>
      </c>
      <c r="K224" s="831">
        <f>ROUND(SUM(B224:F224)*K220,2)</f>
        <v>0</v>
      </c>
      <c r="L224" s="831">
        <f>ROUND(SUM(B224:F224)*L220,2)</f>
        <v>0</v>
      </c>
      <c r="M224" s="831">
        <f>ROUND((SUM(B224:F224)-C224)*M220,2)</f>
        <v>0</v>
      </c>
      <c r="N224" s="21">
        <f>ROUND((B224+E224+F224)*N220,2)</f>
        <v>0</v>
      </c>
      <c r="O224" s="21">
        <f>ROUND(SUM(B224+C224+F224)*O220,2)</f>
        <v>0</v>
      </c>
      <c r="P224" s="25">
        <f t="shared" si="36"/>
        <v>0</v>
      </c>
      <c r="Q224" s="456"/>
      <c r="R224" s="140">
        <f>ROUND(IF(M199="",R215,R215/M199*P201),2)</f>
        <v>5175</v>
      </c>
      <c r="S224" s="140">
        <f>ROUND(IF(M199="",R216,R216/M199*P201),2)</f>
        <v>7450</v>
      </c>
      <c r="T224" s="1"/>
    </row>
    <row r="225" spans="1:20" s="18" customFormat="1" hidden="1" x14ac:dyDescent="0.2">
      <c r="A225" s="76" t="str">
        <f>'päd.Personal - Leitung'!$A$33</f>
        <v>Mai 2025</v>
      </c>
      <c r="B225" s="22">
        <f>ROUND(IF(P202=0,0,IFERROR((((LOOKUP(2,1/(A206:A209=A225),G206:G209))*P202*4.348)*50%),B224/P201*P202)),2)</f>
        <v>0</v>
      </c>
      <c r="C225" s="21">
        <f>ROUND(IFERROR((LOOKUP(2,1/(A212=A225),E212)),0)+IFERROR((LOOKUP(2,1/(A213=A225),E213)),0),2)</f>
        <v>0</v>
      </c>
      <c r="D225" s="21">
        <f>ROUND(IF(B225=0,0,D220/M199*P202*50%),2)</f>
        <v>0</v>
      </c>
      <c r="E225" s="21">
        <f>ROUND(IF(B225=0,0,E220/N195*P202*50%),2)</f>
        <v>0</v>
      </c>
      <c r="F225" s="22">
        <f>ROUND(IF(P202=0,0,IFERROR((((LOOKUP(2,1/(A206:A209=A225),I206:I209))/N195*P202)*50%),F224/P201*P202)),2)</f>
        <v>0</v>
      </c>
      <c r="G225" s="25">
        <f t="shared" si="34"/>
        <v>0</v>
      </c>
      <c r="H225" s="831">
        <f>ROUND(SUM(B225:F225)*H220,2)</f>
        <v>0</v>
      </c>
      <c r="I225" s="64">
        <f>ROUND(IF((SUM(B222:F225)*80%)&gt;((SUM(S218:S225))*90%),((((SUM(S218:S225))*90%)-((SUM(B222:F225)-C225))*I220)+((SUM(B225:F225)-C225)*I220)*80%),((SUM(B225:F225)-C225)*I220)*80%),2)</f>
        <v>0</v>
      </c>
      <c r="J225" s="831">
        <f>ROUND(SUM(B225:F225)*J220,2)</f>
        <v>0</v>
      </c>
      <c r="K225" s="831">
        <f>ROUND(SUM(B225:F225)*K220,2)</f>
        <v>0</v>
      </c>
      <c r="L225" s="831">
        <f>ROUND(SUM(B225:F225)*L220,2)</f>
        <v>0</v>
      </c>
      <c r="M225" s="831">
        <f>ROUND((SUM(B225:F225)-C225)*M220,2)</f>
        <v>0</v>
      </c>
      <c r="N225" s="21">
        <f>ROUND((B225+E225+F225)*N220,2)</f>
        <v>0</v>
      </c>
      <c r="O225" s="21">
        <f>ROUND(SUM(B225+C225+F225)*O220,2)</f>
        <v>0</v>
      </c>
      <c r="P225" s="25">
        <f t="shared" si="36"/>
        <v>0</v>
      </c>
      <c r="Q225" s="456"/>
      <c r="R225" s="140">
        <f>ROUND(IF(M199="",R215,R215/M199*P202),2)</f>
        <v>5175</v>
      </c>
      <c r="S225" s="140">
        <f>ROUND(IF(M199="",R216,R216/M199*P202),2)</f>
        <v>7450</v>
      </c>
      <c r="T225" s="1"/>
    </row>
    <row r="226" spans="1:20" s="18" customFormat="1" hidden="1" x14ac:dyDescent="0.2">
      <c r="A226" s="76" t="str">
        <f>'päd.Personal - Leitung'!$A$34</f>
        <v>Jun 2025</v>
      </c>
      <c r="B226" s="22">
        <f>ROUND(IF(P203=0,0,IFERROR((((LOOKUP(2,1/(A206:A209=A226),G206:G209))*P203*4.348)*50%),B225/P202*P203)),2)</f>
        <v>0</v>
      </c>
      <c r="C226" s="21">
        <f>ROUND(IFERROR((LOOKUP(2,1/(A212=A226),E212)),0)+IFERROR((LOOKUP(2,1/(A213=A226),E213)),0),2)</f>
        <v>0</v>
      </c>
      <c r="D226" s="21">
        <f>ROUND(IF(B226=0,0,D220/M199*P203*50%),2)</f>
        <v>0</v>
      </c>
      <c r="E226" s="21">
        <f>ROUND(IF(B226=0,0,E220/N195*P203*50%),2)</f>
        <v>0</v>
      </c>
      <c r="F226" s="22">
        <f>ROUND(IF(P203=0,0,IFERROR((((LOOKUP(2,1/(A206:A209=A226),I206:I209))/N195*P203)*50%),F225/P202*P203)),2)</f>
        <v>0</v>
      </c>
      <c r="G226" s="25">
        <f t="shared" si="34"/>
        <v>0</v>
      </c>
      <c r="H226" s="831">
        <f>ROUND(SUM(B226:F226)*H220,2)</f>
        <v>0</v>
      </c>
      <c r="I226" s="64">
        <f>ROUND(IF((SUM(B222:F226)*80%)&gt;((SUM(S218:S226))*90%),((((SUM(S218:S226))*90%)-((SUM(B222:F226)-C226))*I220)+((SUM(B226:F226)-C226)*I220)*80%),((SUM(B226:F226)-C226)*I220)*80%),2)</f>
        <v>0</v>
      </c>
      <c r="J226" s="831">
        <f>ROUND(SUM(B226:F226)*J220,2)</f>
        <v>0</v>
      </c>
      <c r="K226" s="831">
        <f>ROUND(SUM(B226:F226)*K220,2)</f>
        <v>0</v>
      </c>
      <c r="L226" s="831">
        <f>ROUND(SUM(B226:F226)*L220,2)</f>
        <v>0</v>
      </c>
      <c r="M226" s="831">
        <f>ROUND((SUM(B226:F226)-C226)*M220,2)</f>
        <v>0</v>
      </c>
      <c r="N226" s="21">
        <f>ROUND((B226+E226+F226)*N220,2)</f>
        <v>0</v>
      </c>
      <c r="O226" s="21">
        <f>ROUND(SUM(B226+C226+F226)*O220,2)</f>
        <v>0</v>
      </c>
      <c r="P226" s="25">
        <f t="shared" si="36"/>
        <v>0</v>
      </c>
      <c r="Q226" s="456"/>
      <c r="R226" s="140">
        <f>ROUND(IF(M199="",R215,R215/M199*P203),2)</f>
        <v>5175</v>
      </c>
      <c r="S226" s="140">
        <f>ROUND(IF(M199="",R216,R216/M199*P203),2)</f>
        <v>7450</v>
      </c>
      <c r="T226" s="1"/>
    </row>
    <row r="227" spans="1:20" s="18" customFormat="1" hidden="1" x14ac:dyDescent="0.2">
      <c r="A227" s="76" t="str">
        <f>'päd.Personal - Leitung'!$A$35</f>
        <v>Jul 2025</v>
      </c>
      <c r="B227" s="22">
        <f>ROUND(IF(P204=0,0,IFERROR((((LOOKUP(2,1/(A206:A209=A227),G206:G209))*P204*4.348)*50%),B226/P203*P204)),2)</f>
        <v>0</v>
      </c>
      <c r="C227" s="21">
        <f>ROUND(IFERROR((LOOKUP(2,1/(A212=A227),E212)),0)+IFERROR((LOOKUP(2,1/(A213=A227),E213)),0),2)</f>
        <v>0</v>
      </c>
      <c r="D227" s="21">
        <f>ROUND(IF(B227=0,0,D220/M199*P204*50%),2)</f>
        <v>0</v>
      </c>
      <c r="E227" s="21">
        <f>ROUND(IF(B227=0,0,E220/N195*P204*50%),2)</f>
        <v>0</v>
      </c>
      <c r="F227" s="22">
        <f>ROUND(IF(P204=0,0,IFERROR((((LOOKUP(2,1/(A206:A209=A227),I206:I209))/N195*P204)*50%),F226/P203*P204)),2)</f>
        <v>0</v>
      </c>
      <c r="G227" s="25">
        <f t="shared" si="34"/>
        <v>0</v>
      </c>
      <c r="H227" s="831">
        <f>ROUND(SUM(B227:F227)*H220,2)</f>
        <v>0</v>
      </c>
      <c r="I227" s="64">
        <f>ROUND(IF((SUM(B222:F227)*80%)&gt;((SUM(S218:S227))*90%),((((SUM(S218:S227))*90%)-((SUM(B222:F227)-C227))*I220)+((SUM(B227:F227)-C227)*I220)*80%),((SUM(B227:F227)-C227)*I220)*80%),2)</f>
        <v>0</v>
      </c>
      <c r="J227" s="831">
        <f>ROUND(SUM(B227:F227)*J220,2)</f>
        <v>0</v>
      </c>
      <c r="K227" s="831">
        <f>ROUND(SUM(B227:F227)*K220,2)</f>
        <v>0</v>
      </c>
      <c r="L227" s="831">
        <f>ROUND(SUM(B227:F227)*L220,2)</f>
        <v>0</v>
      </c>
      <c r="M227" s="831">
        <f>ROUND((SUM(B227:F227)-C227)*M220,2)</f>
        <v>0</v>
      </c>
      <c r="N227" s="21">
        <f>ROUND((B227+E227+F227)*N220,2)</f>
        <v>0</v>
      </c>
      <c r="O227" s="21">
        <f>ROUND(SUM(B227+C227+F227)*O220,2)</f>
        <v>0</v>
      </c>
      <c r="P227" s="25">
        <f t="shared" si="36"/>
        <v>0</v>
      </c>
      <c r="Q227" s="456"/>
      <c r="R227" s="140">
        <f>ROUND(IF(M199="",R215,R215/M199*P204),2)</f>
        <v>5175</v>
      </c>
      <c r="S227" s="140">
        <f>ROUND(IF(M199="",R216,R216/M199*P204),2)</f>
        <v>7450</v>
      </c>
      <c r="T227" s="1"/>
    </row>
    <row r="228" spans="1:20" s="18" customFormat="1" hidden="1" x14ac:dyDescent="0.2">
      <c r="A228" s="76" t="str">
        <f>'päd.Personal - Leitung'!$A$36</f>
        <v>Aug 2025</v>
      </c>
      <c r="B228" s="22">
        <f>ROUND(IF(P205=0,0,IFERROR((((LOOKUP(2,1/(A206:A209=A228),G206:G209))*P205*4.348)*50%),B227/P204*P205)),2)</f>
        <v>0</v>
      </c>
      <c r="C228" s="21">
        <f>ROUND(IFERROR((LOOKUP(2,1/(A212=A228),E212)),0)+IFERROR((LOOKUP(2,1/(A213=A228),E213)),0),2)</f>
        <v>0</v>
      </c>
      <c r="D228" s="21">
        <f>ROUND(IF(B228=0,0,D220/M199*P205*50%),2)</f>
        <v>0</v>
      </c>
      <c r="E228" s="21">
        <f>ROUND(IF(B228=0,0,E220/N195*P205*50%),2)</f>
        <v>0</v>
      </c>
      <c r="F228" s="22">
        <f>ROUND(IF(P205=0,0,IFERROR((((LOOKUP(2,1/(A206:A209=A228),I206:I209))/N195*P205)*50%),F227/P204*P205)),2)</f>
        <v>0</v>
      </c>
      <c r="G228" s="25">
        <f t="shared" si="34"/>
        <v>0</v>
      </c>
      <c r="H228" s="831">
        <f>ROUND(SUM(B228:F228)*H220,2)</f>
        <v>0</v>
      </c>
      <c r="I228" s="64">
        <f>ROUND(IF((SUM(B222:F228)*80%)&gt;((SUM(S218:S228))*90%),((((SUM(S218:S228))*90%)-((SUM(B222:F228)-C228))*I220)+((SUM(B228:F228)-C228)*I220)*80%),((SUM(B228:F228)-C228)*I220)*80%),2)</f>
        <v>0</v>
      </c>
      <c r="J228" s="831">
        <f>ROUND(SUM(B228:F228)*J220,2)</f>
        <v>0</v>
      </c>
      <c r="K228" s="831">
        <f>ROUND(SUM(B228:F228)*K220,2)</f>
        <v>0</v>
      </c>
      <c r="L228" s="831">
        <f>ROUND(SUM(B228:F228)*L220,2)</f>
        <v>0</v>
      </c>
      <c r="M228" s="831">
        <f>ROUND((SUM(B228:F228)-C228)*M220,2)</f>
        <v>0</v>
      </c>
      <c r="N228" s="21">
        <f>ROUND((B228+E228+F228)*N220,2)</f>
        <v>0</v>
      </c>
      <c r="O228" s="21">
        <f>ROUND(SUM(B228+C228+F228)*O220,2)</f>
        <v>0</v>
      </c>
      <c r="P228" s="25">
        <f t="shared" si="36"/>
        <v>0</v>
      </c>
      <c r="Q228" s="456"/>
      <c r="R228" s="140">
        <f>ROUND(IF(M199="",R215,R215/M199*P205),2)</f>
        <v>5175</v>
      </c>
      <c r="S228" s="140">
        <f>ROUND(IF(M199="",R216,R216/M199*P205),2)</f>
        <v>7450</v>
      </c>
      <c r="T228" s="1"/>
    </row>
    <row r="229" spans="1:20" s="18" customFormat="1" hidden="1" x14ac:dyDescent="0.2">
      <c r="A229" s="76" t="str">
        <f>'päd.Personal - Leitung'!$A$37</f>
        <v>Sep 2025</v>
      </c>
      <c r="B229" s="22">
        <f>ROUND(IF(P206=0,0,IFERROR((((LOOKUP(2,1/(A206:A209=A229),G206:G209))*P206*4.348)*50%),B228/P205*P206)),2)</f>
        <v>0</v>
      </c>
      <c r="C229" s="21">
        <f>ROUND(IFERROR((LOOKUP(2,1/(A212=A229),E212)),0)+IFERROR((LOOKUP(2,1/(A213=A229),E213)),0),2)</f>
        <v>0</v>
      </c>
      <c r="D229" s="21">
        <f>ROUND(IF(B229=0,0,D220/M199*P206*50%),2)</f>
        <v>0</v>
      </c>
      <c r="E229" s="21">
        <f>ROUND(IF(B229=0,0,E220/N195*P206*50%),2)</f>
        <v>0</v>
      </c>
      <c r="F229" s="22">
        <f>ROUND(IF(P206=0,0,IFERROR((((LOOKUP(2,1/(A206:A209=A229),I206:I209))/N195*P206)*50%),F228/P205*P206)),2)</f>
        <v>0</v>
      </c>
      <c r="G229" s="25">
        <f t="shared" si="34"/>
        <v>0</v>
      </c>
      <c r="H229" s="831">
        <f>ROUND(SUM(B229:F229)*H220,2)</f>
        <v>0</v>
      </c>
      <c r="I229" s="64">
        <f>ROUND(IF((SUM(B222:F229)*80%)&gt;((SUM(S218:S229))*90%),((((SUM(S218:S229))*90%)-((SUM(B222:F229)-C229))*I220)+((SUM(B229:F229)-C229)*I220)*80%),((SUM(B229:F229)-C229)*I220)*80%),2)</f>
        <v>0</v>
      </c>
      <c r="J229" s="831">
        <f>ROUND(SUM(B229:F229)*J220,2)</f>
        <v>0</v>
      </c>
      <c r="K229" s="831">
        <f>ROUND(SUM(B229:F229)*K220,2)</f>
        <v>0</v>
      </c>
      <c r="L229" s="831">
        <f>ROUND(SUM(B229:F229)*L220,2)</f>
        <v>0</v>
      </c>
      <c r="M229" s="831">
        <f>ROUND((SUM(B229:F229)-C229)*M220,2)</f>
        <v>0</v>
      </c>
      <c r="N229" s="21">
        <f>ROUND((B229+E229+F229)*N220,2)</f>
        <v>0</v>
      </c>
      <c r="O229" s="21">
        <f>ROUND(SUM(B229+C229+F229)*O220,2)</f>
        <v>0</v>
      </c>
      <c r="P229" s="25">
        <f t="shared" si="36"/>
        <v>0</v>
      </c>
      <c r="Q229" s="456"/>
      <c r="R229" s="140">
        <f>ROUND(IF(M199="",R215,R215/M199*P206),2)</f>
        <v>5175</v>
      </c>
      <c r="S229" s="140">
        <f>ROUND(IF(M199="",R216,R216/M199*P206),2)</f>
        <v>7450</v>
      </c>
      <c r="T229" s="1"/>
    </row>
    <row r="230" spans="1:20" s="18" customFormat="1" ht="15" hidden="1" x14ac:dyDescent="0.25">
      <c r="A230" s="76" t="str">
        <f>'päd.Personal - Leitung'!$A$38</f>
        <v>Okt 2025</v>
      </c>
      <c r="B230" s="22">
        <f>ROUND(IF(P207=0,0,IFERROR((((LOOKUP(2,1/(A206:A209=A230),G206:G209))*P207*4.348)*50%),B229/P206*P207)),2)</f>
        <v>0</v>
      </c>
      <c r="C230" s="21">
        <f>ROUND(IFERROR((LOOKUP(2,1/(A212=A230),E212)),0)+IFERROR((LOOKUP(2,1/(A213=A230),E213)),0),2)</f>
        <v>0</v>
      </c>
      <c r="D230" s="21">
        <f>ROUND(IF(B230=0,0,D220/M199*P207*50%),2)</f>
        <v>0</v>
      </c>
      <c r="E230" s="21">
        <f>ROUND(IF(B230=0,0,E220/N195*P207*50%),2)</f>
        <v>0</v>
      </c>
      <c r="F230" s="22">
        <f>ROUND(IF(P207=0,0,IFERROR((((LOOKUP(2,1/(A206:A209=A230),I206:I209))/N195*P207)*50%),F229/P206*P207)),2)</f>
        <v>0</v>
      </c>
      <c r="G230" s="25">
        <f t="shared" si="34"/>
        <v>0</v>
      </c>
      <c r="H230" s="831">
        <f>ROUND(SUM(B230:F230)*H220,2)</f>
        <v>0</v>
      </c>
      <c r="I230" s="64">
        <f>ROUND(IF((SUM(B222:F230)*80%)&gt;((SUM(S218:S230))*90%),((((SUM(S218:S230))*90%)-((SUM(B222:F230)-C230))*I220)+((SUM(B230:F230)-C230)*I220)*80%),((SUM(B230:F230)-C230)*I220)*80%),2)</f>
        <v>0</v>
      </c>
      <c r="J230" s="831">
        <f>ROUND(SUM(B230:F230)*J220,2)</f>
        <v>0</v>
      </c>
      <c r="K230" s="831">
        <f>ROUND(SUM(B230:F230)*K220,2)</f>
        <v>0</v>
      </c>
      <c r="L230" s="831">
        <f>ROUND(SUM(B230:F230)*L220,2)</f>
        <v>0</v>
      </c>
      <c r="M230" s="831">
        <f>ROUND((SUM(B230:F230)-C230)*M220,2)</f>
        <v>0</v>
      </c>
      <c r="N230" s="21">
        <f>ROUND((B230+E230+F230)*N220,2)</f>
        <v>0</v>
      </c>
      <c r="O230" s="21">
        <f>ROUND(SUM(B230+C230+F230)*O220,2)</f>
        <v>0</v>
      </c>
      <c r="P230" s="25">
        <f t="shared" si="36"/>
        <v>0</v>
      </c>
      <c r="Q230" s="936"/>
      <c r="R230" s="140">
        <f>ROUND(IF(M199="",R215,R215/M199*P207),2)</f>
        <v>5175</v>
      </c>
      <c r="S230" s="140">
        <f>ROUND(IF(M199="",R216,R216/M199*P207),2)</f>
        <v>7450</v>
      </c>
      <c r="T230" s="12"/>
    </row>
    <row r="231" spans="1:20" s="18" customFormat="1" hidden="1" x14ac:dyDescent="0.2">
      <c r="A231" s="76" t="str">
        <f>'päd.Personal - Leitung'!$A$39</f>
        <v>Nov 2025</v>
      </c>
      <c r="B231" s="22">
        <f>ROUND(IF(P208=0,0,IFERROR((((LOOKUP(2,1/(A206:A209=A231),G206:G209))*P208*4.348)*50%),B230/P207*P208)),2)</f>
        <v>0</v>
      </c>
      <c r="C231" s="21">
        <f>ROUND(IFERROR((LOOKUP(2,1/(A212=A231),E212)),0)+(IFERROR((LOOKUP(2,1/(A213=A231),E213)),0)),2)</f>
        <v>0</v>
      </c>
      <c r="D231" s="21">
        <f>ROUND(IF(B231=0,0,D220/M199*P208*50%),2)</f>
        <v>0</v>
      </c>
      <c r="E231" s="21">
        <f>ROUND(IF(B231=0,0,E220/N195*P208*50%),2)</f>
        <v>0</v>
      </c>
      <c r="F231" s="22">
        <f>ROUND(IF(P208=0,0,IFERROR((((LOOKUP(2,1/(A206:A209=A231),I206:I209))/N195*P208)*50%),F230/P207*P208)),2)</f>
        <v>0</v>
      </c>
      <c r="G231" s="25">
        <f t="shared" si="34"/>
        <v>0</v>
      </c>
      <c r="H231" s="831">
        <f>ROUND(SUM(B231:F231)*H220,2)</f>
        <v>0</v>
      </c>
      <c r="I231" s="64">
        <f>ROUND(IF((SUM(B222:F231)*80%)&gt;((SUM(S218:S231))*90%),((((SUM(S218:S231))*90%)-((SUM(B222:F231)-C231))*I220)+((SUM(B231:F231)-C231)*I220)*80%),((SUM(B231:F231)-C231)*I220)*80%),2)</f>
        <v>0</v>
      </c>
      <c r="J231" s="831">
        <f>ROUND(SUM(B231:F231)*J220,2)</f>
        <v>0</v>
      </c>
      <c r="K231" s="831">
        <f>ROUND(SUM(B231:F231)*K220,2)</f>
        <v>0</v>
      </c>
      <c r="L231" s="831">
        <f>ROUND(SUM(B231:F231)*L220,2)</f>
        <v>0</v>
      </c>
      <c r="M231" s="831">
        <f>ROUND((SUM(B231:F231)-C231)*M220,2)</f>
        <v>0</v>
      </c>
      <c r="N231" s="21">
        <f>ROUND((B231+E231+F231)*N220,2)</f>
        <v>0</v>
      </c>
      <c r="O231" s="21">
        <f>ROUND(SUM(B231+C231+F231)*O220,2)</f>
        <v>0</v>
      </c>
      <c r="P231" s="25">
        <f t="shared" si="36"/>
        <v>0</v>
      </c>
      <c r="Q231" s="11"/>
      <c r="R231" s="140">
        <f>ROUND(IF(M199="",R215,R215/M199*P208),2)</f>
        <v>5175</v>
      </c>
      <c r="S231" s="140">
        <f>ROUND(IF(M199="",R216,R216/M199*P208),2)</f>
        <v>7450</v>
      </c>
      <c r="T231" s="11"/>
    </row>
    <row r="232" spans="1:20" s="18" customFormat="1" hidden="1" x14ac:dyDescent="0.2">
      <c r="A232" s="76" t="str">
        <f>'päd.Personal - Leitung'!$A$40</f>
        <v>Dez 2025</v>
      </c>
      <c r="B232" s="22">
        <f>ROUND(IF(P209=0,0,IFERROR((((LOOKUP(2,1/(A206:A209=A232),G206:G209))*P209*4.348)*50%),B231/P208*P209)),2)</f>
        <v>0</v>
      </c>
      <c r="C232" s="21">
        <f>ROUND(IFERROR((LOOKUP(2,1/(A212=A232),E212)),0)+IFERROR((LOOKUP(2,1/(A213=A232),E213)),0),2)</f>
        <v>0</v>
      </c>
      <c r="D232" s="21">
        <f>ROUND(IF(B232=0,0,D220/M199*P209*50%),2)</f>
        <v>0</v>
      </c>
      <c r="E232" s="21">
        <f>ROUND(IF(B232=0,0,E220/N195*P209*50%),2)</f>
        <v>0</v>
      </c>
      <c r="F232" s="22">
        <f>ROUND(IF(P209=0,0,IFERROR((((LOOKUP(2,1/(A206:A209=A232),I206:I209))/N195*P209)*50%),F231/P208*P209)),2)</f>
        <v>0</v>
      </c>
      <c r="G232" s="25">
        <f t="shared" si="34"/>
        <v>0</v>
      </c>
      <c r="H232" s="831">
        <f>ROUND(SUM(B232:F232)*H220,2)</f>
        <v>0</v>
      </c>
      <c r="I232" s="64">
        <f>ROUND(IF((SUM(B222:F232)*80%)&gt;((SUM(S218:S232))*90%),((((SUM(S218:S232))*90%)-((SUM(B222:F232)-C232))*I220)+((SUM(B232:F232)-C232)*I220)*80%),((SUM(B232:F232)-C232)*I220)*80%),2)</f>
        <v>0</v>
      </c>
      <c r="J232" s="831">
        <f>ROUND(SUM(B232:F232)*J220,2)</f>
        <v>0</v>
      </c>
      <c r="K232" s="831">
        <f>ROUND(SUM(B232:F232)*K220,2)</f>
        <v>0</v>
      </c>
      <c r="L232" s="831">
        <f>ROUND(SUM(B232:F232)*L220,2)</f>
        <v>0</v>
      </c>
      <c r="M232" s="831">
        <f>ROUND((SUM(B232:F232)-C232)*M220,2)</f>
        <v>0</v>
      </c>
      <c r="N232" s="21">
        <f>ROUND((B232+E232+F232)*N220,2)</f>
        <v>0</v>
      </c>
      <c r="O232" s="21">
        <f>ROUND(SUM(B232+C232+F232)*O220,2)</f>
        <v>0</v>
      </c>
      <c r="P232" s="25">
        <f t="shared" si="36"/>
        <v>0</v>
      </c>
      <c r="Q232" s="11"/>
      <c r="R232" s="140">
        <f>ROUND(IF(M199="",R215,R215/M199*P209),2)</f>
        <v>5175</v>
      </c>
      <c r="S232" s="140">
        <f>ROUND(IF(M199="",R216,R216/M199*P209),2)</f>
        <v>7450</v>
      </c>
      <c r="T232" s="1"/>
    </row>
    <row r="233" spans="1:20" s="18" customFormat="1" hidden="1" x14ac:dyDescent="0.2">
      <c r="A233" s="2" t="s">
        <v>1</v>
      </c>
      <c r="B233" s="25">
        <f t="shared" ref="B233" si="37">SUM(B222:B232)</f>
        <v>0</v>
      </c>
      <c r="C233" s="25">
        <f t="shared" ref="C233" si="38">SUM(C222:C232)</f>
        <v>0</v>
      </c>
      <c r="D233" s="25">
        <f t="shared" ref="D233" si="39">SUM(D222:D232)</f>
        <v>0</v>
      </c>
      <c r="E233" s="25">
        <f t="shared" ref="E233" si="40">SUM(E222:E232)</f>
        <v>0</v>
      </c>
      <c r="F233" s="25">
        <f t="shared" ref="F233" si="41">SUM(F222:F232)</f>
        <v>0</v>
      </c>
      <c r="G233" s="25">
        <f t="shared" ref="G233" si="42">SUM(G222:G232)</f>
        <v>0</v>
      </c>
      <c r="H233" s="1309">
        <f>SUM(H222:M232)</f>
        <v>0</v>
      </c>
      <c r="I233" s="1310"/>
      <c r="J233" s="1310"/>
      <c r="K233" s="1310"/>
      <c r="L233" s="1310"/>
      <c r="M233" s="1310"/>
      <c r="N233" s="25">
        <f>SUM(N222:N232)</f>
        <v>0</v>
      </c>
      <c r="O233" s="25">
        <f>SUM(O222:O232)</f>
        <v>0</v>
      </c>
      <c r="P233" s="25">
        <f>SUM(P222:P232)</f>
        <v>0</v>
      </c>
      <c r="Q233" s="1"/>
      <c r="R233" s="1"/>
      <c r="S233" s="1"/>
      <c r="T233" s="1"/>
    </row>
    <row r="234" spans="1:20" s="18" customFormat="1" hidden="1" x14ac:dyDescent="0.2">
      <c r="O234" s="14"/>
      <c r="Q234" s="1021"/>
      <c r="R234" s="1021"/>
      <c r="S234" s="1021"/>
    </row>
    <row r="235" spans="1:20" ht="14.25" hidden="1" customHeight="1" x14ac:dyDescent="0.2">
      <c r="B235" s="906"/>
      <c r="H235" s="905"/>
      <c r="I235" s="62"/>
      <c r="J235" s="914" t="s">
        <v>123</v>
      </c>
      <c r="L235" s="900" t="s">
        <v>124</v>
      </c>
      <c r="M235" s="1032"/>
      <c r="N235" s="902" t="s">
        <v>125</v>
      </c>
      <c r="O235" s="1033"/>
      <c r="P235" s="25">
        <f>ROUND(IF(M235="",0,G233*M235*O235/1000),2)</f>
        <v>0</v>
      </c>
      <c r="Q235" s="1015"/>
      <c r="R235" s="1022"/>
      <c r="S235" s="1016"/>
    </row>
    <row r="236" spans="1:20" ht="14.25" hidden="1" customHeight="1" x14ac:dyDescent="0.2">
      <c r="H236" s="907"/>
      <c r="I236" s="42"/>
      <c r="M236" s="915" t="s">
        <v>129</v>
      </c>
      <c r="N236" s="80" t="s">
        <v>125</v>
      </c>
      <c r="O236" s="1034"/>
      <c r="P236" s="25">
        <f>ROUND(IF(O236="",0,G233*O236/1000),2)</f>
        <v>0</v>
      </c>
      <c r="Q236" s="1023"/>
      <c r="R236" s="65"/>
      <c r="S236" s="1017"/>
    </row>
    <row r="237" spans="1:20" ht="14.25" hidden="1" customHeight="1" x14ac:dyDescent="0.2">
      <c r="H237" s="912" t="s">
        <v>126</v>
      </c>
      <c r="I237" s="1013" t="s">
        <v>127</v>
      </c>
      <c r="J237" s="1037"/>
      <c r="K237" s="902" t="s">
        <v>128</v>
      </c>
      <c r="L237" s="1036"/>
      <c r="M237" s="16"/>
      <c r="N237" s="900" t="s">
        <v>132</v>
      </c>
      <c r="O237" s="1035"/>
      <c r="P237" s="25">
        <f>ROUND(IF(J237="",0,(J237*L237/O237)/M201*M202),2)</f>
        <v>0</v>
      </c>
      <c r="Q237" s="1023"/>
      <c r="R237" s="66"/>
      <c r="S237" s="1016"/>
    </row>
    <row r="238" spans="1:20" ht="14.25" hidden="1" customHeight="1" x14ac:dyDescent="0.2">
      <c r="D238" s="16"/>
      <c r="I238" s="16"/>
      <c r="J238" s="16"/>
      <c r="K238" s="63"/>
      <c r="L238" s="67"/>
      <c r="M238" s="915" t="s">
        <v>130</v>
      </c>
      <c r="N238" s="80" t="s">
        <v>131</v>
      </c>
      <c r="O238" s="904"/>
      <c r="P238" s="21">
        <f>ROUND(IF(G233=0,0,O238/M199*M200),2)</f>
        <v>0</v>
      </c>
      <c r="Q238" s="1023"/>
      <c r="R238" s="1018"/>
      <c r="S238" s="1024"/>
    </row>
    <row r="239" spans="1:20" ht="14.25" hidden="1" customHeight="1" x14ac:dyDescent="0.2">
      <c r="A239" s="16"/>
      <c r="B239" s="16"/>
      <c r="I239" s="905"/>
      <c r="J239" s="961" t="s">
        <v>176</v>
      </c>
      <c r="K239" s="1312"/>
      <c r="L239" s="1312"/>
      <c r="M239" s="1312"/>
      <c r="N239" s="80" t="s">
        <v>131</v>
      </c>
      <c r="O239" s="904"/>
      <c r="P239" s="21">
        <f>ROUND(IF(G233=0,0,O239/M199*M200),2)</f>
        <v>0</v>
      </c>
      <c r="Q239" s="1023"/>
      <c r="R239" s="1019"/>
      <c r="S239" s="1020"/>
    </row>
    <row r="240" spans="1:20" ht="14.25" hidden="1" customHeight="1" x14ac:dyDescent="0.2">
      <c r="A240" s="908"/>
      <c r="B240" s="908"/>
      <c r="C240" s="1013"/>
      <c r="D240" s="1013"/>
      <c r="I240" s="913"/>
      <c r="J240" s="913"/>
      <c r="K240" s="916"/>
      <c r="L240" s="27"/>
      <c r="M240" s="27"/>
      <c r="N240" s="27"/>
      <c r="O240" s="26" t="s">
        <v>0</v>
      </c>
      <c r="P240" s="25">
        <f>P233+SUM(P235:P239)</f>
        <v>0</v>
      </c>
    </row>
    <row r="241" spans="1:19" s="10" customFormat="1" ht="13.5" hidden="1" customHeight="1" x14ac:dyDescent="0.2">
      <c r="A241" s="1321" t="s">
        <v>17</v>
      </c>
      <c r="B241" s="1321"/>
      <c r="C241" s="1321"/>
      <c r="D241" s="1320" t="str">
        <f>IF('päd.Personal - Leitung'!$D$1="","",'päd.Personal - Leitung'!$D$1)</f>
        <v/>
      </c>
      <c r="E241" s="1320"/>
      <c r="F241" s="1320"/>
      <c r="G241" s="1320"/>
      <c r="H241" s="1320"/>
      <c r="I241" s="1320"/>
      <c r="J241" s="1320"/>
      <c r="K241" s="1320"/>
      <c r="L241" s="1320"/>
      <c r="M241" s="1320"/>
      <c r="N241" s="1320"/>
    </row>
    <row r="242" spans="1:19" s="10" customFormat="1" ht="15" hidden="1" customHeight="1" x14ac:dyDescent="0.2">
      <c r="A242" s="1321" t="s">
        <v>16</v>
      </c>
      <c r="B242" s="1321"/>
      <c r="C242" s="1321" t="s">
        <v>14</v>
      </c>
      <c r="D242" s="1320" t="str">
        <f>IF('päd.Personal - Leitung'!$D$2="","",'päd.Personal - Leitung'!$D$2)</f>
        <v/>
      </c>
      <c r="E242" s="1320"/>
      <c r="F242" s="1320"/>
      <c r="G242" s="1320"/>
      <c r="H242" s="1320"/>
      <c r="I242" s="1320"/>
      <c r="J242" s="1320"/>
      <c r="K242" s="1320"/>
      <c r="L242" s="1320"/>
      <c r="M242" s="1320"/>
      <c r="N242" s="1320"/>
    </row>
    <row r="243" spans="1:19" s="10" customFormat="1" ht="15" hidden="1" customHeight="1" x14ac:dyDescent="0.2">
      <c r="A243" s="1321" t="s">
        <v>15</v>
      </c>
      <c r="B243" s="1321"/>
      <c r="C243" s="1321" t="s">
        <v>14</v>
      </c>
      <c r="D243" s="1320" t="str">
        <f>IF('päd.Personal - Leitung'!$D$3="","",'päd.Personal - Leitung'!$D$3)</f>
        <v/>
      </c>
      <c r="E243" s="1320"/>
      <c r="F243" s="1320"/>
      <c r="G243" s="1320"/>
      <c r="H243" s="1320"/>
      <c r="I243" s="1320"/>
      <c r="J243" s="1320"/>
      <c r="K243" s="1321" t="s">
        <v>100</v>
      </c>
      <c r="L243" s="1321"/>
      <c r="M243" s="1321"/>
      <c r="N243" s="38" t="str">
        <f>IF('päd.Personal - Leitung'!$N$3="","",'päd.Personal - Leitung'!$N$3)</f>
        <v/>
      </c>
    </row>
    <row r="244" spans="1:19" s="923" customFormat="1" ht="7.5" hidden="1" customHeight="1" x14ac:dyDescent="0.15">
      <c r="A244" s="1353"/>
      <c r="B244" s="1353"/>
      <c r="C244" s="1353"/>
      <c r="D244" s="1354"/>
      <c r="E244" s="1354"/>
      <c r="F244" s="1354"/>
      <c r="G244" s="1354"/>
      <c r="H244" s="1354"/>
      <c r="I244" s="1354"/>
      <c r="J244" s="1354"/>
      <c r="K244" s="922"/>
      <c r="L244" s="922"/>
      <c r="M244" s="922"/>
      <c r="N244" s="922"/>
      <c r="O244" s="922"/>
      <c r="P244" s="922"/>
    </row>
    <row r="245" spans="1:19" s="18" customFormat="1" hidden="1" x14ac:dyDescent="0.2">
      <c r="A245" s="1355" t="s">
        <v>192</v>
      </c>
      <c r="B245" s="1355"/>
      <c r="C245" s="1355"/>
      <c r="D245" s="1355"/>
      <c r="E245" s="1355"/>
      <c r="F245" s="1355"/>
      <c r="G245" s="1355"/>
      <c r="H245" s="1355"/>
      <c r="I245" s="1355"/>
      <c r="J245" s="1355"/>
      <c r="K245" s="1355"/>
      <c r="L245" s="1355"/>
      <c r="M245" s="1355"/>
      <c r="N245" s="52"/>
      <c r="O245" s="138">
        <f>'päd.Personal - Leitung'!$O$5</f>
        <v>2025</v>
      </c>
      <c r="P245" s="52" t="s">
        <v>140</v>
      </c>
    </row>
    <row r="246" spans="1:19" s="8" customFormat="1" ht="13.5" hidden="1" customHeight="1" x14ac:dyDescent="0.25">
      <c r="B246" s="29"/>
      <c r="C246" s="29"/>
      <c r="D246" s="3" t="s">
        <v>65</v>
      </c>
      <c r="E246" s="28"/>
      <c r="F246" s="28"/>
      <c r="G246" s="28"/>
      <c r="H246" s="28"/>
      <c r="I246" s="24"/>
      <c r="K246" s="1327" t="s">
        <v>13</v>
      </c>
      <c r="L246" s="1327"/>
      <c r="M246" s="131"/>
      <c r="O246" s="928" t="str">
        <f>A269</f>
        <v>Jan 2025</v>
      </c>
      <c r="P246" s="68">
        <f>IF(M248="","",M248)</f>
        <v>0</v>
      </c>
    </row>
    <row r="247" spans="1:19" s="5" customFormat="1" ht="13.5" hidden="1" customHeight="1" x14ac:dyDescent="0.25">
      <c r="A247" s="1328" t="s">
        <v>754</v>
      </c>
      <c r="B247" s="1328"/>
      <c r="C247" s="1328"/>
      <c r="D247" s="1329"/>
      <c r="E247" s="1329"/>
      <c r="F247" s="1329"/>
      <c r="G247" s="1329"/>
      <c r="H247" s="1329"/>
      <c r="I247" s="1329"/>
      <c r="K247" s="1327" t="s">
        <v>101</v>
      </c>
      <c r="L247" s="1327"/>
      <c r="M247" s="101"/>
      <c r="O247" s="928" t="str">
        <f t="shared" ref="O247:O257" si="43">A270</f>
        <v>Feb 2025</v>
      </c>
      <c r="P247" s="69">
        <f t="shared" ref="P247:P257" si="44">IF(P246="","",P246)</f>
        <v>0</v>
      </c>
    </row>
    <row r="248" spans="1:19" ht="13.5" hidden="1" customHeight="1" x14ac:dyDescent="0.2">
      <c r="A248" s="1328" t="s">
        <v>12</v>
      </c>
      <c r="B248" s="1328"/>
      <c r="C248" s="1328"/>
      <c r="D248" s="1345"/>
      <c r="E248" s="1345"/>
      <c r="F248" s="1345"/>
      <c r="G248" s="1345"/>
      <c r="H248" s="1345"/>
      <c r="I248" s="1345"/>
      <c r="K248" s="1327" t="s">
        <v>149</v>
      </c>
      <c r="L248" s="1327"/>
      <c r="M248" s="101">
        <f>IF((M249+M250)&gt;M247,0,M247-M249-M250)</f>
        <v>0</v>
      </c>
      <c r="O248" s="928" t="str">
        <f t="shared" si="43"/>
        <v>Mrz 2025</v>
      </c>
      <c r="P248" s="69">
        <f t="shared" si="44"/>
        <v>0</v>
      </c>
    </row>
    <row r="249" spans="1:19" ht="13.5" hidden="1" customHeight="1" x14ac:dyDescent="0.2">
      <c r="A249" s="1328" t="s">
        <v>11</v>
      </c>
      <c r="B249" s="1328"/>
      <c r="C249" s="1328"/>
      <c r="D249" s="1345"/>
      <c r="E249" s="1345"/>
      <c r="F249" s="1345"/>
      <c r="G249" s="1345"/>
      <c r="H249" s="1345"/>
      <c r="I249" s="1345"/>
      <c r="K249" s="1327" t="s">
        <v>150</v>
      </c>
      <c r="L249" s="1327"/>
      <c r="M249" s="101"/>
      <c r="O249" s="928" t="str">
        <f t="shared" si="43"/>
        <v>Apr 2025</v>
      </c>
      <c r="P249" s="69">
        <f t="shared" si="44"/>
        <v>0</v>
      </c>
    </row>
    <row r="250" spans="1:19" ht="13.5" hidden="1" customHeight="1" x14ac:dyDescent="0.2">
      <c r="A250" s="1328" t="s">
        <v>18</v>
      </c>
      <c r="B250" s="1328"/>
      <c r="C250" s="1328"/>
      <c r="D250" s="1345"/>
      <c r="E250" s="1345"/>
      <c r="F250" s="1345"/>
      <c r="G250" s="1345"/>
      <c r="H250" s="1345"/>
      <c r="I250" s="1345"/>
      <c r="K250" s="1327" t="s">
        <v>222</v>
      </c>
      <c r="L250" s="1327"/>
      <c r="M250" s="101"/>
      <c r="O250" s="928" t="str">
        <f t="shared" si="43"/>
        <v>Mai 2025</v>
      </c>
      <c r="P250" s="69">
        <f t="shared" si="44"/>
        <v>0</v>
      </c>
    </row>
    <row r="251" spans="1:19" ht="13.5" hidden="1" customHeight="1" x14ac:dyDescent="0.2">
      <c r="B251" s="6"/>
      <c r="C251" s="1012" t="s">
        <v>147</v>
      </c>
      <c r="D251" s="1324"/>
      <c r="E251" s="1324"/>
      <c r="F251" s="1359" t="s">
        <v>108</v>
      </c>
      <c r="G251" s="1359"/>
      <c r="H251" s="1361"/>
      <c r="I251" s="1361"/>
      <c r="K251" s="1327" t="s">
        <v>94</v>
      </c>
      <c r="L251" s="1327"/>
      <c r="M251" s="15" t="str">
        <f>IF(IF((COUNTIF(B269:B280,"&gt;0"))=0,0,(COUNTIF(B269:B280,"&gt;0")))&gt;Grundlagen!$C$26,Grundlagen!$C$26,IF((COUNTIF(B269:B280,"&gt;0"))=0,"",(COUNTIF(B269:B280,"&gt;0"))))</f>
        <v/>
      </c>
      <c r="O251" s="928" t="str">
        <f t="shared" si="43"/>
        <v>Jun 2025</v>
      </c>
      <c r="P251" s="69">
        <f t="shared" si="44"/>
        <v>0</v>
      </c>
    </row>
    <row r="252" spans="1:19" ht="13.5" hidden="1" customHeight="1" x14ac:dyDescent="0.2">
      <c r="F252" s="1359" t="s">
        <v>213</v>
      </c>
      <c r="G252" s="1359"/>
      <c r="H252" s="1361"/>
      <c r="I252" s="1361"/>
      <c r="M252" s="102" t="str">
        <f>IF((SUM(F254:F257))=0,"",IF(P258&gt;M248,M248,IF(M248="","",IF(M251="","",P258))))</f>
        <v/>
      </c>
      <c r="O252" s="928" t="str">
        <f t="shared" si="43"/>
        <v>Jul 2025</v>
      </c>
      <c r="P252" s="69">
        <f t="shared" si="44"/>
        <v>0</v>
      </c>
    </row>
    <row r="253" spans="1:19" s="46" customFormat="1" ht="13.5" hidden="1" customHeight="1" x14ac:dyDescent="0.2">
      <c r="A253" s="54" t="s">
        <v>134</v>
      </c>
      <c r="B253" s="1356" t="s">
        <v>135</v>
      </c>
      <c r="C253" s="1356"/>
      <c r="D253" s="55" t="s">
        <v>136</v>
      </c>
      <c r="E253" s="56" t="s">
        <v>137</v>
      </c>
      <c r="F253" s="57" t="str">
        <f>CONCATENATE("Entg. ",N243," h/Wo")</f>
        <v>Entg.  h/Wo</v>
      </c>
      <c r="G253" s="58" t="s">
        <v>138</v>
      </c>
      <c r="I253" s="58" t="s">
        <v>139</v>
      </c>
      <c r="K253" s="970"/>
      <c r="L253" s="970"/>
      <c r="M253" s="59"/>
      <c r="N253" s="968" t="str">
        <f>IF(A255="","",A255)</f>
        <v/>
      </c>
      <c r="O253" s="928" t="str">
        <f t="shared" si="43"/>
        <v>Aug 2025</v>
      </c>
      <c r="P253" s="69">
        <f t="shared" si="44"/>
        <v>0</v>
      </c>
      <c r="Q253" s="1027"/>
      <c r="R253" s="1025"/>
      <c r="S253" s="1025"/>
    </row>
    <row r="254" spans="1:19" s="46" customFormat="1" ht="13.5" hidden="1" customHeight="1" x14ac:dyDescent="0.25">
      <c r="A254" s="48" t="str">
        <f>A269</f>
        <v>Jan 2025</v>
      </c>
      <c r="B254" s="1357" t="str">
        <f>IF($D$3="","",$D$3)</f>
        <v/>
      </c>
      <c r="C254" s="1358"/>
      <c r="D254" s="132"/>
      <c r="E254" s="132"/>
      <c r="F254" s="71"/>
      <c r="G254" s="50">
        <f>IF(N243="",0,F254/N243/4.348)</f>
        <v>0</v>
      </c>
      <c r="I254" s="51">
        <f>SUM(J254:M254)</f>
        <v>0</v>
      </c>
      <c r="J254" s="70"/>
      <c r="K254" s="70"/>
      <c r="L254" s="70"/>
      <c r="M254" s="70"/>
      <c r="N254" s="983"/>
      <c r="O254" s="928" t="str">
        <f t="shared" si="43"/>
        <v>Sep 2025</v>
      </c>
      <c r="P254" s="69">
        <f t="shared" si="44"/>
        <v>0</v>
      </c>
      <c r="Q254" s="1026"/>
      <c r="R254" s="829"/>
      <c r="S254" s="1028"/>
    </row>
    <row r="255" spans="1:19" s="46" customFormat="1" ht="13.5" hidden="1" customHeight="1" x14ac:dyDescent="0.25">
      <c r="A255" s="49"/>
      <c r="B255" s="1322" t="str">
        <f>IF(A255="","",B254)</f>
        <v/>
      </c>
      <c r="C255" s="1323"/>
      <c r="D255" s="132"/>
      <c r="E255" s="132"/>
      <c r="F255" s="71"/>
      <c r="G255" s="50">
        <f>IF(N243="",0,F255/N243/4.348)</f>
        <v>0</v>
      </c>
      <c r="I255" s="51">
        <f t="shared" ref="I255:I257" si="45">SUM(J255:M255)</f>
        <v>0</v>
      </c>
      <c r="J255" s="70"/>
      <c r="K255" s="70"/>
      <c r="L255" s="70"/>
      <c r="M255" s="70"/>
      <c r="N255" s="983"/>
      <c r="O255" s="928" t="str">
        <f t="shared" si="43"/>
        <v>Okt 2025</v>
      </c>
      <c r="P255" s="69">
        <f t="shared" si="44"/>
        <v>0</v>
      </c>
      <c r="Q255" s="1026"/>
      <c r="R255" s="829"/>
      <c r="S255" s="1028"/>
    </row>
    <row r="256" spans="1:19" s="46" customFormat="1" ht="13.5" hidden="1" customHeight="1" x14ac:dyDescent="0.25">
      <c r="A256" s="49"/>
      <c r="B256" s="1322" t="str">
        <f>IF(A256="","",B255)</f>
        <v/>
      </c>
      <c r="C256" s="1323"/>
      <c r="D256" s="132"/>
      <c r="E256" s="132"/>
      <c r="F256" s="71"/>
      <c r="G256" s="50">
        <f>IF(N243="",0,F256/N243/4.348)</f>
        <v>0</v>
      </c>
      <c r="I256" s="51">
        <f t="shared" si="45"/>
        <v>0</v>
      </c>
      <c r="J256" s="70"/>
      <c r="K256" s="70"/>
      <c r="L256" s="70"/>
      <c r="M256" s="70"/>
      <c r="N256" s="983"/>
      <c r="O256" s="928" t="str">
        <f t="shared" si="43"/>
        <v>Nov 2025</v>
      </c>
      <c r="P256" s="69">
        <f t="shared" si="44"/>
        <v>0</v>
      </c>
      <c r="Q256" s="828"/>
      <c r="R256" s="829"/>
      <c r="S256" s="829"/>
    </row>
    <row r="257" spans="1:20" s="46" customFormat="1" ht="13.5" hidden="1" customHeight="1" x14ac:dyDescent="0.25">
      <c r="A257" s="49"/>
      <c r="B257" s="1322" t="str">
        <f>IF(A257="","",B256)</f>
        <v/>
      </c>
      <c r="C257" s="1323"/>
      <c r="D257" s="132"/>
      <c r="E257" s="132"/>
      <c r="F257" s="71"/>
      <c r="G257" s="50">
        <f>IF(N243="",0,F257/N243/4.348)</f>
        <v>0</v>
      </c>
      <c r="I257" s="51">
        <f t="shared" si="45"/>
        <v>0</v>
      </c>
      <c r="J257" s="70"/>
      <c r="K257" s="70"/>
      <c r="L257" s="70"/>
      <c r="M257" s="70"/>
      <c r="N257" s="983"/>
      <c r="O257" s="928" t="str">
        <f t="shared" si="43"/>
        <v>Dez 2025</v>
      </c>
      <c r="P257" s="69">
        <f t="shared" si="44"/>
        <v>0</v>
      </c>
      <c r="Q257" s="276"/>
      <c r="R257" s="827"/>
      <c r="S257" s="827"/>
    </row>
    <row r="258" spans="1:20" s="46" customFormat="1" ht="13.5" hidden="1" customHeight="1" x14ac:dyDescent="0.25">
      <c r="B258" s="972"/>
      <c r="C258" s="972"/>
      <c r="E258" s="972"/>
      <c r="F258" s="972"/>
      <c r="I258" s="930" t="s">
        <v>730</v>
      </c>
      <c r="J258" s="982"/>
      <c r="K258" s="982"/>
      <c r="L258" s="982"/>
      <c r="M258" s="982"/>
      <c r="N258" s="994"/>
      <c r="O258" s="126" t="s">
        <v>221</v>
      </c>
      <c r="P258" s="127">
        <f>IF(M251="",0,((IF(SUMIF(B269,"&gt;0"),P246,0))+(IF(SUMIF(B270,"&gt;0"),P247,0))+(IF(SUMIF(B271,"&gt;0"),P248,0))+(IF(SUMIF(B272,"&gt;0"),P249,0))+(IF(SUMIF(B273,"&gt;0"),P250,0))+(IF(SUMIF(B274,"&gt;0"),P251,0))+(IF(SUMIF(B275,"&gt;0"),P252,0))+(IF(SUMIF(B276,"&gt;0"),P253,0))+(IF(SUMIF(B277,"&gt;0"),P254,0))+(IF(SUMIF(B278,"&gt;0"),P255,0))+(IF(SUMIF(B279,"&gt;0"),P256,0))+(IF(SUMIF(B280,"&gt;0"),P257,0)))/Grundlagen!$C$26)</f>
        <v>0</v>
      </c>
      <c r="Q258" s="1009" t="str">
        <f>CONCATENATE("BBG"," anteilig ",O260)</f>
        <v>BBG anteilig 2025</v>
      </c>
      <c r="R258" s="931" t="s">
        <v>659</v>
      </c>
      <c r="S258" s="931" t="s">
        <v>398</v>
      </c>
      <c r="T258" s="107"/>
    </row>
    <row r="259" spans="1:20" s="46" customFormat="1" ht="13.5" hidden="1" customHeight="1" x14ac:dyDescent="0.2">
      <c r="A259" s="924" t="s">
        <v>732</v>
      </c>
      <c r="D259" s="55" t="s">
        <v>369</v>
      </c>
      <c r="E259" s="56" t="s">
        <v>368</v>
      </c>
      <c r="F259" s="58"/>
      <c r="J259" s="61"/>
      <c r="Q259" s="932" t="s">
        <v>144</v>
      </c>
      <c r="R259" s="140">
        <f>IF(M248=0,R263,IF(M247="",R263,(SUM(R269:R280)/M251)))</f>
        <v>5175</v>
      </c>
      <c r="S259" s="933">
        <f>IF(M248=0,S263,IF(M247="",S263,SUM(R269:R280)))</f>
        <v>0</v>
      </c>
      <c r="T259" s="107"/>
    </row>
    <row r="260" spans="1:20" s="46" customFormat="1" ht="13.5" hidden="1" customHeight="1" x14ac:dyDescent="0.25">
      <c r="A260" s="60"/>
      <c r="B260" s="1314" t="str">
        <f>IF($B$20="","",$B$20)</f>
        <v>Jahressonderzahlung (JSZ)</v>
      </c>
      <c r="C260" s="1315"/>
      <c r="D260" s="926"/>
      <c r="E260" s="929" t="str">
        <f>IF(A260="","",ROUND((((SUM(B275:B277)+SUM(F275:F277))/3)*D260)/Grundlagen!$C$26*M251,2))</f>
        <v/>
      </c>
      <c r="N260" s="917" t="s">
        <v>736</v>
      </c>
      <c r="O260" s="918">
        <f>P260+1</f>
        <v>2025</v>
      </c>
      <c r="P260" s="918" t="s">
        <v>721</v>
      </c>
      <c r="Q260" s="932" t="s">
        <v>145</v>
      </c>
      <c r="R260" s="140">
        <f>IF(M248=0,R264,IF(M247="",R264,(SUM(S269:S280)/M251)))</f>
        <v>7450</v>
      </c>
      <c r="S260" s="933">
        <f>IF(M248=0,S264,IF(M247="",S264,SUM(S269:S280)))</f>
        <v>0</v>
      </c>
      <c r="T260" s="109"/>
    </row>
    <row r="261" spans="1:20" s="18" customFormat="1" ht="14.25" hidden="1" customHeight="1" x14ac:dyDescent="0.2">
      <c r="A261" s="60"/>
      <c r="B261" s="1314" t="str">
        <f>IF($B$21="","",$B$21)</f>
        <v>Leistungsentgelt (LOB)</v>
      </c>
      <c r="C261" s="1315"/>
      <c r="D261" s="926"/>
      <c r="E261" s="929" t="str">
        <f>IF(A261="","",ROUND(((B281+F281)*D261)/Grundlagen!$C$26*M251,2))</f>
        <v/>
      </c>
      <c r="F261" s="1"/>
      <c r="N261" s="139" t="s">
        <v>144</v>
      </c>
      <c r="O261" s="141">
        <f>'päd.Personal - Leitung'!$O$21</f>
        <v>5175</v>
      </c>
      <c r="P261" s="141">
        <f>'päd.Personal - Leitung'!$P$21</f>
        <v>5175</v>
      </c>
      <c r="Q261" s="11"/>
      <c r="R261" s="11"/>
      <c r="S261" s="11"/>
      <c r="T261" s="109"/>
    </row>
    <row r="262" spans="1:20" s="18" customFormat="1" ht="14.25" hidden="1" customHeight="1" x14ac:dyDescent="0.2">
      <c r="A262" s="1"/>
      <c r="B262" s="1"/>
      <c r="C262" s="925" t="s">
        <v>731</v>
      </c>
      <c r="D262" s="1"/>
      <c r="E262" s="1"/>
      <c r="F262" s="1"/>
      <c r="N262" s="139" t="s">
        <v>145</v>
      </c>
      <c r="O262" s="899">
        <f>'päd.Personal - Leitung'!$O$22</f>
        <v>7450</v>
      </c>
      <c r="P262" s="899">
        <f>'päd.Personal - Leitung'!$P$22</f>
        <v>7450</v>
      </c>
      <c r="Q262" s="1009" t="str">
        <f>CONCATENATE("BBG"," ",O260)</f>
        <v>BBG 2025</v>
      </c>
      <c r="R262" s="11"/>
      <c r="S262" s="11"/>
      <c r="T262" s="109"/>
    </row>
    <row r="263" spans="1:20" s="18" customFormat="1" ht="14.25" hidden="1" customHeight="1" x14ac:dyDescent="0.2">
      <c r="A263" s="53" t="s">
        <v>141</v>
      </c>
      <c r="Q263" s="932" t="s">
        <v>144</v>
      </c>
      <c r="R263" s="141">
        <f>IF($O$21="",0,$O$21)</f>
        <v>5175</v>
      </c>
      <c r="S263" s="933">
        <f>R263*IF(M251="",0,M251)</f>
        <v>0</v>
      </c>
    </row>
    <row r="264" spans="1:20" s="18" customFormat="1" ht="14.25" hidden="1" customHeight="1" x14ac:dyDescent="0.2">
      <c r="A264" s="1346"/>
      <c r="B264" s="1348" t="s">
        <v>8</v>
      </c>
      <c r="C264" s="1349"/>
      <c r="D264" s="1349"/>
      <c r="E264" s="1349"/>
      <c r="F264" s="1349"/>
      <c r="G264" s="1350"/>
      <c r="H264" s="1351" t="s">
        <v>113</v>
      </c>
      <c r="I264" s="1352"/>
      <c r="J264" s="1352"/>
      <c r="K264" s="1352"/>
      <c r="L264" s="1352"/>
      <c r="M264" s="1352"/>
      <c r="N264" s="1368" t="s">
        <v>658</v>
      </c>
      <c r="O264" s="30"/>
      <c r="P264" s="1330" t="s">
        <v>0</v>
      </c>
      <c r="Q264" s="932" t="s">
        <v>145</v>
      </c>
      <c r="R264" s="141">
        <f>IF($O$22="",0,$O$22)</f>
        <v>7450</v>
      </c>
      <c r="S264" s="933">
        <f>R264*IF(M251="",0,M251)</f>
        <v>0</v>
      </c>
    </row>
    <row r="265" spans="1:20" s="18" customFormat="1" ht="14.25" hidden="1" customHeight="1" x14ac:dyDescent="0.2">
      <c r="A265" s="1347"/>
      <c r="B265" s="1333" t="s">
        <v>111</v>
      </c>
      <c r="C265" s="1335" t="s">
        <v>743</v>
      </c>
      <c r="D265" s="1337" t="s">
        <v>226</v>
      </c>
      <c r="E265" s="1339" t="s">
        <v>133</v>
      </c>
      <c r="F265" s="1014" t="s">
        <v>6</v>
      </c>
      <c r="G265" s="1340" t="s">
        <v>5</v>
      </c>
      <c r="H265" s="1339" t="s">
        <v>119</v>
      </c>
      <c r="I265" s="1339" t="s">
        <v>657</v>
      </c>
      <c r="J265" s="1339" t="s">
        <v>4</v>
      </c>
      <c r="K265" s="1339" t="s">
        <v>3</v>
      </c>
      <c r="L265" s="1339" t="s">
        <v>2</v>
      </c>
      <c r="M265" s="1339" t="s">
        <v>95</v>
      </c>
      <c r="N265" s="1369"/>
      <c r="O265" s="1338" t="s">
        <v>109</v>
      </c>
      <c r="P265" s="1331"/>
      <c r="Q265" s="456"/>
      <c r="R265" s="11"/>
      <c r="S265" s="11"/>
    </row>
    <row r="266" spans="1:20" s="18" customFormat="1" ht="14.25" hidden="1" customHeight="1" x14ac:dyDescent="0.2">
      <c r="A266" s="1347"/>
      <c r="B266" s="1333"/>
      <c r="C266" s="1335"/>
      <c r="D266" s="1338"/>
      <c r="E266" s="1339"/>
      <c r="F266" s="1343" t="str">
        <f>I258</f>
        <v>Zuschläge / Zulagen / o.ä.:</v>
      </c>
      <c r="G266" s="1340"/>
      <c r="H266" s="1342" t="s">
        <v>117</v>
      </c>
      <c r="I266" s="1339"/>
      <c r="J266" s="1342"/>
      <c r="K266" s="1342"/>
      <c r="L266" s="1342"/>
      <c r="M266" s="1339"/>
      <c r="N266" s="1369"/>
      <c r="O266" s="1338"/>
      <c r="P266" s="1331"/>
      <c r="Q266" s="456"/>
      <c r="R266" s="1306" t="str">
        <f>Q258</f>
        <v>BBG anteilig 2025</v>
      </c>
      <c r="S266" s="1306"/>
    </row>
    <row r="267" spans="1:20" s="18" customFormat="1" hidden="1" x14ac:dyDescent="0.2">
      <c r="A267" s="1347"/>
      <c r="B267" s="1333"/>
      <c r="C267" s="1335"/>
      <c r="D267" s="1338"/>
      <c r="E267" s="1339"/>
      <c r="F267" s="1343"/>
      <c r="G267" s="1340"/>
      <c r="H267" s="39" t="str">
        <f>'päd.Personal - Leitung'!$H$27</f>
        <v>(7,30% + Zusatz)</v>
      </c>
      <c r="I267" s="39" t="str">
        <f>$I$171</f>
        <v xml:space="preserve"> (2024: 18,60%)</v>
      </c>
      <c r="J267" s="39" t="str">
        <f>'päd.Personal - Leitung'!$I$27</f>
        <v xml:space="preserve"> (2024: 9,30%)</v>
      </c>
      <c r="K267" s="39" t="str">
        <f>'päd.Personal - Leitung'!$J$27</f>
        <v>(2024: 1,30%)</v>
      </c>
      <c r="L267" s="39" t="str">
        <f>'päd.Personal - Leitung'!$K$27</f>
        <v>(2024: 1,700%)</v>
      </c>
      <c r="M267" s="1339"/>
      <c r="N267" s="39" t="str">
        <f>$N$171</f>
        <v xml:space="preserve"> (2024: 20%)</v>
      </c>
      <c r="O267" s="1338"/>
      <c r="P267" s="1331"/>
      <c r="Q267" s="456"/>
      <c r="R267" s="1307" t="s">
        <v>659</v>
      </c>
      <c r="S267" s="1307"/>
    </row>
    <row r="268" spans="1:20" s="18" customFormat="1" hidden="1" x14ac:dyDescent="0.2">
      <c r="A268" s="1347"/>
      <c r="B268" s="1334"/>
      <c r="C268" s="1336"/>
      <c r="D268" s="45"/>
      <c r="E268" s="45"/>
      <c r="F268" s="1344"/>
      <c r="G268" s="1341"/>
      <c r="H268" s="74"/>
      <c r="I268" s="19"/>
      <c r="J268" s="99">
        <f>'päd.Personal - Leitung'!$I$28</f>
        <v>0</v>
      </c>
      <c r="K268" s="99">
        <f>'päd.Personal - Leitung'!$J$28</f>
        <v>0</v>
      </c>
      <c r="L268" s="40">
        <f>'päd.Personal - Leitung'!$K$28</f>
        <v>0</v>
      </c>
      <c r="M268" s="19"/>
      <c r="N268" s="19"/>
      <c r="O268" s="19"/>
      <c r="P268" s="1332"/>
      <c r="Q268" s="456"/>
      <c r="R268" s="935" t="s">
        <v>144</v>
      </c>
      <c r="S268" s="935" t="s">
        <v>145</v>
      </c>
    </row>
    <row r="269" spans="1:20" s="18" customFormat="1" hidden="1" x14ac:dyDescent="0.2">
      <c r="A269" s="76" t="str">
        <f>'päd.Personal - Leitung'!$A$29</f>
        <v>Jan 2025</v>
      </c>
      <c r="B269" s="22">
        <f>ROUND(IF(P246=0,0,(LOOKUP(2,1/(A254:A257=A269),G254:G257))*P246*4.348)*50%,2)</f>
        <v>0</v>
      </c>
      <c r="C269" s="21">
        <f>ROUND(IFERROR((LOOKUP(2,1/(A260=A269),E260)),0)+IFERROR((LOOKUP(2,1/(A261=A269),E261)),0),2)</f>
        <v>0</v>
      </c>
      <c r="D269" s="21">
        <f>ROUND(IF(B269=0,0,D268/M247*P246*50%),2)</f>
        <v>0</v>
      </c>
      <c r="E269" s="21">
        <f>ROUND(IF(B269=0,0,E268/N243*P246*50%),2)</f>
        <v>0</v>
      </c>
      <c r="F269" s="22">
        <f>ROUND(IF(P246=0,0,(LOOKUP(2,1/(A254:A257=A269),I254:I257))/N243*P246)*50%,2)</f>
        <v>0</v>
      </c>
      <c r="G269" s="25">
        <f>SUM(B269+C269+E269+F269)</f>
        <v>0</v>
      </c>
      <c r="H269" s="831">
        <f>ROUND(SUM(B269:F269)*H268,2)</f>
        <v>0</v>
      </c>
      <c r="I269" s="64">
        <f>ROUND(IF((SUM(B269:F269)*80%)&gt;((S269)*90%),((((S269)*90%)-((SUM(B269:F269)-C269))*I268)+((SUM(B269:F269)-C269)*I268)*80%),((SUM(B269:F269)-C269)*I268)*80%),2)</f>
        <v>0</v>
      </c>
      <c r="J269" s="831">
        <f>ROUND(SUM(B269:F269)*J268,2)</f>
        <v>0</v>
      </c>
      <c r="K269" s="831">
        <f>ROUND(SUM(B269:F269)*K268,2)</f>
        <v>0</v>
      </c>
      <c r="L269" s="831">
        <f>ROUND(SUM(B269:F269)*L268,2)</f>
        <v>0</v>
      </c>
      <c r="M269" s="831">
        <f>ROUND((SUM(B269:F269)-C269)*M268,2)</f>
        <v>0</v>
      </c>
      <c r="N269" s="21">
        <f>ROUND((B269+E269+F269)*N268,2)</f>
        <v>0</v>
      </c>
      <c r="O269" s="21">
        <f>ROUND(SUM(B269+C269+F269)*O268,2)</f>
        <v>0</v>
      </c>
      <c r="P269" s="25">
        <f>SUM(G269:O269)</f>
        <v>0</v>
      </c>
      <c r="Q269" s="456"/>
      <c r="R269" s="140">
        <f>ROUND(IF(M247="",R263,R263/M247*P246),2)</f>
        <v>5175</v>
      </c>
      <c r="S269" s="140">
        <f>ROUND(IF(M247="",R264,R264/M247*P246),2)</f>
        <v>7450</v>
      </c>
    </row>
    <row r="270" spans="1:20" s="18" customFormat="1" hidden="1" x14ac:dyDescent="0.2">
      <c r="A270" s="76" t="str">
        <f>'päd.Personal - Leitung'!$A$30</f>
        <v>Feb 2025</v>
      </c>
      <c r="B270" s="22">
        <f>ROUND(IF(P247=0,0,IFERROR((((LOOKUP(2,1/(A254:A257=A270),G254:G257))*P247*4.348)*50%),B269/P246*P247)),2)</f>
        <v>0</v>
      </c>
      <c r="C270" s="21">
        <f>ROUND(IFERROR((LOOKUP(2,1/(A260=A270),E260)),0)+IFERROR((LOOKUP(2,1/(A261=A270),E261)),0),2)</f>
        <v>0</v>
      </c>
      <c r="D270" s="21">
        <f>ROUND(IF(B270=0,0,D268/M247*P247*50%),2)</f>
        <v>0</v>
      </c>
      <c r="E270" s="21">
        <f>ROUND(IF(B270=0,0,E268/N243*P247*50%),2)</f>
        <v>0</v>
      </c>
      <c r="F270" s="22">
        <f>ROUND(IF(P247=0,0,IFERROR((((LOOKUP(2,1/(A254:A257=A270),I254:I257))/N243*P247)*50%),F269/P246*P247)),2)</f>
        <v>0</v>
      </c>
      <c r="G270" s="25">
        <f t="shared" ref="G270:G280" si="46">SUM(B270+C270+E270+F270)</f>
        <v>0</v>
      </c>
      <c r="H270" s="831">
        <f>ROUND(SUM(B270:F270)*H268,2)</f>
        <v>0</v>
      </c>
      <c r="I270" s="64">
        <f>ROUND(IF((SUM(B270:F270)*80%)&gt;((SUM(S266:S270))*90%),((((SUM(S266:S270))*90%)-((SUM(B270:F270)-C270))*I268)+((SUM(B270:F270)-C270)*I268)*80%),((SUM(B270:F270)-C270)*I268)*80%),2)</f>
        <v>0</v>
      </c>
      <c r="J270" s="831">
        <f>ROUND(SUM(B270:F270)*J268,2)</f>
        <v>0</v>
      </c>
      <c r="K270" s="831">
        <f>ROUND(SUM(B270:F270)*K268,2)</f>
        <v>0</v>
      </c>
      <c r="L270" s="831">
        <f>ROUND(SUM(B270:F270)*L268,2)</f>
        <v>0</v>
      </c>
      <c r="M270" s="831">
        <f>ROUND((SUM(B270:F270)-C270)*M268,2)</f>
        <v>0</v>
      </c>
      <c r="N270" s="21">
        <f>ROUND((B270+E270+F270)*N268,2)</f>
        <v>0</v>
      </c>
      <c r="O270" s="21">
        <f>ROUND(SUM(B270+C270+F270)*O268,2)</f>
        <v>0</v>
      </c>
      <c r="P270" s="25">
        <f t="shared" ref="P270:P272" si="47">SUM(G270:O270)</f>
        <v>0</v>
      </c>
      <c r="Q270" s="456"/>
      <c r="R270" s="140">
        <f>ROUND(IF(M247="",R263,R263/M247*P247),2)</f>
        <v>5175</v>
      </c>
      <c r="S270" s="140">
        <f>ROUND(IF(M247="",R264,R264/M247*P247),2)</f>
        <v>7450</v>
      </c>
    </row>
    <row r="271" spans="1:20" s="18" customFormat="1" hidden="1" x14ac:dyDescent="0.2">
      <c r="A271" s="76" t="str">
        <f>'päd.Personal - Leitung'!$A$31</f>
        <v>Mrz 2025</v>
      </c>
      <c r="B271" s="22">
        <f>ROUND(IF(P248=0,0,IFERROR((((LOOKUP(2,1/(A254:A257=A271),G254:G257))*P248*4.348)*50%),B270/P247*P248)),2)</f>
        <v>0</v>
      </c>
      <c r="C271" s="21">
        <f>ROUND(IFERROR((LOOKUP(2,1/(A260=A271),E260)),0)+IFERROR((LOOKUP(2,1/(A261=A271),E261)),0),2)</f>
        <v>0</v>
      </c>
      <c r="D271" s="21">
        <f>ROUND(IF(B271=0,0,D268/M247*P248*50%),2)</f>
        <v>0</v>
      </c>
      <c r="E271" s="21">
        <f>ROUND(IF(B271=0,0,E268/N243*P248*50%),2)</f>
        <v>0</v>
      </c>
      <c r="F271" s="22">
        <f>ROUND(IF(P248=0,0,IFERROR((((LOOKUP(2,1/(A254:A257=A271),I254:I257))/N243*P248)*50%),F270/P247*P248)),2)</f>
        <v>0</v>
      </c>
      <c r="G271" s="25">
        <f t="shared" si="46"/>
        <v>0</v>
      </c>
      <c r="H271" s="831">
        <f>ROUND(SUM(B271:F271)*H268,2)</f>
        <v>0</v>
      </c>
      <c r="I271" s="64">
        <f>ROUND(IF((SUM(B270:F271)*80%)&gt;((SUM(S266:S271))*90%),((((SUM(S266:S271))*90%)-((SUM(B270:F271)-C271))*I268)+((SUM(B271:F271)-C271)*I268)*80%),((SUM(B271:F271)-C271)*I268)*80%),2)</f>
        <v>0</v>
      </c>
      <c r="J271" s="831">
        <f>ROUND(SUM(B271:F271)*J268,2)</f>
        <v>0</v>
      </c>
      <c r="K271" s="831">
        <f>ROUND(SUM(B271:F271)*K268,2)</f>
        <v>0</v>
      </c>
      <c r="L271" s="831">
        <f>ROUND(SUM(B271:F271)*L268,2)</f>
        <v>0</v>
      </c>
      <c r="M271" s="831">
        <f>ROUND((SUM(B271:F271)-C271)*M268,2)</f>
        <v>0</v>
      </c>
      <c r="N271" s="21">
        <f>ROUND((B271+E271+F271)*N268,2)</f>
        <v>0</v>
      </c>
      <c r="O271" s="21">
        <f>ROUND(SUM(B271+C271+F271)*O268,2)</f>
        <v>0</v>
      </c>
      <c r="P271" s="25">
        <f t="shared" si="47"/>
        <v>0</v>
      </c>
      <c r="Q271" s="456"/>
      <c r="R271" s="140">
        <f>ROUND(IF(M247="",R263,R263/M247*P248),2)</f>
        <v>5175</v>
      </c>
      <c r="S271" s="140">
        <f>ROUND(IF(M247="",R264,R264/M247*P248),2)</f>
        <v>7450</v>
      </c>
    </row>
    <row r="272" spans="1:20" s="18" customFormat="1" hidden="1" x14ac:dyDescent="0.2">
      <c r="A272" s="76" t="str">
        <f>'päd.Personal - Leitung'!$A$32</f>
        <v>Apr 2025</v>
      </c>
      <c r="B272" s="22">
        <f>ROUND(IF(P249=0,0,IFERROR((((LOOKUP(2,1/(A254:A257=A272),G254:G257))*P249*4.348)*50%),B271/P248*P249)),2)</f>
        <v>0</v>
      </c>
      <c r="C272" s="21">
        <f>ROUND(IFERROR((LOOKUP(2,1/(A260=A272),E260)),0)+IFERROR((LOOKUP(2,1/(A261=A272),E261)),0),2)</f>
        <v>0</v>
      </c>
      <c r="D272" s="21">
        <f>ROUND(IF(B272=0,0,D268/M247*P249*50%),2)</f>
        <v>0</v>
      </c>
      <c r="E272" s="21">
        <f>ROUND(IF(B272=0,0,E268/N243*P249*50%),2)</f>
        <v>0</v>
      </c>
      <c r="F272" s="22">
        <f>ROUND(IF(P249=0,0,IFERROR((((LOOKUP(2,1/(A254:A257=A272),I254:I257))/N243*P249)*50%),F271/P248*P249)),2)</f>
        <v>0</v>
      </c>
      <c r="G272" s="25">
        <f t="shared" si="46"/>
        <v>0</v>
      </c>
      <c r="H272" s="831">
        <f>ROUND(SUM(B272:F272)*H268,2)</f>
        <v>0</v>
      </c>
      <c r="I272" s="64">
        <f>ROUND(IF((SUM(B270:F272)*80%)&gt;((SUM(S266:S272))*90%),((((SUM(S266:S272))*90%)-((SUM(B270:F272)-C272))*I268)+((SUM(B272:F272)-C272)*I268)*80%),((SUM(B272:F272)-C272)*I268)*80%),2)</f>
        <v>0</v>
      </c>
      <c r="J272" s="831">
        <f>ROUND(SUM(B272:F272)*J268,2)</f>
        <v>0</v>
      </c>
      <c r="K272" s="831">
        <f>ROUND(SUM(B272:F272)*K268,2)</f>
        <v>0</v>
      </c>
      <c r="L272" s="831">
        <f>ROUND(SUM(B272:F272)*L268,2)</f>
        <v>0</v>
      </c>
      <c r="M272" s="831">
        <f>ROUND((SUM(B272:F272)-C272)*M268,2)</f>
        <v>0</v>
      </c>
      <c r="N272" s="21">
        <f>ROUND((B272+E272+F272)*N268,2)</f>
        <v>0</v>
      </c>
      <c r="O272" s="21">
        <f>ROUND(SUM(B272+C272+F272)*O268,2)</f>
        <v>0</v>
      </c>
      <c r="P272" s="25">
        <f t="shared" si="47"/>
        <v>0</v>
      </c>
      <c r="Q272" s="456"/>
      <c r="R272" s="140">
        <f>ROUND(IF(M247="",R263,R263/M247*P249),2)</f>
        <v>5175</v>
      </c>
      <c r="S272" s="140">
        <f>ROUND(IF(M247="",R264,R264/M247*P249),2)</f>
        <v>7450</v>
      </c>
    </row>
    <row r="273" spans="1:19" s="18" customFormat="1" hidden="1" x14ac:dyDescent="0.2">
      <c r="A273" s="76" t="str">
        <f>'päd.Personal - Leitung'!$A$33</f>
        <v>Mai 2025</v>
      </c>
      <c r="B273" s="22">
        <f>ROUND(IF(P250=0,0,IFERROR((((LOOKUP(2,1/(A254:A257=A273),G254:G257))*P250*4.348)*50%),B272/P249*P250)),2)</f>
        <v>0</v>
      </c>
      <c r="C273" s="21">
        <f>ROUND(IFERROR((LOOKUP(2,1/(A260=A273),E260)),0)+IFERROR((LOOKUP(2,1/(A261=A273),E261)),0),2)</f>
        <v>0</v>
      </c>
      <c r="D273" s="21">
        <f>ROUND(IF(B273=0,0,D268/M247*P250*50%),2)</f>
        <v>0</v>
      </c>
      <c r="E273" s="21">
        <f>ROUND(IF(B273=0,0,E268/N243*P250*50%),2)</f>
        <v>0</v>
      </c>
      <c r="F273" s="22">
        <f>ROUND(IF(P250=0,0,IFERROR((((LOOKUP(2,1/(A254:A257=A273),I254:I257))/N243*P250)*50%),F272/P249*P250)),2)</f>
        <v>0</v>
      </c>
      <c r="G273" s="25">
        <f t="shared" si="46"/>
        <v>0</v>
      </c>
      <c r="H273" s="831">
        <f>ROUND(SUM(B273:F273)*H268,2)</f>
        <v>0</v>
      </c>
      <c r="I273" s="64">
        <f>ROUND(IF((SUM(B270:F273)*80%)&gt;((SUM(S266:S273))*90%),((((SUM(S266:S273))*90%)-((SUM(B270:F273)-C273))*I268)+((SUM(B273:F273)-C273)*I268)*80%),((SUM(B273:F273)-C273)*I268)*80%),2)</f>
        <v>0</v>
      </c>
      <c r="J273" s="831">
        <f>ROUND(SUM(B273:F273)*J268,2)</f>
        <v>0</v>
      </c>
      <c r="K273" s="831">
        <f>ROUND(SUM(B273:F273)*K268,2)</f>
        <v>0</v>
      </c>
      <c r="L273" s="831">
        <f>ROUND(SUM(B273:F273)*L268,2)</f>
        <v>0</v>
      </c>
      <c r="M273" s="831">
        <f>ROUND((SUM(B273:F273)-C273)*M268,2)</f>
        <v>0</v>
      </c>
      <c r="N273" s="21">
        <f>ROUND((B273+E273+F273)*N268,2)</f>
        <v>0</v>
      </c>
      <c r="O273" s="21">
        <f>ROUND(SUM(B273+C273+F273)*O268,2)</f>
        <v>0</v>
      </c>
      <c r="P273" s="25">
        <f t="shared" ref="P273:P280" si="48">SUM(G273:O273)</f>
        <v>0</v>
      </c>
      <c r="Q273" s="456"/>
      <c r="R273" s="140">
        <f>ROUND(IF(M247="",R263,R263/M247*P250),2)</f>
        <v>5175</v>
      </c>
      <c r="S273" s="140">
        <f>ROUND(IF(M247="",R264,R264/M247*P250),2)</f>
        <v>7450</v>
      </c>
    </row>
    <row r="274" spans="1:19" s="18" customFormat="1" hidden="1" x14ac:dyDescent="0.2">
      <c r="A274" s="76" t="str">
        <f>'päd.Personal - Leitung'!$A$34</f>
        <v>Jun 2025</v>
      </c>
      <c r="B274" s="22">
        <f>ROUND(IF(P251=0,0,IFERROR((((LOOKUP(2,1/(A254:A257=A274),G254:G257))*P251*4.348)*50%),B273/P250*P251)),2)</f>
        <v>0</v>
      </c>
      <c r="C274" s="21">
        <f>ROUND(IFERROR((LOOKUP(2,1/(A260=A274),E260)),0)+IFERROR((LOOKUP(2,1/(A261=A274),E261)),0),2)</f>
        <v>0</v>
      </c>
      <c r="D274" s="21">
        <f>ROUND(IF(B274=0,0,D268/M247*P251*50%),2)</f>
        <v>0</v>
      </c>
      <c r="E274" s="21">
        <f>ROUND(IF(B274=0,0,E268/N243*P251*50%),2)</f>
        <v>0</v>
      </c>
      <c r="F274" s="22">
        <f>ROUND(IF(P251=0,0,IFERROR((((LOOKUP(2,1/(A254:A257=A274),I254:I257))/N243*P251)*50%),F273/P250*P251)),2)</f>
        <v>0</v>
      </c>
      <c r="G274" s="25">
        <f t="shared" si="46"/>
        <v>0</v>
      </c>
      <c r="H274" s="831">
        <f>ROUND(SUM(B274:F274)*H268,2)</f>
        <v>0</v>
      </c>
      <c r="I274" s="64">
        <f>ROUND(IF((SUM(B270:F274)*80%)&gt;((SUM(S266:S274))*90%),((((SUM(S266:S274))*90%)-((SUM(B270:F274)-C274))*I268)+((SUM(B274:F274)-C274)*I268)*80%),((SUM(B274:F274)-C274)*I268)*80%),2)</f>
        <v>0</v>
      </c>
      <c r="J274" s="831">
        <f>ROUND(SUM(B274:F274)*J268,2)</f>
        <v>0</v>
      </c>
      <c r="K274" s="831">
        <f>ROUND(SUM(B274:F274)*K268,2)</f>
        <v>0</v>
      </c>
      <c r="L274" s="831">
        <f>ROUND(SUM(B274:F274)*L268,2)</f>
        <v>0</v>
      </c>
      <c r="M274" s="831">
        <f>ROUND((SUM(B274:F274)-C274)*M268,2)</f>
        <v>0</v>
      </c>
      <c r="N274" s="21">
        <f>ROUND((B274+E274+F274)*N268,2)</f>
        <v>0</v>
      </c>
      <c r="O274" s="21">
        <f>ROUND(SUM(B274+C274+F274)*O268,2)</f>
        <v>0</v>
      </c>
      <c r="P274" s="25">
        <f t="shared" si="48"/>
        <v>0</v>
      </c>
      <c r="Q274" s="456"/>
      <c r="R274" s="140">
        <f>ROUND(IF(M247="",R263,R263/M247*P251),2)</f>
        <v>5175</v>
      </c>
      <c r="S274" s="140">
        <f>ROUND(IF(M247="",R264,R264/M247*P251),2)</f>
        <v>7450</v>
      </c>
    </row>
    <row r="275" spans="1:19" s="18" customFormat="1" hidden="1" x14ac:dyDescent="0.2">
      <c r="A275" s="76" t="str">
        <f>'päd.Personal - Leitung'!$A$35</f>
        <v>Jul 2025</v>
      </c>
      <c r="B275" s="22">
        <f>ROUND(IF(P252=0,0,IFERROR((((LOOKUP(2,1/(A254:A257=A275),G254:G257))*P252*4.348)*50%),B274/P251*P252)),2)</f>
        <v>0</v>
      </c>
      <c r="C275" s="21">
        <f>ROUND(IFERROR((LOOKUP(2,1/(A260=A275),E260)),0)+IFERROR((LOOKUP(2,1/(A261=A275),E261)),0),2)</f>
        <v>0</v>
      </c>
      <c r="D275" s="21">
        <f>ROUND(IF(B275=0,0,D268/M247*P252*50%),2)</f>
        <v>0</v>
      </c>
      <c r="E275" s="21">
        <f>ROUND(IF(B275=0,0,E268/N243*P252*50%),2)</f>
        <v>0</v>
      </c>
      <c r="F275" s="22">
        <f>ROUND(IF(P252=0,0,IFERROR((((LOOKUP(2,1/(A254:A257=A275),I254:I257))/N243*P252)*50%),F274/P251*P252)),2)</f>
        <v>0</v>
      </c>
      <c r="G275" s="25">
        <f t="shared" si="46"/>
        <v>0</v>
      </c>
      <c r="H275" s="831">
        <f>ROUND(SUM(B275:F275)*H268,2)</f>
        <v>0</v>
      </c>
      <c r="I275" s="64">
        <f>ROUND(IF((SUM(B270:F275)*80%)&gt;((SUM(S266:S275))*90%),((((SUM(S266:S275))*90%)-((SUM(B270:F275)-C275))*I268)+((SUM(B275:F275)-C275)*I268)*80%),((SUM(B275:F275)-C275)*I268)*80%),2)</f>
        <v>0</v>
      </c>
      <c r="J275" s="831">
        <f>ROUND(SUM(B275:F275)*J268,2)</f>
        <v>0</v>
      </c>
      <c r="K275" s="831">
        <f>ROUND(SUM(B275:F275)*K268,2)</f>
        <v>0</v>
      </c>
      <c r="L275" s="831">
        <f>ROUND(SUM(B275:F275)*L268,2)</f>
        <v>0</v>
      </c>
      <c r="M275" s="831">
        <f>ROUND((SUM(B275:F275)-C275)*M268,2)</f>
        <v>0</v>
      </c>
      <c r="N275" s="21">
        <f>ROUND((B275+E275+F275)*N268,2)</f>
        <v>0</v>
      </c>
      <c r="O275" s="21">
        <f>ROUND(SUM(B275+C275+F275)*O268,2)</f>
        <v>0</v>
      </c>
      <c r="P275" s="25">
        <f t="shared" si="48"/>
        <v>0</v>
      </c>
      <c r="Q275" s="456"/>
      <c r="R275" s="140">
        <f>ROUND(IF(M247="",R263,R263/M247*P252),2)</f>
        <v>5175</v>
      </c>
      <c r="S275" s="140">
        <f>ROUND(IF(M247="",R264,R264/M247*P252),2)</f>
        <v>7450</v>
      </c>
    </row>
    <row r="276" spans="1:19" s="18" customFormat="1" hidden="1" x14ac:dyDescent="0.2">
      <c r="A276" s="76" t="str">
        <f>'päd.Personal - Leitung'!$A$36</f>
        <v>Aug 2025</v>
      </c>
      <c r="B276" s="22">
        <f>ROUND(IF(P253=0,0,IFERROR((((LOOKUP(2,1/(A254:A257=A276),G254:G257))*P253*4.348)*50%),B275/P252*P253)),2)</f>
        <v>0</v>
      </c>
      <c r="C276" s="21">
        <f>ROUND(IFERROR((LOOKUP(2,1/(A260=A276),E260)),0)+IFERROR((LOOKUP(2,1/(A261=A276),E261)),0),2)</f>
        <v>0</v>
      </c>
      <c r="D276" s="21">
        <f>ROUND(IF(B276=0,0,D268/M247*P253*50%),2)</f>
        <v>0</v>
      </c>
      <c r="E276" s="21">
        <f>ROUND(IF(B276=0,0,E268/N243*P253*50%),2)</f>
        <v>0</v>
      </c>
      <c r="F276" s="22">
        <f>ROUND(IF(P253=0,0,IFERROR((((LOOKUP(2,1/(A254:A257=A276),I254:I257))/N243*P253)*50%),F275/P252*P253)),2)</f>
        <v>0</v>
      </c>
      <c r="G276" s="25">
        <f t="shared" si="46"/>
        <v>0</v>
      </c>
      <c r="H276" s="831">
        <f>ROUND(SUM(B276:F276)*H268,2)</f>
        <v>0</v>
      </c>
      <c r="I276" s="64">
        <f>ROUND(IF((SUM(B270:F276)*80%)&gt;((SUM(S266:S276))*90%),((((SUM(S266:S276))*90%)-((SUM(B270:F276)-C276))*I268)+((SUM(B276:F276)-C276)*I268)*80%),((SUM(B276:F276)-C276)*I268)*80%),2)</f>
        <v>0</v>
      </c>
      <c r="J276" s="831">
        <f>ROUND(SUM(B276:F276)*J268,2)</f>
        <v>0</v>
      </c>
      <c r="K276" s="831">
        <f>ROUND(SUM(B276:F276)*K268,2)</f>
        <v>0</v>
      </c>
      <c r="L276" s="831">
        <f>ROUND(SUM(B276:F276)*L268,2)</f>
        <v>0</v>
      </c>
      <c r="M276" s="831">
        <f>ROUND((SUM(B276:F276)-C276)*M268,2)</f>
        <v>0</v>
      </c>
      <c r="N276" s="21">
        <f>ROUND((B276+E276+F276)*N268,2)</f>
        <v>0</v>
      </c>
      <c r="O276" s="21">
        <f>ROUND(SUM(B276+C276+F276)*O268,2)</f>
        <v>0</v>
      </c>
      <c r="P276" s="25">
        <f t="shared" si="48"/>
        <v>0</v>
      </c>
      <c r="Q276" s="456"/>
      <c r="R276" s="140">
        <f>ROUND(IF(M247="",R263,R263/M247*P253),2)</f>
        <v>5175</v>
      </c>
      <c r="S276" s="140">
        <f>ROUND(IF(M247="",R264,R264/M247*P253),2)</f>
        <v>7450</v>
      </c>
    </row>
    <row r="277" spans="1:19" s="18" customFormat="1" hidden="1" x14ac:dyDescent="0.2">
      <c r="A277" s="76" t="str">
        <f>'päd.Personal - Leitung'!$A$37</f>
        <v>Sep 2025</v>
      </c>
      <c r="B277" s="22">
        <f>ROUND(IF(P254=0,0,IFERROR((((LOOKUP(2,1/(A254:A257=A277),G254:G257))*P254*4.348)*50%),B276/P253*P254)),2)</f>
        <v>0</v>
      </c>
      <c r="C277" s="21">
        <f>ROUND(IFERROR((LOOKUP(2,1/(A260=A277),E260)),0)+IFERROR((LOOKUP(2,1/(A261=A277),E261)),0),2)</f>
        <v>0</v>
      </c>
      <c r="D277" s="21">
        <f>ROUND(IF(B277=0,0,D268/M247*P254*50%),2)</f>
        <v>0</v>
      </c>
      <c r="E277" s="21">
        <f>ROUND(IF(B277=0,0,E268/N243*P254*50%),2)</f>
        <v>0</v>
      </c>
      <c r="F277" s="22">
        <f>ROUND(IF(P254=0,0,IFERROR((((LOOKUP(2,1/(A254:A257=A277),I254:I257))/N243*P254)*50%),F276/P253*P254)),2)</f>
        <v>0</v>
      </c>
      <c r="G277" s="25">
        <f t="shared" si="46"/>
        <v>0</v>
      </c>
      <c r="H277" s="831">
        <f>ROUND(SUM(B277:F277)*H268,2)</f>
        <v>0</v>
      </c>
      <c r="I277" s="64">
        <f>ROUND(IF((SUM(B270:F277)*80%)&gt;((SUM(S266:S277))*90%),((((SUM(S266:S277))*90%)-((SUM(B270:F277)-C277))*I268)+((SUM(B277:F277)-C277)*I268)*80%),((SUM(B277:F277)-C277)*I268)*80%),2)</f>
        <v>0</v>
      </c>
      <c r="J277" s="831">
        <f>ROUND(SUM(B277:F277)*J268,2)</f>
        <v>0</v>
      </c>
      <c r="K277" s="831">
        <f>ROUND(SUM(B277:F277)*K268,2)</f>
        <v>0</v>
      </c>
      <c r="L277" s="831">
        <f>ROUND(SUM(B277:F277)*L268,2)</f>
        <v>0</v>
      </c>
      <c r="M277" s="831">
        <f>ROUND((SUM(B277:F277)-C277)*M268,2)</f>
        <v>0</v>
      </c>
      <c r="N277" s="21">
        <f>ROUND((B277+E277+F277)*N268,2)</f>
        <v>0</v>
      </c>
      <c r="O277" s="21">
        <f>ROUND(SUM(B277+C277+F277)*O268,2)</f>
        <v>0</v>
      </c>
      <c r="P277" s="25">
        <f t="shared" si="48"/>
        <v>0</v>
      </c>
      <c r="Q277" s="456"/>
      <c r="R277" s="140">
        <f>ROUND(IF(M247="",R263,R263/M247*P254),2)</f>
        <v>5175</v>
      </c>
      <c r="S277" s="140">
        <f>ROUND(IF(M247="",R264,R264/M247*P254),2)</f>
        <v>7450</v>
      </c>
    </row>
    <row r="278" spans="1:19" s="18" customFormat="1" hidden="1" x14ac:dyDescent="0.2">
      <c r="A278" s="76" t="str">
        <f>'päd.Personal - Leitung'!$A$38</f>
        <v>Okt 2025</v>
      </c>
      <c r="B278" s="22">
        <f>ROUND(IF(P255=0,0,IFERROR((((LOOKUP(2,1/(A254:A257=A278),G254:G257))*P255*4.348)*50%),B277/P254*P255)),2)</f>
        <v>0</v>
      </c>
      <c r="C278" s="21">
        <f>ROUND(IFERROR((LOOKUP(2,1/(A260=A278),E260)),0)+IFERROR((LOOKUP(2,1/(A261=A278),E261)),0),2)</f>
        <v>0</v>
      </c>
      <c r="D278" s="21">
        <f>ROUND(IF(B278=0,0,D268/M247*P255*50%),2)</f>
        <v>0</v>
      </c>
      <c r="E278" s="21">
        <f>ROUND(IF(B278=0,0,E268/N243*P255*50%),2)</f>
        <v>0</v>
      </c>
      <c r="F278" s="22">
        <f>ROUND(IF(P255=0,0,IFERROR((((LOOKUP(2,1/(A254:A257=A278),I254:I257))/N243*P255)*50%),F277/P254*P255)),2)</f>
        <v>0</v>
      </c>
      <c r="G278" s="25">
        <f t="shared" si="46"/>
        <v>0</v>
      </c>
      <c r="H278" s="831">
        <f>ROUND(SUM(B278:F278)*H268,2)</f>
        <v>0</v>
      </c>
      <c r="I278" s="64">
        <f>ROUND(IF((SUM(B270:F278)*80%)&gt;((SUM(S266:S278))*90%),((((SUM(S266:S278))*90%)-((SUM(B270:F278)-C278))*I268)+((SUM(B278:F278)-C278)*I268)*80%),((SUM(B278:F278)-C278)*I268)*80%),2)</f>
        <v>0</v>
      </c>
      <c r="J278" s="831">
        <f>ROUND(SUM(B278:F278)*J268,2)</f>
        <v>0</v>
      </c>
      <c r="K278" s="831">
        <f>ROUND(SUM(B278:F278)*K268,2)</f>
        <v>0</v>
      </c>
      <c r="L278" s="831">
        <f>ROUND(SUM(B278:F278)*L268,2)</f>
        <v>0</v>
      </c>
      <c r="M278" s="831">
        <f>ROUND((SUM(B278:F278)-C278)*M268,2)</f>
        <v>0</v>
      </c>
      <c r="N278" s="21">
        <f>ROUND((B278+E278+F278)*N268,2)</f>
        <v>0</v>
      </c>
      <c r="O278" s="21">
        <f>ROUND(SUM(B278+C278+F278)*O268,2)</f>
        <v>0</v>
      </c>
      <c r="P278" s="25">
        <f t="shared" si="48"/>
        <v>0</v>
      </c>
      <c r="Q278" s="936"/>
      <c r="R278" s="140">
        <f>ROUND(IF(M247="",R263,R263/M247*P255),2)</f>
        <v>5175</v>
      </c>
      <c r="S278" s="140">
        <f>ROUND(IF(M247="",R264,R264/M247*P255),2)</f>
        <v>7450</v>
      </c>
    </row>
    <row r="279" spans="1:19" s="18" customFormat="1" hidden="1" x14ac:dyDescent="0.2">
      <c r="A279" s="76" t="str">
        <f>'päd.Personal - Leitung'!$A$39</f>
        <v>Nov 2025</v>
      </c>
      <c r="B279" s="22">
        <f>ROUND(IF(P256=0,0,IFERROR((((LOOKUP(2,1/(A254:A257=A279),G254:G257))*P256*4.348)*50%),B278/P255*P256)),2)</f>
        <v>0</v>
      </c>
      <c r="C279" s="21">
        <f>ROUND(IFERROR((LOOKUP(2,1/(A260=A279),E260)),0)+(IFERROR((LOOKUP(2,1/(A261=A279),E261)),0)),2)</f>
        <v>0</v>
      </c>
      <c r="D279" s="21">
        <f>ROUND(IF(B279=0,0,D268/M247*P256*50%),2)</f>
        <v>0</v>
      </c>
      <c r="E279" s="21">
        <f>ROUND(IF(B279=0,0,E268/N243*P256*50%),2)</f>
        <v>0</v>
      </c>
      <c r="F279" s="22">
        <f>ROUND(IF(P256=0,0,IFERROR((((LOOKUP(2,1/(A254:A257=A279),I254:I257))/N243*P256)*50%),F278/P255*P256)),2)</f>
        <v>0</v>
      </c>
      <c r="G279" s="25">
        <f t="shared" si="46"/>
        <v>0</v>
      </c>
      <c r="H279" s="831">
        <f>ROUND(SUM(B279:F279)*H268,2)</f>
        <v>0</v>
      </c>
      <c r="I279" s="64">
        <f>ROUND(IF((SUM(B270:F279)*80%)&gt;((SUM(S266:S279))*90%),((((SUM(S266:S279))*90%)-((SUM(B270:F279)-C279))*I268)+((SUM(B279:F279)-C279)*I268)*80%),((SUM(B279:F279)-C279)*I268)*80%),2)</f>
        <v>0</v>
      </c>
      <c r="J279" s="831">
        <f>ROUND(SUM(B279:F279)*J268,2)</f>
        <v>0</v>
      </c>
      <c r="K279" s="831">
        <f>ROUND(SUM(B279:F279)*K268,2)</f>
        <v>0</v>
      </c>
      <c r="L279" s="831">
        <f>ROUND(SUM(B279:F279)*L268,2)</f>
        <v>0</v>
      </c>
      <c r="M279" s="831">
        <f>ROUND((SUM(B279:F279)-C279)*M268,2)</f>
        <v>0</v>
      </c>
      <c r="N279" s="21">
        <f>ROUND((B279+E279+F279)*N268,2)</f>
        <v>0</v>
      </c>
      <c r="O279" s="21">
        <f>ROUND(SUM(B279+C279+F279)*O268,2)</f>
        <v>0</v>
      </c>
      <c r="P279" s="25">
        <f t="shared" si="48"/>
        <v>0</v>
      </c>
      <c r="Q279" s="11"/>
      <c r="R279" s="140">
        <f>ROUND(IF(M247="",R263,R263/M247*P256),2)</f>
        <v>5175</v>
      </c>
      <c r="S279" s="140">
        <f>ROUND(IF(M247="",R264,R264/M247*P256),2)</f>
        <v>7450</v>
      </c>
    </row>
    <row r="280" spans="1:19" s="18" customFormat="1" hidden="1" x14ac:dyDescent="0.2">
      <c r="A280" s="76" t="str">
        <f>'päd.Personal - Leitung'!$A$40</f>
        <v>Dez 2025</v>
      </c>
      <c r="B280" s="22">
        <f>ROUND(IF(P257=0,0,IFERROR((((LOOKUP(2,1/(A254:A257=A280),G254:G257))*P257*4.348)*50%),B279/P256*P257)),2)</f>
        <v>0</v>
      </c>
      <c r="C280" s="21">
        <f>ROUND(IFERROR((LOOKUP(2,1/(A260=A280),E260)),0)+IFERROR((LOOKUP(2,1/(A261=A280),E261)),0),2)</f>
        <v>0</v>
      </c>
      <c r="D280" s="21">
        <f>ROUND(IF(B280=0,0,D268/M247*P257*50%),2)</f>
        <v>0</v>
      </c>
      <c r="E280" s="21">
        <f>ROUND(IF(B280=0,0,E268/N243*P257*50%),2)</f>
        <v>0</v>
      </c>
      <c r="F280" s="22">
        <f>ROUND(IF(P257=0,0,IFERROR((((LOOKUP(2,1/(A254:A257=A280),I254:I257))/N243*P257)*50%),F279/P256*P257)),2)</f>
        <v>0</v>
      </c>
      <c r="G280" s="25">
        <f t="shared" si="46"/>
        <v>0</v>
      </c>
      <c r="H280" s="831">
        <f>ROUND(SUM(B280:F280)*H268,2)</f>
        <v>0</v>
      </c>
      <c r="I280" s="64">
        <f>ROUND(IF((SUM(B270:F280)*80%)&gt;((SUM(S266:S280))*90%),((((SUM(S266:S280))*90%)-((SUM(B270:F280)-C280))*I268)+((SUM(B280:F280)-C280)*I268)*80%),((SUM(B280:F280)-C280)*I268)*80%),2)</f>
        <v>0</v>
      </c>
      <c r="J280" s="831">
        <f>ROUND(SUM(B280:F280)*J268,2)</f>
        <v>0</v>
      </c>
      <c r="K280" s="831">
        <f>ROUND(SUM(B280:F280)*K268,2)</f>
        <v>0</v>
      </c>
      <c r="L280" s="831">
        <f>ROUND(SUM(B280:F280)*L268,2)</f>
        <v>0</v>
      </c>
      <c r="M280" s="831">
        <f>ROUND((SUM(B280:F280)-C280)*M268,2)</f>
        <v>0</v>
      </c>
      <c r="N280" s="21">
        <f>ROUND((B280+E280+F280)*N268,2)</f>
        <v>0</v>
      </c>
      <c r="O280" s="21">
        <f>ROUND(SUM(B280+C280+F280)*O268,2)</f>
        <v>0</v>
      </c>
      <c r="P280" s="25">
        <f t="shared" si="48"/>
        <v>0</v>
      </c>
      <c r="Q280" s="11"/>
      <c r="R280" s="140">
        <f>ROUND(IF(M247="",R263,R263/M247*P257),2)</f>
        <v>5175</v>
      </c>
      <c r="S280" s="140">
        <f>ROUND(IF(M247="",R264,R264/M247*P257),2)</f>
        <v>7450</v>
      </c>
    </row>
    <row r="281" spans="1:19" s="18" customFormat="1" hidden="1" x14ac:dyDescent="0.2">
      <c r="A281" s="2" t="s">
        <v>1</v>
      </c>
      <c r="B281" s="25">
        <f t="shared" ref="B281:G281" si="49">SUM(B269:B280)</f>
        <v>0</v>
      </c>
      <c r="C281" s="25">
        <f t="shared" si="49"/>
        <v>0</v>
      </c>
      <c r="D281" s="25">
        <f t="shared" si="49"/>
        <v>0</v>
      </c>
      <c r="E281" s="25">
        <f t="shared" si="49"/>
        <v>0</v>
      </c>
      <c r="F281" s="25">
        <f t="shared" si="49"/>
        <v>0</v>
      </c>
      <c r="G281" s="25">
        <f t="shared" si="49"/>
        <v>0</v>
      </c>
      <c r="H281" s="1309">
        <f>SUM(H269:M280)</f>
        <v>0</v>
      </c>
      <c r="I281" s="1310"/>
      <c r="J281" s="1310"/>
      <c r="K281" s="1310"/>
      <c r="L281" s="1310"/>
      <c r="M281" s="1310"/>
      <c r="N281" s="25">
        <f>SUM(N269:N280)</f>
        <v>0</v>
      </c>
      <c r="O281" s="25">
        <f>SUM(O269:O280)</f>
        <v>0</v>
      </c>
      <c r="P281" s="25">
        <f>SUM(P269:P280)</f>
        <v>0</v>
      </c>
    </row>
    <row r="282" spans="1:19" s="18" customFormat="1" hidden="1" x14ac:dyDescent="0.2">
      <c r="O282" s="14"/>
      <c r="Q282" s="1021"/>
      <c r="R282" s="1021"/>
      <c r="S282" s="1021"/>
    </row>
    <row r="283" spans="1:19" ht="14.25" hidden="1" customHeight="1" x14ac:dyDescent="0.2">
      <c r="B283" s="906"/>
      <c r="H283" s="905"/>
      <c r="I283" s="62"/>
      <c r="J283" s="914" t="s">
        <v>123</v>
      </c>
      <c r="L283" s="900" t="s">
        <v>124</v>
      </c>
      <c r="M283" s="1032"/>
      <c r="N283" s="902" t="s">
        <v>125</v>
      </c>
      <c r="O283" s="1033"/>
      <c r="P283" s="25">
        <f>ROUND(IF(M283="",0,G281*M283*O283/1000),2)</f>
        <v>0</v>
      </c>
      <c r="Q283" s="1015"/>
      <c r="R283" s="1022"/>
      <c r="S283" s="1016"/>
    </row>
    <row r="284" spans="1:19" ht="14.25" hidden="1" customHeight="1" x14ac:dyDescent="0.2">
      <c r="H284" s="907"/>
      <c r="I284" s="42"/>
      <c r="M284" s="915" t="s">
        <v>129</v>
      </c>
      <c r="N284" s="80" t="s">
        <v>125</v>
      </c>
      <c r="O284" s="1034"/>
      <c r="P284" s="25">
        <f>ROUND(IF(O284="",0,G281*O284/1000),2)</f>
        <v>0</v>
      </c>
      <c r="Q284" s="1023"/>
      <c r="R284" s="65"/>
      <c r="S284" s="1017"/>
    </row>
    <row r="285" spans="1:19" ht="14.25" hidden="1" customHeight="1" x14ac:dyDescent="0.2">
      <c r="H285" s="912" t="s">
        <v>126</v>
      </c>
      <c r="I285" s="1013" t="s">
        <v>127</v>
      </c>
      <c r="J285" s="1037"/>
      <c r="K285" s="902" t="s">
        <v>128</v>
      </c>
      <c r="L285" s="1036"/>
      <c r="M285" s="16"/>
      <c r="N285" s="900" t="s">
        <v>132</v>
      </c>
      <c r="O285" s="1035"/>
      <c r="P285" s="25">
        <f>ROUND(IF(J285="",0,(J285*L285/O285)/M249*M250),2)</f>
        <v>0</v>
      </c>
      <c r="Q285" s="1023"/>
      <c r="R285" s="66"/>
      <c r="S285" s="1016"/>
    </row>
    <row r="286" spans="1:19" ht="14.25" hidden="1" customHeight="1" x14ac:dyDescent="0.2">
      <c r="D286" s="16"/>
      <c r="I286" s="16"/>
      <c r="J286" s="16"/>
      <c r="K286" s="63"/>
      <c r="L286" s="67"/>
      <c r="M286" s="915" t="s">
        <v>130</v>
      </c>
      <c r="N286" s="80" t="s">
        <v>131</v>
      </c>
      <c r="O286" s="904"/>
      <c r="P286" s="21">
        <f>ROUND(IF(G281=0,0,O286/M247*M248),2)</f>
        <v>0</v>
      </c>
      <c r="Q286" s="1023"/>
      <c r="R286" s="1018"/>
      <c r="S286" s="1024"/>
    </row>
    <row r="287" spans="1:19" ht="14.25" hidden="1" customHeight="1" x14ac:dyDescent="0.2">
      <c r="A287" s="16"/>
      <c r="B287" s="16"/>
      <c r="I287" s="905"/>
      <c r="J287" s="961" t="s">
        <v>176</v>
      </c>
      <c r="K287" s="1312"/>
      <c r="L287" s="1312"/>
      <c r="M287" s="1312"/>
      <c r="N287" s="80" t="s">
        <v>131</v>
      </c>
      <c r="O287" s="904"/>
      <c r="P287" s="21">
        <f>ROUND(IF(G281=0,0,O287/M247*M248),2)</f>
        <v>0</v>
      </c>
      <c r="Q287" s="1023"/>
      <c r="R287" s="1019"/>
      <c r="S287" s="1020"/>
    </row>
    <row r="288" spans="1:19" ht="14.25" hidden="1" customHeight="1" x14ac:dyDescent="0.2">
      <c r="A288" s="908"/>
      <c r="B288" s="908"/>
      <c r="C288" s="1013"/>
      <c r="D288" s="1013"/>
      <c r="I288" s="913"/>
      <c r="J288" s="913"/>
      <c r="K288" s="916"/>
      <c r="L288" s="27"/>
      <c r="M288" s="27"/>
      <c r="N288" s="27"/>
      <c r="O288" s="26" t="s">
        <v>0</v>
      </c>
      <c r="P288" s="25">
        <f>P281+SUM(P283:P287)</f>
        <v>0</v>
      </c>
    </row>
    <row r="289" spans="1:19" s="10" customFormat="1" ht="13.5" hidden="1" customHeight="1" x14ac:dyDescent="0.2">
      <c r="A289" s="1321" t="s">
        <v>17</v>
      </c>
      <c r="B289" s="1321"/>
      <c r="C289" s="1321"/>
      <c r="D289" s="1320" t="str">
        <f>IF('päd.Personal - Leitung'!$D$1="","",'päd.Personal - Leitung'!$D$1)</f>
        <v/>
      </c>
      <c r="E289" s="1320"/>
      <c r="F289" s="1320"/>
      <c r="G289" s="1320"/>
      <c r="H289" s="1320"/>
      <c r="I289" s="1320"/>
      <c r="J289" s="1320"/>
      <c r="K289" s="1320"/>
      <c r="L289" s="1320"/>
      <c r="M289" s="1320"/>
      <c r="N289" s="1320"/>
    </row>
    <row r="290" spans="1:19" s="10" customFormat="1" ht="15" hidden="1" customHeight="1" x14ac:dyDescent="0.2">
      <c r="A290" s="1321" t="s">
        <v>16</v>
      </c>
      <c r="B290" s="1321"/>
      <c r="C290" s="1321" t="s">
        <v>14</v>
      </c>
      <c r="D290" s="1320" t="str">
        <f>IF('päd.Personal - Leitung'!$D$2="","",'päd.Personal - Leitung'!$D$2)</f>
        <v/>
      </c>
      <c r="E290" s="1320"/>
      <c r="F290" s="1320"/>
      <c r="G290" s="1320"/>
      <c r="H290" s="1320"/>
      <c r="I290" s="1320"/>
      <c r="J290" s="1320"/>
      <c r="K290" s="1320"/>
      <c r="L290" s="1320"/>
      <c r="M290" s="1320"/>
      <c r="N290" s="1320"/>
    </row>
    <row r="291" spans="1:19" s="10" customFormat="1" ht="15" hidden="1" customHeight="1" x14ac:dyDescent="0.2">
      <c r="A291" s="1321" t="s">
        <v>15</v>
      </c>
      <c r="B291" s="1321"/>
      <c r="C291" s="1321" t="s">
        <v>14</v>
      </c>
      <c r="D291" s="1320" t="str">
        <f>IF('päd.Personal - Leitung'!$D$3="","",'päd.Personal - Leitung'!$D$3)</f>
        <v/>
      </c>
      <c r="E291" s="1320"/>
      <c r="F291" s="1320"/>
      <c r="G291" s="1320"/>
      <c r="H291" s="1320"/>
      <c r="I291" s="1320"/>
      <c r="J291" s="1320"/>
      <c r="K291" s="1321" t="s">
        <v>100</v>
      </c>
      <c r="L291" s="1321"/>
      <c r="M291" s="1321"/>
      <c r="N291" s="38" t="str">
        <f>IF('päd.Personal - Leitung'!$N$3="","",'päd.Personal - Leitung'!$N$3)</f>
        <v/>
      </c>
    </row>
    <row r="292" spans="1:19" s="923" customFormat="1" ht="7.5" hidden="1" customHeight="1" x14ac:dyDescent="0.15">
      <c r="A292" s="1353"/>
      <c r="B292" s="1353"/>
      <c r="C292" s="1353"/>
      <c r="D292" s="1354"/>
      <c r="E292" s="1354"/>
      <c r="F292" s="1354"/>
      <c r="G292" s="1354"/>
      <c r="H292" s="1354"/>
      <c r="I292" s="1354"/>
      <c r="J292" s="1354"/>
      <c r="K292" s="922"/>
      <c r="L292" s="922"/>
      <c r="M292" s="922"/>
      <c r="N292" s="922"/>
      <c r="O292" s="922"/>
      <c r="P292" s="922"/>
    </row>
    <row r="293" spans="1:19" s="18" customFormat="1" hidden="1" x14ac:dyDescent="0.2">
      <c r="A293" s="1355" t="s">
        <v>192</v>
      </c>
      <c r="B293" s="1355"/>
      <c r="C293" s="1355"/>
      <c r="D293" s="1355"/>
      <c r="E293" s="1355"/>
      <c r="F293" s="1355"/>
      <c r="G293" s="1355"/>
      <c r="H293" s="1355"/>
      <c r="I293" s="1355"/>
      <c r="J293" s="1355"/>
      <c r="K293" s="1355"/>
      <c r="L293" s="1355"/>
      <c r="M293" s="1355"/>
      <c r="N293" s="52"/>
      <c r="O293" s="138">
        <f>'päd.Personal - Leitung'!$O$5</f>
        <v>2025</v>
      </c>
      <c r="P293" s="52" t="s">
        <v>140</v>
      </c>
    </row>
    <row r="294" spans="1:19" s="8" customFormat="1" ht="13.5" hidden="1" customHeight="1" x14ac:dyDescent="0.25">
      <c r="B294" s="29"/>
      <c r="C294" s="29"/>
      <c r="D294" s="3" t="s">
        <v>66</v>
      </c>
      <c r="E294" s="28"/>
      <c r="F294" s="28"/>
      <c r="G294" s="28"/>
      <c r="H294" s="28"/>
      <c r="I294" s="24"/>
      <c r="K294" s="1327" t="s">
        <v>13</v>
      </c>
      <c r="L294" s="1327"/>
      <c r="M294" s="131"/>
      <c r="O294" s="928" t="str">
        <f>A317</f>
        <v>Jan 2025</v>
      </c>
      <c r="P294" s="68">
        <f>IF(M296="","",M296)</f>
        <v>0</v>
      </c>
    </row>
    <row r="295" spans="1:19" s="5" customFormat="1" ht="13.5" hidden="1" customHeight="1" x14ac:dyDescent="0.25">
      <c r="A295" s="1328" t="s">
        <v>754</v>
      </c>
      <c r="B295" s="1328"/>
      <c r="C295" s="1328"/>
      <c r="D295" s="1329"/>
      <c r="E295" s="1329"/>
      <c r="F295" s="1329"/>
      <c r="G295" s="1329"/>
      <c r="H295" s="1329"/>
      <c r="I295" s="1329"/>
      <c r="K295" s="1327" t="s">
        <v>101</v>
      </c>
      <c r="L295" s="1327"/>
      <c r="M295" s="101"/>
      <c r="O295" s="928" t="str">
        <f t="shared" ref="O295:O305" si="50">A318</f>
        <v>Feb 2025</v>
      </c>
      <c r="P295" s="69">
        <f t="shared" ref="P295:P305" si="51">IF(P294="","",P294)</f>
        <v>0</v>
      </c>
    </row>
    <row r="296" spans="1:19" ht="13.5" hidden="1" customHeight="1" x14ac:dyDescent="0.2">
      <c r="A296" s="1328" t="s">
        <v>12</v>
      </c>
      <c r="B296" s="1328"/>
      <c r="C296" s="1328"/>
      <c r="D296" s="1345"/>
      <c r="E296" s="1345"/>
      <c r="F296" s="1345"/>
      <c r="G296" s="1345"/>
      <c r="H296" s="1345"/>
      <c r="I296" s="1345"/>
      <c r="K296" s="1327" t="s">
        <v>149</v>
      </c>
      <c r="L296" s="1327"/>
      <c r="M296" s="101">
        <f>IF((M297+M298)&gt;M295,0,M295-M297-M298)</f>
        <v>0</v>
      </c>
      <c r="O296" s="928" t="str">
        <f t="shared" si="50"/>
        <v>Mrz 2025</v>
      </c>
      <c r="P296" s="69">
        <f t="shared" si="51"/>
        <v>0</v>
      </c>
    </row>
    <row r="297" spans="1:19" ht="13.5" hidden="1" customHeight="1" x14ac:dyDescent="0.2">
      <c r="A297" s="1328" t="s">
        <v>11</v>
      </c>
      <c r="B297" s="1328"/>
      <c r="C297" s="1328"/>
      <c r="D297" s="1345"/>
      <c r="E297" s="1345"/>
      <c r="F297" s="1345"/>
      <c r="G297" s="1345"/>
      <c r="H297" s="1345"/>
      <c r="I297" s="1345"/>
      <c r="K297" s="1327" t="s">
        <v>150</v>
      </c>
      <c r="L297" s="1327"/>
      <c r="M297" s="101"/>
      <c r="O297" s="928" t="str">
        <f t="shared" si="50"/>
        <v>Apr 2025</v>
      </c>
      <c r="P297" s="69">
        <f t="shared" si="51"/>
        <v>0</v>
      </c>
    </row>
    <row r="298" spans="1:19" ht="13.5" hidden="1" customHeight="1" x14ac:dyDescent="0.2">
      <c r="A298" s="1328" t="s">
        <v>18</v>
      </c>
      <c r="B298" s="1328"/>
      <c r="C298" s="1328"/>
      <c r="D298" s="1345"/>
      <c r="E298" s="1345"/>
      <c r="F298" s="1345"/>
      <c r="G298" s="1345"/>
      <c r="H298" s="1345"/>
      <c r="I298" s="1345"/>
      <c r="K298" s="1327" t="s">
        <v>222</v>
      </c>
      <c r="L298" s="1327"/>
      <c r="M298" s="101"/>
      <c r="O298" s="928" t="str">
        <f t="shared" si="50"/>
        <v>Mai 2025</v>
      </c>
      <c r="P298" s="69">
        <f t="shared" si="51"/>
        <v>0</v>
      </c>
    </row>
    <row r="299" spans="1:19" ht="13.5" hidden="1" customHeight="1" x14ac:dyDescent="0.2">
      <c r="B299" s="6"/>
      <c r="C299" s="1012" t="s">
        <v>147</v>
      </c>
      <c r="D299" s="1324"/>
      <c r="E299" s="1324"/>
      <c r="F299" s="1359" t="s">
        <v>108</v>
      </c>
      <c r="G299" s="1359"/>
      <c r="H299" s="1361"/>
      <c r="I299" s="1361"/>
      <c r="K299" s="1327" t="s">
        <v>94</v>
      </c>
      <c r="L299" s="1327"/>
      <c r="M299" s="15" t="str">
        <f>IF(IF((COUNTIF(B317:B328,"&gt;0"))=0,0,(COUNTIF(B317:B328,"&gt;0")))&gt;Grundlagen!$C$26,Grundlagen!$C$26,IF((COUNTIF(B317:B328,"&gt;0"))=0,"",(COUNTIF(B317:B328,"&gt;0"))))</f>
        <v/>
      </c>
      <c r="O299" s="928" t="str">
        <f t="shared" si="50"/>
        <v>Jun 2025</v>
      </c>
      <c r="P299" s="69">
        <f t="shared" si="51"/>
        <v>0</v>
      </c>
    </row>
    <row r="300" spans="1:19" ht="13.5" hidden="1" customHeight="1" x14ac:dyDescent="0.2">
      <c r="F300" s="1359" t="s">
        <v>213</v>
      </c>
      <c r="G300" s="1359"/>
      <c r="H300" s="1361"/>
      <c r="I300" s="1361"/>
      <c r="M300" s="102" t="str">
        <f>IF((SUM(F302:F305))=0,"",IF(P306&gt;M296,M296,IF(M296="","",IF(M299="","",P306))))</f>
        <v/>
      </c>
      <c r="O300" s="928" t="str">
        <f t="shared" si="50"/>
        <v>Jul 2025</v>
      </c>
      <c r="P300" s="69">
        <f t="shared" si="51"/>
        <v>0</v>
      </c>
    </row>
    <row r="301" spans="1:19" s="46" customFormat="1" ht="13.5" hidden="1" customHeight="1" x14ac:dyDescent="0.2">
      <c r="A301" s="54" t="s">
        <v>134</v>
      </c>
      <c r="B301" s="1356" t="s">
        <v>135</v>
      </c>
      <c r="C301" s="1356"/>
      <c r="D301" s="55" t="s">
        <v>136</v>
      </c>
      <c r="E301" s="56" t="s">
        <v>137</v>
      </c>
      <c r="F301" s="57" t="str">
        <f>CONCATENATE("Entg. ",N291," h/Wo")</f>
        <v>Entg.  h/Wo</v>
      </c>
      <c r="G301" s="58" t="s">
        <v>138</v>
      </c>
      <c r="I301" s="58" t="s">
        <v>139</v>
      </c>
      <c r="K301" s="970"/>
      <c r="L301" s="970"/>
      <c r="M301" s="59"/>
      <c r="N301" s="968" t="str">
        <f>IF(A303="","",A303)</f>
        <v/>
      </c>
      <c r="O301" s="928" t="str">
        <f t="shared" si="50"/>
        <v>Aug 2025</v>
      </c>
      <c r="P301" s="69">
        <f t="shared" si="51"/>
        <v>0</v>
      </c>
      <c r="Q301" s="1027"/>
      <c r="R301" s="1025"/>
      <c r="S301" s="1025"/>
    </row>
    <row r="302" spans="1:19" s="46" customFormat="1" ht="13.5" hidden="1" customHeight="1" x14ac:dyDescent="0.25">
      <c r="A302" s="48" t="str">
        <f>A317</f>
        <v>Jan 2025</v>
      </c>
      <c r="B302" s="1357" t="str">
        <f>IF($D$3="","",$D$3)</f>
        <v/>
      </c>
      <c r="C302" s="1358"/>
      <c r="D302" s="132"/>
      <c r="E302" s="132"/>
      <c r="F302" s="71"/>
      <c r="G302" s="50">
        <f>IF(N291="",0,F302/N291/4.348)</f>
        <v>0</v>
      </c>
      <c r="I302" s="51">
        <f>SUM(J302:M302)</f>
        <v>0</v>
      </c>
      <c r="J302" s="70"/>
      <c r="K302" s="70"/>
      <c r="L302" s="70"/>
      <c r="M302" s="70"/>
      <c r="N302" s="983"/>
      <c r="O302" s="928" t="str">
        <f t="shared" si="50"/>
        <v>Sep 2025</v>
      </c>
      <c r="P302" s="69">
        <f t="shared" si="51"/>
        <v>0</v>
      </c>
      <c r="Q302" s="1026"/>
      <c r="R302" s="829"/>
      <c r="S302" s="1028"/>
    </row>
    <row r="303" spans="1:19" s="46" customFormat="1" ht="13.5" hidden="1" customHeight="1" x14ac:dyDescent="0.25">
      <c r="A303" s="49"/>
      <c r="B303" s="1322" t="str">
        <f>IF(A303="","",B302)</f>
        <v/>
      </c>
      <c r="C303" s="1323"/>
      <c r="D303" s="132"/>
      <c r="E303" s="132"/>
      <c r="F303" s="71"/>
      <c r="G303" s="50">
        <f>IF(N291="",0,F303/N291/4.348)</f>
        <v>0</v>
      </c>
      <c r="I303" s="51">
        <f t="shared" ref="I303:I305" si="52">SUM(J303:M303)</f>
        <v>0</v>
      </c>
      <c r="J303" s="70"/>
      <c r="K303" s="70"/>
      <c r="L303" s="70"/>
      <c r="M303" s="70"/>
      <c r="N303" s="983"/>
      <c r="O303" s="928" t="str">
        <f t="shared" si="50"/>
        <v>Okt 2025</v>
      </c>
      <c r="P303" s="69">
        <f t="shared" si="51"/>
        <v>0</v>
      </c>
      <c r="Q303" s="1026"/>
      <c r="R303" s="829"/>
      <c r="S303" s="1028"/>
    </row>
    <row r="304" spans="1:19" s="46" customFormat="1" ht="13.5" hidden="1" customHeight="1" x14ac:dyDescent="0.25">
      <c r="A304" s="49"/>
      <c r="B304" s="1322" t="str">
        <f>IF(A304="","",B303)</f>
        <v/>
      </c>
      <c r="C304" s="1323"/>
      <c r="D304" s="132"/>
      <c r="E304" s="132"/>
      <c r="F304" s="71"/>
      <c r="G304" s="50">
        <f>IF(N291="",0,F304/N291/4.348)</f>
        <v>0</v>
      </c>
      <c r="I304" s="51">
        <f t="shared" si="52"/>
        <v>0</v>
      </c>
      <c r="J304" s="70"/>
      <c r="K304" s="70"/>
      <c r="L304" s="70"/>
      <c r="M304" s="70"/>
      <c r="N304" s="983"/>
      <c r="O304" s="928" t="str">
        <f t="shared" si="50"/>
        <v>Nov 2025</v>
      </c>
      <c r="P304" s="69">
        <f t="shared" si="51"/>
        <v>0</v>
      </c>
      <c r="Q304" s="828"/>
      <c r="R304" s="829"/>
      <c r="S304" s="829"/>
    </row>
    <row r="305" spans="1:20" s="46" customFormat="1" ht="13.5" hidden="1" customHeight="1" x14ac:dyDescent="0.25">
      <c r="A305" s="49"/>
      <c r="B305" s="1322" t="str">
        <f>IF(A305="","",B304)</f>
        <v/>
      </c>
      <c r="C305" s="1323"/>
      <c r="D305" s="132"/>
      <c r="E305" s="132"/>
      <c r="F305" s="71"/>
      <c r="G305" s="50">
        <f>IF(N291="",0,F305/N291/4.348)</f>
        <v>0</v>
      </c>
      <c r="I305" s="51">
        <f t="shared" si="52"/>
        <v>0</v>
      </c>
      <c r="J305" s="70"/>
      <c r="K305" s="70"/>
      <c r="L305" s="70"/>
      <c r="M305" s="70"/>
      <c r="N305" s="983"/>
      <c r="O305" s="928" t="str">
        <f t="shared" si="50"/>
        <v>Dez 2025</v>
      </c>
      <c r="P305" s="69">
        <f t="shared" si="51"/>
        <v>0</v>
      </c>
      <c r="Q305" s="276"/>
      <c r="R305" s="827"/>
      <c r="S305" s="827"/>
    </row>
    <row r="306" spans="1:20" s="46" customFormat="1" ht="13.5" hidden="1" customHeight="1" x14ac:dyDescent="0.25">
      <c r="B306" s="972"/>
      <c r="C306" s="972"/>
      <c r="E306" s="972"/>
      <c r="F306" s="972"/>
      <c r="I306" s="930" t="s">
        <v>730</v>
      </c>
      <c r="J306" s="982"/>
      <c r="K306" s="982"/>
      <c r="L306" s="982"/>
      <c r="M306" s="982"/>
      <c r="N306" s="994"/>
      <c r="O306" s="126" t="s">
        <v>221</v>
      </c>
      <c r="P306" s="127">
        <f>IF(M299="",0,((IF(SUMIF(B317,"&gt;0"),P294,0))+(IF(SUMIF(B318,"&gt;0"),P295,0))+(IF(SUMIF(B319,"&gt;0"),P296,0))+(IF(SUMIF(B320,"&gt;0"),P297,0))+(IF(SUMIF(B321,"&gt;0"),P298,0))+(IF(SUMIF(B322,"&gt;0"),P299,0))+(IF(SUMIF(B323,"&gt;0"),P300,0))+(IF(SUMIF(B324,"&gt;0"),P301,0))+(IF(SUMIF(B325,"&gt;0"),P302,0))+(IF(SUMIF(B326,"&gt;0"),P303,0))+(IF(SUMIF(B327,"&gt;0"),P304,0))+(IF(SUMIF(B328,"&gt;0"),P305,0)))/Grundlagen!$C$26)</f>
        <v>0</v>
      </c>
      <c r="Q306" s="1009" t="str">
        <f>CONCATENATE("BBG"," anteilig ",O308)</f>
        <v>BBG anteilig 2025</v>
      </c>
      <c r="R306" s="931" t="s">
        <v>659</v>
      </c>
      <c r="S306" s="931" t="s">
        <v>398</v>
      </c>
      <c r="T306" s="107"/>
    </row>
    <row r="307" spans="1:20" s="46" customFormat="1" ht="13.5" hidden="1" customHeight="1" x14ac:dyDescent="0.2">
      <c r="A307" s="924" t="s">
        <v>732</v>
      </c>
      <c r="D307" s="55" t="s">
        <v>369</v>
      </c>
      <c r="E307" s="56" t="s">
        <v>368</v>
      </c>
      <c r="F307" s="58"/>
      <c r="J307" s="61"/>
      <c r="Q307" s="932" t="s">
        <v>144</v>
      </c>
      <c r="R307" s="140">
        <f>IF(M296=0,R311,IF(M295="",R311,(SUM(R317:R328)/M299)))</f>
        <v>5175</v>
      </c>
      <c r="S307" s="933">
        <f>IF(M296=0,S311,IF(M295="",S311,SUM(R317:R328)))</f>
        <v>0</v>
      </c>
      <c r="T307" s="107"/>
    </row>
    <row r="308" spans="1:20" s="46" customFormat="1" ht="13.5" hidden="1" customHeight="1" x14ac:dyDescent="0.25">
      <c r="A308" s="60"/>
      <c r="B308" s="1314" t="str">
        <f>IF($B$20="","",$B$20)</f>
        <v>Jahressonderzahlung (JSZ)</v>
      </c>
      <c r="C308" s="1315"/>
      <c r="D308" s="926"/>
      <c r="E308" s="929" t="str">
        <f>IF(A308="","",ROUND((((SUM(B323:B325)+SUM(F323:F325))/3)*D308)/Grundlagen!$C$26*M299,2))</f>
        <v/>
      </c>
      <c r="N308" s="917" t="s">
        <v>736</v>
      </c>
      <c r="O308" s="918">
        <f>P308+1</f>
        <v>2025</v>
      </c>
      <c r="P308" s="918" t="s">
        <v>721</v>
      </c>
      <c r="Q308" s="932" t="s">
        <v>145</v>
      </c>
      <c r="R308" s="140">
        <f>IF(M296=0,R312,IF(M295="",R312,(SUM(S317:S328)/M299)))</f>
        <v>7450</v>
      </c>
      <c r="S308" s="933">
        <f>IF(M296=0,S312,IF(M295="",S312,SUM(S317:S328)))</f>
        <v>0</v>
      </c>
      <c r="T308" s="109"/>
    </row>
    <row r="309" spans="1:20" s="18" customFormat="1" ht="14.25" hidden="1" customHeight="1" x14ac:dyDescent="0.2">
      <c r="A309" s="60"/>
      <c r="B309" s="1314" t="str">
        <f>IF($B$21="","",$B$21)</f>
        <v>Leistungsentgelt (LOB)</v>
      </c>
      <c r="C309" s="1315"/>
      <c r="D309" s="926"/>
      <c r="E309" s="929" t="str">
        <f>IF(A309="","",ROUND(((B329+F329)*D309)/Grundlagen!$C$26*M299,2))</f>
        <v/>
      </c>
      <c r="F309" s="1"/>
      <c r="N309" s="139" t="s">
        <v>144</v>
      </c>
      <c r="O309" s="141">
        <f>'päd.Personal - Leitung'!$O$21</f>
        <v>5175</v>
      </c>
      <c r="P309" s="141">
        <f>'päd.Personal - Leitung'!$P$21</f>
        <v>5175</v>
      </c>
      <c r="Q309" s="11"/>
      <c r="R309" s="11"/>
      <c r="S309" s="11"/>
      <c r="T309" s="109"/>
    </row>
    <row r="310" spans="1:20" s="18" customFormat="1" ht="14.25" hidden="1" customHeight="1" x14ac:dyDescent="0.2">
      <c r="A310" s="1"/>
      <c r="B310" s="1"/>
      <c r="C310" s="925" t="s">
        <v>731</v>
      </c>
      <c r="D310" s="1"/>
      <c r="E310" s="1"/>
      <c r="F310" s="1"/>
      <c r="N310" s="139" t="s">
        <v>145</v>
      </c>
      <c r="O310" s="899">
        <f>'päd.Personal - Leitung'!$O$22</f>
        <v>7450</v>
      </c>
      <c r="P310" s="899">
        <f>'päd.Personal - Leitung'!$P$22</f>
        <v>7450</v>
      </c>
      <c r="Q310" s="1009" t="str">
        <f>CONCATENATE("BBG"," ",O308)</f>
        <v>BBG 2025</v>
      </c>
      <c r="R310" s="11"/>
      <c r="S310" s="11"/>
      <c r="T310" s="109"/>
    </row>
    <row r="311" spans="1:20" s="18" customFormat="1" ht="14.25" hidden="1" customHeight="1" x14ac:dyDescent="0.2">
      <c r="A311" s="53" t="s">
        <v>141</v>
      </c>
      <c r="Q311" s="932" t="s">
        <v>144</v>
      </c>
      <c r="R311" s="141">
        <f>IF($O$21="",0,$O$21)</f>
        <v>5175</v>
      </c>
      <c r="S311" s="933">
        <f>R311*IF(M299="",0,M299)</f>
        <v>0</v>
      </c>
    </row>
    <row r="312" spans="1:20" s="18" customFormat="1" ht="14.25" hidden="1" customHeight="1" x14ac:dyDescent="0.2">
      <c r="A312" s="1346"/>
      <c r="B312" s="1348" t="s">
        <v>8</v>
      </c>
      <c r="C312" s="1349"/>
      <c r="D312" s="1349"/>
      <c r="E312" s="1349"/>
      <c r="F312" s="1349"/>
      <c r="G312" s="1350"/>
      <c r="H312" s="1351" t="s">
        <v>113</v>
      </c>
      <c r="I312" s="1352"/>
      <c r="J312" s="1352"/>
      <c r="K312" s="1352"/>
      <c r="L312" s="1352"/>
      <c r="M312" s="1352"/>
      <c r="N312" s="1368" t="s">
        <v>658</v>
      </c>
      <c r="O312" s="30"/>
      <c r="P312" s="1330" t="s">
        <v>0</v>
      </c>
      <c r="Q312" s="932" t="s">
        <v>145</v>
      </c>
      <c r="R312" s="141">
        <f>IF($O$22="",0,$O$22)</f>
        <v>7450</v>
      </c>
      <c r="S312" s="933">
        <f>R312*IF(M299="",0,M299)</f>
        <v>0</v>
      </c>
    </row>
    <row r="313" spans="1:20" s="18" customFormat="1" ht="14.25" hidden="1" customHeight="1" x14ac:dyDescent="0.2">
      <c r="A313" s="1347"/>
      <c r="B313" s="1333" t="s">
        <v>111</v>
      </c>
      <c r="C313" s="1335" t="s">
        <v>743</v>
      </c>
      <c r="D313" s="1337" t="s">
        <v>226</v>
      </c>
      <c r="E313" s="1339" t="s">
        <v>133</v>
      </c>
      <c r="F313" s="1014" t="s">
        <v>6</v>
      </c>
      <c r="G313" s="1340" t="s">
        <v>5</v>
      </c>
      <c r="H313" s="1339" t="s">
        <v>119</v>
      </c>
      <c r="I313" s="1339" t="s">
        <v>657</v>
      </c>
      <c r="J313" s="1339" t="s">
        <v>4</v>
      </c>
      <c r="K313" s="1339" t="s">
        <v>3</v>
      </c>
      <c r="L313" s="1339" t="s">
        <v>2</v>
      </c>
      <c r="M313" s="1339" t="s">
        <v>95</v>
      </c>
      <c r="N313" s="1369"/>
      <c r="O313" s="1338" t="s">
        <v>109</v>
      </c>
      <c r="P313" s="1331"/>
      <c r="Q313" s="456"/>
      <c r="R313" s="11"/>
      <c r="S313" s="11"/>
    </row>
    <row r="314" spans="1:20" s="18" customFormat="1" ht="14.25" hidden="1" customHeight="1" x14ac:dyDescent="0.2">
      <c r="A314" s="1347"/>
      <c r="B314" s="1333"/>
      <c r="C314" s="1335"/>
      <c r="D314" s="1338"/>
      <c r="E314" s="1339"/>
      <c r="F314" s="1343" t="str">
        <f>I306</f>
        <v>Zuschläge / Zulagen / o.ä.:</v>
      </c>
      <c r="G314" s="1340"/>
      <c r="H314" s="1342" t="s">
        <v>117</v>
      </c>
      <c r="I314" s="1339"/>
      <c r="J314" s="1342"/>
      <c r="K314" s="1342"/>
      <c r="L314" s="1342"/>
      <c r="M314" s="1339"/>
      <c r="N314" s="1369"/>
      <c r="O314" s="1338"/>
      <c r="P314" s="1331"/>
      <c r="Q314" s="456"/>
      <c r="R314" s="1306" t="str">
        <f>Q306</f>
        <v>BBG anteilig 2025</v>
      </c>
      <c r="S314" s="1306"/>
    </row>
    <row r="315" spans="1:20" s="18" customFormat="1" hidden="1" x14ac:dyDescent="0.2">
      <c r="A315" s="1347"/>
      <c r="B315" s="1333"/>
      <c r="C315" s="1335"/>
      <c r="D315" s="1338"/>
      <c r="E315" s="1339"/>
      <c r="F315" s="1343"/>
      <c r="G315" s="1340"/>
      <c r="H315" s="39" t="str">
        <f>'päd.Personal - Leitung'!$H$27</f>
        <v>(7,30% + Zusatz)</v>
      </c>
      <c r="I315" s="39" t="str">
        <f>$I$171</f>
        <v xml:space="preserve"> (2024: 18,60%)</v>
      </c>
      <c r="J315" s="39" t="str">
        <f>'päd.Personal - Leitung'!$I$27</f>
        <v xml:space="preserve"> (2024: 9,30%)</v>
      </c>
      <c r="K315" s="39" t="str">
        <f>'päd.Personal - Leitung'!$J$27</f>
        <v>(2024: 1,30%)</v>
      </c>
      <c r="L315" s="39" t="str">
        <f>'päd.Personal - Leitung'!$K$27</f>
        <v>(2024: 1,700%)</v>
      </c>
      <c r="M315" s="1339"/>
      <c r="N315" s="39" t="str">
        <f>$N$171</f>
        <v xml:space="preserve"> (2024: 20%)</v>
      </c>
      <c r="O315" s="1338"/>
      <c r="P315" s="1331"/>
      <c r="Q315" s="456"/>
      <c r="R315" s="1307" t="s">
        <v>659</v>
      </c>
      <c r="S315" s="1307"/>
    </row>
    <row r="316" spans="1:20" s="18" customFormat="1" hidden="1" x14ac:dyDescent="0.2">
      <c r="A316" s="1347"/>
      <c r="B316" s="1334"/>
      <c r="C316" s="1336"/>
      <c r="D316" s="45"/>
      <c r="E316" s="45"/>
      <c r="F316" s="1344"/>
      <c r="G316" s="1341"/>
      <c r="H316" s="74"/>
      <c r="I316" s="19"/>
      <c r="J316" s="99">
        <f>'päd.Personal - Leitung'!$I$28</f>
        <v>0</v>
      </c>
      <c r="K316" s="99">
        <f>'päd.Personal - Leitung'!$J$28</f>
        <v>0</v>
      </c>
      <c r="L316" s="40">
        <f>'päd.Personal - Leitung'!$K$28</f>
        <v>0</v>
      </c>
      <c r="M316" s="19"/>
      <c r="N316" s="19"/>
      <c r="O316" s="19"/>
      <c r="P316" s="1332"/>
      <c r="Q316" s="456"/>
      <c r="R316" s="935" t="s">
        <v>144</v>
      </c>
      <c r="S316" s="935" t="s">
        <v>145</v>
      </c>
    </row>
    <row r="317" spans="1:20" s="18" customFormat="1" hidden="1" x14ac:dyDescent="0.2">
      <c r="A317" s="76" t="str">
        <f>'päd.Personal - Leitung'!$A$29</f>
        <v>Jan 2025</v>
      </c>
      <c r="B317" s="22">
        <f>ROUND(IF(P294=0,0,(LOOKUP(2,1/(A302:A305=A317),G302:G305))*P294*4.348)*50%,2)</f>
        <v>0</v>
      </c>
      <c r="C317" s="21">
        <f>ROUND(IFERROR((LOOKUP(2,1/(A308=A317),E308)),0)+IFERROR((LOOKUP(2,1/(A309=A317),E309)),0),2)</f>
        <v>0</v>
      </c>
      <c r="D317" s="21">
        <f>ROUND(IF(B317=0,0,D316/M295*P294*50%),2)</f>
        <v>0</v>
      </c>
      <c r="E317" s="21">
        <f>ROUND(IF(B317=0,0,E316/N291*P294*50%),2)</f>
        <v>0</v>
      </c>
      <c r="F317" s="22">
        <f>ROUND(IF(P294=0,0,(LOOKUP(2,1/(A302:A305=A317),I302:I305))/N291*P294)*50%,2)</f>
        <v>0</v>
      </c>
      <c r="G317" s="25">
        <f>SUM(B317+C317+E317+F317)</f>
        <v>0</v>
      </c>
      <c r="H317" s="831">
        <f>ROUND(SUM(B317:F317)*H316,2)</f>
        <v>0</v>
      </c>
      <c r="I317" s="64">
        <f>ROUND(IF((SUM(B317:F317)*80%)&gt;((S317)*90%),((((S317)*90%)-((SUM(B317:F317)-C317))*I316)+((SUM(B317:F317)-C317)*I316)*80%),((SUM(B317:F317)-C317)*I316)*80%),2)</f>
        <v>0</v>
      </c>
      <c r="J317" s="831">
        <f>ROUND(SUM(B317:F317)*J316,2)</f>
        <v>0</v>
      </c>
      <c r="K317" s="831">
        <f>ROUND(SUM(B317:F317)*K316,2)</f>
        <v>0</v>
      </c>
      <c r="L317" s="831">
        <f>ROUND(SUM(B317:F317)*L316,2)</f>
        <v>0</v>
      </c>
      <c r="M317" s="831">
        <f>ROUND((SUM(B317:F317)-C317)*M316,2)</f>
        <v>0</v>
      </c>
      <c r="N317" s="21">
        <f>ROUND((B317+E317+F317)*N316,2)</f>
        <v>0</v>
      </c>
      <c r="O317" s="21">
        <f>ROUND(SUM(B317+C317+F317)*O316,2)</f>
        <v>0</v>
      </c>
      <c r="P317" s="25">
        <f>SUM(G317:O317)</f>
        <v>0</v>
      </c>
      <c r="Q317" s="456"/>
      <c r="R317" s="140">
        <f>ROUND(IF(M295="",R311,R311/M295*P294),2)</f>
        <v>5175</v>
      </c>
      <c r="S317" s="140">
        <f>ROUND(IF(M295="",R312,R312/M295*P294),2)</f>
        <v>7450</v>
      </c>
    </row>
    <row r="318" spans="1:20" s="18" customFormat="1" hidden="1" x14ac:dyDescent="0.2">
      <c r="A318" s="76" t="str">
        <f>'päd.Personal - Leitung'!$A$30</f>
        <v>Feb 2025</v>
      </c>
      <c r="B318" s="22">
        <f>ROUND(IF(P295=0,0,IFERROR((((LOOKUP(2,1/(A302:A305=A318),G302:G305))*P295*4.348)*50%),B317/P294*P295)),2)</f>
        <v>0</v>
      </c>
      <c r="C318" s="21">
        <f>ROUND(IFERROR((LOOKUP(2,1/(A308=A318),E308)),0)+IFERROR((LOOKUP(2,1/(A309=A318),E309)),0),2)</f>
        <v>0</v>
      </c>
      <c r="D318" s="21">
        <f>ROUND(IF(B318=0,0,D316/M295*P295*50%),2)</f>
        <v>0</v>
      </c>
      <c r="E318" s="21">
        <f>ROUND(IF(B318=0,0,E316/N291*P295*50%),2)</f>
        <v>0</v>
      </c>
      <c r="F318" s="22">
        <f>ROUND(IF(P295=0,0,IFERROR((((LOOKUP(2,1/(A302:A305=A318),I302:I305))/N291*P295)*50%),F317/P294*P295)),2)</f>
        <v>0</v>
      </c>
      <c r="G318" s="25">
        <f t="shared" ref="G318:G328" si="53">SUM(B318+C318+E318+F318)</f>
        <v>0</v>
      </c>
      <c r="H318" s="831">
        <f>ROUND(SUM(B318:F318)*H316,2)</f>
        <v>0</v>
      </c>
      <c r="I318" s="64">
        <f>ROUND(IF((SUM(B318:F318)*80%)&gt;((SUM(S314:S318))*90%),((((SUM(S314:S318))*90%)-((SUM(B318:F318)-C318))*I316)+((SUM(B318:F318)-C318)*I316)*80%),((SUM(B318:F318)-C318)*I316)*80%),2)</f>
        <v>0</v>
      </c>
      <c r="J318" s="831">
        <f>ROUND(SUM(B318:F318)*J316,2)</f>
        <v>0</v>
      </c>
      <c r="K318" s="831">
        <f>ROUND(SUM(B318:F318)*K316,2)</f>
        <v>0</v>
      </c>
      <c r="L318" s="831">
        <f>ROUND(SUM(B318:F318)*L316,2)</f>
        <v>0</v>
      </c>
      <c r="M318" s="831">
        <f>ROUND((SUM(B318:F318)-C318)*M316,2)</f>
        <v>0</v>
      </c>
      <c r="N318" s="21">
        <f>ROUND((B318+E318+F318)*N316,2)</f>
        <v>0</v>
      </c>
      <c r="O318" s="21">
        <f>ROUND(SUM(B318+C318+F318)*O316,2)</f>
        <v>0</v>
      </c>
      <c r="P318" s="25">
        <f t="shared" ref="P318:P320" si="54">SUM(G318:O318)</f>
        <v>0</v>
      </c>
      <c r="Q318" s="456"/>
      <c r="R318" s="140">
        <f>ROUND(IF(M295="",R311,R311/M295*P295),2)</f>
        <v>5175</v>
      </c>
      <c r="S318" s="140">
        <f>ROUND(IF(M295="",R312,R312/M295*P295),2)</f>
        <v>7450</v>
      </c>
    </row>
    <row r="319" spans="1:20" s="18" customFormat="1" hidden="1" x14ac:dyDescent="0.2">
      <c r="A319" s="76" t="str">
        <f>'päd.Personal - Leitung'!$A$31</f>
        <v>Mrz 2025</v>
      </c>
      <c r="B319" s="22">
        <f>ROUND(IF(P296=0,0,IFERROR((((LOOKUP(2,1/(A302:A305=A319),G302:G305))*P296*4.348)*50%),B318/P295*P296)),2)</f>
        <v>0</v>
      </c>
      <c r="C319" s="21">
        <f>ROUND(IFERROR((LOOKUP(2,1/(A308=A319),E308)),0)+IFERROR((LOOKUP(2,1/(A309=A319),E309)),0),2)</f>
        <v>0</v>
      </c>
      <c r="D319" s="21">
        <f>ROUND(IF(B319=0,0,D316/M295*P296*50%),2)</f>
        <v>0</v>
      </c>
      <c r="E319" s="21">
        <f>ROUND(IF(B319=0,0,E316/N291*P296*50%),2)</f>
        <v>0</v>
      </c>
      <c r="F319" s="22">
        <f>ROUND(IF(P296=0,0,IFERROR((((LOOKUP(2,1/(A302:A305=A319),I302:I305))/N291*P296)*50%),F318/P295*P296)),2)</f>
        <v>0</v>
      </c>
      <c r="G319" s="25">
        <f t="shared" si="53"/>
        <v>0</v>
      </c>
      <c r="H319" s="831">
        <f>ROUND(SUM(B319:F319)*H316,2)</f>
        <v>0</v>
      </c>
      <c r="I319" s="64">
        <f>ROUND(IF((SUM(B318:F319)*80%)&gt;((SUM(S314:S319))*90%),((((SUM(S314:S319))*90%)-((SUM(B318:F319)-C319))*I316)+((SUM(B319:F319)-C319)*I316)*80%),((SUM(B319:F319)-C319)*I316)*80%),2)</f>
        <v>0</v>
      </c>
      <c r="J319" s="831">
        <f>ROUND(SUM(B319:F319)*J316,2)</f>
        <v>0</v>
      </c>
      <c r="K319" s="831">
        <f>ROUND(SUM(B319:F319)*K316,2)</f>
        <v>0</v>
      </c>
      <c r="L319" s="831">
        <f>ROUND(SUM(B319:F319)*L316,2)</f>
        <v>0</v>
      </c>
      <c r="M319" s="831">
        <f>ROUND((SUM(B319:F319)-C319)*M316,2)</f>
        <v>0</v>
      </c>
      <c r="N319" s="21">
        <f>ROUND((B319+E319+F319)*N316,2)</f>
        <v>0</v>
      </c>
      <c r="O319" s="21">
        <f>ROUND(SUM(B319+C319+F319)*O316,2)</f>
        <v>0</v>
      </c>
      <c r="P319" s="25">
        <f t="shared" si="54"/>
        <v>0</v>
      </c>
      <c r="Q319" s="456"/>
      <c r="R319" s="140">
        <f>ROUND(IF(M295="",R311,R311/M295*P296),2)</f>
        <v>5175</v>
      </c>
      <c r="S319" s="140">
        <f>ROUND(IF(M295="",R312,R312/M295*P296),2)</f>
        <v>7450</v>
      </c>
    </row>
    <row r="320" spans="1:20" s="18" customFormat="1" hidden="1" x14ac:dyDescent="0.2">
      <c r="A320" s="76" t="str">
        <f>'päd.Personal - Leitung'!$A$32</f>
        <v>Apr 2025</v>
      </c>
      <c r="B320" s="22">
        <f>ROUND(IF(P297=0,0,IFERROR((((LOOKUP(2,1/(A302:A305=A320),G302:G305))*P297*4.348)*50%),B319/P296*P297)),2)</f>
        <v>0</v>
      </c>
      <c r="C320" s="21">
        <f>ROUND(IFERROR((LOOKUP(2,1/(A308=A320),E308)),0)+IFERROR((LOOKUP(2,1/(A309=A320),E309)),0),2)</f>
        <v>0</v>
      </c>
      <c r="D320" s="21">
        <f>ROUND(IF(B320=0,0,D316/M295*P297*50%),2)</f>
        <v>0</v>
      </c>
      <c r="E320" s="21">
        <f>ROUND(IF(B320=0,0,E316/N291*P297*50%),2)</f>
        <v>0</v>
      </c>
      <c r="F320" s="22">
        <f>ROUND(IF(P297=0,0,IFERROR((((LOOKUP(2,1/(A302:A305=A320),I302:I305))/N291*P297)*50%),F319/P296*P297)),2)</f>
        <v>0</v>
      </c>
      <c r="G320" s="25">
        <f t="shared" si="53"/>
        <v>0</v>
      </c>
      <c r="H320" s="831">
        <f>ROUND(SUM(B320:F320)*H316,2)</f>
        <v>0</v>
      </c>
      <c r="I320" s="64">
        <f>ROUND(IF((SUM(B318:F320)*80%)&gt;((SUM(S314:S320))*90%),((((SUM(S314:S320))*90%)-((SUM(B318:F320)-C320))*I316)+((SUM(B320:F320)-C320)*I316)*80%),((SUM(B320:F320)-C320)*I316)*80%),2)</f>
        <v>0</v>
      </c>
      <c r="J320" s="831">
        <f>ROUND(SUM(B320:F320)*J316,2)</f>
        <v>0</v>
      </c>
      <c r="K320" s="831">
        <f>ROUND(SUM(B320:F320)*K316,2)</f>
        <v>0</v>
      </c>
      <c r="L320" s="831">
        <f>ROUND(SUM(B320:F320)*L316,2)</f>
        <v>0</v>
      </c>
      <c r="M320" s="831">
        <f>ROUND((SUM(B320:F320)-C320)*M316,2)</f>
        <v>0</v>
      </c>
      <c r="N320" s="21">
        <f>ROUND((B320+E320+F320)*N316,2)</f>
        <v>0</v>
      </c>
      <c r="O320" s="21">
        <f>ROUND(SUM(B320+C320+F320)*O316,2)</f>
        <v>0</v>
      </c>
      <c r="P320" s="25">
        <f t="shared" si="54"/>
        <v>0</v>
      </c>
      <c r="Q320" s="456"/>
      <c r="R320" s="140">
        <f>ROUND(IF(M295="",R311,R311/M295*P297),2)</f>
        <v>5175</v>
      </c>
      <c r="S320" s="140">
        <f>ROUND(IF(M295="",R312,R312/M295*P297),2)</f>
        <v>7450</v>
      </c>
    </row>
    <row r="321" spans="1:19" s="18" customFormat="1" hidden="1" x14ac:dyDescent="0.2">
      <c r="A321" s="76" t="str">
        <f>'päd.Personal - Leitung'!$A$33</f>
        <v>Mai 2025</v>
      </c>
      <c r="B321" s="22">
        <f>ROUND(IF(P298=0,0,IFERROR((((LOOKUP(2,1/(A302:A305=A321),G302:G305))*P298*4.348)*50%),B320/P297*P298)),2)</f>
        <v>0</v>
      </c>
      <c r="C321" s="21">
        <f>ROUND(IFERROR((LOOKUP(2,1/(A308=A321),E308)),0)+IFERROR((LOOKUP(2,1/(A309=A321),E309)),0),2)</f>
        <v>0</v>
      </c>
      <c r="D321" s="21">
        <f>ROUND(IF(B321=0,0,D316/M295*P298*50%),2)</f>
        <v>0</v>
      </c>
      <c r="E321" s="21">
        <f>ROUND(IF(B321=0,0,E316/N291*P298*50%),2)</f>
        <v>0</v>
      </c>
      <c r="F321" s="22">
        <f>ROUND(IF(P298=0,0,IFERROR((((LOOKUP(2,1/(A302:A305=A321),I302:I305))/N291*P298)*50%),F320/P297*P298)),2)</f>
        <v>0</v>
      </c>
      <c r="G321" s="25">
        <f t="shared" si="53"/>
        <v>0</v>
      </c>
      <c r="H321" s="831">
        <f>ROUND(SUM(B321:F321)*H316,2)</f>
        <v>0</v>
      </c>
      <c r="I321" s="64">
        <f>ROUND(IF((SUM(B318:F321)*80%)&gt;((SUM(S314:S321))*90%),((((SUM(S314:S321))*90%)-((SUM(B318:F321)-C321))*I316)+((SUM(B321:F321)-C321)*I316)*80%),((SUM(B321:F321)-C321)*I316)*80%),2)</f>
        <v>0</v>
      </c>
      <c r="J321" s="831">
        <f>ROUND(SUM(B321:F321)*J316,2)</f>
        <v>0</v>
      </c>
      <c r="K321" s="831">
        <f>ROUND(SUM(B321:F321)*K316,2)</f>
        <v>0</v>
      </c>
      <c r="L321" s="831">
        <f>ROUND(SUM(B321:F321)*L316,2)</f>
        <v>0</v>
      </c>
      <c r="M321" s="831">
        <f>ROUND((SUM(B321:F321)-C321)*M316,2)</f>
        <v>0</v>
      </c>
      <c r="N321" s="21">
        <f>ROUND((B321+E321+F321)*N316,2)</f>
        <v>0</v>
      </c>
      <c r="O321" s="21">
        <f>ROUND(SUM(B321+C321+F321)*O316,2)</f>
        <v>0</v>
      </c>
      <c r="P321" s="25">
        <f t="shared" ref="P321:P328" si="55">SUM(G321:O321)</f>
        <v>0</v>
      </c>
      <c r="Q321" s="456"/>
      <c r="R321" s="140">
        <f>ROUND(IF(M295="",R311,R311/M295*P298),2)</f>
        <v>5175</v>
      </c>
      <c r="S321" s="140">
        <f>ROUND(IF(M295="",R312,R312/M295*P298),2)</f>
        <v>7450</v>
      </c>
    </row>
    <row r="322" spans="1:19" s="18" customFormat="1" hidden="1" x14ac:dyDescent="0.2">
      <c r="A322" s="76" t="str">
        <f>'päd.Personal - Leitung'!$A$34</f>
        <v>Jun 2025</v>
      </c>
      <c r="B322" s="22">
        <f>ROUND(IF(P299=0,0,IFERROR((((LOOKUP(2,1/(A302:A305=A322),G302:G305))*P299*4.348)*50%),B321/P298*P299)),2)</f>
        <v>0</v>
      </c>
      <c r="C322" s="21">
        <f>ROUND(IFERROR((LOOKUP(2,1/(A308=A322),E308)),0)+IFERROR((LOOKUP(2,1/(A309=A322),E309)),0),2)</f>
        <v>0</v>
      </c>
      <c r="D322" s="21">
        <f>ROUND(IF(B322=0,0,D316/M295*P299*50%),2)</f>
        <v>0</v>
      </c>
      <c r="E322" s="21">
        <f>ROUND(IF(B322=0,0,E316/N291*P299*50%),2)</f>
        <v>0</v>
      </c>
      <c r="F322" s="22">
        <f>ROUND(IF(P299=0,0,IFERROR((((LOOKUP(2,1/(A302:A305=A322),I302:I305))/N291*P299)*50%),F321/P298*P299)),2)</f>
        <v>0</v>
      </c>
      <c r="G322" s="25">
        <f t="shared" si="53"/>
        <v>0</v>
      </c>
      <c r="H322" s="831">
        <f>ROUND(SUM(B322:F322)*H316,2)</f>
        <v>0</v>
      </c>
      <c r="I322" s="64">
        <f>ROUND(IF((SUM(B318:F322)*80%)&gt;((SUM(S314:S322))*90%),((((SUM(S314:S322))*90%)-((SUM(B318:F322)-C322))*I316)+((SUM(B322:F322)-C322)*I316)*80%),((SUM(B322:F322)-C322)*I316)*80%),2)</f>
        <v>0</v>
      </c>
      <c r="J322" s="831">
        <f>ROUND(SUM(B322:F322)*J316,2)</f>
        <v>0</v>
      </c>
      <c r="K322" s="831">
        <f>ROUND(SUM(B322:F322)*K316,2)</f>
        <v>0</v>
      </c>
      <c r="L322" s="831">
        <f>ROUND(SUM(B322:F322)*L316,2)</f>
        <v>0</v>
      </c>
      <c r="M322" s="831">
        <f>ROUND((SUM(B322:F322)-C322)*M316,2)</f>
        <v>0</v>
      </c>
      <c r="N322" s="21">
        <f>ROUND((B322+E322+F322)*N316,2)</f>
        <v>0</v>
      </c>
      <c r="O322" s="21">
        <f>ROUND(SUM(B322+C322+F322)*O316,2)</f>
        <v>0</v>
      </c>
      <c r="P322" s="25">
        <f t="shared" si="55"/>
        <v>0</v>
      </c>
      <c r="Q322" s="456"/>
      <c r="R322" s="140">
        <f>ROUND(IF(M295="",R311,R311/M295*P299),2)</f>
        <v>5175</v>
      </c>
      <c r="S322" s="140">
        <f>ROUND(IF(M295="",R312,R312/M295*P299),2)</f>
        <v>7450</v>
      </c>
    </row>
    <row r="323" spans="1:19" s="18" customFormat="1" hidden="1" x14ac:dyDescent="0.2">
      <c r="A323" s="76" t="str">
        <f>'päd.Personal - Leitung'!$A$35</f>
        <v>Jul 2025</v>
      </c>
      <c r="B323" s="22">
        <f>ROUND(IF(P300=0,0,IFERROR((((LOOKUP(2,1/(A302:A305=A323),G302:G305))*P300*4.348)*50%),B322/P299*P300)),2)</f>
        <v>0</v>
      </c>
      <c r="C323" s="21">
        <f>ROUND(IFERROR((LOOKUP(2,1/(A308=A323),E308)),0)+IFERROR((LOOKUP(2,1/(A309=A323),E309)),0),2)</f>
        <v>0</v>
      </c>
      <c r="D323" s="21">
        <f>ROUND(IF(B323=0,0,D316/M295*P300*50%),2)</f>
        <v>0</v>
      </c>
      <c r="E323" s="21">
        <f>ROUND(IF(B323=0,0,E316/N291*P300*50%),2)</f>
        <v>0</v>
      </c>
      <c r="F323" s="22">
        <f>ROUND(IF(P300=0,0,IFERROR((((LOOKUP(2,1/(A302:A305=A323),I302:I305))/N291*P300)*50%),F322/P299*P300)),2)</f>
        <v>0</v>
      </c>
      <c r="G323" s="25">
        <f t="shared" si="53"/>
        <v>0</v>
      </c>
      <c r="H323" s="831">
        <f>ROUND(SUM(B323:F323)*H316,2)</f>
        <v>0</v>
      </c>
      <c r="I323" s="64">
        <f>ROUND(IF((SUM(B318:F323)*80%)&gt;((SUM(S314:S323))*90%),((((SUM(S314:S323))*90%)-((SUM(B318:F323)-C323))*I316)+((SUM(B323:F323)-C323)*I316)*80%),((SUM(B323:F323)-C323)*I316)*80%),2)</f>
        <v>0</v>
      </c>
      <c r="J323" s="831">
        <f>ROUND(SUM(B323:F323)*J316,2)</f>
        <v>0</v>
      </c>
      <c r="K323" s="831">
        <f>ROUND(SUM(B323:F323)*K316,2)</f>
        <v>0</v>
      </c>
      <c r="L323" s="831">
        <f>ROUND(SUM(B323:F323)*L316,2)</f>
        <v>0</v>
      </c>
      <c r="M323" s="831">
        <f>ROUND((SUM(B323:F323)-C323)*M316,2)</f>
        <v>0</v>
      </c>
      <c r="N323" s="21">
        <f>ROUND((B323+E323+F323)*N316,2)</f>
        <v>0</v>
      </c>
      <c r="O323" s="21">
        <f>ROUND(SUM(B323+C323+F323)*O316,2)</f>
        <v>0</v>
      </c>
      <c r="P323" s="25">
        <f t="shared" si="55"/>
        <v>0</v>
      </c>
      <c r="Q323" s="456"/>
      <c r="R323" s="140">
        <f>ROUND(IF(M295="",R311,R311/M295*P300),2)</f>
        <v>5175</v>
      </c>
      <c r="S323" s="140">
        <f>ROUND(IF(M295="",R312,R312/M295*P300),2)</f>
        <v>7450</v>
      </c>
    </row>
    <row r="324" spans="1:19" s="18" customFormat="1" hidden="1" x14ac:dyDescent="0.2">
      <c r="A324" s="76" t="str">
        <f>'päd.Personal - Leitung'!$A$36</f>
        <v>Aug 2025</v>
      </c>
      <c r="B324" s="22">
        <f>ROUND(IF(P301=0,0,IFERROR((((LOOKUP(2,1/(A302:A305=A324),G302:G305))*P301*4.348)*50%),B323/P300*P301)),2)</f>
        <v>0</v>
      </c>
      <c r="C324" s="21">
        <f>ROUND(IFERROR((LOOKUP(2,1/(A308=A324),E308)),0)+IFERROR((LOOKUP(2,1/(A309=A324),E309)),0),2)</f>
        <v>0</v>
      </c>
      <c r="D324" s="21">
        <f>ROUND(IF(B324=0,0,D316/M295*P301*50%),2)</f>
        <v>0</v>
      </c>
      <c r="E324" s="21">
        <f>ROUND(IF(B324=0,0,E316/N291*P301*50%),2)</f>
        <v>0</v>
      </c>
      <c r="F324" s="22">
        <f>ROUND(IF(P301=0,0,IFERROR((((LOOKUP(2,1/(A302:A305=A324),I302:I305))/N291*P301)*50%),F323/P300*P301)),2)</f>
        <v>0</v>
      </c>
      <c r="G324" s="25">
        <f t="shared" si="53"/>
        <v>0</v>
      </c>
      <c r="H324" s="831">
        <f>ROUND(SUM(B324:F324)*H316,2)</f>
        <v>0</v>
      </c>
      <c r="I324" s="64">
        <f>ROUND(IF((SUM(B318:F324)*80%)&gt;((SUM(S314:S324))*90%),((((SUM(S314:S324))*90%)-((SUM(B318:F324)-C324))*I316)+((SUM(B324:F324)-C324)*I316)*80%),((SUM(B324:F324)-C324)*I316)*80%),2)</f>
        <v>0</v>
      </c>
      <c r="J324" s="831">
        <f>ROUND(SUM(B324:F324)*J316,2)</f>
        <v>0</v>
      </c>
      <c r="K324" s="831">
        <f>ROUND(SUM(B324:F324)*K316,2)</f>
        <v>0</v>
      </c>
      <c r="L324" s="831">
        <f>ROUND(SUM(B324:F324)*L316,2)</f>
        <v>0</v>
      </c>
      <c r="M324" s="831">
        <f>ROUND((SUM(B324:F324)-C324)*M316,2)</f>
        <v>0</v>
      </c>
      <c r="N324" s="21">
        <f>ROUND((B324+E324+F324)*N316,2)</f>
        <v>0</v>
      </c>
      <c r="O324" s="21">
        <f>ROUND(SUM(B324+C324+F324)*O316,2)</f>
        <v>0</v>
      </c>
      <c r="P324" s="25">
        <f t="shared" si="55"/>
        <v>0</v>
      </c>
      <c r="Q324" s="456"/>
      <c r="R324" s="140">
        <f>ROUND(IF(M295="",R311,R311/M295*P301),2)</f>
        <v>5175</v>
      </c>
      <c r="S324" s="140">
        <f>ROUND(IF(M295="",R312,R312/M295*P301),2)</f>
        <v>7450</v>
      </c>
    </row>
    <row r="325" spans="1:19" s="18" customFormat="1" hidden="1" x14ac:dyDescent="0.2">
      <c r="A325" s="76" t="str">
        <f>'päd.Personal - Leitung'!$A$37</f>
        <v>Sep 2025</v>
      </c>
      <c r="B325" s="22">
        <f>ROUND(IF(P302=0,0,IFERROR((((LOOKUP(2,1/(A302:A305=A325),G302:G305))*P302*4.348)*50%),B324/P301*P302)),2)</f>
        <v>0</v>
      </c>
      <c r="C325" s="21">
        <f>ROUND(IFERROR((LOOKUP(2,1/(A308=A325),E308)),0)+IFERROR((LOOKUP(2,1/(A309=A325),E309)),0),2)</f>
        <v>0</v>
      </c>
      <c r="D325" s="21">
        <f>ROUND(IF(B325=0,0,D316/M295*P302*50%),2)</f>
        <v>0</v>
      </c>
      <c r="E325" s="21">
        <f>ROUND(IF(B325=0,0,E316/N291*P302*50%),2)</f>
        <v>0</v>
      </c>
      <c r="F325" s="22">
        <f>ROUND(IF(P302=0,0,IFERROR((((LOOKUP(2,1/(A302:A305=A325),I302:I305))/N291*P302)*50%),F324/P301*P302)),2)</f>
        <v>0</v>
      </c>
      <c r="G325" s="25">
        <f t="shared" si="53"/>
        <v>0</v>
      </c>
      <c r="H325" s="831">
        <f>ROUND(SUM(B325:F325)*H316,2)</f>
        <v>0</v>
      </c>
      <c r="I325" s="64">
        <f>ROUND(IF((SUM(B318:F325)*80%)&gt;((SUM(S314:S325))*90%),((((SUM(S314:S325))*90%)-((SUM(B318:F325)-C325))*I316)+((SUM(B325:F325)-C325)*I316)*80%),((SUM(B325:F325)-C325)*I316)*80%),2)</f>
        <v>0</v>
      </c>
      <c r="J325" s="831">
        <f>ROUND(SUM(B325:F325)*J316,2)</f>
        <v>0</v>
      </c>
      <c r="K325" s="831">
        <f>ROUND(SUM(B325:F325)*K316,2)</f>
        <v>0</v>
      </c>
      <c r="L325" s="831">
        <f>ROUND(SUM(B325:F325)*L316,2)</f>
        <v>0</v>
      </c>
      <c r="M325" s="831">
        <f>ROUND((SUM(B325:F325)-C325)*M316,2)</f>
        <v>0</v>
      </c>
      <c r="N325" s="21">
        <f>ROUND((B325+E325+F325)*N316,2)</f>
        <v>0</v>
      </c>
      <c r="O325" s="21">
        <f>ROUND(SUM(B325+C325+F325)*O316,2)</f>
        <v>0</v>
      </c>
      <c r="P325" s="25">
        <f t="shared" si="55"/>
        <v>0</v>
      </c>
      <c r="Q325" s="456"/>
      <c r="R325" s="140">
        <f>ROUND(IF(M295="",R311,R311/M295*P302),2)</f>
        <v>5175</v>
      </c>
      <c r="S325" s="140">
        <f>ROUND(IF(M295="",R312,R312/M295*P302),2)</f>
        <v>7450</v>
      </c>
    </row>
    <row r="326" spans="1:19" s="18" customFormat="1" hidden="1" x14ac:dyDescent="0.2">
      <c r="A326" s="76" t="str">
        <f>'päd.Personal - Leitung'!$A$38</f>
        <v>Okt 2025</v>
      </c>
      <c r="B326" s="22">
        <f>ROUND(IF(P303=0,0,IFERROR((((LOOKUP(2,1/(A302:A305=A326),G302:G305))*P303*4.348)*50%),B325/P302*P303)),2)</f>
        <v>0</v>
      </c>
      <c r="C326" s="21">
        <f>ROUND(IFERROR((LOOKUP(2,1/(A308=A326),E308)),0)+IFERROR((LOOKUP(2,1/(A309=A326),E309)),0),2)</f>
        <v>0</v>
      </c>
      <c r="D326" s="21">
        <f>ROUND(IF(B326=0,0,D316/M295*P303*50%),2)</f>
        <v>0</v>
      </c>
      <c r="E326" s="21">
        <f>ROUND(IF(B326=0,0,E316/N291*P303*50%),2)</f>
        <v>0</v>
      </c>
      <c r="F326" s="22">
        <f>ROUND(IF(P303=0,0,IFERROR((((LOOKUP(2,1/(A302:A305=A326),I302:I305))/N291*P303)*50%),F325/P302*P303)),2)</f>
        <v>0</v>
      </c>
      <c r="G326" s="25">
        <f t="shared" si="53"/>
        <v>0</v>
      </c>
      <c r="H326" s="831">
        <f>ROUND(SUM(B326:F326)*H316,2)</f>
        <v>0</v>
      </c>
      <c r="I326" s="64">
        <f>ROUND(IF((SUM(B318:F326)*80%)&gt;((SUM(S314:S326))*90%),((((SUM(S314:S326))*90%)-((SUM(B318:F326)-C326))*I316)+((SUM(B326:F326)-C326)*I316)*80%),((SUM(B326:F326)-C326)*I316)*80%),2)</f>
        <v>0</v>
      </c>
      <c r="J326" s="831">
        <f>ROUND(SUM(B326:F326)*J316,2)</f>
        <v>0</v>
      </c>
      <c r="K326" s="831">
        <f>ROUND(SUM(B326:F326)*K316,2)</f>
        <v>0</v>
      </c>
      <c r="L326" s="831">
        <f>ROUND(SUM(B326:F326)*L316,2)</f>
        <v>0</v>
      </c>
      <c r="M326" s="831">
        <f>ROUND((SUM(B326:F326)-C326)*M316,2)</f>
        <v>0</v>
      </c>
      <c r="N326" s="21">
        <f>ROUND((B326+E326+F326)*N316,2)</f>
        <v>0</v>
      </c>
      <c r="O326" s="21">
        <f>ROUND(SUM(B326+C326+F326)*O316,2)</f>
        <v>0</v>
      </c>
      <c r="P326" s="25">
        <f t="shared" si="55"/>
        <v>0</v>
      </c>
      <c r="Q326" s="936"/>
      <c r="R326" s="140">
        <f>ROUND(IF(M295="",R311,R311/M295*P303),2)</f>
        <v>5175</v>
      </c>
      <c r="S326" s="140">
        <f>ROUND(IF(M295="",R312,R312/M295*P303),2)</f>
        <v>7450</v>
      </c>
    </row>
    <row r="327" spans="1:19" s="18" customFormat="1" hidden="1" x14ac:dyDescent="0.2">
      <c r="A327" s="76" t="str">
        <f>'päd.Personal - Leitung'!$A$39</f>
        <v>Nov 2025</v>
      </c>
      <c r="B327" s="22">
        <f>ROUND(IF(P304=0,0,IFERROR((((LOOKUP(2,1/(A302:A305=A327),G302:G305))*P304*4.348)*50%),B326/P303*P304)),2)</f>
        <v>0</v>
      </c>
      <c r="C327" s="21">
        <f>ROUND(IFERROR((LOOKUP(2,1/(A308=A327),E308)),0)+(IFERROR((LOOKUP(2,1/(A309=A327),E309)),0)),2)</f>
        <v>0</v>
      </c>
      <c r="D327" s="21">
        <f>ROUND(IF(B327=0,0,D316/M295*P304*50%),2)</f>
        <v>0</v>
      </c>
      <c r="E327" s="21">
        <f>ROUND(IF(B327=0,0,E316/N291*P304*50%),2)</f>
        <v>0</v>
      </c>
      <c r="F327" s="22">
        <f>ROUND(IF(P304=0,0,IFERROR((((LOOKUP(2,1/(A302:A305=A327),I302:I305))/N291*P304)*50%),F326/P303*P304)),2)</f>
        <v>0</v>
      </c>
      <c r="G327" s="25">
        <f t="shared" si="53"/>
        <v>0</v>
      </c>
      <c r="H327" s="831">
        <f>ROUND(SUM(B327:F327)*H316,2)</f>
        <v>0</v>
      </c>
      <c r="I327" s="64">
        <f>ROUND(IF((SUM(B318:F327)*80%)&gt;((SUM(S314:S327))*90%),((((SUM(S314:S327))*90%)-((SUM(B318:F327)-C327))*I316)+((SUM(B327:F327)-C327)*I316)*80%),((SUM(B327:F327)-C327)*I316)*80%),2)</f>
        <v>0</v>
      </c>
      <c r="J327" s="831">
        <f>ROUND(SUM(B327:F327)*J316,2)</f>
        <v>0</v>
      </c>
      <c r="K327" s="831">
        <f>ROUND(SUM(B327:F327)*K316,2)</f>
        <v>0</v>
      </c>
      <c r="L327" s="831">
        <f>ROUND(SUM(B327:F327)*L316,2)</f>
        <v>0</v>
      </c>
      <c r="M327" s="831">
        <f>ROUND((SUM(B327:F327)-C327)*M316,2)</f>
        <v>0</v>
      </c>
      <c r="N327" s="21">
        <f>ROUND((B327+E327+F327)*N316,2)</f>
        <v>0</v>
      </c>
      <c r="O327" s="21">
        <f>ROUND(SUM(B327+C327+F327)*O316,2)</f>
        <v>0</v>
      </c>
      <c r="P327" s="25">
        <f t="shared" si="55"/>
        <v>0</v>
      </c>
      <c r="Q327" s="11"/>
      <c r="R327" s="140">
        <f>ROUND(IF(M295="",R311,R311/M295*P304),2)</f>
        <v>5175</v>
      </c>
      <c r="S327" s="140">
        <f>ROUND(IF(M295="",R312,R312/M295*P304),2)</f>
        <v>7450</v>
      </c>
    </row>
    <row r="328" spans="1:19" s="18" customFormat="1" hidden="1" x14ac:dyDescent="0.2">
      <c r="A328" s="76" t="str">
        <f>'päd.Personal - Leitung'!$A$40</f>
        <v>Dez 2025</v>
      </c>
      <c r="B328" s="22">
        <f>ROUND(IF(P305=0,0,IFERROR((((LOOKUP(2,1/(A302:A305=A328),G302:G305))*P305*4.348)*50%),B327/P304*P305)),2)</f>
        <v>0</v>
      </c>
      <c r="C328" s="21">
        <f>ROUND(IFERROR((LOOKUP(2,1/(A308=A328),E308)),0)+IFERROR((LOOKUP(2,1/(A309=A328),E309)),0),2)</f>
        <v>0</v>
      </c>
      <c r="D328" s="21">
        <f>ROUND(IF(B328=0,0,D316/M295*P305*50%),2)</f>
        <v>0</v>
      </c>
      <c r="E328" s="21">
        <f>ROUND(IF(B328=0,0,E316/N291*P305*50%),2)</f>
        <v>0</v>
      </c>
      <c r="F328" s="22">
        <f>ROUND(IF(P305=0,0,IFERROR((((LOOKUP(2,1/(A302:A305=A328),I302:I305))/N291*P305)*50%),F327/P304*P305)),2)</f>
        <v>0</v>
      </c>
      <c r="G328" s="25">
        <f t="shared" si="53"/>
        <v>0</v>
      </c>
      <c r="H328" s="831">
        <f>ROUND(SUM(B328:F328)*H316,2)</f>
        <v>0</v>
      </c>
      <c r="I328" s="64">
        <f>ROUND(IF((SUM(B318:F328)*80%)&gt;((SUM(S314:S328))*90%),((((SUM(S314:S328))*90%)-((SUM(B318:F328)-C328))*I316)+((SUM(B328:F328)-C328)*I316)*80%),((SUM(B328:F328)-C328)*I316)*80%),2)</f>
        <v>0</v>
      </c>
      <c r="J328" s="831">
        <f>ROUND(SUM(B328:F328)*J316,2)</f>
        <v>0</v>
      </c>
      <c r="K328" s="831">
        <f>ROUND(SUM(B328:F328)*K316,2)</f>
        <v>0</v>
      </c>
      <c r="L328" s="831">
        <f>ROUND(SUM(B328:F328)*L316,2)</f>
        <v>0</v>
      </c>
      <c r="M328" s="831">
        <f>ROUND((SUM(B328:F328)-C328)*M316,2)</f>
        <v>0</v>
      </c>
      <c r="N328" s="21">
        <f>ROUND((B328+E328+F328)*N316,2)</f>
        <v>0</v>
      </c>
      <c r="O328" s="21">
        <f>ROUND(SUM(B328+C328+F328)*O316,2)</f>
        <v>0</v>
      </c>
      <c r="P328" s="25">
        <f t="shared" si="55"/>
        <v>0</v>
      </c>
      <c r="Q328" s="11"/>
      <c r="R328" s="140">
        <f>ROUND(IF(M295="",R311,R311/M295*P305),2)</f>
        <v>5175</v>
      </c>
      <c r="S328" s="140">
        <f>ROUND(IF(M295="",R312,R312/M295*P305),2)</f>
        <v>7450</v>
      </c>
    </row>
    <row r="329" spans="1:19" s="18" customFormat="1" hidden="1" x14ac:dyDescent="0.2">
      <c r="A329" s="2" t="s">
        <v>1</v>
      </c>
      <c r="B329" s="25">
        <f t="shared" ref="B329" si="56">SUM(B317:B328)</f>
        <v>0</v>
      </c>
      <c r="C329" s="25">
        <f t="shared" ref="C329" si="57">SUM(C317:C328)</f>
        <v>0</v>
      </c>
      <c r="D329" s="25">
        <f t="shared" ref="D329" si="58">SUM(D317:D328)</f>
        <v>0</v>
      </c>
      <c r="E329" s="25">
        <f t="shared" ref="E329" si="59">SUM(E317:E328)</f>
        <v>0</v>
      </c>
      <c r="F329" s="25">
        <f t="shared" ref="F329" si="60">SUM(F317:F328)</f>
        <v>0</v>
      </c>
      <c r="G329" s="25">
        <f t="shared" ref="G329" si="61">SUM(G317:G328)</f>
        <v>0</v>
      </c>
      <c r="H329" s="1309">
        <f>SUM(H317:M328)</f>
        <v>0</v>
      </c>
      <c r="I329" s="1310"/>
      <c r="J329" s="1310"/>
      <c r="K329" s="1310"/>
      <c r="L329" s="1310"/>
      <c r="M329" s="1310"/>
      <c r="N329" s="25">
        <f>SUM(N317:N328)</f>
        <v>0</v>
      </c>
      <c r="O329" s="25">
        <f>SUM(O317:O328)</f>
        <v>0</v>
      </c>
      <c r="P329" s="25">
        <f>SUM(P317:P328)</f>
        <v>0</v>
      </c>
    </row>
    <row r="330" spans="1:19" s="18" customFormat="1" hidden="1" x14ac:dyDescent="0.2">
      <c r="O330" s="14"/>
      <c r="Q330" s="1021"/>
      <c r="R330" s="1021"/>
      <c r="S330" s="1021"/>
    </row>
    <row r="331" spans="1:19" ht="14.25" hidden="1" customHeight="1" x14ac:dyDescent="0.2">
      <c r="B331" s="906"/>
      <c r="H331" s="905"/>
      <c r="I331" s="62"/>
      <c r="J331" s="914" t="s">
        <v>123</v>
      </c>
      <c r="L331" s="900" t="s">
        <v>124</v>
      </c>
      <c r="M331" s="1032"/>
      <c r="N331" s="902" t="s">
        <v>125</v>
      </c>
      <c r="O331" s="1033"/>
      <c r="P331" s="25">
        <f>ROUND(IF(M331="",0,G329*M331*O331/1000),2)</f>
        <v>0</v>
      </c>
      <c r="Q331" s="1015"/>
      <c r="R331" s="1022"/>
      <c r="S331" s="1016"/>
    </row>
    <row r="332" spans="1:19" ht="14.25" hidden="1" customHeight="1" x14ac:dyDescent="0.2">
      <c r="H332" s="907"/>
      <c r="I332" s="42"/>
      <c r="M332" s="915" t="s">
        <v>129</v>
      </c>
      <c r="N332" s="80" t="s">
        <v>125</v>
      </c>
      <c r="O332" s="1034"/>
      <c r="P332" s="25">
        <f>ROUND(IF(O332="",0,G329*O332/1000),2)</f>
        <v>0</v>
      </c>
      <c r="Q332" s="1023"/>
      <c r="R332" s="65"/>
      <c r="S332" s="1017"/>
    </row>
    <row r="333" spans="1:19" ht="14.25" hidden="1" customHeight="1" x14ac:dyDescent="0.2">
      <c r="H333" s="912" t="s">
        <v>126</v>
      </c>
      <c r="I333" s="1013" t="s">
        <v>127</v>
      </c>
      <c r="J333" s="1037"/>
      <c r="K333" s="902" t="s">
        <v>128</v>
      </c>
      <c r="L333" s="1036"/>
      <c r="M333" s="16"/>
      <c r="N333" s="900" t="s">
        <v>132</v>
      </c>
      <c r="O333" s="1035"/>
      <c r="P333" s="25">
        <f>ROUND(IF(J333="",0,(J333*L333/O333)/M297*M298),2)</f>
        <v>0</v>
      </c>
      <c r="Q333" s="1023"/>
      <c r="R333" s="66"/>
      <c r="S333" s="1016"/>
    </row>
    <row r="334" spans="1:19" ht="14.25" hidden="1" customHeight="1" x14ac:dyDescent="0.2">
      <c r="D334" s="16"/>
      <c r="I334" s="16"/>
      <c r="J334" s="16"/>
      <c r="K334" s="63"/>
      <c r="L334" s="67"/>
      <c r="M334" s="915" t="s">
        <v>130</v>
      </c>
      <c r="N334" s="80" t="s">
        <v>131</v>
      </c>
      <c r="O334" s="904"/>
      <c r="P334" s="21">
        <f>ROUND(IF(G329=0,0,O334/M295*M296),2)</f>
        <v>0</v>
      </c>
      <c r="Q334" s="1023"/>
      <c r="R334" s="1018"/>
      <c r="S334" s="1024"/>
    </row>
    <row r="335" spans="1:19" ht="14.25" hidden="1" customHeight="1" x14ac:dyDescent="0.2">
      <c r="A335" s="16"/>
      <c r="B335" s="16"/>
      <c r="I335" s="905"/>
      <c r="J335" s="961" t="s">
        <v>176</v>
      </c>
      <c r="K335" s="1312"/>
      <c r="L335" s="1312"/>
      <c r="M335" s="1312"/>
      <c r="N335" s="80" t="s">
        <v>131</v>
      </c>
      <c r="O335" s="904"/>
      <c r="P335" s="21">
        <f>ROUND(IF(G329=0,0,O335/M295*M296),2)</f>
        <v>0</v>
      </c>
      <c r="Q335" s="1023"/>
      <c r="R335" s="1019"/>
      <c r="S335" s="1020"/>
    </row>
    <row r="336" spans="1:19" ht="14.25" hidden="1" customHeight="1" x14ac:dyDescent="0.2">
      <c r="A336" s="908"/>
      <c r="B336" s="908"/>
      <c r="C336" s="1013"/>
      <c r="D336" s="1013"/>
      <c r="I336" s="913"/>
      <c r="J336" s="913"/>
      <c r="K336" s="916"/>
      <c r="L336" s="27"/>
      <c r="M336" s="27"/>
      <c r="N336" s="27"/>
      <c r="O336" s="26" t="s">
        <v>0</v>
      </c>
      <c r="P336" s="25">
        <f>P329+SUM(P331:P335)</f>
        <v>0</v>
      </c>
    </row>
  </sheetData>
  <sheetProtection algorithmName="SHA-512" hashValue="ySOxlCRXnr30dbIbGsOgMsdPDdTxrSMjx6Sye9VMseOLv9coJxra2OeIaHdIxebsvLuLdwrbyzXvbOeHvZphFQ==" saltValue="zLv7t1PerzZGUecqdRhO2g==" spinCount="100000" sheet="1" objects="1" scenarios="1"/>
  <mergeCells count="409">
    <mergeCell ref="R314:S314"/>
    <mergeCell ref="R315:S315"/>
    <mergeCell ref="H329:M329"/>
    <mergeCell ref="K335:M335"/>
    <mergeCell ref="K239:M239"/>
    <mergeCell ref="K246:L246"/>
    <mergeCell ref="K247:L247"/>
    <mergeCell ref="K248:L248"/>
    <mergeCell ref="K249:L249"/>
    <mergeCell ref="K250:L250"/>
    <mergeCell ref="K251:L251"/>
    <mergeCell ref="N264:N266"/>
    <mergeCell ref="P264:P268"/>
    <mergeCell ref="O265:O267"/>
    <mergeCell ref="H281:M281"/>
    <mergeCell ref="A293:M293"/>
    <mergeCell ref="A295:C295"/>
    <mergeCell ref="D295:I295"/>
    <mergeCell ref="A296:C296"/>
    <mergeCell ref="D296:I296"/>
    <mergeCell ref="K294:L294"/>
    <mergeCell ref="K295:L295"/>
    <mergeCell ref="K296:L296"/>
    <mergeCell ref="A297:C297"/>
    <mergeCell ref="F218:F220"/>
    <mergeCell ref="B260:C260"/>
    <mergeCell ref="B261:C261"/>
    <mergeCell ref="K198:L198"/>
    <mergeCell ref="K199:L199"/>
    <mergeCell ref="K200:L200"/>
    <mergeCell ref="K201:L201"/>
    <mergeCell ref="K202:L202"/>
    <mergeCell ref="K203:L203"/>
    <mergeCell ref="B212:C212"/>
    <mergeCell ref="B213:C213"/>
    <mergeCell ref="A199:C199"/>
    <mergeCell ref="D199:I199"/>
    <mergeCell ref="A200:C200"/>
    <mergeCell ref="A249:C249"/>
    <mergeCell ref="A247:C247"/>
    <mergeCell ref="D247:I247"/>
    <mergeCell ref="A248:C248"/>
    <mergeCell ref="D248:I248"/>
    <mergeCell ref="D249:I249"/>
    <mergeCell ref="A250:C250"/>
    <mergeCell ref="D250:I250"/>
    <mergeCell ref="D251:E251"/>
    <mergeCell ref="D200:I200"/>
    <mergeCell ref="B161:C161"/>
    <mergeCell ref="A154:C154"/>
    <mergeCell ref="A168:A172"/>
    <mergeCell ref="B168:G168"/>
    <mergeCell ref="H168:M168"/>
    <mergeCell ref="N168:N170"/>
    <mergeCell ref="P168:P172"/>
    <mergeCell ref="B169:B172"/>
    <mergeCell ref="C169:C172"/>
    <mergeCell ref="D169:D171"/>
    <mergeCell ref="E169:E171"/>
    <mergeCell ref="G169:G172"/>
    <mergeCell ref="H169:H170"/>
    <mergeCell ref="I169:I170"/>
    <mergeCell ref="J169:J170"/>
    <mergeCell ref="K169:K170"/>
    <mergeCell ref="L169:L170"/>
    <mergeCell ref="M169:M171"/>
    <mergeCell ref="O169:O171"/>
    <mergeCell ref="F170:F172"/>
    <mergeCell ref="D153:I153"/>
    <mergeCell ref="D154:I154"/>
    <mergeCell ref="D155:E155"/>
    <mergeCell ref="F155:G155"/>
    <mergeCell ref="H155:I155"/>
    <mergeCell ref="F156:G156"/>
    <mergeCell ref="H156:I156"/>
    <mergeCell ref="B159:C159"/>
    <mergeCell ref="B160:C160"/>
    <mergeCell ref="U123:U124"/>
    <mergeCell ref="V123:V124"/>
    <mergeCell ref="H137:N137"/>
    <mergeCell ref="B116:C116"/>
    <mergeCell ref="I116:K116"/>
    <mergeCell ref="B117:C117"/>
    <mergeCell ref="I117:K117"/>
    <mergeCell ref="A120:A124"/>
    <mergeCell ref="B120:G120"/>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K103:L103"/>
    <mergeCell ref="K104:L104"/>
    <mergeCell ref="K105:L105"/>
    <mergeCell ref="K106:L106"/>
    <mergeCell ref="D99:J99"/>
    <mergeCell ref="K99:M99"/>
    <mergeCell ref="P72:P76"/>
    <mergeCell ref="L73:L74"/>
    <mergeCell ref="M73:M74"/>
    <mergeCell ref="N73:N74"/>
    <mergeCell ref="O73:O75"/>
    <mergeCell ref="I73:I74"/>
    <mergeCell ref="J73:J74"/>
    <mergeCell ref="K73:K74"/>
    <mergeCell ref="F74:F76"/>
    <mergeCell ref="U75:U76"/>
    <mergeCell ref="V75:V76"/>
    <mergeCell ref="H89:N89"/>
    <mergeCell ref="K95:M95"/>
    <mergeCell ref="K102:L102"/>
    <mergeCell ref="K57:L57"/>
    <mergeCell ref="K58:L58"/>
    <mergeCell ref="K51:M51"/>
    <mergeCell ref="P24:P28"/>
    <mergeCell ref="L25:L26"/>
    <mergeCell ref="M25:M26"/>
    <mergeCell ref="N25:N26"/>
    <mergeCell ref="O25:O27"/>
    <mergeCell ref="I69:K69"/>
    <mergeCell ref="K25:K26"/>
    <mergeCell ref="U27:U28"/>
    <mergeCell ref="V27:V28"/>
    <mergeCell ref="H41:N41"/>
    <mergeCell ref="K47:M47"/>
    <mergeCell ref="K54:L54"/>
    <mergeCell ref="K55:L55"/>
    <mergeCell ref="K56:L56"/>
    <mergeCell ref="A1:C1"/>
    <mergeCell ref="A2:C2"/>
    <mergeCell ref="A3:C3"/>
    <mergeCell ref="A8:C8"/>
    <mergeCell ref="A4:C4"/>
    <mergeCell ref="A7:C7"/>
    <mergeCell ref="D1:N1"/>
    <mergeCell ref="D2:N2"/>
    <mergeCell ref="D3:J3"/>
    <mergeCell ref="K3:M3"/>
    <mergeCell ref="D4:J4"/>
    <mergeCell ref="A5:J5"/>
    <mergeCell ref="K6:L6"/>
    <mergeCell ref="D7:I7"/>
    <mergeCell ref="K7:L7"/>
    <mergeCell ref="D8:I8"/>
    <mergeCell ref="K8:L8"/>
    <mergeCell ref="D196:J196"/>
    <mergeCell ref="A197:M197"/>
    <mergeCell ref="A55:C55"/>
    <mergeCell ref="D55:I55"/>
    <mergeCell ref="A56:C56"/>
    <mergeCell ref="D56:I56"/>
    <mergeCell ref="A57:C57"/>
    <mergeCell ref="D57:I57"/>
    <mergeCell ref="B61:C61"/>
    <mergeCell ref="B62:C62"/>
    <mergeCell ref="B63:C63"/>
    <mergeCell ref="B64:C64"/>
    <mergeCell ref="B65:C65"/>
    <mergeCell ref="A97:C97"/>
    <mergeCell ref="D97:N97"/>
    <mergeCell ref="A98:C98"/>
    <mergeCell ref="D98:N98"/>
    <mergeCell ref="A99:C99"/>
    <mergeCell ref="A196:C196"/>
    <mergeCell ref="B68:C68"/>
    <mergeCell ref="I68:K68"/>
    <mergeCell ref="B69:C69"/>
    <mergeCell ref="A147:C147"/>
    <mergeCell ref="K153:L153"/>
    <mergeCell ref="B14:C14"/>
    <mergeCell ref="B15:C15"/>
    <mergeCell ref="B16:C16"/>
    <mergeCell ref="B17:C17"/>
    <mergeCell ref="A58:C58"/>
    <mergeCell ref="D58:I58"/>
    <mergeCell ref="D59:E59"/>
    <mergeCell ref="F59:G59"/>
    <mergeCell ref="H59:I59"/>
    <mergeCell ref="A50:C50"/>
    <mergeCell ref="H24:N24"/>
    <mergeCell ref="A51:C51"/>
    <mergeCell ref="A49:C49"/>
    <mergeCell ref="D49:N49"/>
    <mergeCell ref="D50:N50"/>
    <mergeCell ref="D51:J51"/>
    <mergeCell ref="A52:C52"/>
    <mergeCell ref="D52:J52"/>
    <mergeCell ref="A53:J53"/>
    <mergeCell ref="B20:C20"/>
    <mergeCell ref="I20:K20"/>
    <mergeCell ref="B21:C21"/>
    <mergeCell ref="I21:K21"/>
    <mergeCell ref="A24:A28"/>
    <mergeCell ref="D9:I9"/>
    <mergeCell ref="K9:L9"/>
    <mergeCell ref="D10:I10"/>
    <mergeCell ref="K10:L10"/>
    <mergeCell ref="D11:E11"/>
    <mergeCell ref="F11:G11"/>
    <mergeCell ref="H11:I11"/>
    <mergeCell ref="B13:C13"/>
    <mergeCell ref="A9:C9"/>
    <mergeCell ref="A10:C10"/>
    <mergeCell ref="B24:G24"/>
    <mergeCell ref="B25:B28"/>
    <mergeCell ref="C25:C28"/>
    <mergeCell ref="D25:D27"/>
    <mergeCell ref="E25:E27"/>
    <mergeCell ref="G25:G28"/>
    <mergeCell ref="H25:H26"/>
    <mergeCell ref="I25:I26"/>
    <mergeCell ref="J25:J26"/>
    <mergeCell ref="F26:F28"/>
    <mergeCell ref="A72:A76"/>
    <mergeCell ref="B72:G72"/>
    <mergeCell ref="H72:N72"/>
    <mergeCell ref="A106:C106"/>
    <mergeCell ref="D106:I106"/>
    <mergeCell ref="D107:E107"/>
    <mergeCell ref="F107:G107"/>
    <mergeCell ref="H107:I107"/>
    <mergeCell ref="B109:C109"/>
    <mergeCell ref="A100:C100"/>
    <mergeCell ref="D100:J100"/>
    <mergeCell ref="A101:J101"/>
    <mergeCell ref="A103:C103"/>
    <mergeCell ref="D103:I103"/>
    <mergeCell ref="A104:C104"/>
    <mergeCell ref="D104:I104"/>
    <mergeCell ref="A105:C105"/>
    <mergeCell ref="D105:I105"/>
    <mergeCell ref="B73:B76"/>
    <mergeCell ref="C73:C76"/>
    <mergeCell ref="D73:D75"/>
    <mergeCell ref="E73:E75"/>
    <mergeCell ref="G73:G76"/>
    <mergeCell ref="H73:H74"/>
    <mergeCell ref="B110:C110"/>
    <mergeCell ref="B111:C111"/>
    <mergeCell ref="B112:C112"/>
    <mergeCell ref="B113:C113"/>
    <mergeCell ref="K143:M143"/>
    <mergeCell ref="A148:C148"/>
    <mergeCell ref="F122:F124"/>
    <mergeCell ref="A145:C145"/>
    <mergeCell ref="D145:N145"/>
    <mergeCell ref="A146:C146"/>
    <mergeCell ref="D146:N146"/>
    <mergeCell ref="D147:J147"/>
    <mergeCell ref="K147:M147"/>
    <mergeCell ref="D148:J148"/>
    <mergeCell ref="A149:M149"/>
    <mergeCell ref="B164:C164"/>
    <mergeCell ref="B165:C165"/>
    <mergeCell ref="A194:C194"/>
    <mergeCell ref="D194:N194"/>
    <mergeCell ref="A195:C195"/>
    <mergeCell ref="D195:J195"/>
    <mergeCell ref="K195:M195"/>
    <mergeCell ref="H185:M185"/>
    <mergeCell ref="K191:M191"/>
    <mergeCell ref="A193:C193"/>
    <mergeCell ref="D193:N193"/>
    <mergeCell ref="K154:L154"/>
    <mergeCell ref="K155:L155"/>
    <mergeCell ref="B157:C157"/>
    <mergeCell ref="B158:C158"/>
    <mergeCell ref="K150:L150"/>
    <mergeCell ref="A151:C151"/>
    <mergeCell ref="D151:I151"/>
    <mergeCell ref="K151:L151"/>
    <mergeCell ref="A152:C152"/>
    <mergeCell ref="D152:I152"/>
    <mergeCell ref="K152:L152"/>
    <mergeCell ref="A153:C153"/>
    <mergeCell ref="D201:I201"/>
    <mergeCell ref="D202:I202"/>
    <mergeCell ref="D203:E203"/>
    <mergeCell ref="F203:G203"/>
    <mergeCell ref="H203:I203"/>
    <mergeCell ref="A202:C202"/>
    <mergeCell ref="F204:G204"/>
    <mergeCell ref="H204:I204"/>
    <mergeCell ref="B205:C205"/>
    <mergeCell ref="A201:C201"/>
    <mergeCell ref="B206:C206"/>
    <mergeCell ref="B207:C207"/>
    <mergeCell ref="B208:C208"/>
    <mergeCell ref="B209:C209"/>
    <mergeCell ref="N216:N218"/>
    <mergeCell ref="P216:P220"/>
    <mergeCell ref="O217:O219"/>
    <mergeCell ref="H233:M233"/>
    <mergeCell ref="A241:C241"/>
    <mergeCell ref="D241:N241"/>
    <mergeCell ref="A216:A220"/>
    <mergeCell ref="B216:G216"/>
    <mergeCell ref="H216:M216"/>
    <mergeCell ref="B217:B220"/>
    <mergeCell ref="C217:C220"/>
    <mergeCell ref="D217:D219"/>
    <mergeCell ref="E217:E219"/>
    <mergeCell ref="G217:G220"/>
    <mergeCell ref="H217:H218"/>
    <mergeCell ref="I217:I218"/>
    <mergeCell ref="J217:J218"/>
    <mergeCell ref="K217:K218"/>
    <mergeCell ref="L217:L218"/>
    <mergeCell ref="M217:M219"/>
    <mergeCell ref="A242:C242"/>
    <mergeCell ref="D242:N242"/>
    <mergeCell ref="D243:J243"/>
    <mergeCell ref="K243:M243"/>
    <mergeCell ref="D244:J244"/>
    <mergeCell ref="A245:M245"/>
    <mergeCell ref="A243:C243"/>
    <mergeCell ref="A244:C244"/>
    <mergeCell ref="F251:G251"/>
    <mergeCell ref="H251:I251"/>
    <mergeCell ref="H252:I252"/>
    <mergeCell ref="B253:C253"/>
    <mergeCell ref="B254:C254"/>
    <mergeCell ref="B255:C255"/>
    <mergeCell ref="B256:C256"/>
    <mergeCell ref="B257:C257"/>
    <mergeCell ref="A264:A268"/>
    <mergeCell ref="B264:G264"/>
    <mergeCell ref="H264:M264"/>
    <mergeCell ref="B265:B268"/>
    <mergeCell ref="C265:C268"/>
    <mergeCell ref="D265:D267"/>
    <mergeCell ref="E265:E267"/>
    <mergeCell ref="G265:G268"/>
    <mergeCell ref="H265:H266"/>
    <mergeCell ref="I265:I266"/>
    <mergeCell ref="J265:J266"/>
    <mergeCell ref="K265:K266"/>
    <mergeCell ref="L265:L266"/>
    <mergeCell ref="M265:M267"/>
    <mergeCell ref="F266:F268"/>
    <mergeCell ref="A289:C289"/>
    <mergeCell ref="D289:N289"/>
    <mergeCell ref="A290:C290"/>
    <mergeCell ref="D290:N290"/>
    <mergeCell ref="A291:C291"/>
    <mergeCell ref="D291:J291"/>
    <mergeCell ref="K291:M291"/>
    <mergeCell ref="K287:M287"/>
    <mergeCell ref="A292:C292"/>
    <mergeCell ref="D292:J292"/>
    <mergeCell ref="B301:C301"/>
    <mergeCell ref="B302:C302"/>
    <mergeCell ref="B303:C303"/>
    <mergeCell ref="B304:C304"/>
    <mergeCell ref="B305:C305"/>
    <mergeCell ref="B308:C308"/>
    <mergeCell ref="B309:C309"/>
    <mergeCell ref="D297:I297"/>
    <mergeCell ref="A298:C298"/>
    <mergeCell ref="D298:I298"/>
    <mergeCell ref="D299:E299"/>
    <mergeCell ref="F299:G299"/>
    <mergeCell ref="H299:I299"/>
    <mergeCell ref="A312:A316"/>
    <mergeCell ref="B312:G312"/>
    <mergeCell ref="H312:M312"/>
    <mergeCell ref="N312:N314"/>
    <mergeCell ref="B313:B316"/>
    <mergeCell ref="C313:C316"/>
    <mergeCell ref="D313:D315"/>
    <mergeCell ref="E313:E315"/>
    <mergeCell ref="G313:G316"/>
    <mergeCell ref="H313:H314"/>
    <mergeCell ref="I313:I314"/>
    <mergeCell ref="J313:J314"/>
    <mergeCell ref="P312:P316"/>
    <mergeCell ref="K313:K314"/>
    <mergeCell ref="L313:L314"/>
    <mergeCell ref="M313:M315"/>
    <mergeCell ref="O313:O315"/>
    <mergeCell ref="F314:F316"/>
    <mergeCell ref="R26:S26"/>
    <mergeCell ref="R27:S27"/>
    <mergeCell ref="R74:S74"/>
    <mergeCell ref="R75:S75"/>
    <mergeCell ref="R122:S122"/>
    <mergeCell ref="R123:S123"/>
    <mergeCell ref="R170:S170"/>
    <mergeCell ref="R171:S171"/>
    <mergeCell ref="R218:S218"/>
    <mergeCell ref="R219:S219"/>
    <mergeCell ref="R266:S266"/>
    <mergeCell ref="R267:S267"/>
    <mergeCell ref="F300:G300"/>
    <mergeCell ref="H300:I300"/>
    <mergeCell ref="K297:L297"/>
    <mergeCell ref="K298:L298"/>
    <mergeCell ref="K299:L299"/>
    <mergeCell ref="F252:G252"/>
  </mergeCells>
  <dataValidations count="1">
    <dataValidation type="list" allowBlank="1" showInputMessage="1" showErrorMessage="1" sqref="A15:A17 A20:A21 A63:A65 A68:A69 A111:A113 A116:A117 A164:A165 A212:A213 A260:A261 A308:A309">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Hausmeister&amp;R&amp;G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'päd.Personal - Leitung'!$A$29:$A$40</xm:f>
          </x14:formula1>
          <xm:sqref>A207:A209 A159:A161 A255:A257 A303:A305</xm:sqref>
        </x14:dataValidation>
        <x14:dataValidation type="list" allowBlank="1" showInputMessage="1" showErrorMessage="1">
          <x14:formula1>
            <xm:f>Grundlagen!$P$8:$P$9</xm:f>
          </x14:formula1>
          <xm:sqref>H20 H68 H116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3" tint="0.39997558519241921"/>
  </sheetPr>
  <dimension ref="A1:X57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4" width="0" style="1" hidden="1" customWidth="1"/>
    <col min="25" max="16384" width="11.42578125" style="1"/>
  </cols>
  <sheetData>
    <row r="1" spans="1:19" s="10" customFormat="1" ht="13.5" customHeight="1" x14ac:dyDescent="0.2">
      <c r="A1" s="1321" t="s">
        <v>17</v>
      </c>
      <c r="B1" s="1321"/>
      <c r="C1" s="1321"/>
      <c r="D1" s="1320" t="str">
        <f>IF('päd.Personal - Leitung'!$D$1="","",'päd.Personal - Leitung'!$D$1)</f>
        <v/>
      </c>
      <c r="E1" s="1320"/>
      <c r="F1" s="1320"/>
      <c r="G1" s="1320"/>
      <c r="H1" s="1320"/>
      <c r="I1" s="1320"/>
      <c r="J1" s="1320"/>
      <c r="K1" s="1320"/>
      <c r="L1" s="1320"/>
      <c r="M1" s="1320"/>
      <c r="N1" s="1320"/>
    </row>
    <row r="2" spans="1:19" s="10" customFormat="1" ht="15" customHeight="1" x14ac:dyDescent="0.2">
      <c r="A2" s="1321" t="s">
        <v>16</v>
      </c>
      <c r="B2" s="1321"/>
      <c r="C2" s="1321" t="s">
        <v>14</v>
      </c>
      <c r="D2" s="1320" t="str">
        <f>IF('päd.Personal - Leitung'!$D$2="","",'päd.Personal - Leitung'!$D$2)</f>
        <v/>
      </c>
      <c r="E2" s="1320"/>
      <c r="F2" s="1320"/>
      <c r="G2" s="1320"/>
      <c r="H2" s="1320"/>
      <c r="I2" s="1320"/>
      <c r="J2" s="1320"/>
      <c r="K2" s="1320"/>
      <c r="L2" s="1320"/>
      <c r="M2" s="1320"/>
      <c r="N2" s="1320"/>
    </row>
    <row r="3" spans="1:19" s="10" customFormat="1" ht="15" customHeight="1" x14ac:dyDescent="0.2">
      <c r="A3" s="1321" t="s">
        <v>15</v>
      </c>
      <c r="B3" s="1321"/>
      <c r="C3" s="1321" t="s">
        <v>14</v>
      </c>
      <c r="D3" s="1320" t="str">
        <f>IF('päd.Personal - Leitung'!$D$3="","",'päd.Personal - Leitung'!$D$3)</f>
        <v/>
      </c>
      <c r="E3" s="1320"/>
      <c r="F3" s="1320"/>
      <c r="G3" s="1320"/>
      <c r="H3" s="1320"/>
      <c r="I3" s="1320"/>
      <c r="J3" s="1320"/>
      <c r="K3" s="1321" t="s">
        <v>100</v>
      </c>
      <c r="L3" s="1321"/>
      <c r="M3" s="1321"/>
      <c r="N3" s="38" t="str">
        <f>IF('päd.Personal - Leitung'!$N$3="","",'päd.Personal - Leitung'!$N$3)</f>
        <v/>
      </c>
    </row>
    <row r="4" spans="1:19" s="923" customFormat="1" ht="7.5" customHeight="1" x14ac:dyDescent="0.15">
      <c r="A4" s="1353"/>
      <c r="B4" s="1353"/>
      <c r="C4" s="1353"/>
      <c r="D4" s="1354"/>
      <c r="E4" s="1354"/>
      <c r="F4" s="1354"/>
      <c r="G4" s="1354"/>
      <c r="H4" s="1354"/>
      <c r="I4" s="1354"/>
      <c r="J4" s="1354"/>
      <c r="K4" s="922"/>
      <c r="L4" s="922"/>
      <c r="M4" s="922"/>
      <c r="N4" s="922"/>
      <c r="O4" s="922"/>
      <c r="P4" s="922"/>
    </row>
    <row r="5" spans="1:19" s="13" customFormat="1" ht="13.5" customHeight="1" x14ac:dyDescent="0.2">
      <c r="A5" s="1355" t="s">
        <v>196</v>
      </c>
      <c r="B5" s="1355"/>
      <c r="C5" s="1355"/>
      <c r="D5" s="1355"/>
      <c r="E5" s="1355"/>
      <c r="F5" s="1355"/>
      <c r="G5" s="1355"/>
      <c r="H5" s="1355"/>
      <c r="I5" s="1355"/>
      <c r="J5" s="1355"/>
      <c r="K5" s="7"/>
      <c r="L5" s="7"/>
      <c r="M5" s="7"/>
      <c r="N5" s="52"/>
      <c r="O5" s="138">
        <f>'päd.Personal - Leitung'!$O$5</f>
        <v>2025</v>
      </c>
      <c r="P5" s="52" t="s">
        <v>140</v>
      </c>
    </row>
    <row r="6" spans="1:19" s="8" customFormat="1" ht="13.5" customHeight="1" x14ac:dyDescent="0.25">
      <c r="B6" s="29"/>
      <c r="C6" s="29"/>
      <c r="D6" s="3" t="s">
        <v>30</v>
      </c>
      <c r="E6" s="28"/>
      <c r="F6" s="28"/>
      <c r="G6" s="28"/>
      <c r="H6" s="28"/>
      <c r="I6" s="24"/>
      <c r="K6" s="1327" t="s">
        <v>13</v>
      </c>
      <c r="L6" s="1327"/>
      <c r="M6" s="131"/>
      <c r="O6" s="928" t="str">
        <f>A29</f>
        <v>Jan 2025</v>
      </c>
      <c r="P6" s="1402">
        <f>IF(M8="","",M8)</f>
        <v>0</v>
      </c>
    </row>
    <row r="7" spans="1:19" s="5" customFormat="1" ht="13.5" customHeight="1" x14ac:dyDescent="0.25">
      <c r="A7" s="1328" t="s">
        <v>754</v>
      </c>
      <c r="B7" s="1328"/>
      <c r="C7" s="1328"/>
      <c r="D7" s="1329"/>
      <c r="E7" s="1329"/>
      <c r="F7" s="1329"/>
      <c r="G7" s="1329"/>
      <c r="H7" s="1329"/>
      <c r="I7" s="1329"/>
      <c r="K7" s="1327" t="s">
        <v>101</v>
      </c>
      <c r="L7" s="1327"/>
      <c r="M7" s="101"/>
      <c r="O7" s="928" t="str">
        <f t="shared" ref="O7:O17" si="0">A30</f>
        <v>Feb 2025</v>
      </c>
      <c r="P7" s="1403">
        <f t="shared" ref="P7:P14" si="1">IF(P6="","",P6)</f>
        <v>0</v>
      </c>
    </row>
    <row r="8" spans="1:19" ht="13.5" customHeight="1" x14ac:dyDescent="0.2">
      <c r="A8" s="1328" t="s">
        <v>12</v>
      </c>
      <c r="B8" s="1328"/>
      <c r="C8" s="1328"/>
      <c r="D8" s="1345"/>
      <c r="E8" s="1345"/>
      <c r="F8" s="1345"/>
      <c r="G8" s="1345"/>
      <c r="H8" s="1345"/>
      <c r="I8" s="1345"/>
      <c r="K8" s="1327" t="s">
        <v>194</v>
      </c>
      <c r="L8" s="1327"/>
      <c r="M8" s="101">
        <f>IF(M9&gt;M7,0,M7-M9)</f>
        <v>0</v>
      </c>
      <c r="O8" s="928" t="str">
        <f t="shared" si="0"/>
        <v>Mrz 2025</v>
      </c>
      <c r="P8" s="1403">
        <f t="shared" si="1"/>
        <v>0</v>
      </c>
    </row>
    <row r="9" spans="1:19" ht="13.5" customHeight="1" x14ac:dyDescent="0.2">
      <c r="A9" s="1328" t="s">
        <v>11</v>
      </c>
      <c r="B9" s="1328"/>
      <c r="C9" s="1328"/>
      <c r="D9" s="1345"/>
      <c r="E9" s="1345"/>
      <c r="F9" s="1345"/>
      <c r="G9" s="1345"/>
      <c r="H9" s="1345"/>
      <c r="I9" s="1345"/>
      <c r="K9" s="1327" t="s">
        <v>195</v>
      </c>
      <c r="L9" s="1327"/>
      <c r="M9" s="101"/>
      <c r="O9" s="928" t="str">
        <f t="shared" si="0"/>
        <v>Apr 2025</v>
      </c>
      <c r="P9" s="1403">
        <f t="shared" si="1"/>
        <v>0</v>
      </c>
    </row>
    <row r="10" spans="1:19" ht="13.5" customHeight="1" x14ac:dyDescent="0.2">
      <c r="A10" s="1328" t="s">
        <v>18</v>
      </c>
      <c r="B10" s="1328"/>
      <c r="C10" s="1328"/>
      <c r="D10" s="1345"/>
      <c r="E10" s="1345"/>
      <c r="F10" s="1345"/>
      <c r="G10" s="1345"/>
      <c r="H10" s="1345"/>
      <c r="I10" s="1345"/>
      <c r="K10" s="1327" t="s">
        <v>94</v>
      </c>
      <c r="L10" s="1327"/>
      <c r="M10" s="15" t="str">
        <f>IF(IF((COUNTIF(B29:B40,"&gt;0"))=0,0,(COUNTIF(B29:B40,"&gt;0")))&gt;Grundlagen!$C$26,Grundlagen!$C$26,IF((COUNTIF(B29:B40,"&gt;0"))=0,"",(COUNTIF(B29:B40,"&gt;0"))))</f>
        <v/>
      </c>
      <c r="O10" s="928" t="str">
        <f t="shared" si="0"/>
        <v>Mai 2025</v>
      </c>
      <c r="P10" s="1403">
        <f t="shared" si="1"/>
        <v>0</v>
      </c>
    </row>
    <row r="11" spans="1:19" ht="13.5" customHeight="1" x14ac:dyDescent="0.2">
      <c r="B11" s="6"/>
      <c r="C11" s="979" t="s">
        <v>147</v>
      </c>
      <c r="D11" s="1324"/>
      <c r="E11" s="1324"/>
      <c r="F11" s="1359" t="s">
        <v>103</v>
      </c>
      <c r="G11" s="1359"/>
      <c r="H11" s="1361"/>
      <c r="I11" s="1361"/>
      <c r="M11" s="102" t="str">
        <f>IF((SUM(F14:F17))=0,"",IF(P18&gt;M8,M8,IF(M8="","",IF(M10="","",P18))))</f>
        <v/>
      </c>
      <c r="O11" s="928" t="str">
        <f t="shared" si="0"/>
        <v>Jun 2025</v>
      </c>
      <c r="P11" s="1403">
        <f t="shared" si="1"/>
        <v>0</v>
      </c>
    </row>
    <row r="12" spans="1:19" ht="13.5" customHeight="1" x14ac:dyDescent="0.2">
      <c r="I12" s="4"/>
      <c r="O12" s="928" t="str">
        <f t="shared" si="0"/>
        <v>Jul 2025</v>
      </c>
      <c r="P12" s="1403">
        <f t="shared" si="1"/>
        <v>0</v>
      </c>
    </row>
    <row r="13" spans="1:19" s="46" customFormat="1" ht="13.5" customHeight="1" x14ac:dyDescent="0.2">
      <c r="A13" s="54" t="s">
        <v>134</v>
      </c>
      <c r="B13" s="1356" t="s">
        <v>135</v>
      </c>
      <c r="C13" s="1356"/>
      <c r="D13" s="55" t="s">
        <v>136</v>
      </c>
      <c r="E13" s="56" t="s">
        <v>137</v>
      </c>
      <c r="F13" s="57" t="str">
        <f>CONCATENATE("Entg. ",N3," h/Wo")</f>
        <v>Entg.  h/Wo</v>
      </c>
      <c r="G13" s="58" t="s">
        <v>138</v>
      </c>
      <c r="I13" s="58" t="s">
        <v>139</v>
      </c>
      <c r="K13" s="970"/>
      <c r="L13" s="970"/>
      <c r="M13" s="59"/>
      <c r="N13" s="968" t="str">
        <f>IF(A15="","",A15)</f>
        <v/>
      </c>
      <c r="O13" s="928" t="str">
        <f t="shared" si="0"/>
        <v>Aug 2025</v>
      </c>
      <c r="P13" s="1403">
        <f t="shared" si="1"/>
        <v>0</v>
      </c>
      <c r="Q13" s="85"/>
      <c r="R13" s="85"/>
      <c r="S13" s="85"/>
    </row>
    <row r="14" spans="1:19" s="46" customFormat="1" ht="13.5" customHeight="1" x14ac:dyDescent="0.25">
      <c r="A14" s="48" t="str">
        <f>'päd.Personal - Leitung'!$A$14</f>
        <v>Jan 2025</v>
      </c>
      <c r="B14" s="1357" t="str">
        <f>IF($D$3="","",$D$3)</f>
        <v/>
      </c>
      <c r="C14" s="1358"/>
      <c r="D14" s="132"/>
      <c r="E14" s="132"/>
      <c r="F14" s="71"/>
      <c r="G14" s="50">
        <f>IF(N3="",0,F14/N3/4.348)</f>
        <v>0</v>
      </c>
      <c r="I14" s="125">
        <f>SUM(J14:M14)</f>
        <v>0</v>
      </c>
      <c r="J14" s="124"/>
      <c r="K14" s="124"/>
      <c r="L14" s="124"/>
      <c r="M14" s="124"/>
      <c r="N14" s="969"/>
      <c r="O14" s="928" t="str">
        <f t="shared" si="0"/>
        <v>Sep 2025</v>
      </c>
      <c r="P14" s="1403">
        <f t="shared" si="1"/>
        <v>0</v>
      </c>
      <c r="Q14" s="85"/>
      <c r="R14" s="85"/>
      <c r="S14" s="85"/>
    </row>
    <row r="15" spans="1:19" s="46" customFormat="1" ht="13.5" customHeight="1" x14ac:dyDescent="0.25">
      <c r="A15" s="49"/>
      <c r="B15" s="1322" t="str">
        <f>IF(A15="","",B14)</f>
        <v/>
      </c>
      <c r="C15" s="1323"/>
      <c r="D15" s="132"/>
      <c r="E15" s="132"/>
      <c r="F15" s="71"/>
      <c r="G15" s="50">
        <f>IF(N3="",0,F15/N3/4.348)</f>
        <v>0</v>
      </c>
      <c r="I15" s="125">
        <f t="shared" ref="I15:I17" si="2">SUM(J15:M15)</f>
        <v>0</v>
      </c>
      <c r="J15" s="124"/>
      <c r="K15" s="124"/>
      <c r="L15" s="124"/>
      <c r="M15" s="124"/>
      <c r="N15" s="969"/>
      <c r="O15" s="928" t="str">
        <f t="shared" si="0"/>
        <v>Okt 2025</v>
      </c>
      <c r="P15" s="1403">
        <f t="shared" ref="P15:P17" si="3">IF(P14="","",P14)</f>
        <v>0</v>
      </c>
      <c r="Q15" s="85"/>
      <c r="R15" s="85"/>
      <c r="S15" s="85"/>
    </row>
    <row r="16" spans="1:19" s="46" customFormat="1" ht="13.5" customHeight="1" x14ac:dyDescent="0.25">
      <c r="A16" s="49"/>
      <c r="B16" s="1322" t="str">
        <f>IF(A16="","",B15)</f>
        <v/>
      </c>
      <c r="C16" s="1323"/>
      <c r="D16" s="132"/>
      <c r="E16" s="132"/>
      <c r="F16" s="71"/>
      <c r="G16" s="50">
        <f>IF(N3="",0,F16/N3/4.348)</f>
        <v>0</v>
      </c>
      <c r="I16" s="125">
        <f t="shared" si="2"/>
        <v>0</v>
      </c>
      <c r="J16" s="124"/>
      <c r="K16" s="124"/>
      <c r="L16" s="124"/>
      <c r="M16" s="124"/>
      <c r="N16" s="969"/>
      <c r="O16" s="928" t="str">
        <f t="shared" si="0"/>
        <v>Nov 2025</v>
      </c>
      <c r="P16" s="1403">
        <f t="shared" si="3"/>
        <v>0</v>
      </c>
      <c r="Q16" s="85"/>
      <c r="R16" s="85"/>
      <c r="S16" s="85"/>
    </row>
    <row r="17" spans="1:22" s="46" customFormat="1" ht="13.5" customHeight="1" x14ac:dyDescent="0.25">
      <c r="A17" s="49"/>
      <c r="B17" s="1322" t="str">
        <f>IF(A17="","",B16)</f>
        <v/>
      </c>
      <c r="C17" s="1323"/>
      <c r="D17" s="132"/>
      <c r="E17" s="132"/>
      <c r="F17" s="71"/>
      <c r="G17" s="50">
        <f>IF(N3="",0,F17/N3/4.348)</f>
        <v>0</v>
      </c>
      <c r="I17" s="125">
        <f t="shared" si="2"/>
        <v>0</v>
      </c>
      <c r="J17" s="124"/>
      <c r="K17" s="124"/>
      <c r="L17" s="124"/>
      <c r="M17" s="124"/>
      <c r="N17" s="969"/>
      <c r="O17" s="928" t="str">
        <f t="shared" si="0"/>
        <v>Dez 2025</v>
      </c>
      <c r="P17" s="1403">
        <f t="shared" si="3"/>
        <v>0</v>
      </c>
      <c r="Q17" s="85"/>
      <c r="R17" s="85"/>
      <c r="S17" s="85"/>
    </row>
    <row r="18" spans="1:22" s="46" customFormat="1" ht="13.5" customHeight="1" x14ac:dyDescent="0.25">
      <c r="B18" s="972"/>
      <c r="C18" s="972"/>
      <c r="E18" s="972"/>
      <c r="F18" s="972"/>
      <c r="I18" s="930" t="s">
        <v>730</v>
      </c>
      <c r="J18" s="976"/>
      <c r="K18" s="976"/>
      <c r="L18" s="976"/>
      <c r="M18" s="976"/>
      <c r="N18" s="971"/>
      <c r="O18" s="126" t="s">
        <v>221</v>
      </c>
      <c r="P18" s="127">
        <f>IF(M10="",0,((IF(SUMIF(B29,"&gt;0"),P6,0))+(IF(SUMIF(B30,"&gt;0"),P7,0))+(IF(SUMIF(B31,"&gt;0"),P8,0))+(IF(SUMIF(B32,"&gt;0"),P9,0))+(IF(SUMIF(B33,"&gt;0"),P10,0))+(IF(SUMIF(B34,"&gt;0"),P11,0))+(IF(SUMIF(B35,"&gt;0"),P12,0))+(IF(SUMIF(B36,"&gt;0"),P13,0))+(IF(SUMIF(B37,"&gt;0"),P14,0))+(IF(SUMIF(B38,"&gt;0"),P15,0))+(IF(SUMIF(B39,"&gt;0"),P16,0))+(IF(SUMIF(B40,"&gt;0"),P17,0)))/Grundlagen!$C$26)</f>
        <v>0</v>
      </c>
      <c r="Q18" s="978" t="str">
        <f>CONCATENATE("BBG"," anteilig ",O20)</f>
        <v>BBG anteilig 2025</v>
      </c>
      <c r="R18" s="931" t="s">
        <v>659</v>
      </c>
      <c r="S18" s="931" t="s">
        <v>398</v>
      </c>
      <c r="T18" s="107"/>
    </row>
    <row r="19" spans="1:22" s="46" customFormat="1" ht="13.5" customHeight="1" x14ac:dyDescent="0.2">
      <c r="A19" s="924" t="s">
        <v>732</v>
      </c>
      <c r="D19" s="55" t="s">
        <v>369</v>
      </c>
      <c r="E19" s="56" t="s">
        <v>368</v>
      </c>
      <c r="F19" s="58"/>
      <c r="J19" s="61"/>
      <c r="Q19" s="932" t="s">
        <v>144</v>
      </c>
      <c r="R19" s="140">
        <f>IF(M8=0,R23,IF(M7="",R23,(SUM(R29:R40)/M11)))</f>
        <v>5175</v>
      </c>
      <c r="S19" s="933">
        <f>IF(M8=0,S23,IF(M7="",S23,SUM(R29:R40)))</f>
        <v>0</v>
      </c>
      <c r="T19" s="107"/>
    </row>
    <row r="20" spans="1:22" s="46" customFormat="1" ht="13.5" customHeight="1" x14ac:dyDescent="0.25">
      <c r="A20" s="60"/>
      <c r="B20" s="1314" t="str">
        <f>IF('päd.Personal - Leitung'!$B$20="","",'päd.Personal - Leitung'!$B$20)</f>
        <v>Jahressonderzahlung (JSZ)</v>
      </c>
      <c r="C20" s="1315"/>
      <c r="D20" s="926"/>
      <c r="E20" s="929" t="str">
        <f>IF(A20="","",ROUND((((SUM(B35:B37)+SUM(F35:F37))/3)*D20)/Grundlagen!$C$26*M10,2))</f>
        <v/>
      </c>
      <c r="G20" s="941" t="s">
        <v>733</v>
      </c>
      <c r="H20" s="943"/>
      <c r="I20" s="1316" t="str">
        <f>CONCATENATE(R43,":"," Übergangsbereich von ",R44+0.01," €"," bis ",R45," €")</f>
        <v>2025: Übergangsbereich von 556,01 € bis 2000 €</v>
      </c>
      <c r="J20" s="1317"/>
      <c r="K20" s="1317"/>
      <c r="L20" s="1067"/>
      <c r="M20" s="1067"/>
      <c r="N20" s="1068" t="s">
        <v>736</v>
      </c>
      <c r="O20" s="1069">
        <f>P20+1</f>
        <v>2025</v>
      </c>
      <c r="P20" s="1069" t="s">
        <v>721</v>
      </c>
      <c r="Q20" s="932" t="s">
        <v>145</v>
      </c>
      <c r="R20" s="140">
        <f>IF(M8=0,R24,IF(M7="",R24,(SUM(S29:S40)/M11)))</f>
        <v>7450</v>
      </c>
      <c r="S20" s="933">
        <f>IF(M8=0,S24,IF(M7="",S24,SUM(S29:S40)))</f>
        <v>0</v>
      </c>
      <c r="T20" s="109"/>
    </row>
    <row r="21" spans="1:22" ht="14.25" customHeight="1" x14ac:dyDescent="0.2">
      <c r="A21" s="60"/>
      <c r="B21" s="1314" t="str">
        <f>IF('päd.Personal - Leitung'!$B$21="","",'päd.Personal - Leitung'!$B$21)</f>
        <v>Leistungsentgelt (LOB)</v>
      </c>
      <c r="C21" s="1315"/>
      <c r="D21" s="926"/>
      <c r="E21" s="929" t="str">
        <f>IF(A21="","",ROUND(((B41+F41)*D21)/Grundlagen!$C$26*M10,2))</f>
        <v/>
      </c>
      <c r="G21" s="941" t="str">
        <f>IF(OR(H20="",H20="nein")=TRUE,"","Faktor (F):")</f>
        <v/>
      </c>
      <c r="H21" s="949" t="str">
        <f>IF(OR(H20="",H20="nein")=TRUE,"",IF(H20="","",R47))</f>
        <v/>
      </c>
      <c r="I21" s="1318" t="str">
        <f>IF(OR(H20="",H20="nein")=TRUE,"",IF(H21="","",CONCATENATE(S47*100,"%"," / ","(",R46*100,"%"," Gesamt-SV-Beitragssatz 2024)")))</f>
        <v/>
      </c>
      <c r="J21" s="1319"/>
      <c r="K21" s="1319"/>
      <c r="L21" s="1070"/>
      <c r="M21" s="1070"/>
      <c r="N21" s="1071" t="s">
        <v>144</v>
      </c>
      <c r="O21" s="1072">
        <f>'päd.Personal - Leitung'!$O$21</f>
        <v>5175</v>
      </c>
      <c r="P21" s="1072">
        <f>'päd.Personal - Leitung'!$P$21</f>
        <v>5175</v>
      </c>
      <c r="Q21" s="11"/>
      <c r="R21" s="11"/>
      <c r="S21" s="11"/>
      <c r="T21" s="109"/>
    </row>
    <row r="22" spans="1:22" ht="14.25" customHeight="1" x14ac:dyDescent="0.2">
      <c r="C22" s="925" t="s">
        <v>731</v>
      </c>
      <c r="L22" s="1070"/>
      <c r="M22" s="1070"/>
      <c r="N22" s="1071" t="s">
        <v>145</v>
      </c>
      <c r="O22" s="1073">
        <f>'päd.Personal - Leitung'!$O$22</f>
        <v>7450</v>
      </c>
      <c r="P22" s="1073">
        <f>'päd.Personal - Leitung'!$P$22</f>
        <v>7450</v>
      </c>
      <c r="Q22" s="978" t="str">
        <f>CONCATENATE("BBG"," ",O20)</f>
        <v>BBG 2025</v>
      </c>
      <c r="R22" s="11"/>
      <c r="S22" s="11"/>
      <c r="T22" s="109"/>
    </row>
    <row r="23" spans="1:22" ht="14.25" customHeight="1" x14ac:dyDescent="0.2">
      <c r="A23" s="53" t="s">
        <v>141</v>
      </c>
      <c r="B23" s="46"/>
      <c r="C23" s="46"/>
      <c r="D23" s="46"/>
      <c r="E23" s="46"/>
      <c r="F23" s="46"/>
      <c r="G23" s="46"/>
      <c r="H23" s="46"/>
      <c r="I23" s="46"/>
      <c r="J23" s="46"/>
      <c r="K23" s="46"/>
      <c r="L23" s="46"/>
      <c r="M23" s="46"/>
      <c r="N23" s="46"/>
      <c r="O23" s="46"/>
      <c r="P23" s="46"/>
      <c r="Q23" s="932" t="s">
        <v>144</v>
      </c>
      <c r="R23" s="141">
        <f>IF($O$21="",0,$O$21)</f>
        <v>5175</v>
      </c>
      <c r="S23" s="933">
        <f>R23*IF(M11="",0,M11)</f>
        <v>0</v>
      </c>
      <c r="T23" s="295"/>
    </row>
    <row r="24" spans="1:22" x14ac:dyDescent="0.2">
      <c r="A24" s="1346"/>
      <c r="B24" s="1348" t="s">
        <v>8</v>
      </c>
      <c r="C24" s="1349"/>
      <c r="D24" s="1349"/>
      <c r="E24" s="1349"/>
      <c r="F24" s="1349"/>
      <c r="G24" s="1350"/>
      <c r="H24" s="1351" t="s">
        <v>113</v>
      </c>
      <c r="I24" s="1352"/>
      <c r="J24" s="1352"/>
      <c r="K24" s="1352"/>
      <c r="L24" s="1352"/>
      <c r="M24" s="1352"/>
      <c r="N24" s="1352"/>
      <c r="O24" s="30"/>
      <c r="P24" s="1330" t="s">
        <v>0</v>
      </c>
      <c r="Q24" s="932" t="s">
        <v>145</v>
      </c>
      <c r="R24" s="141">
        <f>IF($O$22="",0,$O$22)</f>
        <v>7450</v>
      </c>
      <c r="S24" s="933">
        <f>R24*IF(M11="",0,M11)</f>
        <v>0</v>
      </c>
      <c r="T24" s="830"/>
    </row>
    <row r="25" spans="1:22" ht="14.25" customHeight="1" x14ac:dyDescent="0.2">
      <c r="A25" s="1347"/>
      <c r="B25" s="1333" t="s">
        <v>111</v>
      </c>
      <c r="C25" s="1335" t="s">
        <v>743</v>
      </c>
      <c r="D25" s="1337" t="s">
        <v>226</v>
      </c>
      <c r="E25" s="1339" t="s">
        <v>133</v>
      </c>
      <c r="F25" s="981" t="s">
        <v>6</v>
      </c>
      <c r="G25" s="1340" t="s">
        <v>5</v>
      </c>
      <c r="H25" s="1339" t="s">
        <v>119</v>
      </c>
      <c r="I25" s="1339" t="s">
        <v>4</v>
      </c>
      <c r="J25" s="1339" t="s">
        <v>3</v>
      </c>
      <c r="K25" s="1339" t="s">
        <v>2</v>
      </c>
      <c r="L25" s="1339" t="s">
        <v>114</v>
      </c>
      <c r="M25" s="1339" t="s">
        <v>115</v>
      </c>
      <c r="N25" s="1339" t="s">
        <v>116</v>
      </c>
      <c r="O25" s="1338" t="s">
        <v>109</v>
      </c>
      <c r="P25" s="1331"/>
      <c r="Q25" s="456"/>
      <c r="R25" s="11"/>
      <c r="S25" s="11"/>
      <c r="T25" s="621"/>
    </row>
    <row r="26" spans="1:22" x14ac:dyDescent="0.2">
      <c r="A26" s="1347"/>
      <c r="B26" s="1333"/>
      <c r="C26" s="1335"/>
      <c r="D26" s="1338"/>
      <c r="E26" s="1339"/>
      <c r="F26" s="1343" t="str">
        <f>I18</f>
        <v>Zuschläge / Zulagen / o.ä.:</v>
      </c>
      <c r="G26" s="1340"/>
      <c r="H26" s="1342" t="s">
        <v>117</v>
      </c>
      <c r="I26" s="1342"/>
      <c r="J26" s="1342"/>
      <c r="K26" s="1342"/>
      <c r="L26" s="1342"/>
      <c r="M26" s="1342"/>
      <c r="N26" s="1342"/>
      <c r="O26" s="1338"/>
      <c r="P26" s="1331"/>
      <c r="Q26" s="456"/>
      <c r="R26" s="1306" t="str">
        <f>Q18</f>
        <v>BBG anteilig 2025</v>
      </c>
      <c r="S26" s="1306"/>
      <c r="T26" s="829"/>
    </row>
    <row r="27" spans="1:22" ht="14.25" customHeight="1" x14ac:dyDescent="0.2">
      <c r="A27" s="1347"/>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c r="Q27" s="456"/>
      <c r="R27" s="1307" t="s">
        <v>659</v>
      </c>
      <c r="S27" s="1307"/>
      <c r="T27" s="829"/>
      <c r="U27" s="1308" t="s">
        <v>1</v>
      </c>
      <c r="V27" s="1308" t="s">
        <v>741</v>
      </c>
    </row>
    <row r="28" spans="1:22" x14ac:dyDescent="0.2">
      <c r="A28" s="1347"/>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c r="Q28" s="456"/>
      <c r="R28" s="935" t="s">
        <v>144</v>
      </c>
      <c r="S28" s="935" t="s">
        <v>145</v>
      </c>
      <c r="T28" s="829"/>
      <c r="U28" s="1308"/>
      <c r="V28" s="1308"/>
    </row>
    <row r="29" spans="1:22"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4">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56"/>
      <c r="R29" s="140">
        <f>ROUND(IF(M7="",R23,R23/M7*P6),2)</f>
        <v>5175</v>
      </c>
      <c r="S29" s="140">
        <f>ROUND(IF(M7="",R24,R24/M7*P6),2)</f>
        <v>7450</v>
      </c>
      <c r="U29" s="950">
        <f>SUM(B29:F29)</f>
        <v>0</v>
      </c>
      <c r="V29" s="950">
        <f>SUM(B29:F29)</f>
        <v>0</v>
      </c>
    </row>
    <row r="30" spans="1:22"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4"/>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5">SUM(G30:O30)</f>
        <v>0</v>
      </c>
      <c r="Q30" s="456"/>
      <c r="R30" s="140">
        <f>ROUND(IF(M7="",R23,R23/M7*P7),2)</f>
        <v>5175</v>
      </c>
      <c r="S30" s="140">
        <f>ROUND(IF(M7="",R24,R24/M7*P7),2)</f>
        <v>7450</v>
      </c>
      <c r="U30" s="950">
        <f t="shared" ref="U30:U40" si="6">SUM(B30:F30)</f>
        <v>0</v>
      </c>
      <c r="V30" s="950">
        <f>SUM(B29:F30)</f>
        <v>0</v>
      </c>
    </row>
    <row r="31" spans="1:22"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4"/>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5"/>
        <v>0</v>
      </c>
      <c r="Q31" s="456"/>
      <c r="R31" s="140">
        <f>ROUND(IF(M7="",R23,R23/M7*P8),2)</f>
        <v>5175</v>
      </c>
      <c r="S31" s="140">
        <f>ROUND(IF(M7="",R24,R24/M7*P8),2)</f>
        <v>7450</v>
      </c>
      <c r="U31" s="950">
        <f t="shared" si="6"/>
        <v>0</v>
      </c>
      <c r="V31" s="950">
        <f>SUM(B29:F31)</f>
        <v>0</v>
      </c>
    </row>
    <row r="32" spans="1:22"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4"/>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5"/>
        <v>0</v>
      </c>
      <c r="Q32" s="456"/>
      <c r="R32" s="140">
        <f>ROUND(IF(M7="",R23,R23/M7*P9),2)</f>
        <v>5175</v>
      </c>
      <c r="S32" s="140">
        <f>ROUND(IF(M7="",R24,R24/M7*P9),2)</f>
        <v>7450</v>
      </c>
      <c r="U32" s="950">
        <f t="shared" si="6"/>
        <v>0</v>
      </c>
      <c r="V32" s="950">
        <f>SUM(B29:F32)</f>
        <v>0</v>
      </c>
    </row>
    <row r="33" spans="1:24"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4"/>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5"/>
        <v>0</v>
      </c>
      <c r="Q33" s="456"/>
      <c r="R33" s="140">
        <f>ROUND(IF(M7="",R23,R23/M7*P10),2)</f>
        <v>5175</v>
      </c>
      <c r="S33" s="140">
        <f>ROUND(IF(M7="",R24,R24/M7*P10),2)</f>
        <v>7450</v>
      </c>
      <c r="U33" s="950">
        <f t="shared" si="6"/>
        <v>0</v>
      </c>
      <c r="V33" s="950">
        <f>SUM(B29:F33)</f>
        <v>0</v>
      </c>
    </row>
    <row r="34" spans="1:24"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4"/>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5"/>
        <v>0</v>
      </c>
      <c r="Q34" s="456"/>
      <c r="R34" s="140">
        <f>ROUND(IF(M7="",R23,R23/M7*P11),2)</f>
        <v>5175</v>
      </c>
      <c r="S34" s="140">
        <f>ROUND(IF(M7="",R24,R24/M7*P11),2)</f>
        <v>7450</v>
      </c>
      <c r="U34" s="950">
        <f t="shared" si="6"/>
        <v>0</v>
      </c>
      <c r="V34" s="950">
        <f>SUM(B29:F34)</f>
        <v>0</v>
      </c>
    </row>
    <row r="35" spans="1:24"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4"/>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5"/>
        <v>0</v>
      </c>
      <c r="Q35" s="456"/>
      <c r="R35" s="140">
        <f>ROUND(IF(M7="",R23,R23/M7*P12),2)</f>
        <v>5175</v>
      </c>
      <c r="S35" s="140">
        <f>ROUND(IF(M7="",R24,R24/M7*P12),2)</f>
        <v>7450</v>
      </c>
      <c r="U35" s="950">
        <f t="shared" si="6"/>
        <v>0</v>
      </c>
      <c r="V35" s="950">
        <f>SUM(B29:F35)</f>
        <v>0</v>
      </c>
    </row>
    <row r="36" spans="1:24"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4"/>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5"/>
        <v>0</v>
      </c>
      <c r="Q36" s="456"/>
      <c r="R36" s="140">
        <f>ROUND(IF(M7="",R23,R23/M7*P13),2)</f>
        <v>5175</v>
      </c>
      <c r="S36" s="140">
        <f>ROUND(IF(M7="",R24,R24/M7*P13),2)</f>
        <v>7450</v>
      </c>
      <c r="U36" s="950">
        <f t="shared" si="6"/>
        <v>0</v>
      </c>
      <c r="V36" s="950">
        <f>SUM(B29:F36)</f>
        <v>0</v>
      </c>
    </row>
    <row r="37" spans="1:24"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4"/>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5"/>
        <v>0</v>
      </c>
      <c r="Q37" s="456"/>
      <c r="R37" s="140">
        <f>ROUND(IF(M7="",R23,R23/M7*P14),2)</f>
        <v>5175</v>
      </c>
      <c r="S37" s="140">
        <f>ROUND(IF(M7="",R24,R24/M7*P14),2)</f>
        <v>7450</v>
      </c>
      <c r="U37" s="950">
        <f t="shared" si="6"/>
        <v>0</v>
      </c>
      <c r="V37" s="950">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4"/>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5"/>
        <v>0</v>
      </c>
      <c r="Q38" s="936"/>
      <c r="R38" s="140">
        <f>ROUND(IF(M7="",R23,R23/M7*P15),2)</f>
        <v>5175</v>
      </c>
      <c r="S38" s="140">
        <f>ROUND(IF(M7="",R24,R24/M7*P15),2)</f>
        <v>7450</v>
      </c>
      <c r="U38" s="950">
        <f t="shared" si="6"/>
        <v>0</v>
      </c>
      <c r="V38" s="950">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4"/>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5"/>
        <v>0</v>
      </c>
      <c r="R39" s="140">
        <f>ROUND(IF(M7="",R23,R23/M7*P16),2)</f>
        <v>5175</v>
      </c>
      <c r="S39" s="140">
        <f>ROUND(IF(M7="",R24,R24/M7*P16),2)</f>
        <v>7450</v>
      </c>
      <c r="U39" s="950">
        <f t="shared" si="6"/>
        <v>0</v>
      </c>
      <c r="V39" s="950">
        <f>SUM(B29:F39)</f>
        <v>0</v>
      </c>
      <c r="X39" s="1"/>
    </row>
    <row r="40" spans="1:24"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4"/>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5"/>
        <v>0</v>
      </c>
      <c r="Q40" s="11"/>
      <c r="R40" s="140">
        <f>ROUND(IF(M7="",R23,R23/M7*P17),2)</f>
        <v>5175</v>
      </c>
      <c r="S40" s="140">
        <f>ROUND(IF(M7="",R24,R24/M7*P17),2)</f>
        <v>7450</v>
      </c>
      <c r="U40" s="950">
        <f t="shared" si="6"/>
        <v>0</v>
      </c>
      <c r="V40" s="950">
        <f>SUM(B29:F40)</f>
        <v>0</v>
      </c>
    </row>
    <row r="41" spans="1:24" ht="15" customHeight="1" x14ac:dyDescent="0.2">
      <c r="A41" s="2" t="s">
        <v>1</v>
      </c>
      <c r="B41" s="25">
        <f>SUM(B29:B40)</f>
        <v>0</v>
      </c>
      <c r="C41" s="25">
        <f t="shared" ref="C41:G41" si="7">SUM(C29:C40)</f>
        <v>0</v>
      </c>
      <c r="D41" s="25">
        <f t="shared" si="7"/>
        <v>0</v>
      </c>
      <c r="E41" s="25">
        <f t="shared" si="7"/>
        <v>0</v>
      </c>
      <c r="F41" s="25">
        <f t="shared" si="7"/>
        <v>0</v>
      </c>
      <c r="G41" s="25">
        <f t="shared" si="7"/>
        <v>0</v>
      </c>
      <c r="H41" s="1309">
        <f>SUM(H29:N40)</f>
        <v>0</v>
      </c>
      <c r="I41" s="1310"/>
      <c r="J41" s="1310"/>
      <c r="K41" s="1310"/>
      <c r="L41" s="1310"/>
      <c r="M41" s="1310"/>
      <c r="N41" s="1311"/>
      <c r="O41" s="25">
        <f>SUM(O29:O40)</f>
        <v>0</v>
      </c>
      <c r="P41" s="25">
        <f>SUM(P29:P40)</f>
        <v>0</v>
      </c>
    </row>
    <row r="42" spans="1:24" ht="12" customHeight="1" x14ac:dyDescent="0.2"/>
    <row r="43" spans="1:24" ht="14.25" customHeight="1" x14ac:dyDescent="0.2">
      <c r="B43" s="906"/>
      <c r="H43" s="905"/>
      <c r="I43" s="62"/>
      <c r="J43" s="914" t="s">
        <v>123</v>
      </c>
      <c r="L43" s="900" t="s">
        <v>124</v>
      </c>
      <c r="M43" s="1032"/>
      <c r="N43" s="902" t="s">
        <v>125</v>
      </c>
      <c r="O43" s="1033"/>
      <c r="P43" s="25">
        <f>ROUND(IF(M43="",0,G41*M43*O43/1000),2)</f>
        <v>0</v>
      </c>
      <c r="Q43" s="937"/>
      <c r="R43" s="938">
        <v>2025</v>
      </c>
      <c r="S43" s="939"/>
    </row>
    <row r="44" spans="1:24" ht="14.25" customHeight="1" x14ac:dyDescent="0.2">
      <c r="H44" s="907"/>
      <c r="I44" s="42"/>
      <c r="M44" s="915" t="s">
        <v>129</v>
      </c>
      <c r="N44" s="80" t="s">
        <v>125</v>
      </c>
      <c r="O44" s="1034"/>
      <c r="P44" s="25">
        <f>ROUND(IF(O44="",0,G41*O44/1000),2)</f>
        <v>0</v>
      </c>
      <c r="Q44" s="942" t="s">
        <v>737</v>
      </c>
      <c r="R44" s="141">
        <f>'päd.Personal - Leitung'!$R$44</f>
        <v>556</v>
      </c>
      <c r="S44" s="955">
        <f>'päd.Personal - Leitung'!$S$44</f>
        <v>12.82</v>
      </c>
    </row>
    <row r="45" spans="1:24" ht="14.25" customHeight="1" x14ac:dyDescent="0.2">
      <c r="H45" s="912" t="s">
        <v>126</v>
      </c>
      <c r="I45" s="980" t="s">
        <v>127</v>
      </c>
      <c r="J45" s="1037"/>
      <c r="K45" s="902" t="s">
        <v>128</v>
      </c>
      <c r="L45" s="1036"/>
      <c r="M45" s="16"/>
      <c r="N45" s="900" t="s">
        <v>132</v>
      </c>
      <c r="O45" s="1035"/>
      <c r="P45" s="25">
        <f>ROUND(IF(J45="",0,(J45*L45/O45)/M9*M10),2)</f>
        <v>0</v>
      </c>
      <c r="Q45" s="942" t="s">
        <v>738</v>
      </c>
      <c r="R45" s="140">
        <f>'päd.Personal - Leitung'!$R$45</f>
        <v>2000</v>
      </c>
      <c r="S45" s="939"/>
    </row>
    <row r="46" spans="1:24" ht="14.25" customHeight="1" x14ac:dyDescent="0.2">
      <c r="D46" s="16"/>
      <c r="I46" s="16"/>
      <c r="J46" s="16"/>
      <c r="K46" s="63"/>
      <c r="L46" s="67"/>
      <c r="M46" s="915" t="s">
        <v>130</v>
      </c>
      <c r="N46" s="80" t="s">
        <v>131</v>
      </c>
      <c r="O46" s="904"/>
      <c r="P46" s="21">
        <f>ROUND(IF(G41=0,0,O46/M7*M8),2)</f>
        <v>0</v>
      </c>
      <c r="Q46" s="942" t="s">
        <v>740</v>
      </c>
      <c r="R46" s="956">
        <f>'päd.Personal - Leitung'!$R$46</f>
        <v>0.40900000000000003</v>
      </c>
    </row>
    <row r="47" spans="1:24" ht="14.25" customHeight="1" x14ac:dyDescent="0.2">
      <c r="A47" s="16"/>
      <c r="B47" s="16"/>
      <c r="I47" s="905"/>
      <c r="J47" s="961" t="s">
        <v>176</v>
      </c>
      <c r="K47" s="1312"/>
      <c r="L47" s="1312"/>
      <c r="M47" s="1312"/>
      <c r="N47" s="80" t="s">
        <v>131</v>
      </c>
      <c r="O47" s="904"/>
      <c r="P47" s="21">
        <f>ROUND(IF(G41=0,0,O47/M7*M8),2)</f>
        <v>0</v>
      </c>
      <c r="Q47" s="942" t="s">
        <v>739</v>
      </c>
      <c r="R47" s="940">
        <f>'päd.Personal - Leitung'!$R$47</f>
        <v>0.68459999999999999</v>
      </c>
      <c r="S47" s="957">
        <f>'päd.Personal - Leitung'!$S$47</f>
        <v>0.28000000000000003</v>
      </c>
    </row>
    <row r="48" spans="1:24" ht="14.25" customHeight="1" x14ac:dyDescent="0.2">
      <c r="A48" s="908"/>
      <c r="B48" s="908"/>
      <c r="C48" s="980"/>
      <c r="D48" s="980"/>
      <c r="I48" s="913"/>
      <c r="J48" s="913"/>
      <c r="K48" s="916"/>
      <c r="L48" s="27"/>
      <c r="M48" s="27"/>
      <c r="N48" s="27"/>
      <c r="O48" s="26" t="s">
        <v>0</v>
      </c>
      <c r="P48" s="25">
        <f>P41+SUM(P43:P47)</f>
        <v>0</v>
      </c>
    </row>
    <row r="49" spans="1:19" s="10" customFormat="1" ht="13.5" customHeight="1" x14ac:dyDescent="0.2">
      <c r="A49" s="1321" t="s">
        <v>17</v>
      </c>
      <c r="B49" s="1321"/>
      <c r="C49" s="1321"/>
      <c r="D49" s="1320" t="str">
        <f>IF('päd.Personal - Leitung'!$D$1="","",'päd.Personal - Leitung'!$D$1)</f>
        <v/>
      </c>
      <c r="E49" s="1320"/>
      <c r="F49" s="1320"/>
      <c r="G49" s="1320"/>
      <c r="H49" s="1320"/>
      <c r="I49" s="1320"/>
      <c r="J49" s="1320"/>
      <c r="K49" s="1320"/>
      <c r="L49" s="1320"/>
      <c r="M49" s="1320"/>
      <c r="N49" s="1320"/>
    </row>
    <row r="50" spans="1:19" s="10" customFormat="1" ht="15" customHeight="1" x14ac:dyDescent="0.2">
      <c r="A50" s="1321" t="s">
        <v>16</v>
      </c>
      <c r="B50" s="1321"/>
      <c r="C50" s="1321" t="s">
        <v>14</v>
      </c>
      <c r="D50" s="1320" t="str">
        <f>IF('päd.Personal - Leitung'!$D$2="","",'päd.Personal - Leitung'!$D$2)</f>
        <v/>
      </c>
      <c r="E50" s="1320"/>
      <c r="F50" s="1320"/>
      <c r="G50" s="1320"/>
      <c r="H50" s="1320"/>
      <c r="I50" s="1320"/>
      <c r="J50" s="1320"/>
      <c r="K50" s="1320"/>
      <c r="L50" s="1320"/>
      <c r="M50" s="1320"/>
      <c r="N50" s="1320"/>
    </row>
    <row r="51" spans="1:19" s="10" customFormat="1" ht="15" customHeight="1" x14ac:dyDescent="0.2">
      <c r="A51" s="1321" t="s">
        <v>15</v>
      </c>
      <c r="B51" s="1321"/>
      <c r="C51" s="1321" t="s">
        <v>14</v>
      </c>
      <c r="D51" s="1320" t="str">
        <f>IF('päd.Personal - Leitung'!$D$3="","",'päd.Personal - Leitung'!$D$3)</f>
        <v/>
      </c>
      <c r="E51" s="1320"/>
      <c r="F51" s="1320"/>
      <c r="G51" s="1320"/>
      <c r="H51" s="1320"/>
      <c r="I51" s="1320"/>
      <c r="J51" s="1320"/>
      <c r="K51" s="1321" t="s">
        <v>100</v>
      </c>
      <c r="L51" s="1321"/>
      <c r="M51" s="1321"/>
      <c r="N51" s="38" t="str">
        <f>IF('päd.Personal - Leitung'!$N$3="","",'päd.Personal - Leitung'!$N$3)</f>
        <v/>
      </c>
    </row>
    <row r="52" spans="1:19" s="923" customFormat="1" ht="7.5" customHeight="1" x14ac:dyDescent="0.15">
      <c r="A52" s="1353"/>
      <c r="B52" s="1353"/>
      <c r="C52" s="1353"/>
      <c r="D52" s="1354"/>
      <c r="E52" s="1354"/>
      <c r="F52" s="1354"/>
      <c r="G52" s="1354"/>
      <c r="H52" s="1354"/>
      <c r="I52" s="1354"/>
      <c r="J52" s="1354"/>
      <c r="K52" s="922"/>
      <c r="L52" s="922"/>
      <c r="M52" s="922"/>
      <c r="N52" s="922"/>
      <c r="O52" s="922"/>
      <c r="P52" s="922"/>
    </row>
    <row r="53" spans="1:19" s="13" customFormat="1" ht="13.5" customHeight="1" x14ac:dyDescent="0.2">
      <c r="A53" s="1355" t="s">
        <v>196</v>
      </c>
      <c r="B53" s="1355"/>
      <c r="C53" s="1355"/>
      <c r="D53" s="1355"/>
      <c r="E53" s="1355"/>
      <c r="F53" s="1355"/>
      <c r="G53" s="1355"/>
      <c r="H53" s="1355"/>
      <c r="I53" s="1355"/>
      <c r="J53" s="1355"/>
      <c r="K53" s="7"/>
      <c r="L53" s="7"/>
      <c r="M53" s="7"/>
      <c r="N53" s="52"/>
      <c r="O53" s="138">
        <f>'päd.Personal - Leitung'!$O$5</f>
        <v>2025</v>
      </c>
      <c r="P53" s="52" t="s">
        <v>140</v>
      </c>
    </row>
    <row r="54" spans="1:19" s="8" customFormat="1" ht="13.5" customHeight="1" x14ac:dyDescent="0.25">
      <c r="B54" s="29"/>
      <c r="C54" s="29"/>
      <c r="D54" s="3" t="s">
        <v>31</v>
      </c>
      <c r="E54" s="28"/>
      <c r="F54" s="28"/>
      <c r="G54" s="28"/>
      <c r="H54" s="28"/>
      <c r="I54" s="24"/>
      <c r="K54" s="1327" t="s">
        <v>13</v>
      </c>
      <c r="L54" s="1327"/>
      <c r="M54" s="131"/>
      <c r="O54" s="928" t="str">
        <f>A77</f>
        <v>Jan 2025</v>
      </c>
      <c r="P54" s="1402">
        <f>IF(M56="","",M56)</f>
        <v>0</v>
      </c>
    </row>
    <row r="55" spans="1:19" s="5" customFormat="1" ht="13.5" customHeight="1" x14ac:dyDescent="0.25">
      <c r="A55" s="1328" t="s">
        <v>754</v>
      </c>
      <c r="B55" s="1328"/>
      <c r="C55" s="1328"/>
      <c r="D55" s="1329"/>
      <c r="E55" s="1329"/>
      <c r="F55" s="1329"/>
      <c r="G55" s="1329"/>
      <c r="H55" s="1329"/>
      <c r="I55" s="1329"/>
      <c r="K55" s="1327" t="s">
        <v>101</v>
      </c>
      <c r="L55" s="1327"/>
      <c r="M55" s="101"/>
      <c r="O55" s="928" t="str">
        <f t="shared" ref="O55:O65" si="8">A78</f>
        <v>Feb 2025</v>
      </c>
      <c r="P55" s="1403">
        <f t="shared" ref="P55:P62" si="9">IF(P54="","",P54)</f>
        <v>0</v>
      </c>
    </row>
    <row r="56" spans="1:19" ht="13.5" customHeight="1" x14ac:dyDescent="0.2">
      <c r="A56" s="1328" t="s">
        <v>12</v>
      </c>
      <c r="B56" s="1328"/>
      <c r="C56" s="1328"/>
      <c r="D56" s="1345"/>
      <c r="E56" s="1345"/>
      <c r="F56" s="1345"/>
      <c r="G56" s="1345"/>
      <c r="H56" s="1345"/>
      <c r="I56" s="1345"/>
      <c r="K56" s="1327" t="s">
        <v>194</v>
      </c>
      <c r="L56" s="1327"/>
      <c r="M56" s="101">
        <f>IF(M57&gt;M55,0,M55-M57)</f>
        <v>0</v>
      </c>
      <c r="O56" s="928" t="str">
        <f t="shared" si="8"/>
        <v>Mrz 2025</v>
      </c>
      <c r="P56" s="1403">
        <f t="shared" si="9"/>
        <v>0</v>
      </c>
    </row>
    <row r="57" spans="1:19" ht="13.5" customHeight="1" x14ac:dyDescent="0.2">
      <c r="A57" s="1328" t="s">
        <v>11</v>
      </c>
      <c r="B57" s="1328"/>
      <c r="C57" s="1328"/>
      <c r="D57" s="1345"/>
      <c r="E57" s="1345"/>
      <c r="F57" s="1345"/>
      <c r="G57" s="1345"/>
      <c r="H57" s="1345"/>
      <c r="I57" s="1345"/>
      <c r="K57" s="1327" t="s">
        <v>195</v>
      </c>
      <c r="L57" s="1327"/>
      <c r="M57" s="101"/>
      <c r="O57" s="928" t="str">
        <f t="shared" si="8"/>
        <v>Apr 2025</v>
      </c>
      <c r="P57" s="1403">
        <f t="shared" si="9"/>
        <v>0</v>
      </c>
    </row>
    <row r="58" spans="1:19" ht="13.5" customHeight="1" x14ac:dyDescent="0.2">
      <c r="A58" s="1328" t="s">
        <v>18</v>
      </c>
      <c r="B58" s="1328"/>
      <c r="C58" s="1328"/>
      <c r="D58" s="1345"/>
      <c r="E58" s="1345"/>
      <c r="F58" s="1345"/>
      <c r="G58" s="1345"/>
      <c r="H58" s="1345"/>
      <c r="I58" s="1345"/>
      <c r="K58" s="1327" t="s">
        <v>94</v>
      </c>
      <c r="L58" s="1327"/>
      <c r="M58" s="15" t="str">
        <f>IF(IF((COUNTIF(B77:B88,"&gt;0"))=0,0,(COUNTIF(B77:B88,"&gt;0")))&gt;Grundlagen!$C$26,Grundlagen!$C$26,IF((COUNTIF(B77:B88,"&gt;0"))=0,"",(COUNTIF(B77:B88,"&gt;0"))))</f>
        <v/>
      </c>
      <c r="O58" s="928" t="str">
        <f t="shared" si="8"/>
        <v>Mai 2025</v>
      </c>
      <c r="P58" s="1403">
        <f t="shared" si="9"/>
        <v>0</v>
      </c>
    </row>
    <row r="59" spans="1:19" ht="13.5" customHeight="1" x14ac:dyDescent="0.2">
      <c r="B59" s="6"/>
      <c r="C59" s="1012" t="s">
        <v>147</v>
      </c>
      <c r="D59" s="1324"/>
      <c r="E59" s="1324"/>
      <c r="F59" s="1359" t="s">
        <v>103</v>
      </c>
      <c r="G59" s="1359"/>
      <c r="H59" s="1361"/>
      <c r="I59" s="1361"/>
      <c r="M59" s="102" t="str">
        <f>IF((SUM(F62:F65))=0,"",IF(P66&gt;M56,M56,IF(M56="","",IF(M58="","",P66))))</f>
        <v/>
      </c>
      <c r="O59" s="928" t="str">
        <f t="shared" si="8"/>
        <v>Jun 2025</v>
      </c>
      <c r="P59" s="1403">
        <f t="shared" si="9"/>
        <v>0</v>
      </c>
    </row>
    <row r="60" spans="1:19" ht="13.5" customHeight="1" x14ac:dyDescent="0.2">
      <c r="I60" s="4"/>
      <c r="O60" s="928" t="str">
        <f t="shared" si="8"/>
        <v>Jul 2025</v>
      </c>
      <c r="P60" s="1403">
        <f t="shared" si="9"/>
        <v>0</v>
      </c>
    </row>
    <row r="61" spans="1:19" s="46" customFormat="1" ht="13.5" customHeight="1" x14ac:dyDescent="0.2">
      <c r="A61" s="54" t="s">
        <v>134</v>
      </c>
      <c r="B61" s="1356" t="s">
        <v>135</v>
      </c>
      <c r="C61" s="1356"/>
      <c r="D61" s="55" t="s">
        <v>136</v>
      </c>
      <c r="E61" s="56" t="s">
        <v>137</v>
      </c>
      <c r="F61" s="57" t="str">
        <f>CONCATENATE("Entg. ",N51," h/Wo")</f>
        <v>Entg.  h/Wo</v>
      </c>
      <c r="G61" s="58" t="s">
        <v>138</v>
      </c>
      <c r="I61" s="58" t="s">
        <v>139</v>
      </c>
      <c r="K61" s="970"/>
      <c r="L61" s="970"/>
      <c r="M61" s="59"/>
      <c r="N61" s="968" t="str">
        <f>IF(A63="","",A63)</f>
        <v/>
      </c>
      <c r="O61" s="928" t="str">
        <f t="shared" si="8"/>
        <v>Aug 2025</v>
      </c>
      <c r="P61" s="1403">
        <f t="shared" si="9"/>
        <v>0</v>
      </c>
      <c r="Q61" s="85"/>
      <c r="R61" s="85"/>
      <c r="S61" s="85"/>
    </row>
    <row r="62" spans="1:19" s="46" customFormat="1" ht="13.5" customHeight="1" x14ac:dyDescent="0.25">
      <c r="A62" s="48" t="str">
        <f>'päd.Personal - Leitung'!$A$14</f>
        <v>Jan 2025</v>
      </c>
      <c r="B62" s="1357" t="str">
        <f>IF($D$3="","",$D$3)</f>
        <v/>
      </c>
      <c r="C62" s="1358"/>
      <c r="D62" s="132"/>
      <c r="E62" s="132"/>
      <c r="F62" s="71"/>
      <c r="G62" s="50">
        <f>IF(N51="",0,F62/N51/4.348)</f>
        <v>0</v>
      </c>
      <c r="I62" s="125">
        <f>SUM(J62:M62)</f>
        <v>0</v>
      </c>
      <c r="J62" s="124"/>
      <c r="K62" s="124"/>
      <c r="L62" s="124"/>
      <c r="M62" s="124"/>
      <c r="N62" s="969"/>
      <c r="O62" s="928" t="str">
        <f t="shared" si="8"/>
        <v>Sep 2025</v>
      </c>
      <c r="P62" s="1403">
        <f t="shared" si="9"/>
        <v>0</v>
      </c>
      <c r="Q62" s="85"/>
      <c r="R62" s="85"/>
      <c r="S62" s="85"/>
    </row>
    <row r="63" spans="1:19" s="46" customFormat="1" ht="13.5" customHeight="1" x14ac:dyDescent="0.25">
      <c r="A63" s="49"/>
      <c r="B63" s="1322"/>
      <c r="C63" s="1323"/>
      <c r="D63" s="132"/>
      <c r="E63" s="132"/>
      <c r="F63" s="71"/>
      <c r="G63" s="50">
        <f>IF(N51="",0,F63/N51/4.348)</f>
        <v>0</v>
      </c>
      <c r="I63" s="125">
        <f t="shared" ref="I63:I65" si="10">SUM(J63:M63)</f>
        <v>0</v>
      </c>
      <c r="J63" s="124"/>
      <c r="K63" s="124"/>
      <c r="L63" s="124"/>
      <c r="M63" s="124"/>
      <c r="N63" s="969"/>
      <c r="O63" s="928" t="str">
        <f t="shared" si="8"/>
        <v>Okt 2025</v>
      </c>
      <c r="P63" s="1403">
        <f t="shared" ref="P63:P65" si="11">IF(P62="","",P62)</f>
        <v>0</v>
      </c>
      <c r="Q63" s="85"/>
      <c r="R63" s="85"/>
      <c r="S63" s="85"/>
    </row>
    <row r="64" spans="1:19" s="46" customFormat="1" ht="13.5" customHeight="1" x14ac:dyDescent="0.25">
      <c r="A64" s="49"/>
      <c r="B64" s="1322" t="str">
        <f>IF(A64="","",B63)</f>
        <v/>
      </c>
      <c r="C64" s="1323"/>
      <c r="D64" s="132"/>
      <c r="E64" s="132"/>
      <c r="F64" s="71"/>
      <c r="G64" s="50">
        <f>IF(N51="",0,F64/N51/4.348)</f>
        <v>0</v>
      </c>
      <c r="I64" s="125">
        <f t="shared" si="10"/>
        <v>0</v>
      </c>
      <c r="J64" s="124"/>
      <c r="K64" s="124"/>
      <c r="L64" s="124"/>
      <c r="M64" s="124"/>
      <c r="N64" s="969"/>
      <c r="O64" s="928" t="str">
        <f t="shared" si="8"/>
        <v>Nov 2025</v>
      </c>
      <c r="P64" s="1403">
        <f t="shared" si="11"/>
        <v>0</v>
      </c>
      <c r="Q64" s="85"/>
      <c r="R64" s="85"/>
      <c r="S64" s="85"/>
    </row>
    <row r="65" spans="1:22" s="46" customFormat="1" ht="13.5" customHeight="1" x14ac:dyDescent="0.25">
      <c r="A65" s="49"/>
      <c r="B65" s="1322" t="str">
        <f>IF(A65="","",B64)</f>
        <v/>
      </c>
      <c r="C65" s="1323"/>
      <c r="D65" s="132"/>
      <c r="E65" s="132"/>
      <c r="F65" s="71"/>
      <c r="G65" s="50">
        <f>IF(N51="",0,F65/N51/4.348)</f>
        <v>0</v>
      </c>
      <c r="I65" s="125">
        <f t="shared" si="10"/>
        <v>0</v>
      </c>
      <c r="J65" s="124"/>
      <c r="K65" s="124"/>
      <c r="L65" s="124"/>
      <c r="M65" s="124"/>
      <c r="N65" s="969"/>
      <c r="O65" s="928" t="str">
        <f t="shared" si="8"/>
        <v>Dez 2025</v>
      </c>
      <c r="P65" s="1403">
        <f t="shared" si="11"/>
        <v>0</v>
      </c>
      <c r="Q65" s="85"/>
      <c r="R65" s="85"/>
      <c r="S65" s="85"/>
    </row>
    <row r="66" spans="1:22" s="46" customFormat="1" ht="13.5" customHeight="1" x14ac:dyDescent="0.25">
      <c r="B66" s="972"/>
      <c r="C66" s="972"/>
      <c r="E66" s="972"/>
      <c r="F66" s="972"/>
      <c r="I66" s="930" t="s">
        <v>730</v>
      </c>
      <c r="J66" s="976"/>
      <c r="K66" s="976"/>
      <c r="L66" s="976"/>
      <c r="M66" s="976"/>
      <c r="N66" s="971"/>
      <c r="O66" s="126" t="s">
        <v>221</v>
      </c>
      <c r="P66" s="127">
        <f>IF(M58="",0,((IF(SUMIF(B77,"&gt;0"),P54,0))+(IF(SUMIF(B78,"&gt;0"),P55,0))+(IF(SUMIF(B79,"&gt;0"),P56,0))+(IF(SUMIF(B80,"&gt;0"),P57,0))+(IF(SUMIF(B81,"&gt;0"),P58,0))+(IF(SUMIF(B82,"&gt;0"),P59,0))+(IF(SUMIF(B83,"&gt;0"),P60,0))+(IF(SUMIF(B84,"&gt;0"),P61,0))+(IF(SUMIF(B85,"&gt;0"),P62,0))+(IF(SUMIF(B86,"&gt;0"),P63,0))+(IF(SUMIF(B87,"&gt;0"),P64,0))+(IF(SUMIF(B88,"&gt;0"),P65,0)))/Grundlagen!$C$26)</f>
        <v>0</v>
      </c>
      <c r="Q66" s="978" t="str">
        <f>CONCATENATE("BBG"," anteilig ",O68)</f>
        <v>BBG anteilig 2025</v>
      </c>
      <c r="R66" s="931" t="s">
        <v>659</v>
      </c>
      <c r="S66" s="931" t="s">
        <v>398</v>
      </c>
      <c r="T66" s="107"/>
    </row>
    <row r="67" spans="1:22" s="46" customFormat="1" ht="13.5" customHeight="1" x14ac:dyDescent="0.2">
      <c r="A67" s="924" t="s">
        <v>732</v>
      </c>
      <c r="D67" s="55" t="s">
        <v>369</v>
      </c>
      <c r="E67" s="56" t="s">
        <v>368</v>
      </c>
      <c r="F67" s="58"/>
      <c r="J67" s="61"/>
      <c r="Q67" s="932" t="s">
        <v>144</v>
      </c>
      <c r="R67" s="140">
        <f>IF(M56=0,R71,IF(M55="",R71,(SUM(R77:R88)/M59)))</f>
        <v>5175</v>
      </c>
      <c r="S67" s="933">
        <f>IF(M56=0,S71,IF(M55="",S71,SUM(R77:R88)))</f>
        <v>0</v>
      </c>
      <c r="T67" s="107"/>
    </row>
    <row r="68" spans="1:22" s="46" customFormat="1" ht="13.5" customHeight="1" x14ac:dyDescent="0.25">
      <c r="A68" s="60"/>
      <c r="B68" s="1314" t="str">
        <f>IF($B$20="","",$B$20)</f>
        <v>Jahressonderzahlung (JSZ)</v>
      </c>
      <c r="C68" s="1315"/>
      <c r="D68" s="926"/>
      <c r="E68" s="929" t="str">
        <f>IF(A68="","",ROUND((((SUM(B83:B85)+SUM(F83:F85))/3)*D68)/Grundlagen!$C$26*M58,2))</f>
        <v/>
      </c>
      <c r="G68" s="941" t="s">
        <v>733</v>
      </c>
      <c r="H68" s="943"/>
      <c r="I68" s="1316" t="str">
        <f>CONCATENATE(R91,":"," Übergangsbereich von ",R92+0.01," €"," bis ",R93," €")</f>
        <v>2025: Übergangsbereich von 556,01 € bis 2000 €</v>
      </c>
      <c r="J68" s="1317"/>
      <c r="K68" s="1317"/>
      <c r="L68" s="1067"/>
      <c r="M68" s="1067"/>
      <c r="N68" s="1068" t="s">
        <v>736</v>
      </c>
      <c r="O68" s="1069">
        <f>P68+1</f>
        <v>2025</v>
      </c>
      <c r="P68" s="1069" t="s">
        <v>721</v>
      </c>
      <c r="Q68" s="932" t="s">
        <v>145</v>
      </c>
      <c r="R68" s="140">
        <f>IF(M56=0,R72,IF(M55="",R72,(SUM(S77:S88)/M59)))</f>
        <v>7450</v>
      </c>
      <c r="S68" s="933">
        <f>IF(M56=0,S72,IF(M55="",S72,SUM(S77:S88)))</f>
        <v>0</v>
      </c>
      <c r="T68" s="109"/>
    </row>
    <row r="69" spans="1:22" ht="14.25" customHeight="1" x14ac:dyDescent="0.2">
      <c r="A69" s="60"/>
      <c r="B69" s="1314" t="str">
        <f>IF($B$21="","",$B$21)</f>
        <v>Leistungsentgelt (LOB)</v>
      </c>
      <c r="C69" s="1315"/>
      <c r="D69" s="926"/>
      <c r="E69" s="929" t="str">
        <f>IF(A69="","",ROUND(((B89+F89)*D69)/Grundlagen!$C$26*M58,2))</f>
        <v/>
      </c>
      <c r="G69" s="941" t="str">
        <f>IF(OR(H68="",H68="nein")=TRUE,"","Faktor (F):")</f>
        <v/>
      </c>
      <c r="H69" s="949" t="str">
        <f>IF(OR(H68="",H68="nein")=TRUE,"",IF(H68="","",R95))</f>
        <v/>
      </c>
      <c r="I69" s="1318" t="str">
        <f>IF(OR(H68="",H68="nein")=TRUE,"",IF(H69="","",CONCATENATE(S95*100,"%"," / ","(",R94*100,"%"," Gesamt-SV-Beitragssatz 2024)")))</f>
        <v/>
      </c>
      <c r="J69" s="1319"/>
      <c r="K69" s="1319"/>
      <c r="L69" s="1070"/>
      <c r="M69" s="1070"/>
      <c r="N69" s="1071" t="s">
        <v>144</v>
      </c>
      <c r="O69" s="1072">
        <f>'päd.Personal - Leitung'!$O$21</f>
        <v>5175</v>
      </c>
      <c r="P69" s="1072">
        <f>'päd.Personal - Leitung'!$P$21</f>
        <v>5175</v>
      </c>
      <c r="Q69" s="11"/>
      <c r="R69" s="11"/>
      <c r="S69" s="11"/>
      <c r="T69" s="109"/>
    </row>
    <row r="70" spans="1:22" ht="14.25" customHeight="1" x14ac:dyDescent="0.2">
      <c r="C70" s="925" t="s">
        <v>731</v>
      </c>
      <c r="L70" s="1070"/>
      <c r="M70" s="1070"/>
      <c r="N70" s="1071" t="s">
        <v>145</v>
      </c>
      <c r="O70" s="1073">
        <f>'päd.Personal - Leitung'!$O$22</f>
        <v>7450</v>
      </c>
      <c r="P70" s="1073">
        <f>'päd.Personal - Leitung'!$P$22</f>
        <v>7450</v>
      </c>
      <c r="Q70" s="978" t="str">
        <f>CONCATENATE("BBG"," ",O68)</f>
        <v>BBG 2025</v>
      </c>
      <c r="R70" s="11"/>
      <c r="S70" s="11"/>
      <c r="T70" s="109"/>
    </row>
    <row r="71" spans="1:22" ht="14.25" customHeight="1" x14ac:dyDescent="0.2">
      <c r="A71" s="53" t="s">
        <v>141</v>
      </c>
      <c r="B71" s="46"/>
      <c r="C71" s="46"/>
      <c r="D71" s="46"/>
      <c r="E71" s="46"/>
      <c r="F71" s="46"/>
      <c r="G71" s="46"/>
      <c r="H71" s="46"/>
      <c r="I71" s="46"/>
      <c r="J71" s="46"/>
      <c r="K71" s="46"/>
      <c r="L71" s="46"/>
      <c r="M71" s="46"/>
      <c r="N71" s="46"/>
      <c r="O71" s="46"/>
      <c r="P71" s="46"/>
      <c r="Q71" s="932" t="s">
        <v>144</v>
      </c>
      <c r="R71" s="141">
        <f>IF($O$21="",0,$O$21)</f>
        <v>5175</v>
      </c>
      <c r="S71" s="933">
        <f>R71*IF(M59="",0,M59)</f>
        <v>0</v>
      </c>
      <c r="T71" s="295"/>
    </row>
    <row r="72" spans="1:22" ht="14.25" customHeight="1" x14ac:dyDescent="0.2">
      <c r="A72" s="1346"/>
      <c r="B72" s="1348" t="s">
        <v>8</v>
      </c>
      <c r="C72" s="1349"/>
      <c r="D72" s="1349"/>
      <c r="E72" s="1349"/>
      <c r="F72" s="1349"/>
      <c r="G72" s="1350"/>
      <c r="H72" s="1351" t="s">
        <v>113</v>
      </c>
      <c r="I72" s="1352"/>
      <c r="J72" s="1352"/>
      <c r="K72" s="1352"/>
      <c r="L72" s="1352"/>
      <c r="M72" s="1352"/>
      <c r="N72" s="1352"/>
      <c r="O72" s="30"/>
      <c r="P72" s="1330" t="s">
        <v>0</v>
      </c>
      <c r="Q72" s="932" t="s">
        <v>145</v>
      </c>
      <c r="R72" s="141">
        <f>IF($O$22="",0,$O$22)</f>
        <v>7450</v>
      </c>
      <c r="S72" s="933">
        <f>R72*IF(M59="",0,M59)</f>
        <v>0</v>
      </c>
      <c r="T72" s="830"/>
    </row>
    <row r="73" spans="1:22" ht="14.25" customHeight="1" x14ac:dyDescent="0.2">
      <c r="A73" s="1347"/>
      <c r="B73" s="1333" t="s">
        <v>111</v>
      </c>
      <c r="C73" s="1335" t="s">
        <v>743</v>
      </c>
      <c r="D73" s="1337" t="s">
        <v>226</v>
      </c>
      <c r="E73" s="1339" t="s">
        <v>133</v>
      </c>
      <c r="F73" s="1014" t="s">
        <v>6</v>
      </c>
      <c r="G73" s="1340" t="s">
        <v>5</v>
      </c>
      <c r="H73" s="1339" t="s">
        <v>119</v>
      </c>
      <c r="I73" s="1339" t="s">
        <v>4</v>
      </c>
      <c r="J73" s="1339" t="s">
        <v>3</v>
      </c>
      <c r="K73" s="1339" t="s">
        <v>2</v>
      </c>
      <c r="L73" s="1339" t="s">
        <v>114</v>
      </c>
      <c r="M73" s="1339" t="s">
        <v>115</v>
      </c>
      <c r="N73" s="1339" t="s">
        <v>116</v>
      </c>
      <c r="O73" s="1338" t="s">
        <v>109</v>
      </c>
      <c r="P73" s="1331"/>
      <c r="Q73" s="456"/>
      <c r="R73" s="11"/>
      <c r="S73" s="11"/>
      <c r="T73" s="621"/>
    </row>
    <row r="74" spans="1:22" ht="14.25" customHeight="1" x14ac:dyDescent="0.2">
      <c r="A74" s="1347"/>
      <c r="B74" s="1333"/>
      <c r="C74" s="1335"/>
      <c r="D74" s="1338"/>
      <c r="E74" s="1339"/>
      <c r="F74" s="1343" t="str">
        <f>I66</f>
        <v>Zuschläge / Zulagen / o.ä.:</v>
      </c>
      <c r="G74" s="1340"/>
      <c r="H74" s="1342" t="s">
        <v>117</v>
      </c>
      <c r="I74" s="1342"/>
      <c r="J74" s="1342"/>
      <c r="K74" s="1342"/>
      <c r="L74" s="1342"/>
      <c r="M74" s="1342"/>
      <c r="N74" s="1342"/>
      <c r="O74" s="1338"/>
      <c r="P74" s="1331"/>
      <c r="Q74" s="456"/>
      <c r="R74" s="1306" t="str">
        <f>Q66</f>
        <v>BBG anteilig 2025</v>
      </c>
      <c r="S74" s="1306"/>
      <c r="T74" s="829"/>
    </row>
    <row r="75" spans="1:22" ht="14.25" customHeight="1" x14ac:dyDescent="0.2">
      <c r="A75" s="1347"/>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c r="Q75" s="456"/>
      <c r="R75" s="1307" t="s">
        <v>659</v>
      </c>
      <c r="S75" s="1307"/>
      <c r="T75" s="829"/>
      <c r="U75" s="1308" t="s">
        <v>1</v>
      </c>
      <c r="V75" s="1308" t="s">
        <v>741</v>
      </c>
    </row>
    <row r="76" spans="1:22" x14ac:dyDescent="0.2">
      <c r="A76" s="1347"/>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c r="Q76" s="456"/>
      <c r="R76" s="935" t="s">
        <v>144</v>
      </c>
      <c r="S76" s="935" t="s">
        <v>145</v>
      </c>
      <c r="T76" s="829"/>
      <c r="U76" s="1308"/>
      <c r="V76" s="1308"/>
    </row>
    <row r="77" spans="1:22"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2">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56"/>
      <c r="R77" s="140">
        <f>ROUND(IF(M55="",R71,R71/M55*P54),2)</f>
        <v>5175</v>
      </c>
      <c r="S77" s="140">
        <f>ROUND(IF(M55="",R72,R72/M55*P54),2)</f>
        <v>7450</v>
      </c>
      <c r="U77" s="950">
        <f>SUM(B77:F77)</f>
        <v>0</v>
      </c>
      <c r="V77" s="950">
        <f>SUM(B77:F77)</f>
        <v>0</v>
      </c>
    </row>
    <row r="78" spans="1:22"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2"/>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3">SUM(G78:O78)</f>
        <v>0</v>
      </c>
      <c r="Q78" s="456"/>
      <c r="R78" s="140">
        <f>ROUND(IF(M55="",R71,R71/M55*P55),2)</f>
        <v>5175</v>
      </c>
      <c r="S78" s="140">
        <f>ROUND(IF(M55="",R72,R72/M55*P55),2)</f>
        <v>7450</v>
      </c>
      <c r="U78" s="950">
        <f t="shared" ref="U78:U88" si="14">SUM(B78:F78)</f>
        <v>0</v>
      </c>
      <c r="V78" s="950">
        <f>SUM(B77:F78)</f>
        <v>0</v>
      </c>
    </row>
    <row r="79" spans="1:22"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2"/>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3"/>
        <v>0</v>
      </c>
      <c r="Q79" s="456"/>
      <c r="R79" s="140">
        <f>ROUND(IF(M55="",R71,R71/M55*P56),2)</f>
        <v>5175</v>
      </c>
      <c r="S79" s="140">
        <f>ROUND(IF(M55="",R72,R72/M55*P56),2)</f>
        <v>7450</v>
      </c>
      <c r="U79" s="950">
        <f t="shared" si="14"/>
        <v>0</v>
      </c>
      <c r="V79" s="950">
        <f>SUM(B77:F79)</f>
        <v>0</v>
      </c>
    </row>
    <row r="80" spans="1:22"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2"/>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3"/>
        <v>0</v>
      </c>
      <c r="Q80" s="456"/>
      <c r="R80" s="140">
        <f>ROUND(IF(M55="",R71,R71/M55*P57),2)</f>
        <v>5175</v>
      </c>
      <c r="S80" s="140">
        <f>ROUND(IF(M55="",R72,R72/M55*P57),2)</f>
        <v>7450</v>
      </c>
      <c r="U80" s="950">
        <f t="shared" si="14"/>
        <v>0</v>
      </c>
      <c r="V80" s="950">
        <f>SUM(B77:F80)</f>
        <v>0</v>
      </c>
    </row>
    <row r="81" spans="1:24"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2"/>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3"/>
        <v>0</v>
      </c>
      <c r="Q81" s="456"/>
      <c r="R81" s="140">
        <f>ROUND(IF(M55="",R71,R71/M55*P58),2)</f>
        <v>5175</v>
      </c>
      <c r="S81" s="140">
        <f>ROUND(IF(M55="",R72,R72/M55*P58),2)</f>
        <v>7450</v>
      </c>
      <c r="U81" s="950">
        <f t="shared" si="14"/>
        <v>0</v>
      </c>
      <c r="V81" s="950">
        <f>SUM(B77:F81)</f>
        <v>0</v>
      </c>
    </row>
    <row r="82" spans="1:24"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2"/>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3"/>
        <v>0</v>
      </c>
      <c r="Q82" s="456"/>
      <c r="R82" s="140">
        <f>ROUND(IF(M55="",R71,R71/M55*P59),2)</f>
        <v>5175</v>
      </c>
      <c r="S82" s="140">
        <f>ROUND(IF(M55="",R72,R72/M55*P59),2)</f>
        <v>7450</v>
      </c>
      <c r="U82" s="950">
        <f t="shared" si="14"/>
        <v>0</v>
      </c>
      <c r="V82" s="950">
        <f>SUM(B77:F82)</f>
        <v>0</v>
      </c>
    </row>
    <row r="83" spans="1:24"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2"/>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3"/>
        <v>0</v>
      </c>
      <c r="Q83" s="456"/>
      <c r="R83" s="140">
        <f>ROUND(IF(M55="",R71,R71/M55*P60),2)</f>
        <v>5175</v>
      </c>
      <c r="S83" s="140">
        <f>ROUND(IF(M55="",R72,R72/M55*P60),2)</f>
        <v>7450</v>
      </c>
      <c r="U83" s="950">
        <f t="shared" si="14"/>
        <v>0</v>
      </c>
      <c r="V83" s="950">
        <f>SUM(B77:F83)</f>
        <v>0</v>
      </c>
    </row>
    <row r="84" spans="1:24"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2"/>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3"/>
        <v>0</v>
      </c>
      <c r="Q84" s="456"/>
      <c r="R84" s="140">
        <f>ROUND(IF(M55="",R71,R71/M55*P61),2)</f>
        <v>5175</v>
      </c>
      <c r="S84" s="140">
        <f>ROUND(IF(M55="",R72,R72/M55*P61),2)</f>
        <v>7450</v>
      </c>
      <c r="U84" s="950">
        <f t="shared" si="14"/>
        <v>0</v>
      </c>
      <c r="V84" s="950">
        <f>SUM(B77:F84)</f>
        <v>0</v>
      </c>
    </row>
    <row r="85" spans="1:24"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2"/>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3"/>
        <v>0</v>
      </c>
      <c r="Q85" s="456"/>
      <c r="R85" s="140">
        <f>ROUND(IF(M55="",R71,R71/M55*P62),2)</f>
        <v>5175</v>
      </c>
      <c r="S85" s="140">
        <f>ROUND(IF(M55="",R72,R72/M55*P62),2)</f>
        <v>7450</v>
      </c>
      <c r="U85" s="950">
        <f t="shared" si="14"/>
        <v>0</v>
      </c>
      <c r="V85" s="950">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2"/>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3"/>
        <v>0</v>
      </c>
      <c r="Q86" s="936"/>
      <c r="R86" s="140">
        <f>ROUND(IF(M55="",R71,R71/M55*P63),2)</f>
        <v>5175</v>
      </c>
      <c r="S86" s="140">
        <f>ROUND(IF(M55="",R72,R72/M55*P63),2)</f>
        <v>7450</v>
      </c>
      <c r="U86" s="950">
        <f t="shared" si="14"/>
        <v>0</v>
      </c>
      <c r="V86" s="950">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2"/>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3"/>
        <v>0</v>
      </c>
      <c r="R87" s="140">
        <f>ROUND(IF(M55="",R71,R71/M55*P64),2)</f>
        <v>5175</v>
      </c>
      <c r="S87" s="140">
        <f>ROUND(IF(M55="",R72,R72/M55*P64),2)</f>
        <v>7450</v>
      </c>
      <c r="U87" s="950">
        <f t="shared" si="14"/>
        <v>0</v>
      </c>
      <c r="V87" s="950">
        <f>SUM(B77:F87)</f>
        <v>0</v>
      </c>
      <c r="X87" s="1"/>
    </row>
    <row r="88" spans="1:24"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2"/>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3"/>
        <v>0</v>
      </c>
      <c r="Q88" s="11"/>
      <c r="R88" s="140">
        <f>ROUND(IF(M55="",R71,R71/M55*P65),2)</f>
        <v>5175</v>
      </c>
      <c r="S88" s="140">
        <f>ROUND(IF(M55="",R72,R72/M55*P65),2)</f>
        <v>7450</v>
      </c>
      <c r="U88" s="950">
        <f t="shared" si="14"/>
        <v>0</v>
      </c>
      <c r="V88" s="950">
        <f>SUM(B77:F88)</f>
        <v>0</v>
      </c>
    </row>
    <row r="89" spans="1:24" ht="15" customHeight="1" x14ac:dyDescent="0.2">
      <c r="A89" s="2" t="s">
        <v>1</v>
      </c>
      <c r="B89" s="25">
        <f>SUM(B77:B88)</f>
        <v>0</v>
      </c>
      <c r="C89" s="25">
        <f t="shared" ref="C89:G89" si="15">SUM(C77:C88)</f>
        <v>0</v>
      </c>
      <c r="D89" s="25">
        <f t="shared" si="15"/>
        <v>0</v>
      </c>
      <c r="E89" s="25">
        <f t="shared" si="15"/>
        <v>0</v>
      </c>
      <c r="F89" s="25">
        <f t="shared" si="15"/>
        <v>0</v>
      </c>
      <c r="G89" s="25">
        <f t="shared" si="15"/>
        <v>0</v>
      </c>
      <c r="H89" s="1309">
        <f>SUM(H77:N88)</f>
        <v>0</v>
      </c>
      <c r="I89" s="1310"/>
      <c r="J89" s="1310"/>
      <c r="K89" s="1310"/>
      <c r="L89" s="1310"/>
      <c r="M89" s="1310"/>
      <c r="N89" s="1311"/>
      <c r="O89" s="25">
        <f>SUM(O77:O88)</f>
        <v>0</v>
      </c>
      <c r="P89" s="25">
        <f>SUM(P77:P88)</f>
        <v>0</v>
      </c>
    </row>
    <row r="90" spans="1:24" ht="12" customHeight="1" x14ac:dyDescent="0.2"/>
    <row r="91" spans="1:24" ht="14.25" customHeight="1" x14ac:dyDescent="0.2">
      <c r="B91" s="906"/>
      <c r="H91" s="905"/>
      <c r="I91" s="62"/>
      <c r="J91" s="914" t="s">
        <v>123</v>
      </c>
      <c r="L91" s="900" t="s">
        <v>124</v>
      </c>
      <c r="M91" s="974" t="str">
        <f>IF(IF(G89=0,"",$M$43)=0,"",IF(G89=0,"",$M$43))</f>
        <v/>
      </c>
      <c r="N91" s="902" t="s">
        <v>125</v>
      </c>
      <c r="O91" s="963" t="str">
        <f>IF(IF(G89=0,"",$O$43)=0,"",IF(G89=0,"",$O$43))</f>
        <v/>
      </c>
      <c r="P91" s="25">
        <f>ROUND(IF(M91="",0,G89*M91*O91/1000),2)</f>
        <v>0</v>
      </c>
      <c r="Q91" s="937"/>
      <c r="R91" s="938">
        <v>2025</v>
      </c>
      <c r="S91" s="939"/>
    </row>
    <row r="92" spans="1:24" ht="14.25" customHeight="1" x14ac:dyDescent="0.2">
      <c r="H92" s="907"/>
      <c r="I92" s="42"/>
      <c r="M92" s="915" t="s">
        <v>129</v>
      </c>
      <c r="N92" s="80" t="s">
        <v>125</v>
      </c>
      <c r="O92" s="75" t="str">
        <f>IF(IF(G89=0,"",$O$44)=0,"",IF(G89=0,"",$O$44))</f>
        <v/>
      </c>
      <c r="P92" s="25">
        <f>ROUND(IF(O92="",0,G89*O92/1000),2)</f>
        <v>0</v>
      </c>
      <c r="Q92" s="942" t="s">
        <v>737</v>
      </c>
      <c r="R92" s="141">
        <f>'päd.Personal - Leitung'!$R$44</f>
        <v>556</v>
      </c>
      <c r="S92" s="955">
        <f>'päd.Personal - Leitung'!$S$44</f>
        <v>12.82</v>
      </c>
    </row>
    <row r="93" spans="1:24" ht="14.25" customHeight="1" x14ac:dyDescent="0.2">
      <c r="H93" s="912" t="s">
        <v>126</v>
      </c>
      <c r="I93" s="1013" t="s">
        <v>127</v>
      </c>
      <c r="J93" s="975" t="str">
        <f>IF(IF(G89=0,"",$J$45)=0,"",IF(G89=0,"",$J$45))</f>
        <v/>
      </c>
      <c r="K93" s="902" t="s">
        <v>128</v>
      </c>
      <c r="L93" s="964" t="str">
        <f>IF(IF(G89=0,"",$L$45)=0,"",IF(G89=0,"",$L$45))</f>
        <v/>
      </c>
      <c r="M93" s="16"/>
      <c r="N93" s="900" t="s">
        <v>132</v>
      </c>
      <c r="O93" s="965" t="str">
        <f>IF(IF(G89=0,"",$O$45)=0,"",IF(G89=0,"",$O$45))</f>
        <v/>
      </c>
      <c r="P93" s="25">
        <f>ROUND(IF(J93="",0,(J93*L93/O93)/M57*M58),2)</f>
        <v>0</v>
      </c>
      <c r="Q93" s="942" t="s">
        <v>738</v>
      </c>
      <c r="R93" s="140">
        <f>'päd.Personal - Leitung'!$R$45</f>
        <v>2000</v>
      </c>
      <c r="S93" s="939"/>
    </row>
    <row r="94" spans="1:24" ht="14.25" customHeight="1" x14ac:dyDescent="0.2">
      <c r="D94" s="16"/>
      <c r="I94" s="16"/>
      <c r="J94" s="16"/>
      <c r="K94" s="63"/>
      <c r="L94" s="67"/>
      <c r="M94" s="915" t="s">
        <v>130</v>
      </c>
      <c r="N94" s="80" t="s">
        <v>131</v>
      </c>
      <c r="O94" s="904">
        <f>IF(IF(M59="",0,$O$46)=0,0,IF(M59="",0,$O$46))</f>
        <v>0</v>
      </c>
      <c r="P94" s="21">
        <f>ROUND(IF(G89=0,0,O94/M55*M56),2)</f>
        <v>0</v>
      </c>
      <c r="Q94" s="942" t="s">
        <v>740</v>
      </c>
      <c r="R94" s="956">
        <f>'päd.Personal - Leitung'!$R$46</f>
        <v>0.40900000000000003</v>
      </c>
    </row>
    <row r="95" spans="1:24" ht="14.25" customHeight="1" x14ac:dyDescent="0.2">
      <c r="A95" s="16"/>
      <c r="B95" s="16"/>
      <c r="I95" s="905"/>
      <c r="J95" s="961" t="s">
        <v>176</v>
      </c>
      <c r="K95" s="1312" t="str">
        <f>IF($K$47="","",$K$47)</f>
        <v/>
      </c>
      <c r="L95" s="1312"/>
      <c r="M95" s="1312"/>
      <c r="N95" s="80" t="s">
        <v>131</v>
      </c>
      <c r="O95" s="904">
        <f>IF(IF(M59="",0,$O$47)=0,0,IF(M59="",0,$O$47))</f>
        <v>0</v>
      </c>
      <c r="P95" s="21">
        <f>ROUND(IF(G89=0,0,O95/M55*M56),2)</f>
        <v>0</v>
      </c>
      <c r="Q95" s="942" t="s">
        <v>739</v>
      </c>
      <c r="R95" s="940">
        <f>'päd.Personal - Leitung'!$R$47</f>
        <v>0.68459999999999999</v>
      </c>
      <c r="S95" s="957">
        <f>'päd.Personal - Leitung'!$S$47</f>
        <v>0.28000000000000003</v>
      </c>
    </row>
    <row r="96" spans="1:24" ht="14.25" customHeight="1" x14ac:dyDescent="0.2">
      <c r="A96" s="908"/>
      <c r="B96" s="908"/>
      <c r="C96" s="1013"/>
      <c r="D96" s="1013"/>
      <c r="I96" s="913"/>
      <c r="J96" s="913"/>
      <c r="K96" s="916"/>
      <c r="L96" s="27"/>
      <c r="M96" s="27"/>
      <c r="N96" s="27"/>
      <c r="O96" s="26" t="s">
        <v>0</v>
      </c>
      <c r="P96" s="25">
        <f>P89+SUM(P91:P95)</f>
        <v>0</v>
      </c>
    </row>
    <row r="97" spans="1:19" s="10" customFormat="1" ht="13.5" customHeight="1" x14ac:dyDescent="0.2">
      <c r="A97" s="1321" t="s">
        <v>17</v>
      </c>
      <c r="B97" s="1321"/>
      <c r="C97" s="1321"/>
      <c r="D97" s="1320" t="str">
        <f>IF('päd.Personal - Leitung'!$D$1="","",'päd.Personal - Leitung'!$D$1)</f>
        <v/>
      </c>
      <c r="E97" s="1320"/>
      <c r="F97" s="1320"/>
      <c r="G97" s="1320"/>
      <c r="H97" s="1320"/>
      <c r="I97" s="1320"/>
      <c r="J97" s="1320"/>
      <c r="K97" s="1320"/>
      <c r="L97" s="1320"/>
      <c r="M97" s="1320"/>
      <c r="N97" s="1320"/>
    </row>
    <row r="98" spans="1:19" s="10" customFormat="1" ht="15" customHeight="1" x14ac:dyDescent="0.2">
      <c r="A98" s="1321" t="s">
        <v>16</v>
      </c>
      <c r="B98" s="1321"/>
      <c r="C98" s="1321" t="s">
        <v>14</v>
      </c>
      <c r="D98" s="1320" t="str">
        <f>IF('päd.Personal - Leitung'!$D$2="","",'päd.Personal - Leitung'!$D$2)</f>
        <v/>
      </c>
      <c r="E98" s="1320"/>
      <c r="F98" s="1320"/>
      <c r="G98" s="1320"/>
      <c r="H98" s="1320"/>
      <c r="I98" s="1320"/>
      <c r="J98" s="1320"/>
      <c r="K98" s="1320"/>
      <c r="L98" s="1320"/>
      <c r="M98" s="1320"/>
      <c r="N98" s="1320"/>
    </row>
    <row r="99" spans="1:19" s="10" customFormat="1" ht="15" customHeight="1" x14ac:dyDescent="0.2">
      <c r="A99" s="1321" t="s">
        <v>15</v>
      </c>
      <c r="B99" s="1321"/>
      <c r="C99" s="1321" t="s">
        <v>14</v>
      </c>
      <c r="D99" s="1320" t="str">
        <f>IF('päd.Personal - Leitung'!$D$3="","",'päd.Personal - Leitung'!$D$3)</f>
        <v/>
      </c>
      <c r="E99" s="1320"/>
      <c r="F99" s="1320"/>
      <c r="G99" s="1320"/>
      <c r="H99" s="1320"/>
      <c r="I99" s="1320"/>
      <c r="J99" s="1320"/>
      <c r="K99" s="1321" t="s">
        <v>100</v>
      </c>
      <c r="L99" s="1321"/>
      <c r="M99" s="1321"/>
      <c r="N99" s="38" t="str">
        <f>IF('päd.Personal - Leitung'!$N$3="","",'päd.Personal - Leitung'!$N$3)</f>
        <v/>
      </c>
    </row>
    <row r="100" spans="1:19" s="923" customFormat="1" ht="7.5" customHeight="1" x14ac:dyDescent="0.15">
      <c r="A100" s="1353"/>
      <c r="B100" s="1353"/>
      <c r="C100" s="1353"/>
      <c r="D100" s="1354"/>
      <c r="E100" s="1354"/>
      <c r="F100" s="1354"/>
      <c r="G100" s="1354"/>
      <c r="H100" s="1354"/>
      <c r="I100" s="1354"/>
      <c r="J100" s="1354"/>
      <c r="K100" s="922"/>
      <c r="L100" s="922"/>
      <c r="M100" s="922"/>
      <c r="N100" s="922"/>
      <c r="O100" s="922"/>
      <c r="P100" s="922"/>
    </row>
    <row r="101" spans="1:19" s="13" customFormat="1" ht="13.5" customHeight="1" x14ac:dyDescent="0.2">
      <c r="A101" s="1355" t="s">
        <v>196</v>
      </c>
      <c r="B101" s="1355"/>
      <c r="C101" s="1355"/>
      <c r="D101" s="1355"/>
      <c r="E101" s="1355"/>
      <c r="F101" s="1355"/>
      <c r="G101" s="1355"/>
      <c r="H101" s="1355"/>
      <c r="I101" s="1355"/>
      <c r="J101" s="1355"/>
      <c r="K101" s="7"/>
      <c r="L101" s="7"/>
      <c r="M101" s="7"/>
      <c r="N101" s="52"/>
      <c r="O101" s="138">
        <f>'päd.Personal - Leitung'!$O$5</f>
        <v>2025</v>
      </c>
      <c r="P101" s="52" t="s">
        <v>140</v>
      </c>
    </row>
    <row r="102" spans="1:19" s="8" customFormat="1" ht="13.5" customHeight="1" x14ac:dyDescent="0.25">
      <c r="B102" s="29"/>
      <c r="C102" s="29"/>
      <c r="D102" s="3" t="s">
        <v>32</v>
      </c>
      <c r="E102" s="28"/>
      <c r="F102" s="28"/>
      <c r="G102" s="28"/>
      <c r="H102" s="28"/>
      <c r="I102" s="24"/>
      <c r="K102" s="1327" t="s">
        <v>13</v>
      </c>
      <c r="L102" s="1327"/>
      <c r="M102" s="131"/>
      <c r="O102" s="928" t="str">
        <f>A125</f>
        <v>Jan 2025</v>
      </c>
      <c r="P102" s="1402">
        <f>IF(M104="","",M104)</f>
        <v>0</v>
      </c>
    </row>
    <row r="103" spans="1:19" s="5" customFormat="1" ht="13.5" customHeight="1" x14ac:dyDescent="0.25">
      <c r="A103" s="1328" t="s">
        <v>754</v>
      </c>
      <c r="B103" s="1328"/>
      <c r="C103" s="1328"/>
      <c r="D103" s="1329"/>
      <c r="E103" s="1329"/>
      <c r="F103" s="1329"/>
      <c r="G103" s="1329"/>
      <c r="H103" s="1329"/>
      <c r="I103" s="1329"/>
      <c r="K103" s="1327" t="s">
        <v>101</v>
      </c>
      <c r="L103" s="1327"/>
      <c r="M103" s="101"/>
      <c r="O103" s="928" t="str">
        <f t="shared" ref="O103:O113" si="16">A126</f>
        <v>Feb 2025</v>
      </c>
      <c r="P103" s="1403">
        <f t="shared" ref="P103:P110" si="17">IF(P102="","",P102)</f>
        <v>0</v>
      </c>
    </row>
    <row r="104" spans="1:19" ht="13.5" customHeight="1" x14ac:dyDescent="0.2">
      <c r="A104" s="1328" t="s">
        <v>12</v>
      </c>
      <c r="B104" s="1328"/>
      <c r="C104" s="1328"/>
      <c r="D104" s="1345"/>
      <c r="E104" s="1345"/>
      <c r="F104" s="1345"/>
      <c r="G104" s="1345"/>
      <c r="H104" s="1345"/>
      <c r="I104" s="1345"/>
      <c r="K104" s="1327" t="s">
        <v>194</v>
      </c>
      <c r="L104" s="1327"/>
      <c r="M104" s="101">
        <f>IF(M105&gt;M103,0,M103-M105)</f>
        <v>0</v>
      </c>
      <c r="O104" s="928" t="str">
        <f t="shared" si="16"/>
        <v>Mrz 2025</v>
      </c>
      <c r="P104" s="1403">
        <f t="shared" si="17"/>
        <v>0</v>
      </c>
    </row>
    <row r="105" spans="1:19" ht="13.5" customHeight="1" x14ac:dyDescent="0.2">
      <c r="A105" s="1328" t="s">
        <v>11</v>
      </c>
      <c r="B105" s="1328"/>
      <c r="C105" s="1328"/>
      <c r="D105" s="1345"/>
      <c r="E105" s="1345"/>
      <c r="F105" s="1345"/>
      <c r="G105" s="1345"/>
      <c r="H105" s="1345"/>
      <c r="I105" s="1345"/>
      <c r="K105" s="1327" t="s">
        <v>195</v>
      </c>
      <c r="L105" s="1327"/>
      <c r="M105" s="101"/>
      <c r="O105" s="928" t="str">
        <f t="shared" si="16"/>
        <v>Apr 2025</v>
      </c>
      <c r="P105" s="1403">
        <f t="shared" si="17"/>
        <v>0</v>
      </c>
    </row>
    <row r="106" spans="1:19" ht="13.5" customHeight="1" x14ac:dyDescent="0.2">
      <c r="A106" s="1328" t="s">
        <v>18</v>
      </c>
      <c r="B106" s="1328"/>
      <c r="C106" s="1328"/>
      <c r="D106" s="1345"/>
      <c r="E106" s="1345"/>
      <c r="F106" s="1345"/>
      <c r="G106" s="1345"/>
      <c r="H106" s="1345"/>
      <c r="I106" s="1345"/>
      <c r="K106" s="1327" t="s">
        <v>94</v>
      </c>
      <c r="L106" s="1327"/>
      <c r="M106" s="15" t="str">
        <f>IF(IF((COUNTIF(B125:B136,"&gt;0"))=0,0,(COUNTIF(B125:B136,"&gt;0")))&gt;Grundlagen!$C$26,Grundlagen!$C$26,IF((COUNTIF(B125:B136,"&gt;0"))=0,"",(COUNTIF(B125:B136,"&gt;0"))))</f>
        <v/>
      </c>
      <c r="O106" s="928" t="str">
        <f t="shared" si="16"/>
        <v>Mai 2025</v>
      </c>
      <c r="P106" s="1403">
        <f t="shared" si="17"/>
        <v>0</v>
      </c>
    </row>
    <row r="107" spans="1:19" ht="13.5" customHeight="1" x14ac:dyDescent="0.2">
      <c r="B107" s="6"/>
      <c r="C107" s="1012" t="s">
        <v>147</v>
      </c>
      <c r="D107" s="1324"/>
      <c r="E107" s="1324"/>
      <c r="F107" s="1359" t="s">
        <v>103</v>
      </c>
      <c r="G107" s="1359"/>
      <c r="H107" s="1361"/>
      <c r="I107" s="1361"/>
      <c r="M107" s="102" t="str">
        <f>IF((SUM(F110:F113))=0,"",IF(P114&gt;M104,M104,IF(M104="","",IF(M106="","",P114))))</f>
        <v/>
      </c>
      <c r="O107" s="928" t="str">
        <f t="shared" si="16"/>
        <v>Jun 2025</v>
      </c>
      <c r="P107" s="1403">
        <f t="shared" si="17"/>
        <v>0</v>
      </c>
    </row>
    <row r="108" spans="1:19" ht="13.5" customHeight="1" x14ac:dyDescent="0.2">
      <c r="I108" s="4"/>
      <c r="O108" s="928" t="str">
        <f t="shared" si="16"/>
        <v>Jul 2025</v>
      </c>
      <c r="P108" s="1403">
        <f t="shared" si="17"/>
        <v>0</v>
      </c>
    </row>
    <row r="109" spans="1:19" s="46" customFormat="1" ht="13.5" customHeight="1" x14ac:dyDescent="0.2">
      <c r="A109" s="54" t="s">
        <v>134</v>
      </c>
      <c r="B109" s="1356" t="s">
        <v>135</v>
      </c>
      <c r="C109" s="1356"/>
      <c r="D109" s="55" t="s">
        <v>136</v>
      </c>
      <c r="E109" s="56" t="s">
        <v>137</v>
      </c>
      <c r="F109" s="57" t="str">
        <f>CONCATENATE("Entg. ",N99," h/Wo")</f>
        <v>Entg.  h/Wo</v>
      </c>
      <c r="G109" s="58" t="s">
        <v>138</v>
      </c>
      <c r="I109" s="58" t="s">
        <v>139</v>
      </c>
      <c r="K109" s="970"/>
      <c r="L109" s="970"/>
      <c r="M109" s="59"/>
      <c r="N109" s="968" t="str">
        <f>IF(A111="","",A111)</f>
        <v/>
      </c>
      <c r="O109" s="928" t="str">
        <f t="shared" si="16"/>
        <v>Aug 2025</v>
      </c>
      <c r="P109" s="1403">
        <f t="shared" si="17"/>
        <v>0</v>
      </c>
      <c r="Q109" s="85"/>
      <c r="R109" s="85"/>
      <c r="S109" s="85"/>
    </row>
    <row r="110" spans="1:19" s="46" customFormat="1" ht="13.5" customHeight="1" x14ac:dyDescent="0.25">
      <c r="A110" s="48" t="str">
        <f>'päd.Personal - Leitung'!$A$14</f>
        <v>Jan 2025</v>
      </c>
      <c r="B110" s="1357" t="str">
        <f>IF($D$3="","",$D$3)</f>
        <v/>
      </c>
      <c r="C110" s="1358"/>
      <c r="D110" s="132"/>
      <c r="E110" s="132"/>
      <c r="F110" s="71"/>
      <c r="G110" s="50">
        <f>IF(N99="",0,F110/N99/4.348)</f>
        <v>0</v>
      </c>
      <c r="I110" s="125">
        <f>SUM(J110:M110)</f>
        <v>0</v>
      </c>
      <c r="J110" s="124"/>
      <c r="K110" s="124"/>
      <c r="L110" s="124"/>
      <c r="M110" s="124"/>
      <c r="N110" s="969"/>
      <c r="O110" s="928" t="str">
        <f t="shared" si="16"/>
        <v>Sep 2025</v>
      </c>
      <c r="P110" s="1403">
        <f t="shared" si="17"/>
        <v>0</v>
      </c>
      <c r="Q110" s="85"/>
      <c r="R110" s="85"/>
      <c r="S110" s="85"/>
    </row>
    <row r="111" spans="1:19" s="46" customFormat="1" ht="13.5" customHeight="1" x14ac:dyDescent="0.25">
      <c r="A111" s="49"/>
      <c r="B111" s="1322" t="str">
        <f>IF(A111="","",B110)</f>
        <v/>
      </c>
      <c r="C111" s="1323"/>
      <c r="D111" s="132"/>
      <c r="E111" s="132"/>
      <c r="F111" s="71"/>
      <c r="G111" s="50">
        <f>IF(N99="",0,F111/N99/4.348)</f>
        <v>0</v>
      </c>
      <c r="I111" s="125">
        <f t="shared" ref="I111:I113" si="18">SUM(J111:M111)</f>
        <v>0</v>
      </c>
      <c r="J111" s="124"/>
      <c r="K111" s="124"/>
      <c r="L111" s="124"/>
      <c r="M111" s="124"/>
      <c r="N111" s="969"/>
      <c r="O111" s="928" t="str">
        <f t="shared" si="16"/>
        <v>Okt 2025</v>
      </c>
      <c r="P111" s="1403">
        <f t="shared" ref="P111:P113" si="19">IF(P110="","",P110)</f>
        <v>0</v>
      </c>
      <c r="Q111" s="85"/>
      <c r="R111" s="85"/>
      <c r="S111" s="85"/>
    </row>
    <row r="112" spans="1:19" s="46" customFormat="1" ht="13.5" customHeight="1" x14ac:dyDescent="0.25">
      <c r="A112" s="49"/>
      <c r="B112" s="1322" t="str">
        <f>IF(A112="","",B111)</f>
        <v/>
      </c>
      <c r="C112" s="1323"/>
      <c r="D112" s="132"/>
      <c r="E112" s="132"/>
      <c r="F112" s="71"/>
      <c r="G112" s="50">
        <f>IF(N99="",0,F112/N99/4.348)</f>
        <v>0</v>
      </c>
      <c r="I112" s="125">
        <f t="shared" si="18"/>
        <v>0</v>
      </c>
      <c r="J112" s="124"/>
      <c r="K112" s="124"/>
      <c r="L112" s="124"/>
      <c r="M112" s="124"/>
      <c r="N112" s="969"/>
      <c r="O112" s="928" t="str">
        <f t="shared" si="16"/>
        <v>Nov 2025</v>
      </c>
      <c r="P112" s="1403">
        <f t="shared" si="19"/>
        <v>0</v>
      </c>
      <c r="Q112" s="85"/>
      <c r="R112" s="85"/>
      <c r="S112" s="85"/>
    </row>
    <row r="113" spans="1:22" s="46" customFormat="1" ht="13.5" customHeight="1" x14ac:dyDescent="0.25">
      <c r="A113" s="49"/>
      <c r="B113" s="1322" t="str">
        <f>IF(A113="","",B112)</f>
        <v/>
      </c>
      <c r="C113" s="1323"/>
      <c r="D113" s="132"/>
      <c r="E113" s="132"/>
      <c r="F113" s="71"/>
      <c r="G113" s="50">
        <f>IF(N99="",0,F113/N99/4.348)</f>
        <v>0</v>
      </c>
      <c r="I113" s="125">
        <f t="shared" si="18"/>
        <v>0</v>
      </c>
      <c r="J113" s="124"/>
      <c r="K113" s="124"/>
      <c r="L113" s="124"/>
      <c r="M113" s="124"/>
      <c r="N113" s="969"/>
      <c r="O113" s="928" t="str">
        <f t="shared" si="16"/>
        <v>Dez 2025</v>
      </c>
      <c r="P113" s="1403">
        <f t="shared" si="19"/>
        <v>0</v>
      </c>
      <c r="Q113" s="85"/>
      <c r="R113" s="85"/>
      <c r="S113" s="85"/>
    </row>
    <row r="114" spans="1:22" s="46" customFormat="1" ht="13.5" customHeight="1" x14ac:dyDescent="0.25">
      <c r="B114" s="972"/>
      <c r="C114" s="972"/>
      <c r="E114" s="972"/>
      <c r="F114" s="972"/>
      <c r="I114" s="930" t="s">
        <v>730</v>
      </c>
      <c r="J114" s="976"/>
      <c r="K114" s="976"/>
      <c r="L114" s="976"/>
      <c r="M114" s="976"/>
      <c r="N114" s="971"/>
      <c r="O114" s="126" t="s">
        <v>221</v>
      </c>
      <c r="P114" s="127">
        <f>IF(M106="",0,((IF(SUMIF(B125,"&gt;0"),P102,0))+(IF(SUMIF(B126,"&gt;0"),P103,0))+(IF(SUMIF(B127,"&gt;0"),P104,0))+(IF(SUMIF(B128,"&gt;0"),P105,0))+(IF(SUMIF(B129,"&gt;0"),P106,0))+(IF(SUMIF(B130,"&gt;0"),P107,0))+(IF(SUMIF(B131,"&gt;0"),P108,0))+(IF(SUMIF(B132,"&gt;0"),P109,0))+(IF(SUMIF(B133,"&gt;0"),P110,0))+(IF(SUMIF(B134,"&gt;0"),P111,0))+(IF(SUMIF(B135,"&gt;0"),P112,0))+(IF(SUMIF(B136,"&gt;0"),P113,0)))/Grundlagen!$C$26)</f>
        <v>0</v>
      </c>
      <c r="Q114" s="978" t="str">
        <f>CONCATENATE("BBG"," anteilig ",O116)</f>
        <v>BBG anteilig 2025</v>
      </c>
      <c r="R114" s="931" t="s">
        <v>659</v>
      </c>
      <c r="S114" s="931" t="s">
        <v>398</v>
      </c>
      <c r="T114" s="107"/>
    </row>
    <row r="115" spans="1:22" s="46" customFormat="1" ht="13.5" customHeight="1" x14ac:dyDescent="0.2">
      <c r="A115" s="924" t="s">
        <v>732</v>
      </c>
      <c r="D115" s="55" t="s">
        <v>369</v>
      </c>
      <c r="E115" s="56" t="s">
        <v>368</v>
      </c>
      <c r="F115" s="58"/>
      <c r="J115" s="61"/>
      <c r="Q115" s="932" t="s">
        <v>144</v>
      </c>
      <c r="R115" s="140">
        <f>IF(M104=0,R119,IF(M103="",R119,(SUM(R125:R136)/M107)))</f>
        <v>5175</v>
      </c>
      <c r="S115" s="933">
        <f>IF(M104=0,S119,IF(M103="",S119,SUM(R125:R136)))</f>
        <v>0</v>
      </c>
      <c r="T115" s="107"/>
    </row>
    <row r="116" spans="1:22" s="46" customFormat="1" ht="13.5" customHeight="1" x14ac:dyDescent="0.25">
      <c r="A116" s="60"/>
      <c r="B116" s="1314" t="str">
        <f>IF($B$20="","",$B$20)</f>
        <v>Jahressonderzahlung (JSZ)</v>
      </c>
      <c r="C116" s="1315"/>
      <c r="D116" s="926"/>
      <c r="E116" s="929" t="str">
        <f>IF(A116="","",ROUND((((SUM(B131:B133)+SUM(F131:F133))/3)*D116)/Grundlagen!$C$26*M106,2))</f>
        <v/>
      </c>
      <c r="G116" s="941" t="s">
        <v>733</v>
      </c>
      <c r="H116" s="943"/>
      <c r="I116" s="1316" t="str">
        <f>CONCATENATE(R139,":"," Übergangsbereich von ",R140+0.01," €"," bis ",R141," €")</f>
        <v>2025: Übergangsbereich von 556,01 € bis 2000 €</v>
      </c>
      <c r="J116" s="1317"/>
      <c r="K116" s="1317"/>
      <c r="L116" s="1067"/>
      <c r="M116" s="1067"/>
      <c r="N116" s="1068" t="s">
        <v>736</v>
      </c>
      <c r="O116" s="1069">
        <f>P116+1</f>
        <v>2025</v>
      </c>
      <c r="P116" s="1069" t="s">
        <v>721</v>
      </c>
      <c r="Q116" s="932" t="s">
        <v>145</v>
      </c>
      <c r="R116" s="140">
        <f>IF(M104=0,R120,IF(M103="",R120,(SUM(S125:S136)/M107)))</f>
        <v>7450</v>
      </c>
      <c r="S116" s="933">
        <f>IF(M104=0,S120,IF(M103="",S120,SUM(S125:S136)))</f>
        <v>0</v>
      </c>
      <c r="T116" s="109"/>
    </row>
    <row r="117" spans="1:22" ht="14.25" customHeight="1" x14ac:dyDescent="0.2">
      <c r="A117" s="60"/>
      <c r="B117" s="1314" t="str">
        <f>IF($B$21="","",$B$21)</f>
        <v>Leistungsentgelt (LOB)</v>
      </c>
      <c r="C117" s="1315"/>
      <c r="D117" s="926"/>
      <c r="E117" s="929" t="str">
        <f>IF(A117="","",ROUND(((B137+F137)*D117)/Grundlagen!$C$26*M106,2))</f>
        <v/>
      </c>
      <c r="G117" s="941" t="str">
        <f>IF(OR(H116="",H116="nein")=TRUE,"","Faktor (F):")</f>
        <v/>
      </c>
      <c r="H117" s="949" t="str">
        <f>IF(OR(H116="",H116="nein")=TRUE,"",IF(H116="","",R143))</f>
        <v/>
      </c>
      <c r="I117" s="1318" t="str">
        <f>IF(OR(H116="",H116="nein")=TRUE,"",IF(H117="","",CONCATENATE(S143*100,"%"," / ","(",R142*100,"%"," Gesamt-SV-Beitragssatz 2024)")))</f>
        <v/>
      </c>
      <c r="J117" s="1319"/>
      <c r="K117" s="1319"/>
      <c r="L117" s="1070"/>
      <c r="M117" s="1070"/>
      <c r="N117" s="1071" t="s">
        <v>144</v>
      </c>
      <c r="O117" s="1072">
        <f>'päd.Personal - Leitung'!$O$21</f>
        <v>5175</v>
      </c>
      <c r="P117" s="1072">
        <f>'päd.Personal - Leitung'!$P$21</f>
        <v>5175</v>
      </c>
      <c r="Q117" s="11"/>
      <c r="R117" s="11"/>
      <c r="S117" s="11"/>
      <c r="T117" s="109"/>
    </row>
    <row r="118" spans="1:22" ht="14.25" customHeight="1" x14ac:dyDescent="0.2">
      <c r="C118" s="925" t="s">
        <v>731</v>
      </c>
      <c r="L118" s="1070"/>
      <c r="M118" s="1070"/>
      <c r="N118" s="1071" t="s">
        <v>145</v>
      </c>
      <c r="O118" s="1073">
        <f>'päd.Personal - Leitung'!$O$22</f>
        <v>7450</v>
      </c>
      <c r="P118" s="1073">
        <f>'päd.Personal - Leitung'!$P$22</f>
        <v>7450</v>
      </c>
      <c r="Q118" s="978" t="str">
        <f>CONCATENATE("BBG"," ",O116)</f>
        <v>BBG 2025</v>
      </c>
      <c r="R118" s="11"/>
      <c r="S118" s="11"/>
      <c r="T118" s="109"/>
    </row>
    <row r="119" spans="1:22" ht="14.25" customHeight="1" x14ac:dyDescent="0.2">
      <c r="A119" s="53" t="s">
        <v>141</v>
      </c>
      <c r="B119" s="46"/>
      <c r="C119" s="46"/>
      <c r="D119" s="46"/>
      <c r="E119" s="46"/>
      <c r="F119" s="46"/>
      <c r="G119" s="46"/>
      <c r="H119" s="46"/>
      <c r="I119" s="46"/>
      <c r="J119" s="46"/>
      <c r="K119" s="46"/>
      <c r="L119" s="46"/>
      <c r="M119" s="46"/>
      <c r="N119" s="46"/>
      <c r="O119" s="46"/>
      <c r="P119" s="46"/>
      <c r="Q119" s="932" t="s">
        <v>144</v>
      </c>
      <c r="R119" s="141">
        <f>IF($O$21="",0,$O$21)</f>
        <v>5175</v>
      </c>
      <c r="S119" s="933">
        <f>R119*IF(M107="",0,M107)</f>
        <v>0</v>
      </c>
      <c r="T119" s="295"/>
    </row>
    <row r="120" spans="1:22" ht="14.25" customHeight="1" x14ac:dyDescent="0.2">
      <c r="A120" s="1346"/>
      <c r="B120" s="1348" t="s">
        <v>8</v>
      </c>
      <c r="C120" s="1349"/>
      <c r="D120" s="1349"/>
      <c r="E120" s="1349"/>
      <c r="F120" s="1349"/>
      <c r="G120" s="1350"/>
      <c r="H120" s="1351" t="s">
        <v>113</v>
      </c>
      <c r="I120" s="1352"/>
      <c r="J120" s="1352"/>
      <c r="K120" s="1352"/>
      <c r="L120" s="1352"/>
      <c r="M120" s="1352"/>
      <c r="N120" s="1352"/>
      <c r="O120" s="30"/>
      <c r="P120" s="1330" t="s">
        <v>0</v>
      </c>
      <c r="Q120" s="932" t="s">
        <v>145</v>
      </c>
      <c r="R120" s="141">
        <f>IF($O$22="",0,$O$22)</f>
        <v>7450</v>
      </c>
      <c r="S120" s="933">
        <f>R120*IF(M107="",0,M107)</f>
        <v>0</v>
      </c>
      <c r="T120" s="830"/>
    </row>
    <row r="121" spans="1:22" ht="14.25" customHeight="1" x14ac:dyDescent="0.2">
      <c r="A121" s="1347"/>
      <c r="B121" s="1333" t="s">
        <v>111</v>
      </c>
      <c r="C121" s="1335" t="s">
        <v>743</v>
      </c>
      <c r="D121" s="1337" t="s">
        <v>226</v>
      </c>
      <c r="E121" s="1339" t="s">
        <v>133</v>
      </c>
      <c r="F121" s="1014" t="s">
        <v>6</v>
      </c>
      <c r="G121" s="1340" t="s">
        <v>5</v>
      </c>
      <c r="H121" s="1339" t="s">
        <v>119</v>
      </c>
      <c r="I121" s="1339" t="s">
        <v>4</v>
      </c>
      <c r="J121" s="1339" t="s">
        <v>3</v>
      </c>
      <c r="K121" s="1339" t="s">
        <v>2</v>
      </c>
      <c r="L121" s="1339" t="s">
        <v>114</v>
      </c>
      <c r="M121" s="1339" t="s">
        <v>115</v>
      </c>
      <c r="N121" s="1339" t="s">
        <v>116</v>
      </c>
      <c r="O121" s="1338" t="s">
        <v>109</v>
      </c>
      <c r="P121" s="1331"/>
      <c r="Q121" s="456"/>
      <c r="R121" s="11"/>
      <c r="S121" s="11"/>
      <c r="T121" s="621"/>
    </row>
    <row r="122" spans="1:22" ht="14.25" customHeight="1" x14ac:dyDescent="0.2">
      <c r="A122" s="1347"/>
      <c r="B122" s="1333"/>
      <c r="C122" s="1335"/>
      <c r="D122" s="1338"/>
      <c r="E122" s="1339"/>
      <c r="F122" s="1343" t="str">
        <f>I114</f>
        <v>Zuschläge / Zulagen / o.ä.:</v>
      </c>
      <c r="G122" s="1340"/>
      <c r="H122" s="1342" t="s">
        <v>117</v>
      </c>
      <c r="I122" s="1342"/>
      <c r="J122" s="1342"/>
      <c r="K122" s="1342"/>
      <c r="L122" s="1342"/>
      <c r="M122" s="1342"/>
      <c r="N122" s="1342"/>
      <c r="O122" s="1338"/>
      <c r="P122" s="1331"/>
      <c r="Q122" s="456"/>
      <c r="R122" s="1306" t="str">
        <f>Q114</f>
        <v>BBG anteilig 2025</v>
      </c>
      <c r="S122" s="1306"/>
      <c r="T122" s="829"/>
    </row>
    <row r="123" spans="1:22" ht="14.25" customHeight="1" x14ac:dyDescent="0.2">
      <c r="A123" s="1347"/>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c r="Q123" s="456"/>
      <c r="R123" s="1307" t="s">
        <v>659</v>
      </c>
      <c r="S123" s="1307"/>
      <c r="T123" s="829"/>
      <c r="U123" s="1308" t="s">
        <v>1</v>
      </c>
      <c r="V123" s="1308" t="s">
        <v>741</v>
      </c>
    </row>
    <row r="124" spans="1:22" x14ac:dyDescent="0.2">
      <c r="A124" s="1347"/>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c r="Q124" s="456"/>
      <c r="R124" s="935" t="s">
        <v>144</v>
      </c>
      <c r="S124" s="935" t="s">
        <v>145</v>
      </c>
      <c r="T124" s="829"/>
      <c r="U124" s="1308"/>
      <c r="V124" s="1308"/>
    </row>
    <row r="125" spans="1:22"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0">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56"/>
      <c r="R125" s="140">
        <f>ROUND(IF(M103="",R119,R119/M103*P102),2)</f>
        <v>5175</v>
      </c>
      <c r="S125" s="140">
        <f>ROUND(IF(M103="",R120,R120/M103*P102),2)</f>
        <v>7450</v>
      </c>
      <c r="U125" s="950">
        <f>SUM(B125:F125)</f>
        <v>0</v>
      </c>
      <c r="V125" s="950">
        <f>SUM(B125:F125)</f>
        <v>0</v>
      </c>
    </row>
    <row r="126" spans="1:22"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0"/>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21">SUM(G126:O126)</f>
        <v>0</v>
      </c>
      <c r="Q126" s="456"/>
      <c r="R126" s="140">
        <f>ROUND(IF(M103="",R119,R119/M103*P103),2)</f>
        <v>5175</v>
      </c>
      <c r="S126" s="140">
        <f>ROUND(IF(M103="",R120,R120/M103*P103),2)</f>
        <v>7450</v>
      </c>
      <c r="U126" s="950">
        <f t="shared" ref="U126:U136" si="22">SUM(B126:F126)</f>
        <v>0</v>
      </c>
      <c r="V126" s="950">
        <f>SUM(B125:F126)</f>
        <v>0</v>
      </c>
    </row>
    <row r="127" spans="1:22"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0"/>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1"/>
        <v>0</v>
      </c>
      <c r="Q127" s="456"/>
      <c r="R127" s="140">
        <f>ROUND(IF(M103="",R119,R119/M103*P104),2)</f>
        <v>5175</v>
      </c>
      <c r="S127" s="140">
        <f>ROUND(IF(M103="",R120,R120/M103*P104),2)</f>
        <v>7450</v>
      </c>
      <c r="U127" s="950">
        <f t="shared" si="22"/>
        <v>0</v>
      </c>
      <c r="V127" s="950">
        <f>SUM(B125:F127)</f>
        <v>0</v>
      </c>
    </row>
    <row r="128" spans="1:22"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0"/>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1"/>
        <v>0</v>
      </c>
      <c r="Q128" s="456"/>
      <c r="R128" s="140">
        <f>ROUND(IF(M103="",R119,R119/M103*P105),2)</f>
        <v>5175</v>
      </c>
      <c r="S128" s="140">
        <f>ROUND(IF(M103="",R120,R120/M103*P105),2)</f>
        <v>7450</v>
      </c>
      <c r="U128" s="950">
        <f t="shared" si="22"/>
        <v>0</v>
      </c>
      <c r="V128" s="950">
        <f>SUM(B125:F128)</f>
        <v>0</v>
      </c>
    </row>
    <row r="129" spans="1:24"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0"/>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1"/>
        <v>0</v>
      </c>
      <c r="Q129" s="456"/>
      <c r="R129" s="140">
        <f>ROUND(IF(M103="",R119,R119/M103*P106),2)</f>
        <v>5175</v>
      </c>
      <c r="S129" s="140">
        <f>ROUND(IF(M103="",R120,R120/M103*P106),2)</f>
        <v>7450</v>
      </c>
      <c r="U129" s="950">
        <f t="shared" si="22"/>
        <v>0</v>
      </c>
      <c r="V129" s="950">
        <f>SUM(B125:F129)</f>
        <v>0</v>
      </c>
    </row>
    <row r="130" spans="1:24"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0"/>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1"/>
        <v>0</v>
      </c>
      <c r="Q130" s="456"/>
      <c r="R130" s="140">
        <f>ROUND(IF(M103="",R119,R119/M103*P107),2)</f>
        <v>5175</v>
      </c>
      <c r="S130" s="140">
        <f>ROUND(IF(M103="",R120,R120/M103*P107),2)</f>
        <v>7450</v>
      </c>
      <c r="U130" s="950">
        <f t="shared" si="22"/>
        <v>0</v>
      </c>
      <c r="V130" s="950">
        <f>SUM(B125:F130)</f>
        <v>0</v>
      </c>
    </row>
    <row r="131" spans="1:24"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0"/>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1"/>
        <v>0</v>
      </c>
      <c r="Q131" s="456"/>
      <c r="R131" s="140">
        <f>ROUND(IF(M103="",R119,R119/M103*P108),2)</f>
        <v>5175</v>
      </c>
      <c r="S131" s="140">
        <f>ROUND(IF(M103="",R120,R120/M103*P108),2)</f>
        <v>7450</v>
      </c>
      <c r="U131" s="950">
        <f t="shared" si="22"/>
        <v>0</v>
      </c>
      <c r="V131" s="950">
        <f>SUM(B125:F131)</f>
        <v>0</v>
      </c>
    </row>
    <row r="132" spans="1:24"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0"/>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1"/>
        <v>0</v>
      </c>
      <c r="Q132" s="456"/>
      <c r="R132" s="140">
        <f>ROUND(IF(M103="",R119,R119/M103*P109),2)</f>
        <v>5175</v>
      </c>
      <c r="S132" s="140">
        <f>ROUND(IF(M103="",R120,R120/M103*P109),2)</f>
        <v>7450</v>
      </c>
      <c r="U132" s="950">
        <f t="shared" si="22"/>
        <v>0</v>
      </c>
      <c r="V132" s="950">
        <f>SUM(B125:F132)</f>
        <v>0</v>
      </c>
    </row>
    <row r="133" spans="1:24"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0"/>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1"/>
        <v>0</v>
      </c>
      <c r="Q133" s="456"/>
      <c r="R133" s="140">
        <f>ROUND(IF(M103="",R119,R119/M103*P110),2)</f>
        <v>5175</v>
      </c>
      <c r="S133" s="140">
        <f>ROUND(IF(M103="",R120,R120/M103*P110),2)</f>
        <v>7450</v>
      </c>
      <c r="U133" s="950">
        <f t="shared" si="22"/>
        <v>0</v>
      </c>
      <c r="V133" s="950">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0"/>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1"/>
        <v>0</v>
      </c>
      <c r="Q134" s="936"/>
      <c r="R134" s="140">
        <f>ROUND(IF(M103="",R119,R119/M103*P111),2)</f>
        <v>5175</v>
      </c>
      <c r="S134" s="140">
        <f>ROUND(IF(M103="",R120,R120/M103*P111),2)</f>
        <v>7450</v>
      </c>
      <c r="U134" s="950">
        <f t="shared" si="22"/>
        <v>0</v>
      </c>
      <c r="V134" s="950">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0"/>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1"/>
        <v>0</v>
      </c>
      <c r="R135" s="140">
        <f>ROUND(IF(M103="",R119,R119/M103*P112),2)</f>
        <v>5175</v>
      </c>
      <c r="S135" s="140">
        <f>ROUND(IF(M103="",R120,R120/M103*P112),2)</f>
        <v>7450</v>
      </c>
      <c r="U135" s="950">
        <f t="shared" si="22"/>
        <v>0</v>
      </c>
      <c r="V135" s="950">
        <f>SUM(B125:F135)</f>
        <v>0</v>
      </c>
      <c r="X135" s="1"/>
    </row>
    <row r="136" spans="1:24"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0"/>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1"/>
        <v>0</v>
      </c>
      <c r="Q136" s="11"/>
      <c r="R136" s="140">
        <f>ROUND(IF(M103="",R119,R119/M103*P113),2)</f>
        <v>5175</v>
      </c>
      <c r="S136" s="140">
        <f>ROUND(IF(M103="",R120,R120/M103*P113),2)</f>
        <v>7450</v>
      </c>
      <c r="U136" s="950">
        <f t="shared" si="22"/>
        <v>0</v>
      </c>
      <c r="V136" s="950">
        <f>SUM(B125:F136)</f>
        <v>0</v>
      </c>
    </row>
    <row r="137" spans="1:24" ht="15" customHeight="1" x14ac:dyDescent="0.2">
      <c r="A137" s="2" t="s">
        <v>1</v>
      </c>
      <c r="B137" s="25">
        <f>SUM(B125:B136)</f>
        <v>0</v>
      </c>
      <c r="C137" s="25">
        <f t="shared" ref="C137:G137" si="23">SUM(C125:C136)</f>
        <v>0</v>
      </c>
      <c r="D137" s="25">
        <f t="shared" si="23"/>
        <v>0</v>
      </c>
      <c r="E137" s="25">
        <f t="shared" si="23"/>
        <v>0</v>
      </c>
      <c r="F137" s="25">
        <f t="shared" si="23"/>
        <v>0</v>
      </c>
      <c r="G137" s="25">
        <f t="shared" si="23"/>
        <v>0</v>
      </c>
      <c r="H137" s="1309">
        <f>SUM(H125:N136)</f>
        <v>0</v>
      </c>
      <c r="I137" s="1310"/>
      <c r="J137" s="1310"/>
      <c r="K137" s="1310"/>
      <c r="L137" s="1310"/>
      <c r="M137" s="1310"/>
      <c r="N137" s="1311"/>
      <c r="O137" s="25">
        <f>SUM(O125:O136)</f>
        <v>0</v>
      </c>
      <c r="P137" s="25">
        <f>SUM(P125:P136)</f>
        <v>0</v>
      </c>
    </row>
    <row r="138" spans="1:24" ht="12" customHeight="1" x14ac:dyDescent="0.2"/>
    <row r="139" spans="1:24" ht="14.25" customHeight="1" x14ac:dyDescent="0.2">
      <c r="B139" s="906"/>
      <c r="H139" s="905"/>
      <c r="I139" s="62"/>
      <c r="J139" s="914" t="s">
        <v>123</v>
      </c>
      <c r="L139" s="900" t="s">
        <v>124</v>
      </c>
      <c r="M139" s="974" t="str">
        <f>IF(IF(G137=0,"",$M$43)=0,"",IF(G137=0,"",$M$43))</f>
        <v/>
      </c>
      <c r="N139" s="902" t="s">
        <v>125</v>
      </c>
      <c r="O139" s="963" t="str">
        <f>IF(IF(G137=0,"",$O$43)=0,"",IF(G137=0,"",$O$43))</f>
        <v/>
      </c>
      <c r="P139" s="25">
        <f>ROUND(IF(M139="",0,G137*M139*O139/1000),2)</f>
        <v>0</v>
      </c>
      <c r="Q139" s="937"/>
      <c r="R139" s="938">
        <v>2025</v>
      </c>
      <c r="S139" s="939"/>
    </row>
    <row r="140" spans="1:24" ht="14.25" customHeight="1" x14ac:dyDescent="0.2">
      <c r="H140" s="907"/>
      <c r="I140" s="42"/>
      <c r="M140" s="915" t="s">
        <v>129</v>
      </c>
      <c r="N140" s="80" t="s">
        <v>125</v>
      </c>
      <c r="O140" s="75" t="str">
        <f>IF(IF(G137=0,"",$O$44)=0,"",IF(G137=0,"",$O$44))</f>
        <v/>
      </c>
      <c r="P140" s="25">
        <f>ROUND(IF(O140="",0,G137*O140/1000),2)</f>
        <v>0</v>
      </c>
      <c r="Q140" s="942" t="s">
        <v>737</v>
      </c>
      <c r="R140" s="141">
        <f>'päd.Personal - Leitung'!$R$44</f>
        <v>556</v>
      </c>
      <c r="S140" s="955">
        <f>'päd.Personal - Leitung'!$S$44</f>
        <v>12.82</v>
      </c>
    </row>
    <row r="141" spans="1:24" ht="14.25" customHeight="1" x14ac:dyDescent="0.2">
      <c r="H141" s="912" t="s">
        <v>126</v>
      </c>
      <c r="I141" s="1013" t="s">
        <v>127</v>
      </c>
      <c r="J141" s="975" t="str">
        <f>IF(IF(G137=0,"",$J$45)=0,"",IF(G137=0,"",$J$45))</f>
        <v/>
      </c>
      <c r="K141" s="902" t="s">
        <v>128</v>
      </c>
      <c r="L141" s="964" t="str">
        <f>IF(IF(G137=0,"",$L$45)=0,"",IF(G137=0,"",$L$45))</f>
        <v/>
      </c>
      <c r="M141" s="16"/>
      <c r="N141" s="900" t="s">
        <v>132</v>
      </c>
      <c r="O141" s="965" t="str">
        <f>IF(IF(G137=0,"",$O$45)=0,"",IF(G137=0,"",$O$45))</f>
        <v/>
      </c>
      <c r="P141" s="25">
        <f>ROUND(IF(J141="",0,(J141*L141/O141)/M105*M106),2)</f>
        <v>0</v>
      </c>
      <c r="Q141" s="942" t="s">
        <v>738</v>
      </c>
      <c r="R141" s="140">
        <f>'päd.Personal - Leitung'!$R$45</f>
        <v>2000</v>
      </c>
      <c r="S141" s="939"/>
    </row>
    <row r="142" spans="1:24" ht="14.25" customHeight="1" x14ac:dyDescent="0.2">
      <c r="D142" s="16"/>
      <c r="I142" s="16"/>
      <c r="J142" s="16"/>
      <c r="K142" s="63"/>
      <c r="L142" s="67"/>
      <c r="M142" s="915" t="s">
        <v>130</v>
      </c>
      <c r="N142" s="80" t="s">
        <v>131</v>
      </c>
      <c r="O142" s="904">
        <f>IF(IF(M107="",0,$O$46)=0,0,IF(M107="",0,$O$46))</f>
        <v>0</v>
      </c>
      <c r="P142" s="21">
        <f>ROUND(IF(G137=0,0,O142/M103*M104),2)</f>
        <v>0</v>
      </c>
      <c r="Q142" s="942" t="s">
        <v>740</v>
      </c>
      <c r="R142" s="956">
        <f>'päd.Personal - Leitung'!$R$46</f>
        <v>0.40900000000000003</v>
      </c>
    </row>
    <row r="143" spans="1:24" ht="14.25" customHeight="1" x14ac:dyDescent="0.2">
      <c r="A143" s="16"/>
      <c r="B143" s="16"/>
      <c r="I143" s="905"/>
      <c r="J143" s="961" t="s">
        <v>176</v>
      </c>
      <c r="K143" s="1312" t="str">
        <f>IF($K$47="","",$K$47)</f>
        <v/>
      </c>
      <c r="L143" s="1312"/>
      <c r="M143" s="1312"/>
      <c r="N143" s="80" t="s">
        <v>131</v>
      </c>
      <c r="O143" s="904">
        <f>IF(IF(M107="",0,$O$47)=0,0,IF(M107="",0,$O$47))</f>
        <v>0</v>
      </c>
      <c r="P143" s="21">
        <f>ROUND(IF(G137=0,0,O143/M103*M104),2)</f>
        <v>0</v>
      </c>
      <c r="Q143" s="942" t="s">
        <v>739</v>
      </c>
      <c r="R143" s="940">
        <f>'päd.Personal - Leitung'!$R$47</f>
        <v>0.68459999999999999</v>
      </c>
      <c r="S143" s="957">
        <f>'päd.Personal - Leitung'!$S$47</f>
        <v>0.28000000000000003</v>
      </c>
    </row>
    <row r="144" spans="1:24" ht="14.25" customHeight="1" x14ac:dyDescent="0.2">
      <c r="A144" s="908"/>
      <c r="B144" s="908"/>
      <c r="C144" s="1013"/>
      <c r="D144" s="1013"/>
      <c r="I144" s="913"/>
      <c r="J144" s="913"/>
      <c r="K144" s="916"/>
      <c r="L144" s="27"/>
      <c r="M144" s="27"/>
      <c r="N144" s="27"/>
      <c r="O144" s="26" t="s">
        <v>0</v>
      </c>
      <c r="P144" s="25">
        <f>P137+SUM(P139:P143)</f>
        <v>0</v>
      </c>
    </row>
    <row r="145" spans="1:19" s="10" customFormat="1" ht="13.5" customHeight="1" x14ac:dyDescent="0.2">
      <c r="A145" s="1321" t="s">
        <v>17</v>
      </c>
      <c r="B145" s="1321"/>
      <c r="C145" s="1321"/>
      <c r="D145" s="1320" t="str">
        <f>IF('päd.Personal - Leitung'!$D$1="","",'päd.Personal - Leitung'!$D$1)</f>
        <v/>
      </c>
      <c r="E145" s="1320"/>
      <c r="F145" s="1320"/>
      <c r="G145" s="1320"/>
      <c r="H145" s="1320"/>
      <c r="I145" s="1320"/>
      <c r="J145" s="1320"/>
      <c r="K145" s="1320"/>
      <c r="L145" s="1320"/>
      <c r="M145" s="1320"/>
      <c r="N145" s="1320"/>
    </row>
    <row r="146" spans="1:19" s="10" customFormat="1" ht="15" customHeight="1" x14ac:dyDescent="0.2">
      <c r="A146" s="1321" t="s">
        <v>16</v>
      </c>
      <c r="B146" s="1321"/>
      <c r="C146" s="1321" t="s">
        <v>14</v>
      </c>
      <c r="D146" s="1320" t="str">
        <f>IF('päd.Personal - Leitung'!$D$2="","",'päd.Personal - Leitung'!$D$2)</f>
        <v/>
      </c>
      <c r="E146" s="1320"/>
      <c r="F146" s="1320"/>
      <c r="G146" s="1320"/>
      <c r="H146" s="1320"/>
      <c r="I146" s="1320"/>
      <c r="J146" s="1320"/>
      <c r="K146" s="1320"/>
      <c r="L146" s="1320"/>
      <c r="M146" s="1320"/>
      <c r="N146" s="1320"/>
    </row>
    <row r="147" spans="1:19" s="10" customFormat="1" ht="15" customHeight="1" x14ac:dyDescent="0.2">
      <c r="A147" s="1321" t="s">
        <v>15</v>
      </c>
      <c r="B147" s="1321"/>
      <c r="C147" s="1321" t="s">
        <v>14</v>
      </c>
      <c r="D147" s="1320" t="str">
        <f>IF('päd.Personal - Leitung'!$D$3="","",'päd.Personal - Leitung'!$D$3)</f>
        <v/>
      </c>
      <c r="E147" s="1320"/>
      <c r="F147" s="1320"/>
      <c r="G147" s="1320"/>
      <c r="H147" s="1320"/>
      <c r="I147" s="1320"/>
      <c r="J147" s="1320"/>
      <c r="K147" s="1321" t="s">
        <v>100</v>
      </c>
      <c r="L147" s="1321"/>
      <c r="M147" s="1321"/>
      <c r="N147" s="38" t="str">
        <f>IF('päd.Personal - Leitung'!$N$3="","",'päd.Personal - Leitung'!$N$3)</f>
        <v/>
      </c>
    </row>
    <row r="148" spans="1:19" s="923" customFormat="1" ht="7.5" customHeight="1" x14ac:dyDescent="0.15">
      <c r="A148" s="1353"/>
      <c r="B148" s="1353"/>
      <c r="C148" s="1353"/>
      <c r="D148" s="1354"/>
      <c r="E148" s="1354"/>
      <c r="F148" s="1354"/>
      <c r="G148" s="1354"/>
      <c r="H148" s="1354"/>
      <c r="I148" s="1354"/>
      <c r="J148" s="1354"/>
      <c r="K148" s="922"/>
      <c r="L148" s="922"/>
      <c r="M148" s="922"/>
      <c r="N148" s="922"/>
      <c r="O148" s="922"/>
      <c r="P148" s="922"/>
    </row>
    <row r="149" spans="1:19" s="13" customFormat="1" ht="13.5" customHeight="1" x14ac:dyDescent="0.2">
      <c r="A149" s="1355" t="s">
        <v>196</v>
      </c>
      <c r="B149" s="1355"/>
      <c r="C149" s="1355"/>
      <c r="D149" s="1355"/>
      <c r="E149" s="1355"/>
      <c r="F149" s="1355"/>
      <c r="G149" s="1355"/>
      <c r="H149" s="1355"/>
      <c r="I149" s="1355"/>
      <c r="J149" s="1355"/>
      <c r="K149" s="7"/>
      <c r="L149" s="7"/>
      <c r="M149" s="7"/>
      <c r="N149" s="52"/>
      <c r="O149" s="138">
        <f>'päd.Personal - Leitung'!$O$5</f>
        <v>2025</v>
      </c>
      <c r="P149" s="52" t="s">
        <v>140</v>
      </c>
    </row>
    <row r="150" spans="1:19" s="8" customFormat="1" ht="13.5" customHeight="1" x14ac:dyDescent="0.25">
      <c r="B150" s="29"/>
      <c r="C150" s="29"/>
      <c r="D150" s="3" t="s">
        <v>33</v>
      </c>
      <c r="E150" s="28"/>
      <c r="F150" s="28"/>
      <c r="G150" s="28"/>
      <c r="H150" s="28"/>
      <c r="I150" s="24"/>
      <c r="K150" s="1327" t="s">
        <v>13</v>
      </c>
      <c r="L150" s="1327"/>
      <c r="M150" s="131"/>
      <c r="O150" s="928" t="str">
        <f>A173</f>
        <v>Jan 2025</v>
      </c>
      <c r="P150" s="1402">
        <f>IF(M152="","",M152)</f>
        <v>0</v>
      </c>
    </row>
    <row r="151" spans="1:19" s="5" customFormat="1" ht="13.5" customHeight="1" x14ac:dyDescent="0.25">
      <c r="A151" s="1328" t="s">
        <v>754</v>
      </c>
      <c r="B151" s="1328"/>
      <c r="C151" s="1328"/>
      <c r="D151" s="1329"/>
      <c r="E151" s="1329"/>
      <c r="F151" s="1329"/>
      <c r="G151" s="1329"/>
      <c r="H151" s="1329"/>
      <c r="I151" s="1329"/>
      <c r="K151" s="1327" t="s">
        <v>101</v>
      </c>
      <c r="L151" s="1327"/>
      <c r="M151" s="101"/>
      <c r="O151" s="928" t="str">
        <f t="shared" ref="O151:O161" si="24">A174</f>
        <v>Feb 2025</v>
      </c>
      <c r="P151" s="1403">
        <f t="shared" ref="P151:P158" si="25">IF(P150="","",P150)</f>
        <v>0</v>
      </c>
    </row>
    <row r="152" spans="1:19" ht="13.5" customHeight="1" x14ac:dyDescent="0.2">
      <c r="A152" s="1328" t="s">
        <v>12</v>
      </c>
      <c r="B152" s="1328"/>
      <c r="C152" s="1328"/>
      <c r="D152" s="1345"/>
      <c r="E152" s="1345"/>
      <c r="F152" s="1345"/>
      <c r="G152" s="1345"/>
      <c r="H152" s="1345"/>
      <c r="I152" s="1345"/>
      <c r="K152" s="1327" t="s">
        <v>194</v>
      </c>
      <c r="L152" s="1327"/>
      <c r="M152" s="101">
        <f>IF(M153&gt;M151,0,M151-M153)</f>
        <v>0</v>
      </c>
      <c r="O152" s="928" t="str">
        <f t="shared" si="24"/>
        <v>Mrz 2025</v>
      </c>
      <c r="P152" s="1403">
        <f t="shared" si="25"/>
        <v>0</v>
      </c>
    </row>
    <row r="153" spans="1:19" ht="13.5" customHeight="1" x14ac:dyDescent="0.2">
      <c r="A153" s="1328" t="s">
        <v>11</v>
      </c>
      <c r="B153" s="1328"/>
      <c r="C153" s="1328"/>
      <c r="D153" s="1345"/>
      <c r="E153" s="1345"/>
      <c r="F153" s="1345"/>
      <c r="G153" s="1345"/>
      <c r="H153" s="1345"/>
      <c r="I153" s="1345"/>
      <c r="K153" s="1327" t="s">
        <v>195</v>
      </c>
      <c r="L153" s="1327"/>
      <c r="M153" s="101"/>
      <c r="O153" s="928" t="str">
        <f t="shared" si="24"/>
        <v>Apr 2025</v>
      </c>
      <c r="P153" s="1403">
        <f t="shared" si="25"/>
        <v>0</v>
      </c>
    </row>
    <row r="154" spans="1:19" ht="13.5" customHeight="1" x14ac:dyDescent="0.2">
      <c r="A154" s="1328" t="s">
        <v>18</v>
      </c>
      <c r="B154" s="1328"/>
      <c r="C154" s="1328"/>
      <c r="D154" s="1345"/>
      <c r="E154" s="1345"/>
      <c r="F154" s="1345"/>
      <c r="G154" s="1345"/>
      <c r="H154" s="1345"/>
      <c r="I154" s="1345"/>
      <c r="K154" s="1327" t="s">
        <v>94</v>
      </c>
      <c r="L154" s="1327"/>
      <c r="M154" s="15" t="str">
        <f>IF(IF((COUNTIF(B173:B184,"&gt;0"))=0,0,(COUNTIF(B173:B184,"&gt;0")))&gt;Grundlagen!$C$26,Grundlagen!$C$26,IF((COUNTIF(B173:B184,"&gt;0"))=0,"",(COUNTIF(B173:B184,"&gt;0"))))</f>
        <v/>
      </c>
      <c r="O154" s="928" t="str">
        <f t="shared" si="24"/>
        <v>Mai 2025</v>
      </c>
      <c r="P154" s="1403">
        <f t="shared" si="25"/>
        <v>0</v>
      </c>
    </row>
    <row r="155" spans="1:19" ht="13.5" customHeight="1" x14ac:dyDescent="0.2">
      <c r="B155" s="6"/>
      <c r="C155" s="1012" t="s">
        <v>147</v>
      </c>
      <c r="D155" s="1324"/>
      <c r="E155" s="1324"/>
      <c r="F155" s="1359" t="s">
        <v>103</v>
      </c>
      <c r="G155" s="1359"/>
      <c r="H155" s="1361"/>
      <c r="I155" s="1361"/>
      <c r="M155" s="102" t="str">
        <f>IF((SUM(F158:F161))=0,"",IF(P162&gt;M152,M152,IF(M152="","",IF(M154="","",P162))))</f>
        <v/>
      </c>
      <c r="O155" s="928" t="str">
        <f t="shared" si="24"/>
        <v>Jun 2025</v>
      </c>
      <c r="P155" s="1403">
        <f t="shared" si="25"/>
        <v>0</v>
      </c>
    </row>
    <row r="156" spans="1:19" ht="13.5" customHeight="1" x14ac:dyDescent="0.2">
      <c r="I156" s="4"/>
      <c r="O156" s="928" t="str">
        <f t="shared" si="24"/>
        <v>Jul 2025</v>
      </c>
      <c r="P156" s="1403">
        <f t="shared" si="25"/>
        <v>0</v>
      </c>
    </row>
    <row r="157" spans="1:19" s="46" customFormat="1" ht="13.5" customHeight="1" x14ac:dyDescent="0.2">
      <c r="A157" s="54" t="s">
        <v>134</v>
      </c>
      <c r="B157" s="1356" t="s">
        <v>135</v>
      </c>
      <c r="C157" s="1356"/>
      <c r="D157" s="55" t="s">
        <v>136</v>
      </c>
      <c r="E157" s="56" t="s">
        <v>137</v>
      </c>
      <c r="F157" s="57" t="str">
        <f>CONCATENATE("Entg. ",N147," h/Wo")</f>
        <v>Entg.  h/Wo</v>
      </c>
      <c r="G157" s="58" t="s">
        <v>138</v>
      </c>
      <c r="I157" s="58" t="s">
        <v>139</v>
      </c>
      <c r="K157" s="970"/>
      <c r="L157" s="970"/>
      <c r="M157" s="59"/>
      <c r="N157" s="968" t="str">
        <f>IF(A159="","",A159)</f>
        <v/>
      </c>
      <c r="O157" s="928" t="str">
        <f t="shared" si="24"/>
        <v>Aug 2025</v>
      </c>
      <c r="P157" s="1403">
        <f t="shared" si="25"/>
        <v>0</v>
      </c>
      <c r="Q157" s="85"/>
      <c r="R157" s="85"/>
      <c r="S157" s="85"/>
    </row>
    <row r="158" spans="1:19" s="46" customFormat="1" ht="13.5" customHeight="1" x14ac:dyDescent="0.25">
      <c r="A158" s="48" t="str">
        <f>'päd.Personal - Leitung'!$A$14</f>
        <v>Jan 2025</v>
      </c>
      <c r="B158" s="1357" t="str">
        <f>IF($D$3="","",$D$3)</f>
        <v/>
      </c>
      <c r="C158" s="1358"/>
      <c r="D158" s="132"/>
      <c r="E158" s="132"/>
      <c r="F158" s="71"/>
      <c r="G158" s="50">
        <f>IF(N147="",0,F158/N147/4.348)</f>
        <v>0</v>
      </c>
      <c r="I158" s="125">
        <f>SUM(J158:M158)</f>
        <v>0</v>
      </c>
      <c r="J158" s="124"/>
      <c r="K158" s="124"/>
      <c r="L158" s="124"/>
      <c r="M158" s="124"/>
      <c r="N158" s="969"/>
      <c r="O158" s="928" t="str">
        <f t="shared" si="24"/>
        <v>Sep 2025</v>
      </c>
      <c r="P158" s="1403">
        <f t="shared" si="25"/>
        <v>0</v>
      </c>
      <c r="Q158" s="85"/>
      <c r="R158" s="85"/>
      <c r="S158" s="85"/>
    </row>
    <row r="159" spans="1:19" s="46" customFormat="1" ht="13.5" customHeight="1" x14ac:dyDescent="0.25">
      <c r="A159" s="49"/>
      <c r="B159" s="1322" t="str">
        <f>IF(A159="","",B158)</f>
        <v/>
      </c>
      <c r="C159" s="1323"/>
      <c r="D159" s="132"/>
      <c r="E159" s="132"/>
      <c r="F159" s="71"/>
      <c r="G159" s="50">
        <f>IF(N147="",0,F159/N147/4.348)</f>
        <v>0</v>
      </c>
      <c r="I159" s="125">
        <f t="shared" ref="I159:I161" si="26">SUM(J159:M159)</f>
        <v>0</v>
      </c>
      <c r="J159" s="124"/>
      <c r="K159" s="124"/>
      <c r="L159" s="124"/>
      <c r="M159" s="124"/>
      <c r="N159" s="969"/>
      <c r="O159" s="928" t="str">
        <f t="shared" si="24"/>
        <v>Okt 2025</v>
      </c>
      <c r="P159" s="1403">
        <f t="shared" ref="P159:P161" si="27">IF(P158="","",P158)</f>
        <v>0</v>
      </c>
      <c r="Q159" s="85"/>
      <c r="R159" s="85"/>
      <c r="S159" s="85"/>
    </row>
    <row r="160" spans="1:19" s="46" customFormat="1" ht="13.5" customHeight="1" x14ac:dyDescent="0.25">
      <c r="A160" s="49"/>
      <c r="B160" s="1322" t="str">
        <f>IF(A160="","",B159)</f>
        <v/>
      </c>
      <c r="C160" s="1323"/>
      <c r="D160" s="132"/>
      <c r="E160" s="132"/>
      <c r="F160" s="71"/>
      <c r="G160" s="50">
        <f>IF(N147="",0,F160/N147/4.348)</f>
        <v>0</v>
      </c>
      <c r="I160" s="125">
        <f t="shared" si="26"/>
        <v>0</v>
      </c>
      <c r="J160" s="124"/>
      <c r="K160" s="124"/>
      <c r="L160" s="124"/>
      <c r="M160" s="124"/>
      <c r="N160" s="969"/>
      <c r="O160" s="928" t="str">
        <f t="shared" si="24"/>
        <v>Nov 2025</v>
      </c>
      <c r="P160" s="1403">
        <f t="shared" si="27"/>
        <v>0</v>
      </c>
      <c r="Q160" s="85"/>
      <c r="R160" s="85"/>
      <c r="S160" s="85"/>
    </row>
    <row r="161" spans="1:22" s="46" customFormat="1" ht="13.5" customHeight="1" x14ac:dyDescent="0.25">
      <c r="A161" s="49"/>
      <c r="B161" s="1322" t="str">
        <f>IF(A161="","",B160)</f>
        <v/>
      </c>
      <c r="C161" s="1323"/>
      <c r="D161" s="132"/>
      <c r="E161" s="132"/>
      <c r="F161" s="71"/>
      <c r="G161" s="50">
        <f>IF(N147="",0,F161/N147/4.348)</f>
        <v>0</v>
      </c>
      <c r="I161" s="125">
        <f t="shared" si="26"/>
        <v>0</v>
      </c>
      <c r="J161" s="124"/>
      <c r="K161" s="124"/>
      <c r="L161" s="124"/>
      <c r="M161" s="124"/>
      <c r="N161" s="969"/>
      <c r="O161" s="928" t="str">
        <f t="shared" si="24"/>
        <v>Dez 2025</v>
      </c>
      <c r="P161" s="1403">
        <f t="shared" si="27"/>
        <v>0</v>
      </c>
      <c r="Q161" s="85"/>
      <c r="R161" s="85"/>
      <c r="S161" s="85"/>
    </row>
    <row r="162" spans="1:22" s="46" customFormat="1" ht="13.5" customHeight="1" x14ac:dyDescent="0.25">
      <c r="B162" s="972"/>
      <c r="C162" s="972"/>
      <c r="E162" s="972"/>
      <c r="F162" s="972"/>
      <c r="I162" s="930" t="s">
        <v>730</v>
      </c>
      <c r="J162" s="976"/>
      <c r="K162" s="976"/>
      <c r="L162" s="976"/>
      <c r="M162" s="976"/>
      <c r="N162" s="971"/>
      <c r="O162" s="126" t="s">
        <v>221</v>
      </c>
      <c r="P162" s="127">
        <f>IF(M154="",0,((IF(SUMIF(B173,"&gt;0"),P150,0))+(IF(SUMIF(B174,"&gt;0"),P151,0))+(IF(SUMIF(B175,"&gt;0"),P152,0))+(IF(SUMIF(B176,"&gt;0"),P153,0))+(IF(SUMIF(B177,"&gt;0"),P154,0))+(IF(SUMIF(B178,"&gt;0"),P155,0))+(IF(SUMIF(B179,"&gt;0"),P156,0))+(IF(SUMIF(B180,"&gt;0"),P157,0))+(IF(SUMIF(B181,"&gt;0"),P158,0))+(IF(SUMIF(B182,"&gt;0"),P159,0))+(IF(SUMIF(B183,"&gt;0"),P160,0))+(IF(SUMIF(B184,"&gt;0"),P161,0)))/Grundlagen!$C$26)</f>
        <v>0</v>
      </c>
      <c r="Q162" s="978" t="str">
        <f>CONCATENATE("BBG"," anteilig ",O164)</f>
        <v>BBG anteilig 2025</v>
      </c>
      <c r="R162" s="931" t="s">
        <v>659</v>
      </c>
      <c r="S162" s="931" t="s">
        <v>398</v>
      </c>
      <c r="T162" s="107"/>
    </row>
    <row r="163" spans="1:22" s="46" customFormat="1" ht="13.5" customHeight="1" x14ac:dyDescent="0.2">
      <c r="A163" s="924" t="s">
        <v>732</v>
      </c>
      <c r="D163" s="55" t="s">
        <v>369</v>
      </c>
      <c r="E163" s="56" t="s">
        <v>368</v>
      </c>
      <c r="F163" s="58"/>
      <c r="J163" s="61"/>
      <c r="Q163" s="932" t="s">
        <v>144</v>
      </c>
      <c r="R163" s="140">
        <f>IF(M152=0,R167,IF(M151="",R167,(SUM(R173:R184)/M155)))</f>
        <v>5175</v>
      </c>
      <c r="S163" s="933">
        <f>IF(M152=0,S167,IF(M151="",S167,SUM(R173:R184)))</f>
        <v>0</v>
      </c>
      <c r="T163" s="107"/>
    </row>
    <row r="164" spans="1:22" s="46" customFormat="1" ht="13.5" customHeight="1" x14ac:dyDescent="0.25">
      <c r="A164" s="60"/>
      <c r="B164" s="1314" t="str">
        <f>IF($B$20="","",$B$20)</f>
        <v>Jahressonderzahlung (JSZ)</v>
      </c>
      <c r="C164" s="1315"/>
      <c r="D164" s="926"/>
      <c r="E164" s="929" t="str">
        <f>IF(A164="","",ROUND((((SUM(B179:B181)+SUM(F179:F181))/3)*D164)/Grundlagen!$C$26*M154,2))</f>
        <v/>
      </c>
      <c r="G164" s="941" t="s">
        <v>733</v>
      </c>
      <c r="H164" s="943"/>
      <c r="I164" s="1316" t="str">
        <f>CONCATENATE(R187,":"," Übergangsbereich von ",R188+0.01," €"," bis ",R189," €")</f>
        <v>2025: Übergangsbereich von 556,01 € bis 2000 €</v>
      </c>
      <c r="J164" s="1317"/>
      <c r="K164" s="1317"/>
      <c r="L164" s="1067"/>
      <c r="M164" s="1067"/>
      <c r="N164" s="1068" t="s">
        <v>736</v>
      </c>
      <c r="O164" s="1069">
        <f>P164+1</f>
        <v>2025</v>
      </c>
      <c r="P164" s="1069" t="s">
        <v>721</v>
      </c>
      <c r="Q164" s="932" t="s">
        <v>145</v>
      </c>
      <c r="R164" s="140">
        <f>IF(M152=0,R168,IF(M151="",R168,(SUM(S173:S184)/M155)))</f>
        <v>7450</v>
      </c>
      <c r="S164" s="933">
        <f>IF(M152=0,S168,IF(M151="",S168,SUM(S173:S184)))</f>
        <v>0</v>
      </c>
      <c r="T164" s="109"/>
    </row>
    <row r="165" spans="1:22" ht="14.25" customHeight="1" x14ac:dyDescent="0.2">
      <c r="A165" s="60"/>
      <c r="B165" s="1314" t="str">
        <f>IF($B$21="","",$B$21)</f>
        <v>Leistungsentgelt (LOB)</v>
      </c>
      <c r="C165" s="1315"/>
      <c r="D165" s="926"/>
      <c r="E165" s="929" t="str">
        <f>IF(A165="","",ROUND(((B185+F185)*D165)/Grundlagen!$C$26*M154,2))</f>
        <v/>
      </c>
      <c r="G165" s="941" t="str">
        <f>IF(OR(H164="",H164="nein")=TRUE,"","Faktor (F):")</f>
        <v/>
      </c>
      <c r="H165" s="949" t="str">
        <f>IF(OR(H164="",H164="nein")=TRUE,"",IF(H164="","",R191))</f>
        <v/>
      </c>
      <c r="I165" s="1318" t="str">
        <f>IF(OR(H164="",H164="nein")=TRUE,"",IF(H165="","",CONCATENATE(S191*100,"%"," / ","(",R190*100,"%"," Gesamt-SV-Beitragssatz 2024)")))</f>
        <v/>
      </c>
      <c r="J165" s="1319"/>
      <c r="K165" s="1319"/>
      <c r="L165" s="1070"/>
      <c r="M165" s="1070"/>
      <c r="N165" s="1071" t="s">
        <v>144</v>
      </c>
      <c r="O165" s="1072">
        <f>'päd.Personal - Leitung'!$O$21</f>
        <v>5175</v>
      </c>
      <c r="P165" s="1072">
        <f>'päd.Personal - Leitung'!$P$21</f>
        <v>5175</v>
      </c>
      <c r="Q165" s="11"/>
      <c r="R165" s="11"/>
      <c r="S165" s="11"/>
      <c r="T165" s="109"/>
    </row>
    <row r="166" spans="1:22" ht="14.25" customHeight="1" x14ac:dyDescent="0.2">
      <c r="C166" s="925" t="s">
        <v>731</v>
      </c>
      <c r="L166" s="1070"/>
      <c r="M166" s="1070"/>
      <c r="N166" s="1071" t="s">
        <v>145</v>
      </c>
      <c r="O166" s="1073">
        <f>'päd.Personal - Leitung'!$O$22</f>
        <v>7450</v>
      </c>
      <c r="P166" s="1073">
        <f>'päd.Personal - Leitung'!$P$22</f>
        <v>7450</v>
      </c>
      <c r="Q166" s="978" t="str">
        <f>CONCATENATE("BBG"," ",O164)</f>
        <v>BBG 2025</v>
      </c>
      <c r="R166" s="11"/>
      <c r="S166" s="11"/>
      <c r="T166" s="109"/>
    </row>
    <row r="167" spans="1:22" ht="14.25" customHeight="1" x14ac:dyDescent="0.2">
      <c r="A167" s="53" t="s">
        <v>141</v>
      </c>
      <c r="B167" s="46"/>
      <c r="C167" s="46"/>
      <c r="D167" s="46"/>
      <c r="E167" s="46"/>
      <c r="F167" s="46"/>
      <c r="G167" s="46"/>
      <c r="H167" s="46"/>
      <c r="I167" s="46"/>
      <c r="J167" s="46"/>
      <c r="K167" s="46"/>
      <c r="L167" s="46"/>
      <c r="M167" s="46"/>
      <c r="N167" s="46"/>
      <c r="O167" s="46"/>
      <c r="P167" s="46"/>
      <c r="Q167" s="932" t="s">
        <v>144</v>
      </c>
      <c r="R167" s="141">
        <f>IF($O$21="",0,$O$21)</f>
        <v>5175</v>
      </c>
      <c r="S167" s="933">
        <f>R167*IF(M155="",0,M155)</f>
        <v>0</v>
      </c>
      <c r="T167" s="295"/>
    </row>
    <row r="168" spans="1:22" ht="14.25" customHeight="1" x14ac:dyDescent="0.2">
      <c r="A168" s="1346"/>
      <c r="B168" s="1348" t="s">
        <v>8</v>
      </c>
      <c r="C168" s="1349"/>
      <c r="D168" s="1349"/>
      <c r="E168" s="1349"/>
      <c r="F168" s="1349"/>
      <c r="G168" s="1350"/>
      <c r="H168" s="1351" t="s">
        <v>113</v>
      </c>
      <c r="I168" s="1352"/>
      <c r="J168" s="1352"/>
      <c r="K168" s="1352"/>
      <c r="L168" s="1352"/>
      <c r="M168" s="1352"/>
      <c r="N168" s="1352"/>
      <c r="O168" s="30"/>
      <c r="P168" s="1330" t="s">
        <v>0</v>
      </c>
      <c r="Q168" s="932" t="s">
        <v>145</v>
      </c>
      <c r="R168" s="141">
        <f>IF($O$22="",0,$O$22)</f>
        <v>7450</v>
      </c>
      <c r="S168" s="933">
        <f>R168*IF(M155="",0,M155)</f>
        <v>0</v>
      </c>
      <c r="T168" s="830"/>
    </row>
    <row r="169" spans="1:22" ht="14.25" customHeight="1" x14ac:dyDescent="0.2">
      <c r="A169" s="1347"/>
      <c r="B169" s="1333" t="s">
        <v>111</v>
      </c>
      <c r="C169" s="1335" t="s">
        <v>743</v>
      </c>
      <c r="D169" s="1337" t="s">
        <v>226</v>
      </c>
      <c r="E169" s="1339" t="s">
        <v>133</v>
      </c>
      <c r="F169" s="1014" t="s">
        <v>6</v>
      </c>
      <c r="G169" s="1340" t="s">
        <v>5</v>
      </c>
      <c r="H169" s="1339" t="s">
        <v>119</v>
      </c>
      <c r="I169" s="1339" t="s">
        <v>4</v>
      </c>
      <c r="J169" s="1339" t="s">
        <v>3</v>
      </c>
      <c r="K169" s="1339" t="s">
        <v>2</v>
      </c>
      <c r="L169" s="1339" t="s">
        <v>114</v>
      </c>
      <c r="M169" s="1339" t="s">
        <v>115</v>
      </c>
      <c r="N169" s="1339" t="s">
        <v>116</v>
      </c>
      <c r="O169" s="1338" t="s">
        <v>109</v>
      </c>
      <c r="P169" s="1331"/>
      <c r="Q169" s="456"/>
      <c r="R169" s="11"/>
      <c r="S169" s="11"/>
      <c r="T169" s="621"/>
    </row>
    <row r="170" spans="1:22" ht="14.25" customHeight="1" x14ac:dyDescent="0.2">
      <c r="A170" s="1347"/>
      <c r="B170" s="1333"/>
      <c r="C170" s="1335"/>
      <c r="D170" s="1338"/>
      <c r="E170" s="1339"/>
      <c r="F170" s="1343" t="str">
        <f>I162</f>
        <v>Zuschläge / Zulagen / o.ä.:</v>
      </c>
      <c r="G170" s="1340"/>
      <c r="H170" s="1342" t="s">
        <v>117</v>
      </c>
      <c r="I170" s="1342"/>
      <c r="J170" s="1342"/>
      <c r="K170" s="1342"/>
      <c r="L170" s="1342"/>
      <c r="M170" s="1342"/>
      <c r="N170" s="1342"/>
      <c r="O170" s="1338"/>
      <c r="P170" s="1331"/>
      <c r="Q170" s="456"/>
      <c r="R170" s="1306" t="str">
        <f>Q162</f>
        <v>BBG anteilig 2025</v>
      </c>
      <c r="S170" s="1306"/>
      <c r="T170" s="829"/>
    </row>
    <row r="171" spans="1:22" ht="14.25" customHeight="1" x14ac:dyDescent="0.2">
      <c r="A171" s="1347"/>
      <c r="B171" s="1333"/>
      <c r="C171" s="1335"/>
      <c r="D171" s="1338"/>
      <c r="E171" s="1339"/>
      <c r="F171" s="1343"/>
      <c r="G171" s="1340"/>
      <c r="H171" s="39" t="str">
        <f>'päd.Personal - Leitung'!$H$27</f>
        <v>(7,30% + Zusatz)</v>
      </c>
      <c r="I171" s="39" t="str">
        <f>'päd.Personal - Leitung'!$I$27</f>
        <v xml:space="preserve"> (2024: 9,30%)</v>
      </c>
      <c r="J171" s="39" t="str">
        <f>'päd.Personal - Leitung'!$J$27</f>
        <v>(2024: 1,30%)</v>
      </c>
      <c r="K171" s="39" t="str">
        <f>'päd.Personal - Leitung'!$K$27</f>
        <v>(2024: 1,700%)</v>
      </c>
      <c r="L171" s="39"/>
      <c r="M171" s="39"/>
      <c r="N171" s="39" t="str">
        <f>'päd.Personal - Leitung'!$N$27</f>
        <v>(2024: 0,06%)</v>
      </c>
      <c r="O171" s="1338"/>
      <c r="P171" s="1331"/>
      <c r="Q171" s="456"/>
      <c r="R171" s="1307" t="s">
        <v>659</v>
      </c>
      <c r="S171" s="1307"/>
      <c r="T171" s="829"/>
      <c r="U171" s="1308" t="s">
        <v>1</v>
      </c>
      <c r="V171" s="1308" t="s">
        <v>741</v>
      </c>
    </row>
    <row r="172" spans="1:22" x14ac:dyDescent="0.2">
      <c r="A172" s="1347"/>
      <c r="B172" s="1334"/>
      <c r="C172" s="1336"/>
      <c r="D172" s="45"/>
      <c r="E172" s="45"/>
      <c r="F172" s="1344"/>
      <c r="G172" s="1341"/>
      <c r="H172" s="74"/>
      <c r="I172" s="99">
        <f>'päd.Personal - Leitung'!$I$28</f>
        <v>0</v>
      </c>
      <c r="J172" s="99">
        <f>'päd.Personal - Leitung'!$J$28</f>
        <v>0</v>
      </c>
      <c r="K172" s="40">
        <f>'päd.Personal - Leitung'!$K$28</f>
        <v>0</v>
      </c>
      <c r="L172" s="19"/>
      <c r="M172" s="19"/>
      <c r="N172" s="99">
        <f>'päd.Personal - Leitung'!$N$28</f>
        <v>0</v>
      </c>
      <c r="O172" s="23"/>
      <c r="P172" s="1332"/>
      <c r="Q172" s="456"/>
      <c r="R172" s="935" t="s">
        <v>144</v>
      </c>
      <c r="S172" s="935" t="s">
        <v>145</v>
      </c>
      <c r="T172" s="829"/>
      <c r="U172" s="1308"/>
      <c r="V172" s="1308"/>
    </row>
    <row r="173" spans="1:22" x14ac:dyDescent="0.2">
      <c r="A173" s="76" t="str">
        <f>CONCATENATE("Jan ",O149)</f>
        <v>Jan 2025</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8">SUM(B173+C173+E173+F173)</f>
        <v>0</v>
      </c>
      <c r="H173" s="64">
        <f>IF(B173=0,0,IF(AND(H164="ja",((U173)&lt;R189)),ROUND(((R191*R188+((R189/(R189-R188))-(R188/(R189-R188))*R191)*((U173)-R188))*(H172*2))-(((R189/(R189-R188))*((U173)-R188))*H172),2),ROUND(IF((U173)&gt;R173,R173*H172,U173*H172),2)))</f>
        <v>0</v>
      </c>
      <c r="I173" s="64">
        <f>IF(B173=0,0,IF(AND(H164="ja",((U173)&lt;R189)),ROUND(((R191*R188+((R189/(R189-R188))-(R188/(R189-R188))*R191)*((U173)-R188))*(I172*2))-(((R189/(R189-R188))*((U173)-R188))*I172),2),ROUND(IF((U173)&gt;S173,S173*I172,U173*I172),2)))</f>
        <v>0</v>
      </c>
      <c r="J173" s="64">
        <f>IF(B173=0,0,IF(AND(H164="ja",((U173)&lt;R189)),ROUND(((R191*R188+((R189/(R189-R188))-(R188/(R189-R188))*R191)*((U173)-R188))*(J172*2))-(((R189/(R189-R188))*((U173)-R188))*J172),2),ROUND(IF((U173)&gt;S173,S173*J172,U173*J172),2)))</f>
        <v>0</v>
      </c>
      <c r="K173" s="64">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64">
        <f>IF(B173=0,0,IF(AND(H164="ja",((U173)&lt;R189)),ROUND(((R191*R188+((R189/(R189-R188))-(R188/(R189-R188))*R191)*((U173)-R188))*(N172)),2),ROUND(IF((SUM(B173:F173))&gt;S173,S173*N172,SUM(B173:F173)*N172),2)))</f>
        <v>0</v>
      </c>
      <c r="O173" s="21">
        <f>ROUND(SUM(B173+C173+F173)*O172,2)</f>
        <v>0</v>
      </c>
      <c r="P173" s="25">
        <f>SUM(G173:O173)</f>
        <v>0</v>
      </c>
      <c r="Q173" s="456"/>
      <c r="R173" s="140">
        <f>ROUND(IF(M151="",R167,R167/M151*P150),2)</f>
        <v>5175</v>
      </c>
      <c r="S173" s="140">
        <f>ROUND(IF(M151="",R168,R168/M151*P150),2)</f>
        <v>7450</v>
      </c>
      <c r="U173" s="950">
        <f>SUM(B173:F173)</f>
        <v>0</v>
      </c>
      <c r="V173" s="950">
        <f>SUM(B173:F173)</f>
        <v>0</v>
      </c>
    </row>
    <row r="174" spans="1:22" x14ac:dyDescent="0.2">
      <c r="A174" s="76" t="str">
        <f>CONCATENATE("Feb ",O149)</f>
        <v>Feb 2025</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8"/>
        <v>0</v>
      </c>
      <c r="H174" s="64">
        <f>IF(B174=0,0,IF(AND(H164="ja",((U174)&lt;R189)),ROUND(((R191*R188+((R189/(R189-R188))-(R188/(R189-R188))*R191)*((U174)-R188))*(H172*2))-(((R189/(R189-R188))*((U174)-R188))*H172),2),ROUND(IF(U173&lt;(R173),IF((V174)&gt;(SUM(R173:R174)),(((SUM(R173:R174))-(V174-C173))*H172)+((U174-C173)*H172),U174*H172),IF(V174&gt;(SUM(R173:R174)),R174*H172,U174*H172)),2)))</f>
        <v>0</v>
      </c>
      <c r="I174" s="64">
        <f>IF(B174=0,0,IF(AND(H164="ja",((U174)&lt;R189)),ROUND(((R191*R188+((R189/(R189-R188))-(R188/(R189-R188))*R191)*((U174)-R188))*(I172*2))-(((R189/(R189-R188))*((U174)-R188))*I172),2),ROUND(IF(U173&lt;(S173),IF((V174)&gt;(SUM(S173:S174)),(((SUM(S173:S174))-(V174-C173))*I172)+((U174-C173)*I172),U174*I172),IF(V174&gt;(SUM(S173:S174)),S174*I172,U174*I172)),2)))</f>
        <v>0</v>
      </c>
      <c r="J174" s="64">
        <f>IF(B174=0,0,IF(AND(H164="ja",((U174)&lt;R189)),ROUND(((R191*R188+((R189/(R189-R188))-(R188/(R189-R188))*R191)*((U174)-R188))*(J172*2))-(((R189/(R189-R188))*((U174)-R188))*J172),2),ROUND(IF(U173&lt;(S173),IF((V174)&gt;(SUM(S173:S174)),(((SUM(S173:S174))-(V174-C173))*J172)+((U174-C173)*J172),U174*J172),IF(V174&gt;(SUM(S173:S174)),S174*J172,U174*J172)),2)))</f>
        <v>0</v>
      </c>
      <c r="K174" s="64">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64">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9">SUM(G174:O174)</f>
        <v>0</v>
      </c>
      <c r="Q174" s="456"/>
      <c r="R174" s="140">
        <f>ROUND(IF(M151="",R167,R167/M151*P151),2)</f>
        <v>5175</v>
      </c>
      <c r="S174" s="140">
        <f>ROUND(IF(M151="",R168,R168/M151*P151),2)</f>
        <v>7450</v>
      </c>
      <c r="U174" s="950">
        <f t="shared" ref="U174:U184" si="30">SUM(B174:F174)</f>
        <v>0</v>
      </c>
      <c r="V174" s="950">
        <f>SUM(B173:F174)</f>
        <v>0</v>
      </c>
    </row>
    <row r="175" spans="1:22" x14ac:dyDescent="0.2">
      <c r="A175" s="76" t="str">
        <f>CONCATENATE("Mrz ",O149)</f>
        <v>Mrz 2025</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8"/>
        <v>0</v>
      </c>
      <c r="H175" s="64">
        <f>IF(B175=0,0,IF(AND(H164="ja",((U175)&lt;R189)),ROUND(((R191*R188+((R189/(R189-R188))-(R188/(R189-R188))*R191)*((U175)-R188))*(H172*2))-(((R189/(R189-R188))*((U175)-R188))*H172),2),ROUND(IF(V174&lt;(SUM(R173:R174)),IF((V175)&gt;(SUM(R173:R175)),(((SUM(R173:R175))-(V175-C174))*H172)+((U175-C174)*H172),U175*H172),IF(V175&gt;(SUM(R173:R175)),R175*H172,U175*H172)),2)))</f>
        <v>0</v>
      </c>
      <c r="I175" s="64">
        <f>IF(B175=0,0,IF(AND(H164="ja",((U175)&lt;R189)),ROUND(((R191*R188+((R189/(R189-R188))-(R188/(R189-R188))*R191)*((U175)-R188))*(I172*2))-(((R189/(R189-R188))*((U175)-R188))*I172),2),ROUND(IF(V174&lt;(SUM(S173:S174)),IF((V175)&gt;(SUM(S173:S175)),(((SUM(S173:S175))-(V175-C174))*I172)+((U175-C174)*I172),U175*I172),IF(V175&gt;(SUM(S173:S175)),S175*I172,U175*I172)),2)))</f>
        <v>0</v>
      </c>
      <c r="J175" s="64">
        <f>IF(B175=0,0,IF(AND(H164="ja",((U175)&lt;R189)),ROUND(((R191*R188+((R189/(R189-R188))-(R188/(R189-R188))*R191)*((U175)-R188))*(J172*2))-(((R189/(R189-R188))*((U175)-R188))*J172),2),ROUND(IF(V174&lt;(SUM(S173:S174)),IF((V175)&gt;(SUM(S173:S175)),(((SUM(S173:S175))-(V175-C174))*J172)+((U175-C174)*J172),U175*J172),IF(V175&gt;(SUM(S173:S175)),S175*J172,U175*J172)),2)))</f>
        <v>0</v>
      </c>
      <c r="K175" s="64">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64">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9"/>
        <v>0</v>
      </c>
      <c r="Q175" s="456"/>
      <c r="R175" s="140">
        <f>ROUND(IF(M151="",R167,R167/M151*P152),2)</f>
        <v>5175</v>
      </c>
      <c r="S175" s="140">
        <f>ROUND(IF(M151="",R168,R168/M151*P152),2)</f>
        <v>7450</v>
      </c>
      <c r="U175" s="950">
        <f t="shared" si="30"/>
        <v>0</v>
      </c>
      <c r="V175" s="950">
        <f>SUM(B173:F175)</f>
        <v>0</v>
      </c>
    </row>
    <row r="176" spans="1:22" x14ac:dyDescent="0.2">
      <c r="A176" s="76" t="str">
        <f>CONCATENATE("Apr ",O149)</f>
        <v>Apr 2025</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8"/>
        <v>0</v>
      </c>
      <c r="H176" s="64">
        <f>IF(B176=0,0,IF(AND(H164="ja",((U176)&lt;R189)),ROUND(((R191*R188+((R189/(R189-R188))-(R188/(R189-R188))*R191)*((U176)-R188))*(H172*2))-(((R189/(R189-R188))*((U176)-R188))*H172),2),ROUND(IF(V175&lt;(SUM(R173:R175)),IF((V176)&gt;(SUM(R173:R176)),(((SUM(R173:R176))-(V176-C175))*H172)+((U176-C175)*H172),U176*H172),IF(V176&gt;(SUM(R173:R176)),R176*H172,U176*H172)),2)))</f>
        <v>0</v>
      </c>
      <c r="I176" s="64">
        <f>IF(B176=0,0,IF(AND(H164="ja",((U176)&lt;R189)),ROUND(((R191*R188+((R189/(R189-R188))-(R188/(R189-R188))*R191)*((U176)-R188))*(I172*2))-(((R189/(R189-R188))*((U176)-R188))*I172),2),ROUND(IF(V175&lt;(SUM(S173:S175)),IF((V176)&gt;(SUM(S173:S176)),(((SUM(S173:S176))-(V176-C175))*I172)+((U176-C175)*I172),U176*I172),IF(V176&gt;(SUM(S173:S176)),S176*I172,U176*I172)),2)))</f>
        <v>0</v>
      </c>
      <c r="J176" s="64">
        <f>IF(B176=0,0,IF(AND(H164="ja",((U176)&lt;R189)),ROUND(((R191*R188+((R189/(R189-R188))-(R188/(R189-R188))*R191)*((U176)-R188))*(J172*2))-(((R189/(R189-R188))*((U176)-R188))*J172),2),ROUND(IF(U175&lt;(SUM(S173:S175)),IF((V176)&gt;(SUM(S173:S176)),(((SUM(S173:S176))-(V176-C175))*J172)+((U176-C175)*J172),U176*J172),IF(V176&gt;(SUM(S173:S176)),S176*J172,U176*J172)),2)))</f>
        <v>0</v>
      </c>
      <c r="K176" s="64">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64">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9"/>
        <v>0</v>
      </c>
      <c r="Q176" s="456"/>
      <c r="R176" s="140">
        <f>ROUND(IF(M151="",R167,R167/M151*P153),2)</f>
        <v>5175</v>
      </c>
      <c r="S176" s="140">
        <f>ROUND(IF(M151="",R168,R168/M151*P153),2)</f>
        <v>7450</v>
      </c>
      <c r="U176" s="950">
        <f t="shared" si="30"/>
        <v>0</v>
      </c>
      <c r="V176" s="950">
        <f>SUM(B173:F176)</f>
        <v>0</v>
      </c>
    </row>
    <row r="177" spans="1:24" x14ac:dyDescent="0.2">
      <c r="A177" s="76" t="str">
        <f>CONCATENATE("Mai ",O149)</f>
        <v>Mai 2025</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8"/>
        <v>0</v>
      </c>
      <c r="H177" s="64">
        <f>IF(B177=0,0,IF(AND(H164="ja",((U177)&lt;R189)),ROUND(((R191*R188+((R189/(R189-R188))-(R188/(R189-R188))*R191)*((U177)-R188))*(H172*2))-(((R189/(R189-R188))*((U177)-R188))*H172),2),ROUND(IF(V176&lt;(SUM(R173:R176)),IF((V177)&gt;(SUM(R173:R177)),(((SUM(R173:R177))-(V177-C176))*H172)+((U177-C176)*H172),U177*H172),IF(V177&gt;(SUM(R173:R177)),R177*H172,U177*H172)),2)))</f>
        <v>0</v>
      </c>
      <c r="I177" s="64">
        <f>IF(B177=0,0,IF(AND(H164="ja",((U177)&lt;R189)),ROUND(((R191*R188+((R189/(R189-R188))-(R188/(R189-R188))*R191)*((U177)-R188))*(I172*2))-(((R189/(R189-R188))*((U177)-R188))*I172),2),ROUND(IF(V176&lt;(SUM(S173:S176)),IF((V177)&gt;(SUM(S173:S177)),(((SUM(S173:S177))-(V177-C176))*I172)+((U177-C176)*I172),U177*I172),IF(V177&gt;(SUM(S173:S177)),S177*I172,U177*I172)),2)))</f>
        <v>0</v>
      </c>
      <c r="J177" s="64">
        <f>IF(B177=0,0,IF(AND(H164="ja",((U177)&lt;R189)),ROUND(((R191*R188+((R189/(R189-R188))-(R188/(R189-R188))*R191)*((U177)-R188))*(J172*2))-(((R189/(R189-R188))*((U177)-R188))*J172),2),ROUND(IF(V176&lt;(SUM(S173:S176)),IF((V177)&gt;(SUM(S173:S177)),(((SUM(S173:S177))-(V177-C176))*J172)+((U177-C176)*J172),U177*J172),IF(V177&gt;(SUM(S173:S177)),S177*J172,U177*J172)),2)))</f>
        <v>0</v>
      </c>
      <c r="K177" s="64">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64">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9"/>
        <v>0</v>
      </c>
      <c r="Q177" s="456"/>
      <c r="R177" s="140">
        <f>ROUND(IF(M151="",R167,R167/M151*P154),2)</f>
        <v>5175</v>
      </c>
      <c r="S177" s="140">
        <f>ROUND(IF(M151="",R168,R168/M151*P154),2)</f>
        <v>7450</v>
      </c>
      <c r="U177" s="950">
        <f t="shared" si="30"/>
        <v>0</v>
      </c>
      <c r="V177" s="950">
        <f>SUM(B173:F177)</f>
        <v>0</v>
      </c>
    </row>
    <row r="178" spans="1:24" x14ac:dyDescent="0.2">
      <c r="A178" s="76" t="str">
        <f>CONCATENATE("Jun ",O149)</f>
        <v>Jun 2025</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8"/>
        <v>0</v>
      </c>
      <c r="H178" s="64">
        <f>IF(B178=0,0,IF(AND(H164="ja",((U178)&lt;R189)),ROUND(((R191*R188+((R189/(R189-R188))-(R188/(R189-R188))*R191)*((U178)-R188))*(H172*2))-(((R189/(R189-R188))*((U178)-R188))*H172),2),ROUND(IF(V177&lt;(SUM(R173:R177)),IF((V178)&gt;(SUM(R173:R178)),(((SUM(R173:R178))-(V178-C177))*H172)+((U178-C177)*H172),U178*H172),IF(V178&gt;(SUM(R173:R178)),R178*H172,U178*H172)),2)))</f>
        <v>0</v>
      </c>
      <c r="I178" s="64">
        <f>IF(B178=0,0,IF(AND(H164="ja",((U178)&lt;R189)),ROUND(((R191*R188+((R189/(R189-R188))-(R188/(R189-R188))*R191)*((U178)-R188))*(I172*2))-(((R189/(R189-R188))*((U178)-R188))*I172),2),ROUND(IF(V177&lt;(SUM(S173:S177)),IF((V178)&gt;(SUM(S173:S178)),(((SUM(S173:S178))-(V178-C177))*I172)+((U178-C177)*I172),U178*I172),IF(V178&gt;(SUM(S173:S178)),S178*I172,U178*I172)),2)))</f>
        <v>0</v>
      </c>
      <c r="J178" s="64">
        <f>IF(B178=0,0,IF(AND(H164="ja",((U178)&lt;R189)),ROUND(((R191*R188+((R189/(R189-R188))-(R188/(R189-R188))*R191)*((U178)-R188))*(J172*2))-(((R189/(R189-R188))*((U178)-R188))*J172),2),ROUND(IF(V177&lt;(SUM(S173:S177)),IF((V178)&gt;(SUM(S173:S178)),(((SUM(S173:S178))-(V178-C177))*J172)+((U178-C177)*J172),U178*J172),IF(V178&gt;(SUM(S173:S178)),S178*J172,U178*J172)),2)))</f>
        <v>0</v>
      </c>
      <c r="K178" s="64">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64">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9"/>
        <v>0</v>
      </c>
      <c r="Q178" s="456"/>
      <c r="R178" s="140">
        <f>ROUND(IF(M151="",R167,R167/M151*P155),2)</f>
        <v>5175</v>
      </c>
      <c r="S178" s="140">
        <f>ROUND(IF(M151="",R168,R168/M151*P155),2)</f>
        <v>7450</v>
      </c>
      <c r="U178" s="950">
        <f t="shared" si="30"/>
        <v>0</v>
      </c>
      <c r="V178" s="950">
        <f>SUM(B173:F178)</f>
        <v>0</v>
      </c>
    </row>
    <row r="179" spans="1:24" x14ac:dyDescent="0.2">
      <c r="A179" s="76" t="str">
        <f>CONCATENATE("Jul ",O149)</f>
        <v>Jul 2025</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8"/>
        <v>0</v>
      </c>
      <c r="H179" s="64">
        <f>IF(B179=0,0,IF(AND(H164="ja",((U179)&lt;R189)),ROUND(((R191*R188+((R189/(R189-R188))-(R188/(R189-R188))*R191)*((U179)-R188))*(H172*2))-(((R189/(R189-R188))*((U179)-R188))*H172),2),ROUND(IF(V178&lt;(SUM(R173:R178)),IF((V179)&gt;(SUM(R173:R179)),(((SUM(R173:R179))-(V179-C178))*H172)+((U179-C178)*H172),U179*H172),IF(V179&gt;(SUM(R173:R179)),R179*H172,U179*H172)),2)))</f>
        <v>0</v>
      </c>
      <c r="I179" s="64">
        <f>IF(B179=0,0,IF(AND(H164="ja",((U179)&lt;R189)),ROUND(((R191*R188+((R189/(R189-R188))-(R188/(R189-R188))*R191)*((U179)-R188))*(I172*2))-(((R189/(R189-R188))*((U179)-R188))*I172),2),ROUND(IF(V178&lt;(SUM(S173:S178)),IF((V179)&gt;(SUM(S173:S179)),(((SUM(S173:S179))-(V179-C178))*I172)+((U179-C178)*I172),U179*I172),IF(V179&gt;(SUM(S173:S179)),S179*I172,U179*I172)),2)))</f>
        <v>0</v>
      </c>
      <c r="J179" s="64">
        <f>IF(B179=0,0,IF(AND(H164="ja",((U179)&lt;R189)),ROUND(((R191*R188+((R189/(R189-R188))-(R188/(R189-R188))*R191)*((U179)-R188))*(J172*2))-(((R189/(R189-R188))*((U179)-R188))*J172),2),ROUND(IF(V178&lt;(SUM(S173:S178)),IF((V179)&gt;(SUM(S173:S179)),(((SUM(S173:S179))-(V179-C178))*J172)+((U179-C178)*J172),U179*J172),IF(V179&gt;(SUM(S173:S179)),S179*J172,U179*J172)),2)))</f>
        <v>0</v>
      </c>
      <c r="K179" s="64">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64">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9"/>
        <v>0</v>
      </c>
      <c r="Q179" s="456"/>
      <c r="R179" s="140">
        <f>ROUND(IF(M151="",R167,R167/M151*P156),2)</f>
        <v>5175</v>
      </c>
      <c r="S179" s="140">
        <f>ROUND(IF(M151="",R168,R168/M151*P156),2)</f>
        <v>7450</v>
      </c>
      <c r="U179" s="950">
        <f t="shared" si="30"/>
        <v>0</v>
      </c>
      <c r="V179" s="950">
        <f>SUM(B173:F179)</f>
        <v>0</v>
      </c>
    </row>
    <row r="180" spans="1:24" x14ac:dyDescent="0.2">
      <c r="A180" s="76" t="str">
        <f>CONCATENATE("Aug ",O149)</f>
        <v>Aug 2025</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8"/>
        <v>0</v>
      </c>
      <c r="H180" s="64">
        <f>IF(B180=0,0,IF(AND(H164="ja",((U180)&lt;R189)),ROUND(((R191*R188+((R189/(R189-R188))-(R188/(R189-R188))*R191)*((U180)-R188))*(H172*2))-(((R189/(R189-R188))*((U180)-R188))*H172),2),ROUND(IF(V179&lt;(SUM(R173:R179)),IF((V180)&gt;(SUM(R173:R180)),(((SUM(R173:R180))-(V180-C179))*H172)+((U180-C179)*H172),U180*H172),IF(V180&gt;(SUM(R173:R180)),R180*H172,U180*H172)),2)))</f>
        <v>0</v>
      </c>
      <c r="I180" s="64">
        <f>IF(B180=0,0,IF(AND(H164="ja",((U180)&lt;R189)),ROUND(((R191*R188+((R189/(R189-R188))-(R188/(R189-R188))*R191)*((U180)-R188))*(I172*2))-(((R189/(R189-R188))*((U180)-R188))*I172),2),ROUND(IF(V179&lt;(SUM(S173:S179)),IF((V180)&gt;(SUM(S173:S180)),(((SUM(S173:S180))-(V180-C179))*I172)+((U180-C179)*I172),U180*I172),IF(V180&gt;(SUM(S173:S180)),S180*I172,U180*I172)),2)))</f>
        <v>0</v>
      </c>
      <c r="J180" s="64">
        <f>IF(B180=0,0,IF(AND(H164="ja",((U180)&lt;R189)),ROUND(((R191*R188+((R189/(R189-R188))-(R188/(R189-R188))*R191)*((U180)-R188))*(J172*2))-(((R189/(R189-R188))*((U180)-R188))*J172),2),ROUND(IF(V179&lt;(SUM(S173:S179)),IF((V180)&gt;(SUM(S173:S180)),(((SUM(S173:S180))-(V180-C179))*J172)+((U180-C179)*J172),U180*J172),IF(V180&gt;(SUM(S173:S180)),S180*J172,U180*J172)),2)))</f>
        <v>0</v>
      </c>
      <c r="K180" s="64">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64">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9"/>
        <v>0</v>
      </c>
      <c r="Q180" s="456"/>
      <c r="R180" s="140">
        <f>ROUND(IF(M151="",R167,R167/M151*P157),2)</f>
        <v>5175</v>
      </c>
      <c r="S180" s="140">
        <f>ROUND(IF(M151="",R168,R168/M151*P157),2)</f>
        <v>7450</v>
      </c>
      <c r="U180" s="950">
        <f t="shared" si="30"/>
        <v>0</v>
      </c>
      <c r="V180" s="950">
        <f>SUM(B173:F180)</f>
        <v>0</v>
      </c>
    </row>
    <row r="181" spans="1:24" x14ac:dyDescent="0.2">
      <c r="A181" s="76" t="str">
        <f>CONCATENATE("Sep ",O149)</f>
        <v>Sep 2025</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8"/>
        <v>0</v>
      </c>
      <c r="H181" s="64">
        <f>IF(B181=0,0,IF(AND(H164="ja",((U181)&lt;R189)),ROUND(((R191*R188+((R189/(R189-R188))-(R188/(R189-R188))*R191)*((U181)-R188))*(H172*2))-(((R189/(R189-R188))*((U181)-R188))*H172),2),ROUND(IF(V180&lt;(SUM(R173:R180)),IF((V181)&gt;(SUM(R173:R181)),(((SUM(R173:R181))-(V181-C180))*H172)+((U181-C180)*H172),U181*H172),IF(V181&gt;(SUM(R173:R181)),R181*H172,U181*H172)),2)))</f>
        <v>0</v>
      </c>
      <c r="I181" s="64">
        <f>IF(B181=0,0,IF(AND(H164="ja",((U181)&lt;R189)),ROUND(((R191*R188+((R189/(R189-R188))-(R188/(R189-R188))*R191)*((U181)-R188))*(I172*2))-(((R189/(R189-R188))*((U181)-R188))*I172),2),ROUND(IF(V180&lt;(SUM(S173:S180)),IF((V181)&gt;(SUM(S173:S181)),(((SUM(S173:S181))-(V181-C180))*I172)+((U181-C180)*I172),U181*I172),IF(V181&gt;(SUM(S173:S181)),S181*I172,U181*I172)),2)))</f>
        <v>0</v>
      </c>
      <c r="J181" s="64">
        <f>IF(B181=0,0,IF(AND(H164="ja",((U181)&lt;R189)),ROUND(((R191*R188+((R189/(R189-R188))-(R188/(R189-R188))*R191)*((U181)-R188))*(J172*2))-(((R189/(R189-R188))*((U181)-R188))*J172),2),ROUND(IF(V180&lt;(SUM(S173:S180)),IF((V181)&gt;(SUM(S173:S181)),(((SUM(S173:S181))-(V181-C180))*J172)+((U181-C180)*J172),U181*J172),IF(V181&gt;(SUM(S173:S181)),S181*J172,U181*J172)),2)))</f>
        <v>0</v>
      </c>
      <c r="K181" s="64">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64">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9"/>
        <v>0</v>
      </c>
      <c r="Q181" s="456"/>
      <c r="R181" s="140">
        <f>ROUND(IF(M151="",R167,R167/M151*P158),2)</f>
        <v>5175</v>
      </c>
      <c r="S181" s="140">
        <f>ROUND(IF(M151="",R168,R168/M151*P158),2)</f>
        <v>7450</v>
      </c>
      <c r="U181" s="950">
        <f t="shared" si="30"/>
        <v>0</v>
      </c>
      <c r="V181" s="950">
        <f>SUM(B173:F181)</f>
        <v>0</v>
      </c>
    </row>
    <row r="182" spans="1:24" s="12" customFormat="1" ht="15" x14ac:dyDescent="0.25">
      <c r="A182" s="76" t="str">
        <f>CONCATENATE("Okt ",O149)</f>
        <v>Okt 2025</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8"/>
        <v>0</v>
      </c>
      <c r="H182" s="64">
        <f>IF(B182=0,0,IF(AND(H164="ja",((U182)&lt;R189)),ROUND(((R191*R188+((R189/(R189-R188))-(R188/(R189-R188))*R191)*((U182)-R188))*(H172*2))-(((R189/(R189-R188))*((U182)-R188))*H172),2),ROUND(IF(V181&lt;(SUM(R173:R181)),IF((V182)&gt;(SUM(R173:R182)),(((SUM(R173:R182))-(V182-C181))*H172)+((U182-C181)*H172),U182*H172),IF(V182&gt;(SUM(R173:R182)),R182*H172,U182*H172)),2)))</f>
        <v>0</v>
      </c>
      <c r="I182" s="64">
        <f>IF(B182=0,0,IF(AND(H164="ja",((U182)&lt;R189)),ROUND(((R191*R188+((R189/(R189-R188))-(R188/(R189-R188))*R191)*((U182)-R188))*(I172*2))-(((R189/(R189-R188))*((U182)-R188))*I172),2),ROUND(IF(V181&lt;(SUM(S173:S181)),IF((V182)&gt;(SUM(S173:S182)),(((SUM(S173:S182))-(V182-C181))*I172)+((U182-C181)*I172),U182*I172),IF(V182&gt;(SUM(S173:S182)),S182*I172,U182*I172)),2)))</f>
        <v>0</v>
      </c>
      <c r="J182" s="64">
        <f>IF(B182=0,0,IF(AND(H164="ja",((U182)&lt;R189)),ROUND(((R191*R188+((R189/(R189-R188))-(R188/(R189-R188))*R191)*((U182)-R188))*(J172*2))-(((R189/(R189-R188))*((U182)-R188))*J172),2),ROUND(IF(V181&lt;(SUM(S173:S181)),IF((V182)&gt;(SUM(S173:S182)),(((SUM(S173:S182))-(V182-C181))*J172)+((U182-C181)*J172),U182*J172),IF(V182&gt;(SUM(S173:S182)),S182*J172,U182*J172)),2)))</f>
        <v>0</v>
      </c>
      <c r="K182" s="64">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64">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9"/>
        <v>0</v>
      </c>
      <c r="Q182" s="936"/>
      <c r="R182" s="140">
        <f>ROUND(IF(M151="",R167,R167/M151*P159),2)</f>
        <v>5175</v>
      </c>
      <c r="S182" s="140">
        <f>ROUND(IF(M151="",R168,R168/M151*P159),2)</f>
        <v>7450</v>
      </c>
      <c r="U182" s="950">
        <f t="shared" si="30"/>
        <v>0</v>
      </c>
      <c r="V182" s="950">
        <f>SUM(B173:F182)</f>
        <v>0</v>
      </c>
      <c r="X182" s="1"/>
    </row>
    <row r="183" spans="1:24" s="11" customFormat="1" x14ac:dyDescent="0.2">
      <c r="A183" s="76" t="str">
        <f>CONCATENATE("Nov ",O149)</f>
        <v>Nov 2025</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8"/>
        <v>0</v>
      </c>
      <c r="H183" s="64">
        <f>IF(B183=0,0,IF(AND(H164="ja",((U183)&lt;R189)),ROUND(((R191*R188+((R189/(R189-R188))-(R188/(R189-R188))*R191)*((U183)-R188))*(H172*2))-(((R189/(R189-R188))*((U183)-R188))*H172),2),ROUND(IF(V182&lt;(SUM(R173:R182)),IF((V183)&gt;(SUM(R173:R183)),(((SUM(R173:R183))-(V183-C182))*H172)+((U183-C182)*H172),U183*H172),IF(V183&gt;(SUM(R173:R183)),R183*H172,U183*H172)),2)))</f>
        <v>0</v>
      </c>
      <c r="I183" s="64">
        <f>IF(B183=0,0,IF(AND(H164="ja",((U183)&lt;R189)),ROUND(((R191*R188+((R189/(R189-R188))-(R188/(R189-R188))*R191)*((U183)-R188))*(I172*2))-(((R189/(R189-R188))*((U183)-R188))*I172),2),ROUND(IF(V182&lt;(SUM(S173:S182)),IF((V183)&gt;(SUM(S173:S183)),(((SUM(S173:S183))-(V183-C182))*I172)+((U183-C182)*I172),U183*I172),IF(V183&gt;(SUM(S173:S183)),S183*I172,U183*I172)),2)))</f>
        <v>0</v>
      </c>
      <c r="J183" s="64">
        <f>IF(B183=0,0,IF(AND(H164="ja",((U183)&lt;R189)),ROUND(((R191*R188+((R189/(R189-R188))-(R188/(R189-R188))*R191)*((U183)-R188))*(J172*2))-(((R189/(R189-R188))*((U183)-R188))*J172),2),ROUND(IF(V182&lt;(SUM(S173:S182)),IF((V183)&gt;(SUM(S173:S183)),(((SUM(S173:S183))-(V183-C182))*J172)+((U183-C182)*J172),U183*J172),IF(V183&gt;(SUM(S173:S183)),S183*J172,U183*J172)),2)))</f>
        <v>0</v>
      </c>
      <c r="K183" s="64">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64">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9"/>
        <v>0</v>
      </c>
      <c r="R183" s="140">
        <f>ROUND(IF(M151="",R167,R167/M151*P160),2)</f>
        <v>5175</v>
      </c>
      <c r="S183" s="140">
        <f>ROUND(IF(M151="",R168,R168/M151*P160),2)</f>
        <v>7450</v>
      </c>
      <c r="U183" s="950">
        <f t="shared" si="30"/>
        <v>0</v>
      </c>
      <c r="V183" s="950">
        <f>SUM(B173:F183)</f>
        <v>0</v>
      </c>
      <c r="X183" s="1"/>
    </row>
    <row r="184" spans="1:24" ht="14.25" customHeight="1" x14ac:dyDescent="0.2">
      <c r="A184" s="76" t="str">
        <f>CONCATENATE("Dez ",O149)</f>
        <v>Dez 2025</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8"/>
        <v>0</v>
      </c>
      <c r="H184" s="64">
        <f>IF(B184=0,0,IF(AND(H164="ja",((U184)&lt;R189)),ROUND(((R191*R188+((R189/(R189-R188))-(R188/(R189-R188))*R191)*((U184)-R188))*(H172*2))-(((R189/(R189-R188))*((U184)-R188))*H172),2),ROUND(IF(V183&lt;(SUM(R173:R183)),IF((V184)&gt;(SUM(R173:R184)),(((SUM(R173:R184))-(V184-C183))*H172)+((U184-C183)*H172),U184*H172),IF(V184&gt;(SUM(R173:R184)),R184*H172,U184*H172)),2)))</f>
        <v>0</v>
      </c>
      <c r="I184" s="64">
        <f>IF(B184=0,0,IF(AND(H164="ja",((U184)&lt;R189)),ROUND(((R191*R188+((R189/(R189-R188))-(R188/(R189-R188))*R191)*((U184)-R188))*(I172*2))-(((R189/(R189-R188))*((U184)-R188))*I172),2),ROUND(IF(V183&lt;(SUM(S173:S183)),IF((V184)&gt;(SUM(S173:S184)),(((SUM(S173:S184))-(V184-C183))*I172)+((U184-C183)*I172),U184*I172),IF(V184&gt;(SUM(S173:S184)),S184*I172,U184*I172)),2)))</f>
        <v>0</v>
      </c>
      <c r="J184" s="64">
        <f>IF(B184=0,0,IF(AND(H164="ja",((U184)&lt;R189)),ROUND(((R191*R188+((R189/(R189-R188))-(R188/(R189-R188))*R191)*((U184)-R188))*(J172*2))-(((R189/(R189-R188))*((U184)-R188))*J172),2),ROUND(IF(V183&lt;(SUM(S173:S183)),IF((V184)&gt;(SUM(S173:S184)),(((SUM(S173:S184))-(V184-C183))*J172)+((U184-C183)*J172),U184*J172),IF(V184&gt;(SUM(S173:S184)),S184*J172,U184*J172)),2)))</f>
        <v>0</v>
      </c>
      <c r="K184" s="64">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64">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9"/>
        <v>0</v>
      </c>
      <c r="Q184" s="11"/>
      <c r="R184" s="140">
        <f>ROUND(IF(M151="",R167,R167/M151*P161),2)</f>
        <v>5175</v>
      </c>
      <c r="S184" s="140">
        <f>ROUND(IF(M151="",R168,R168/M151*P161),2)</f>
        <v>7450</v>
      </c>
      <c r="U184" s="950">
        <f t="shared" si="30"/>
        <v>0</v>
      </c>
      <c r="V184" s="950">
        <f>SUM(B173:F184)</f>
        <v>0</v>
      </c>
    </row>
    <row r="185" spans="1:24" ht="15" customHeight="1" x14ac:dyDescent="0.2">
      <c r="A185" s="2" t="s">
        <v>1</v>
      </c>
      <c r="B185" s="25">
        <f>SUM(B173:B184)</f>
        <v>0</v>
      </c>
      <c r="C185" s="25">
        <f t="shared" ref="C185:G185" si="31">SUM(C173:C184)</f>
        <v>0</v>
      </c>
      <c r="D185" s="25">
        <f t="shared" si="31"/>
        <v>0</v>
      </c>
      <c r="E185" s="25">
        <f t="shared" si="31"/>
        <v>0</v>
      </c>
      <c r="F185" s="25">
        <f t="shared" si="31"/>
        <v>0</v>
      </c>
      <c r="G185" s="25">
        <f t="shared" si="31"/>
        <v>0</v>
      </c>
      <c r="H185" s="1309">
        <f>SUM(H173:N184)</f>
        <v>0</v>
      </c>
      <c r="I185" s="1310"/>
      <c r="J185" s="1310"/>
      <c r="K185" s="1310"/>
      <c r="L185" s="1310"/>
      <c r="M185" s="1310"/>
      <c r="N185" s="1311"/>
      <c r="O185" s="25">
        <f>SUM(O173:O184)</f>
        <v>0</v>
      </c>
      <c r="P185" s="25">
        <f>SUM(P173:P184)</f>
        <v>0</v>
      </c>
    </row>
    <row r="186" spans="1:24" ht="12" customHeight="1" x14ac:dyDescent="0.2"/>
    <row r="187" spans="1:24" ht="14.25" customHeight="1" x14ac:dyDescent="0.2">
      <c r="B187" s="906"/>
      <c r="H187" s="905"/>
      <c r="I187" s="62"/>
      <c r="J187" s="914" t="s">
        <v>123</v>
      </c>
      <c r="L187" s="900" t="s">
        <v>124</v>
      </c>
      <c r="M187" s="974" t="str">
        <f>IF(IF(G185=0,"",$M$43)=0,"",IF(G185=0,"",$M$43))</f>
        <v/>
      </c>
      <c r="N187" s="902" t="s">
        <v>125</v>
      </c>
      <c r="O187" s="963" t="str">
        <f>IF(IF(G185=0,"",$O$43)=0,"",IF(G185=0,"",$O$43))</f>
        <v/>
      </c>
      <c r="P187" s="25">
        <f>ROUND(IF(M187="",0,G185*M187*O187/1000),2)</f>
        <v>0</v>
      </c>
      <c r="Q187" s="937"/>
      <c r="R187" s="938">
        <v>2025</v>
      </c>
      <c r="S187" s="939"/>
    </row>
    <row r="188" spans="1:24" ht="14.25" customHeight="1" x14ac:dyDescent="0.2">
      <c r="H188" s="907"/>
      <c r="I188" s="42"/>
      <c r="M188" s="915" t="s">
        <v>129</v>
      </c>
      <c r="N188" s="80" t="s">
        <v>125</v>
      </c>
      <c r="O188" s="75" t="str">
        <f>IF(IF(G185=0,"",$O$44)=0,"",IF(G185=0,"",$O$44))</f>
        <v/>
      </c>
      <c r="P188" s="25">
        <f>ROUND(IF(O188="",0,G185*O188/1000),2)</f>
        <v>0</v>
      </c>
      <c r="Q188" s="942" t="s">
        <v>737</v>
      </c>
      <c r="R188" s="141">
        <f>'päd.Personal - Leitung'!$R$44</f>
        <v>556</v>
      </c>
      <c r="S188" s="955">
        <f>'päd.Personal - Leitung'!$S$44</f>
        <v>12.82</v>
      </c>
    </row>
    <row r="189" spans="1:24" ht="14.25" customHeight="1" x14ac:dyDescent="0.2">
      <c r="H189" s="912" t="s">
        <v>126</v>
      </c>
      <c r="I189" s="1013" t="s">
        <v>127</v>
      </c>
      <c r="J189" s="975" t="str">
        <f>IF(IF(G185=0,"",$J$45)=0,"",IF(G185=0,"",$J$45))</f>
        <v/>
      </c>
      <c r="K189" s="902" t="s">
        <v>128</v>
      </c>
      <c r="L189" s="964" t="str">
        <f>IF(IF(G185=0,"",$L$45)=0,"",IF(G185=0,"",$L$45))</f>
        <v/>
      </c>
      <c r="M189" s="16"/>
      <c r="N189" s="900" t="s">
        <v>132</v>
      </c>
      <c r="O189" s="965" t="str">
        <f>IF(IF(G185=0,"",$O$45)=0,"",IF(G185=0,"",$O$45))</f>
        <v/>
      </c>
      <c r="P189" s="25">
        <f>ROUND(IF(J189="",0,(J189*L189/O189)/M153*M154),2)</f>
        <v>0</v>
      </c>
      <c r="Q189" s="942" t="s">
        <v>738</v>
      </c>
      <c r="R189" s="140">
        <f>'päd.Personal - Leitung'!$R$45</f>
        <v>2000</v>
      </c>
      <c r="S189" s="939"/>
    </row>
    <row r="190" spans="1:24" ht="14.25" customHeight="1" x14ac:dyDescent="0.2">
      <c r="D190" s="16"/>
      <c r="I190" s="16"/>
      <c r="J190" s="16"/>
      <c r="K190" s="63"/>
      <c r="L190" s="67"/>
      <c r="M190" s="915" t="s">
        <v>130</v>
      </c>
      <c r="N190" s="80" t="s">
        <v>131</v>
      </c>
      <c r="O190" s="904">
        <f>IF(IF(M155="",0,$O$46)=0,0,IF(M155="",0,$O$46))</f>
        <v>0</v>
      </c>
      <c r="P190" s="21">
        <f>ROUND(IF(G185=0,0,O190/M151*M152),2)</f>
        <v>0</v>
      </c>
      <c r="Q190" s="942" t="s">
        <v>740</v>
      </c>
      <c r="R190" s="956">
        <f>'päd.Personal - Leitung'!$R$46</f>
        <v>0.40900000000000003</v>
      </c>
    </row>
    <row r="191" spans="1:24" ht="14.25" customHeight="1" x14ac:dyDescent="0.2">
      <c r="A191" s="16"/>
      <c r="B191" s="16"/>
      <c r="I191" s="905"/>
      <c r="J191" s="961" t="s">
        <v>176</v>
      </c>
      <c r="K191" s="1312" t="str">
        <f>IF($K$47="","",$K$47)</f>
        <v/>
      </c>
      <c r="L191" s="1312"/>
      <c r="M191" s="1312"/>
      <c r="N191" s="80" t="s">
        <v>131</v>
      </c>
      <c r="O191" s="904">
        <f>IF(IF(M155="",0,$O$47)=0,0,IF(M155="",0,$O$47))</f>
        <v>0</v>
      </c>
      <c r="P191" s="21">
        <f>ROUND(IF(G185=0,0,O191/M151*M152),2)</f>
        <v>0</v>
      </c>
      <c r="Q191" s="942" t="s">
        <v>739</v>
      </c>
      <c r="R191" s="940">
        <f>'päd.Personal - Leitung'!$R$47</f>
        <v>0.68459999999999999</v>
      </c>
      <c r="S191" s="957">
        <f>'päd.Personal - Leitung'!$S$47</f>
        <v>0.28000000000000003</v>
      </c>
    </row>
    <row r="192" spans="1:24" ht="14.25" customHeight="1" x14ac:dyDescent="0.2">
      <c r="A192" s="908"/>
      <c r="B192" s="908"/>
      <c r="C192" s="1013"/>
      <c r="D192" s="1013"/>
      <c r="I192" s="913"/>
      <c r="J192" s="913"/>
      <c r="K192" s="916"/>
      <c r="L192" s="27"/>
      <c r="M192" s="27"/>
      <c r="N192" s="27"/>
      <c r="O192" s="26" t="s">
        <v>0</v>
      </c>
      <c r="P192" s="25">
        <f>P185+SUM(P187:P191)</f>
        <v>0</v>
      </c>
    </row>
    <row r="193" spans="1:19" s="10" customFormat="1" ht="13.5" customHeight="1" x14ac:dyDescent="0.2">
      <c r="A193" s="1321" t="s">
        <v>17</v>
      </c>
      <c r="B193" s="1321"/>
      <c r="C193" s="1321"/>
      <c r="D193" s="1320" t="str">
        <f>IF('päd.Personal - Leitung'!$D$1="","",'päd.Personal - Leitung'!$D$1)</f>
        <v/>
      </c>
      <c r="E193" s="1320"/>
      <c r="F193" s="1320"/>
      <c r="G193" s="1320"/>
      <c r="H193" s="1320"/>
      <c r="I193" s="1320"/>
      <c r="J193" s="1320"/>
      <c r="K193" s="1320"/>
      <c r="L193" s="1320"/>
      <c r="M193" s="1320"/>
      <c r="N193" s="1320"/>
    </row>
    <row r="194" spans="1:19" s="10" customFormat="1" ht="15" customHeight="1" x14ac:dyDescent="0.2">
      <c r="A194" s="1321" t="s">
        <v>16</v>
      </c>
      <c r="B194" s="1321"/>
      <c r="C194" s="1321" t="s">
        <v>14</v>
      </c>
      <c r="D194" s="1320" t="str">
        <f>IF('päd.Personal - Leitung'!$D$2="","",'päd.Personal - Leitung'!$D$2)</f>
        <v/>
      </c>
      <c r="E194" s="1320"/>
      <c r="F194" s="1320"/>
      <c r="G194" s="1320"/>
      <c r="H194" s="1320"/>
      <c r="I194" s="1320"/>
      <c r="J194" s="1320"/>
      <c r="K194" s="1320"/>
      <c r="L194" s="1320"/>
      <c r="M194" s="1320"/>
      <c r="N194" s="1320"/>
    </row>
    <row r="195" spans="1:19" s="10" customFormat="1" ht="15" customHeight="1" x14ac:dyDescent="0.2">
      <c r="A195" s="1321" t="s">
        <v>15</v>
      </c>
      <c r="B195" s="1321"/>
      <c r="C195" s="1321" t="s">
        <v>14</v>
      </c>
      <c r="D195" s="1320" t="str">
        <f>IF('päd.Personal - Leitung'!$D$3="","",'päd.Personal - Leitung'!$D$3)</f>
        <v/>
      </c>
      <c r="E195" s="1320"/>
      <c r="F195" s="1320"/>
      <c r="G195" s="1320"/>
      <c r="H195" s="1320"/>
      <c r="I195" s="1320"/>
      <c r="J195" s="1320"/>
      <c r="K195" s="1321" t="s">
        <v>100</v>
      </c>
      <c r="L195" s="1321"/>
      <c r="M195" s="1321"/>
      <c r="N195" s="38" t="str">
        <f>IF('päd.Personal - Leitung'!$N$3="","",'päd.Personal - Leitung'!$N$3)</f>
        <v/>
      </c>
    </row>
    <row r="196" spans="1:19" s="923" customFormat="1" ht="7.5" customHeight="1" x14ac:dyDescent="0.15">
      <c r="A196" s="1353"/>
      <c r="B196" s="1353"/>
      <c r="C196" s="1353"/>
      <c r="D196" s="1354"/>
      <c r="E196" s="1354"/>
      <c r="F196" s="1354"/>
      <c r="G196" s="1354"/>
      <c r="H196" s="1354"/>
      <c r="I196" s="1354"/>
      <c r="J196" s="1354"/>
      <c r="K196" s="922"/>
      <c r="L196" s="922"/>
      <c r="M196" s="922"/>
      <c r="N196" s="922"/>
      <c r="O196" s="922"/>
      <c r="P196" s="922"/>
    </row>
    <row r="197" spans="1:19" s="13" customFormat="1" ht="13.5" customHeight="1" x14ac:dyDescent="0.2">
      <c r="A197" s="1355" t="s">
        <v>196</v>
      </c>
      <c r="B197" s="1355"/>
      <c r="C197" s="1355"/>
      <c r="D197" s="1355"/>
      <c r="E197" s="1355"/>
      <c r="F197" s="1355"/>
      <c r="G197" s="1355"/>
      <c r="H197" s="1355"/>
      <c r="I197" s="1355"/>
      <c r="J197" s="1355"/>
      <c r="K197" s="7"/>
      <c r="L197" s="7"/>
      <c r="M197" s="7"/>
      <c r="N197" s="52"/>
      <c r="O197" s="138">
        <f>'päd.Personal - Leitung'!$O$5</f>
        <v>2025</v>
      </c>
      <c r="P197" s="52" t="s">
        <v>140</v>
      </c>
    </row>
    <row r="198" spans="1:19" s="8" customFormat="1" ht="13.5" customHeight="1" x14ac:dyDescent="0.25">
      <c r="B198" s="29"/>
      <c r="C198" s="29"/>
      <c r="D198" s="3" t="s">
        <v>34</v>
      </c>
      <c r="E198" s="28"/>
      <c r="F198" s="28"/>
      <c r="G198" s="28"/>
      <c r="H198" s="28"/>
      <c r="I198" s="24"/>
      <c r="K198" s="1327" t="s">
        <v>13</v>
      </c>
      <c r="L198" s="1327"/>
      <c r="M198" s="131"/>
      <c r="O198" s="928" t="str">
        <f>A221</f>
        <v>Jan 2025</v>
      </c>
      <c r="P198" s="1402">
        <f>IF(M200="","",M200)</f>
        <v>0</v>
      </c>
    </row>
    <row r="199" spans="1:19" s="5" customFormat="1" ht="13.5" customHeight="1" x14ac:dyDescent="0.25">
      <c r="A199" s="1328" t="s">
        <v>754</v>
      </c>
      <c r="B199" s="1328"/>
      <c r="C199" s="1328"/>
      <c r="D199" s="1329"/>
      <c r="E199" s="1329"/>
      <c r="F199" s="1329"/>
      <c r="G199" s="1329"/>
      <c r="H199" s="1329"/>
      <c r="I199" s="1329"/>
      <c r="K199" s="1327" t="s">
        <v>101</v>
      </c>
      <c r="L199" s="1327"/>
      <c r="M199" s="101"/>
      <c r="O199" s="928" t="str">
        <f t="shared" ref="O199:O209" si="32">A222</f>
        <v>Feb 2025</v>
      </c>
      <c r="P199" s="1403">
        <f t="shared" ref="P199:P206" si="33">IF(P198="","",P198)</f>
        <v>0</v>
      </c>
    </row>
    <row r="200" spans="1:19" ht="13.5" customHeight="1" x14ac:dyDescent="0.2">
      <c r="A200" s="1328" t="s">
        <v>12</v>
      </c>
      <c r="B200" s="1328"/>
      <c r="C200" s="1328"/>
      <c r="D200" s="1345"/>
      <c r="E200" s="1345"/>
      <c r="F200" s="1345"/>
      <c r="G200" s="1345"/>
      <c r="H200" s="1345"/>
      <c r="I200" s="1345"/>
      <c r="K200" s="1327" t="s">
        <v>194</v>
      </c>
      <c r="L200" s="1327"/>
      <c r="M200" s="101">
        <f>IF(M201&gt;M199,0,M199-M201)</f>
        <v>0</v>
      </c>
      <c r="O200" s="928" t="str">
        <f t="shared" si="32"/>
        <v>Mrz 2025</v>
      </c>
      <c r="P200" s="1403">
        <f t="shared" si="33"/>
        <v>0</v>
      </c>
    </row>
    <row r="201" spans="1:19" ht="13.5" customHeight="1" x14ac:dyDescent="0.2">
      <c r="A201" s="1328" t="s">
        <v>11</v>
      </c>
      <c r="B201" s="1328"/>
      <c r="C201" s="1328"/>
      <c r="D201" s="1345"/>
      <c r="E201" s="1345"/>
      <c r="F201" s="1345"/>
      <c r="G201" s="1345"/>
      <c r="H201" s="1345"/>
      <c r="I201" s="1345"/>
      <c r="K201" s="1327" t="s">
        <v>195</v>
      </c>
      <c r="L201" s="1327"/>
      <c r="M201" s="101"/>
      <c r="O201" s="928" t="str">
        <f t="shared" si="32"/>
        <v>Apr 2025</v>
      </c>
      <c r="P201" s="1403">
        <f t="shared" si="33"/>
        <v>0</v>
      </c>
    </row>
    <row r="202" spans="1:19" ht="13.5" customHeight="1" x14ac:dyDescent="0.2">
      <c r="A202" s="1328" t="s">
        <v>18</v>
      </c>
      <c r="B202" s="1328"/>
      <c r="C202" s="1328"/>
      <c r="D202" s="1345"/>
      <c r="E202" s="1345"/>
      <c r="F202" s="1345"/>
      <c r="G202" s="1345"/>
      <c r="H202" s="1345"/>
      <c r="I202" s="1345"/>
      <c r="K202" s="1327" t="s">
        <v>94</v>
      </c>
      <c r="L202" s="1327"/>
      <c r="M202" s="15" t="str">
        <f>IF(IF((COUNTIF(B221:B232,"&gt;0"))=0,0,(COUNTIF(B221:B232,"&gt;0")))&gt;Grundlagen!$C$26,Grundlagen!$C$26,IF((COUNTIF(B221:B232,"&gt;0"))=0,"",(COUNTIF(B221:B232,"&gt;0"))))</f>
        <v/>
      </c>
      <c r="O202" s="928" t="str">
        <f t="shared" si="32"/>
        <v>Mai 2025</v>
      </c>
      <c r="P202" s="1403">
        <f t="shared" si="33"/>
        <v>0</v>
      </c>
    </row>
    <row r="203" spans="1:19" ht="13.5" customHeight="1" x14ac:dyDescent="0.2">
      <c r="B203" s="6"/>
      <c r="C203" s="1012" t="s">
        <v>147</v>
      </c>
      <c r="D203" s="1324"/>
      <c r="E203" s="1324"/>
      <c r="F203" s="1359" t="s">
        <v>103</v>
      </c>
      <c r="G203" s="1359"/>
      <c r="H203" s="1361"/>
      <c r="I203" s="1361"/>
      <c r="M203" s="102" t="str">
        <f>IF((SUM(F206:F209))=0,"",IF(P210&gt;M200,M200,IF(M200="","",IF(M202="","",P210))))</f>
        <v/>
      </c>
      <c r="O203" s="928" t="str">
        <f t="shared" si="32"/>
        <v>Jun 2025</v>
      </c>
      <c r="P203" s="1403">
        <f t="shared" si="33"/>
        <v>0</v>
      </c>
    </row>
    <row r="204" spans="1:19" ht="13.5" customHeight="1" x14ac:dyDescent="0.2">
      <c r="I204" s="4"/>
      <c r="O204" s="928" t="str">
        <f t="shared" si="32"/>
        <v>Jul 2025</v>
      </c>
      <c r="P204" s="1403">
        <f t="shared" si="33"/>
        <v>0</v>
      </c>
    </row>
    <row r="205" spans="1:19" s="46" customFormat="1" ht="13.5" customHeight="1" x14ac:dyDescent="0.2">
      <c r="A205" s="54" t="s">
        <v>134</v>
      </c>
      <c r="B205" s="1356" t="s">
        <v>135</v>
      </c>
      <c r="C205" s="1356"/>
      <c r="D205" s="55" t="s">
        <v>136</v>
      </c>
      <c r="E205" s="56" t="s">
        <v>137</v>
      </c>
      <c r="F205" s="57" t="str">
        <f>CONCATENATE("Entg. ",N195," h/Wo")</f>
        <v>Entg.  h/Wo</v>
      </c>
      <c r="G205" s="58" t="s">
        <v>138</v>
      </c>
      <c r="I205" s="58" t="s">
        <v>139</v>
      </c>
      <c r="K205" s="970"/>
      <c r="L205" s="970"/>
      <c r="M205" s="59"/>
      <c r="N205" s="968" t="str">
        <f>IF(A207="","",A207)</f>
        <v/>
      </c>
      <c r="O205" s="928" t="str">
        <f t="shared" si="32"/>
        <v>Aug 2025</v>
      </c>
      <c r="P205" s="1403">
        <f t="shared" si="33"/>
        <v>0</v>
      </c>
      <c r="Q205" s="85"/>
      <c r="R205" s="85"/>
      <c r="S205" s="85"/>
    </row>
    <row r="206" spans="1:19" s="46" customFormat="1" ht="13.5" customHeight="1" x14ac:dyDescent="0.25">
      <c r="A206" s="48" t="str">
        <f>'päd.Personal - Leitung'!$A$14</f>
        <v>Jan 2025</v>
      </c>
      <c r="B206" s="1357" t="str">
        <f>IF($D$3="","",$D$3)</f>
        <v/>
      </c>
      <c r="C206" s="1358"/>
      <c r="D206" s="132"/>
      <c r="E206" s="132"/>
      <c r="F206" s="71"/>
      <c r="G206" s="50">
        <f>IF(N195="",0,F206/N195/4.348)</f>
        <v>0</v>
      </c>
      <c r="I206" s="125">
        <f>SUM(J206:M206)</f>
        <v>0</v>
      </c>
      <c r="J206" s="124"/>
      <c r="K206" s="124"/>
      <c r="L206" s="124"/>
      <c r="M206" s="124"/>
      <c r="N206" s="969"/>
      <c r="O206" s="928" t="str">
        <f t="shared" si="32"/>
        <v>Sep 2025</v>
      </c>
      <c r="P206" s="1403">
        <f t="shared" si="33"/>
        <v>0</v>
      </c>
      <c r="Q206" s="85"/>
      <c r="R206" s="85"/>
      <c r="S206" s="85"/>
    </row>
    <row r="207" spans="1:19" s="46" customFormat="1" ht="13.5" customHeight="1" x14ac:dyDescent="0.25">
      <c r="A207" s="49"/>
      <c r="B207" s="1322" t="str">
        <f>IF(A207="","",B206)</f>
        <v/>
      </c>
      <c r="C207" s="1323"/>
      <c r="D207" s="132"/>
      <c r="E207" s="132"/>
      <c r="F207" s="71"/>
      <c r="G207" s="50">
        <f>IF(N195="",0,F207/N195/4.348)</f>
        <v>0</v>
      </c>
      <c r="I207" s="125">
        <f t="shared" ref="I207:I209" si="34">SUM(J207:M207)</f>
        <v>0</v>
      </c>
      <c r="J207" s="124"/>
      <c r="K207" s="124"/>
      <c r="L207" s="124"/>
      <c r="M207" s="124"/>
      <c r="N207" s="969"/>
      <c r="O207" s="928" t="str">
        <f t="shared" si="32"/>
        <v>Okt 2025</v>
      </c>
      <c r="P207" s="1403">
        <f t="shared" ref="P207:P209" si="35">IF(P206="","",P206)</f>
        <v>0</v>
      </c>
      <c r="Q207" s="85"/>
      <c r="R207" s="85"/>
      <c r="S207" s="85"/>
    </row>
    <row r="208" spans="1:19" s="46" customFormat="1" ht="13.5" customHeight="1" x14ac:dyDescent="0.25">
      <c r="A208" s="49"/>
      <c r="B208" s="1322" t="str">
        <f>IF(A208="","",B207)</f>
        <v/>
      </c>
      <c r="C208" s="1323"/>
      <c r="D208" s="132"/>
      <c r="E208" s="132"/>
      <c r="F208" s="71"/>
      <c r="G208" s="50">
        <f>IF(N195="",0,F208/N195/4.348)</f>
        <v>0</v>
      </c>
      <c r="I208" s="125">
        <f t="shared" si="34"/>
        <v>0</v>
      </c>
      <c r="J208" s="124"/>
      <c r="K208" s="124"/>
      <c r="L208" s="124"/>
      <c r="M208" s="124"/>
      <c r="N208" s="969"/>
      <c r="O208" s="928" t="str">
        <f t="shared" si="32"/>
        <v>Nov 2025</v>
      </c>
      <c r="P208" s="1403">
        <f t="shared" si="35"/>
        <v>0</v>
      </c>
      <c r="Q208" s="85"/>
      <c r="R208" s="85"/>
      <c r="S208" s="85"/>
    </row>
    <row r="209" spans="1:22" s="46" customFormat="1" ht="13.5" customHeight="1" x14ac:dyDescent="0.25">
      <c r="A209" s="49"/>
      <c r="B209" s="1322" t="str">
        <f>IF(A209="","",B208)</f>
        <v/>
      </c>
      <c r="C209" s="1323"/>
      <c r="D209" s="132"/>
      <c r="E209" s="132"/>
      <c r="F209" s="71"/>
      <c r="G209" s="50">
        <f>IF(N195="",0,F209/N195/4.348)</f>
        <v>0</v>
      </c>
      <c r="I209" s="125">
        <f t="shared" si="34"/>
        <v>0</v>
      </c>
      <c r="J209" s="124"/>
      <c r="K209" s="124"/>
      <c r="L209" s="124"/>
      <c r="M209" s="124"/>
      <c r="N209" s="969"/>
      <c r="O209" s="928" t="str">
        <f t="shared" si="32"/>
        <v>Dez 2025</v>
      </c>
      <c r="P209" s="1403">
        <f t="shared" si="35"/>
        <v>0</v>
      </c>
      <c r="Q209" s="85"/>
      <c r="R209" s="85"/>
      <c r="S209" s="85"/>
    </row>
    <row r="210" spans="1:22" s="46" customFormat="1" ht="13.5" customHeight="1" x14ac:dyDescent="0.25">
      <c r="B210" s="972"/>
      <c r="C210" s="972"/>
      <c r="E210" s="972"/>
      <c r="F210" s="972"/>
      <c r="I210" s="930" t="s">
        <v>730</v>
      </c>
      <c r="J210" s="976"/>
      <c r="K210" s="976"/>
      <c r="L210" s="976"/>
      <c r="M210" s="976"/>
      <c r="N210" s="971"/>
      <c r="O210" s="126" t="s">
        <v>221</v>
      </c>
      <c r="P210" s="127">
        <f>IF(M202="",0,((IF(SUMIF(B221,"&gt;0"),P198,0))+(IF(SUMIF(B222,"&gt;0"),P199,0))+(IF(SUMIF(B223,"&gt;0"),P200,0))+(IF(SUMIF(B224,"&gt;0"),P201,0))+(IF(SUMIF(B225,"&gt;0"),P202,0))+(IF(SUMIF(B226,"&gt;0"),P203,0))+(IF(SUMIF(B227,"&gt;0"),P204,0))+(IF(SUMIF(B228,"&gt;0"),P205,0))+(IF(SUMIF(B229,"&gt;0"),P206,0))+(IF(SUMIF(B230,"&gt;0"),P207,0))+(IF(SUMIF(B231,"&gt;0"),P208,0))+(IF(SUMIF(B232,"&gt;0"),P209,0)))/Grundlagen!$C$26)</f>
        <v>0</v>
      </c>
      <c r="Q210" s="978" t="str">
        <f>CONCATENATE("BBG"," anteilig ",O212)</f>
        <v>BBG anteilig 2025</v>
      </c>
      <c r="R210" s="931" t="s">
        <v>659</v>
      </c>
      <c r="S210" s="931" t="s">
        <v>398</v>
      </c>
      <c r="T210" s="107"/>
    </row>
    <row r="211" spans="1:22" s="46" customFormat="1" ht="13.5" customHeight="1" x14ac:dyDescent="0.2">
      <c r="A211" s="924" t="s">
        <v>732</v>
      </c>
      <c r="D211" s="55" t="s">
        <v>369</v>
      </c>
      <c r="E211" s="56" t="s">
        <v>368</v>
      </c>
      <c r="F211" s="58"/>
      <c r="J211" s="61"/>
      <c r="Q211" s="932" t="s">
        <v>144</v>
      </c>
      <c r="R211" s="140">
        <f>IF(M200=0,R215,IF(M199="",R215,(SUM(R221:R232)/M203)))</f>
        <v>5175</v>
      </c>
      <c r="S211" s="933">
        <f>IF(M200=0,S215,IF(M199="",S215,SUM(R221:R232)))</f>
        <v>0</v>
      </c>
      <c r="T211" s="107"/>
    </row>
    <row r="212" spans="1:22" s="46" customFormat="1" ht="13.5" customHeight="1" x14ac:dyDescent="0.25">
      <c r="A212" s="60"/>
      <c r="B212" s="1314" t="str">
        <f>IF($B$20="","",$B$20)</f>
        <v>Jahressonderzahlung (JSZ)</v>
      </c>
      <c r="C212" s="1315"/>
      <c r="D212" s="926"/>
      <c r="E212" s="929" t="str">
        <f>IF(A212="","",ROUND((((SUM(B227:B229)+SUM(F227:F229))/3)*D212)/Grundlagen!$C$26*M202,2))</f>
        <v/>
      </c>
      <c r="G212" s="941" t="s">
        <v>733</v>
      </c>
      <c r="H212" s="943"/>
      <c r="I212" s="1316" t="str">
        <f>CONCATENATE(R235,":"," Übergangsbereich von ",R236+0.01," €"," bis ",R237," €")</f>
        <v>2025: Übergangsbereich von 556,01 € bis 2000 €</v>
      </c>
      <c r="J212" s="1317"/>
      <c r="K212" s="1317"/>
      <c r="L212" s="1067"/>
      <c r="M212" s="1067"/>
      <c r="N212" s="1068" t="s">
        <v>736</v>
      </c>
      <c r="O212" s="1069">
        <f>P212+1</f>
        <v>2025</v>
      </c>
      <c r="P212" s="1069" t="s">
        <v>721</v>
      </c>
      <c r="Q212" s="932" t="s">
        <v>145</v>
      </c>
      <c r="R212" s="140">
        <f>IF(M200=0,R216,IF(M199="",R216,(SUM(S221:S232)/M203)))</f>
        <v>7450</v>
      </c>
      <c r="S212" s="933">
        <f>IF(M200=0,S216,IF(M199="",S216,SUM(S221:S232)))</f>
        <v>0</v>
      </c>
      <c r="T212" s="109"/>
    </row>
    <row r="213" spans="1:22" ht="14.25" customHeight="1" x14ac:dyDescent="0.2">
      <c r="A213" s="60"/>
      <c r="B213" s="1314" t="str">
        <f>IF($B$21="","",$B$21)</f>
        <v>Leistungsentgelt (LOB)</v>
      </c>
      <c r="C213" s="1315"/>
      <c r="D213" s="926"/>
      <c r="E213" s="929" t="str">
        <f>IF(A213="","",ROUND(((B233+F233)*D213)/Grundlagen!$C$26*M202,2))</f>
        <v/>
      </c>
      <c r="G213" s="941" t="str">
        <f>IF(OR(H212="",H212="nein")=TRUE,"","Faktor (F):")</f>
        <v/>
      </c>
      <c r="H213" s="949" t="str">
        <f>IF(OR(H212="",H212="nein")=TRUE,"",IF(H212="","",R239))</f>
        <v/>
      </c>
      <c r="I213" s="1318" t="str">
        <f>IF(OR(H212="",H212="nein")=TRUE,"",IF(H213="","",CONCATENATE(S239*100,"%"," / ","(",R238*100,"%"," Gesamt-SV-Beitragssatz 2024)")))</f>
        <v/>
      </c>
      <c r="J213" s="1319"/>
      <c r="K213" s="1319"/>
      <c r="L213" s="1070"/>
      <c r="M213" s="1070"/>
      <c r="N213" s="1071" t="s">
        <v>144</v>
      </c>
      <c r="O213" s="1072">
        <f>'päd.Personal - Leitung'!$O$21</f>
        <v>5175</v>
      </c>
      <c r="P213" s="1072">
        <f>'päd.Personal - Leitung'!$P$21</f>
        <v>5175</v>
      </c>
      <c r="Q213" s="11"/>
      <c r="R213" s="11"/>
      <c r="S213" s="11"/>
      <c r="T213" s="109"/>
    </row>
    <row r="214" spans="1:22" ht="14.25" customHeight="1" x14ac:dyDescent="0.2">
      <c r="C214" s="925" t="s">
        <v>731</v>
      </c>
      <c r="L214" s="1070"/>
      <c r="M214" s="1070"/>
      <c r="N214" s="1071" t="s">
        <v>145</v>
      </c>
      <c r="O214" s="1073">
        <f>'päd.Personal - Leitung'!$O$22</f>
        <v>7450</v>
      </c>
      <c r="P214" s="1073">
        <f>'päd.Personal - Leitung'!$P$22</f>
        <v>7450</v>
      </c>
      <c r="Q214" s="978" t="str">
        <f>CONCATENATE("BBG"," ",O212)</f>
        <v>BBG 2025</v>
      </c>
      <c r="R214" s="11"/>
      <c r="S214" s="11"/>
      <c r="T214" s="109"/>
    </row>
    <row r="215" spans="1:22" ht="14.25" customHeight="1" x14ac:dyDescent="0.2">
      <c r="A215" s="53" t="s">
        <v>141</v>
      </c>
      <c r="B215" s="46"/>
      <c r="C215" s="46"/>
      <c r="D215" s="46"/>
      <c r="E215" s="46"/>
      <c r="F215" s="46"/>
      <c r="G215" s="46"/>
      <c r="H215" s="46"/>
      <c r="I215" s="46"/>
      <c r="J215" s="46"/>
      <c r="K215" s="46"/>
      <c r="L215" s="46"/>
      <c r="M215" s="46"/>
      <c r="N215" s="46"/>
      <c r="O215" s="46"/>
      <c r="P215" s="46"/>
      <c r="Q215" s="932" t="s">
        <v>144</v>
      </c>
      <c r="R215" s="141">
        <f>IF($O$21="",0,$O$21)</f>
        <v>5175</v>
      </c>
      <c r="S215" s="933">
        <f>R215*IF(M203="",0,M203)</f>
        <v>0</v>
      </c>
      <c r="T215" s="295"/>
    </row>
    <row r="216" spans="1:22" ht="14.25" customHeight="1" x14ac:dyDescent="0.2">
      <c r="A216" s="1346"/>
      <c r="B216" s="1348" t="s">
        <v>8</v>
      </c>
      <c r="C216" s="1349"/>
      <c r="D216" s="1349"/>
      <c r="E216" s="1349"/>
      <c r="F216" s="1349"/>
      <c r="G216" s="1350"/>
      <c r="H216" s="1351" t="s">
        <v>113</v>
      </c>
      <c r="I216" s="1352"/>
      <c r="J216" s="1352"/>
      <c r="K216" s="1352"/>
      <c r="L216" s="1352"/>
      <c r="M216" s="1352"/>
      <c r="N216" s="1352"/>
      <c r="O216" s="30"/>
      <c r="P216" s="1330" t="s">
        <v>0</v>
      </c>
      <c r="Q216" s="932" t="s">
        <v>145</v>
      </c>
      <c r="R216" s="141">
        <f>IF($O$22="",0,$O$22)</f>
        <v>7450</v>
      </c>
      <c r="S216" s="933">
        <f>R216*IF(M203="",0,M203)</f>
        <v>0</v>
      </c>
      <c r="T216" s="830"/>
    </row>
    <row r="217" spans="1:22" ht="14.25" customHeight="1" x14ac:dyDescent="0.2">
      <c r="A217" s="1347"/>
      <c r="B217" s="1333" t="s">
        <v>111</v>
      </c>
      <c r="C217" s="1335" t="s">
        <v>743</v>
      </c>
      <c r="D217" s="1337" t="s">
        <v>226</v>
      </c>
      <c r="E217" s="1339" t="s">
        <v>133</v>
      </c>
      <c r="F217" s="1014" t="s">
        <v>6</v>
      </c>
      <c r="G217" s="1340" t="s">
        <v>5</v>
      </c>
      <c r="H217" s="1339" t="s">
        <v>119</v>
      </c>
      <c r="I217" s="1339" t="s">
        <v>4</v>
      </c>
      <c r="J217" s="1339" t="s">
        <v>3</v>
      </c>
      <c r="K217" s="1339" t="s">
        <v>2</v>
      </c>
      <c r="L217" s="1339" t="s">
        <v>114</v>
      </c>
      <c r="M217" s="1339" t="s">
        <v>115</v>
      </c>
      <c r="N217" s="1339" t="s">
        <v>116</v>
      </c>
      <c r="O217" s="1338" t="s">
        <v>109</v>
      </c>
      <c r="P217" s="1331"/>
      <c r="Q217" s="456"/>
      <c r="R217" s="11"/>
      <c r="S217" s="11"/>
      <c r="T217" s="621"/>
    </row>
    <row r="218" spans="1:22" ht="14.25" customHeight="1" x14ac:dyDescent="0.2">
      <c r="A218" s="1347"/>
      <c r="B218" s="1333"/>
      <c r="C218" s="1335"/>
      <c r="D218" s="1338"/>
      <c r="E218" s="1339"/>
      <c r="F218" s="1343" t="str">
        <f>I210</f>
        <v>Zuschläge / Zulagen / o.ä.:</v>
      </c>
      <c r="G218" s="1340"/>
      <c r="H218" s="1342" t="s">
        <v>117</v>
      </c>
      <c r="I218" s="1342"/>
      <c r="J218" s="1342"/>
      <c r="K218" s="1342"/>
      <c r="L218" s="1342"/>
      <c r="M218" s="1342"/>
      <c r="N218" s="1342"/>
      <c r="O218" s="1338"/>
      <c r="P218" s="1331"/>
      <c r="Q218" s="456"/>
      <c r="R218" s="1306" t="str">
        <f>Q210</f>
        <v>BBG anteilig 2025</v>
      </c>
      <c r="S218" s="1306"/>
      <c r="T218" s="829"/>
    </row>
    <row r="219" spans="1:22" ht="14.25" customHeight="1" x14ac:dyDescent="0.2">
      <c r="A219" s="1347"/>
      <c r="B219" s="1333"/>
      <c r="C219" s="1335"/>
      <c r="D219" s="1338"/>
      <c r="E219" s="1339"/>
      <c r="F219" s="1343"/>
      <c r="G219" s="1340"/>
      <c r="H219" s="39" t="str">
        <f>'päd.Personal - Leitung'!$H$27</f>
        <v>(7,30% + Zusatz)</v>
      </c>
      <c r="I219" s="39" t="str">
        <f>'päd.Personal - Leitung'!$I$27</f>
        <v xml:space="preserve"> (2024: 9,30%)</v>
      </c>
      <c r="J219" s="39" t="str">
        <f>'päd.Personal - Leitung'!$J$27</f>
        <v>(2024: 1,30%)</v>
      </c>
      <c r="K219" s="39" t="str">
        <f>'päd.Personal - Leitung'!$K$27</f>
        <v>(2024: 1,700%)</v>
      </c>
      <c r="L219" s="39"/>
      <c r="M219" s="39"/>
      <c r="N219" s="39" t="str">
        <f>'päd.Personal - Leitung'!$N$27</f>
        <v>(2024: 0,06%)</v>
      </c>
      <c r="O219" s="1338"/>
      <c r="P219" s="1331"/>
      <c r="Q219" s="456"/>
      <c r="R219" s="1307" t="s">
        <v>659</v>
      </c>
      <c r="S219" s="1307"/>
      <c r="T219" s="829"/>
      <c r="U219" s="1308" t="s">
        <v>1</v>
      </c>
      <c r="V219" s="1308" t="s">
        <v>741</v>
      </c>
    </row>
    <row r="220" spans="1:22" x14ac:dyDescent="0.2">
      <c r="A220" s="1347"/>
      <c r="B220" s="1334"/>
      <c r="C220" s="1336"/>
      <c r="D220" s="45"/>
      <c r="E220" s="45"/>
      <c r="F220" s="1344"/>
      <c r="G220" s="1341"/>
      <c r="H220" s="74"/>
      <c r="I220" s="99">
        <f>'päd.Personal - Leitung'!$I$28</f>
        <v>0</v>
      </c>
      <c r="J220" s="99">
        <f>'päd.Personal - Leitung'!$J$28</f>
        <v>0</v>
      </c>
      <c r="K220" s="40">
        <f>'päd.Personal - Leitung'!$K$28</f>
        <v>0</v>
      </c>
      <c r="L220" s="19"/>
      <c r="M220" s="19"/>
      <c r="N220" s="99">
        <f>'päd.Personal - Leitung'!$N$28</f>
        <v>0</v>
      </c>
      <c r="O220" s="23"/>
      <c r="P220" s="1332"/>
      <c r="Q220" s="456"/>
      <c r="R220" s="935" t="s">
        <v>144</v>
      </c>
      <c r="S220" s="935" t="s">
        <v>145</v>
      </c>
      <c r="T220" s="829"/>
      <c r="U220" s="1308"/>
      <c r="V220" s="1308"/>
    </row>
    <row r="221" spans="1:22" x14ac:dyDescent="0.2">
      <c r="A221" s="76" t="str">
        <f>CONCATENATE("Jan ",O197)</f>
        <v>Jan 2025</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6">SUM(B221+C221+E221+F221)</f>
        <v>0</v>
      </c>
      <c r="H221" s="64">
        <f>IF(B221=0,0,IF(AND(H212="ja",((U221)&lt;R237)),ROUND(((R239*R236+((R237/(R237-R236))-(R236/(R237-R236))*R239)*((U221)-R236))*(H220*2))-(((R237/(R237-R236))*((U221)-R236))*H220),2),ROUND(IF((U221)&gt;R221,R221*H220,U221*H220),2)))</f>
        <v>0</v>
      </c>
      <c r="I221" s="64">
        <f>IF(B221=0,0,IF(AND(H212="ja",((U221)&lt;R237)),ROUND(((R239*R236+((R237/(R237-R236))-(R236/(R237-R236))*R239)*((U221)-R236))*(I220*2))-(((R237/(R237-R236))*((U221)-R236))*I220),2),ROUND(IF((U221)&gt;S221,S221*I220,U221*I220),2)))</f>
        <v>0</v>
      </c>
      <c r="J221" s="64">
        <f>IF(B221=0,0,IF(AND(H212="ja",((U221)&lt;R237)),ROUND(((R239*R236+((R237/(R237-R236))-(R236/(R237-R236))*R239)*((U221)-R236))*(J220*2))-(((R237/(R237-R236))*((U221)-R236))*J220),2),ROUND(IF((U221)&gt;S221,S221*J220,U221*J220),2)))</f>
        <v>0</v>
      </c>
      <c r="K221" s="64">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64">
        <f>IF(B221=0,0,IF(AND(H212="ja",((U221)&lt;R237)),ROUND(((R239*R236+((R237/(R237-R236))-(R236/(R237-R236))*R239)*((U221)-R236))*(N220)),2),ROUND(IF((SUM(B221:F221))&gt;S221,S221*N220,SUM(B221:F221)*N220),2)))</f>
        <v>0</v>
      </c>
      <c r="O221" s="21">
        <f>ROUND(SUM(B221+C221+F221)*O220,2)</f>
        <v>0</v>
      </c>
      <c r="P221" s="25">
        <f>SUM(G221:O221)</f>
        <v>0</v>
      </c>
      <c r="Q221" s="456"/>
      <c r="R221" s="140">
        <f>ROUND(IF(M199="",R215,R215/M199*P198),2)</f>
        <v>5175</v>
      </c>
      <c r="S221" s="140">
        <f>ROUND(IF(M199="",R216,R216/M199*P198),2)</f>
        <v>7450</v>
      </c>
      <c r="U221" s="950">
        <f>SUM(B221:F221)</f>
        <v>0</v>
      </c>
      <c r="V221" s="950">
        <f>SUM(B221:F221)</f>
        <v>0</v>
      </c>
    </row>
    <row r="222" spans="1:22" x14ac:dyDescent="0.2">
      <c r="A222" s="76" t="str">
        <f>CONCATENATE("Feb ",O197)</f>
        <v>Feb 2025</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6"/>
        <v>0</v>
      </c>
      <c r="H222" s="64">
        <f>IF(B222=0,0,IF(AND(H212="ja",((U222)&lt;R237)),ROUND(((R239*R236+((R237/(R237-R236))-(R236/(R237-R236))*R239)*((U222)-R236))*(H220*2))-(((R237/(R237-R236))*((U222)-R236))*H220),2),ROUND(IF(U221&lt;(R221),IF((V222)&gt;(SUM(R221:R222)),(((SUM(R221:R222))-(V222-C221))*H220)+((U222-C221)*H220),U222*H220),IF(V222&gt;(SUM(R221:R222)),R222*H220,U222*H220)),2)))</f>
        <v>0</v>
      </c>
      <c r="I222" s="64">
        <f>IF(B222=0,0,IF(AND(H212="ja",((U222)&lt;R237)),ROUND(((R239*R236+((R237/(R237-R236))-(R236/(R237-R236))*R239)*((U222)-R236))*(I220*2))-(((R237/(R237-R236))*((U222)-R236))*I220),2),ROUND(IF(U221&lt;(S221),IF((V222)&gt;(SUM(S221:S222)),(((SUM(S221:S222))-(V222-C221))*I220)+((U222-C221)*I220),U222*I220),IF(V222&gt;(SUM(S221:S222)),S222*I220,U222*I220)),2)))</f>
        <v>0</v>
      </c>
      <c r="J222" s="64">
        <f>IF(B222=0,0,IF(AND(H212="ja",((U222)&lt;R237)),ROUND(((R239*R236+((R237/(R237-R236))-(R236/(R237-R236))*R239)*((U222)-R236))*(J220*2))-(((R237/(R237-R236))*((U222)-R236))*J220),2),ROUND(IF(U221&lt;(S221),IF((V222)&gt;(SUM(S221:S222)),(((SUM(S221:S222))-(V222-C221))*J220)+((U222-C221)*J220),U222*J220),IF(V222&gt;(SUM(S221:S222)),S222*J220,U222*J220)),2)))</f>
        <v>0</v>
      </c>
      <c r="K222" s="64">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64">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7">SUM(G222:O222)</f>
        <v>0</v>
      </c>
      <c r="Q222" s="456"/>
      <c r="R222" s="140">
        <f>ROUND(IF(M199="",R215,R215/M199*P199),2)</f>
        <v>5175</v>
      </c>
      <c r="S222" s="140">
        <f>ROUND(IF(M199="",R216,R216/M199*P199),2)</f>
        <v>7450</v>
      </c>
      <c r="U222" s="950">
        <f t="shared" ref="U222:U232" si="38">SUM(B222:F222)</f>
        <v>0</v>
      </c>
      <c r="V222" s="950">
        <f>SUM(B221:F222)</f>
        <v>0</v>
      </c>
    </row>
    <row r="223" spans="1:22" x14ac:dyDescent="0.2">
      <c r="A223" s="76" t="str">
        <f>CONCATENATE("Mrz ",O197)</f>
        <v>Mrz 2025</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6"/>
        <v>0</v>
      </c>
      <c r="H223" s="64">
        <f>IF(B223=0,0,IF(AND(H212="ja",((U223)&lt;R237)),ROUND(((R239*R236+((R237/(R237-R236))-(R236/(R237-R236))*R239)*((U223)-R236))*(H220*2))-(((R237/(R237-R236))*((U223)-R236))*H220),2),ROUND(IF(V222&lt;(SUM(R221:R222)),IF((V223)&gt;(SUM(R221:R223)),(((SUM(R221:R223))-(V223-C222))*H220)+((U223-C222)*H220),U223*H220),IF(V223&gt;(SUM(R221:R223)),R223*H220,U223*H220)),2)))</f>
        <v>0</v>
      </c>
      <c r="I223" s="64">
        <f>IF(B223=0,0,IF(AND(H212="ja",((U223)&lt;R237)),ROUND(((R239*R236+((R237/(R237-R236))-(R236/(R237-R236))*R239)*((U223)-R236))*(I220*2))-(((R237/(R237-R236))*((U223)-R236))*I220),2),ROUND(IF(V222&lt;(SUM(S221:S222)),IF((V223)&gt;(SUM(S221:S223)),(((SUM(S221:S223))-(V223-C222))*I220)+((U223-C222)*I220),U223*I220),IF(V223&gt;(SUM(S221:S223)),S223*I220,U223*I220)),2)))</f>
        <v>0</v>
      </c>
      <c r="J223" s="64">
        <f>IF(B223=0,0,IF(AND(H212="ja",((U223)&lt;R237)),ROUND(((R239*R236+((R237/(R237-R236))-(R236/(R237-R236))*R239)*((U223)-R236))*(J220*2))-(((R237/(R237-R236))*((U223)-R236))*J220),2),ROUND(IF(V222&lt;(SUM(S221:S222)),IF((V223)&gt;(SUM(S221:S223)),(((SUM(S221:S223))-(V223-C222))*J220)+((U223-C222)*J220),U223*J220),IF(V223&gt;(SUM(S221:S223)),S223*J220,U223*J220)),2)))</f>
        <v>0</v>
      </c>
      <c r="K223" s="64">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64">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7"/>
        <v>0</v>
      </c>
      <c r="Q223" s="456"/>
      <c r="R223" s="140">
        <f>ROUND(IF(M199="",R215,R215/M199*P200),2)</f>
        <v>5175</v>
      </c>
      <c r="S223" s="140">
        <f>ROUND(IF(M199="",R216,R216/M199*P200),2)</f>
        <v>7450</v>
      </c>
      <c r="U223" s="950">
        <f t="shared" si="38"/>
        <v>0</v>
      </c>
      <c r="V223" s="950">
        <f>SUM(B221:F223)</f>
        <v>0</v>
      </c>
    </row>
    <row r="224" spans="1:22" x14ac:dyDescent="0.2">
      <c r="A224" s="76" t="str">
        <f>CONCATENATE("Apr ",O197)</f>
        <v>Apr 2025</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6"/>
        <v>0</v>
      </c>
      <c r="H224" s="64">
        <f>IF(B224=0,0,IF(AND(H212="ja",((U224)&lt;R237)),ROUND(((R239*R236+((R237/(R237-R236))-(R236/(R237-R236))*R239)*((U224)-R236))*(H220*2))-(((R237/(R237-R236))*((U224)-R236))*H220),2),ROUND(IF(V223&lt;(SUM(R221:R223)),IF((V224)&gt;(SUM(R221:R224)),(((SUM(R221:R224))-(V224-C223))*H220)+((U224-C223)*H220),U224*H220),IF(V224&gt;(SUM(R221:R224)),R224*H220,U224*H220)),2)))</f>
        <v>0</v>
      </c>
      <c r="I224" s="64">
        <f>IF(B224=0,0,IF(AND(H212="ja",((U224)&lt;R237)),ROUND(((R239*R236+((R237/(R237-R236))-(R236/(R237-R236))*R239)*((U224)-R236))*(I220*2))-(((R237/(R237-R236))*((U224)-R236))*I220),2),ROUND(IF(V223&lt;(SUM(S221:S223)),IF((V224)&gt;(SUM(S221:S224)),(((SUM(S221:S224))-(V224-C223))*I220)+((U224-C223)*I220),U224*I220),IF(V224&gt;(SUM(S221:S224)),S224*I220,U224*I220)),2)))</f>
        <v>0</v>
      </c>
      <c r="J224" s="64">
        <f>IF(B224=0,0,IF(AND(H212="ja",((U224)&lt;R237)),ROUND(((R239*R236+((R237/(R237-R236))-(R236/(R237-R236))*R239)*((U224)-R236))*(J220*2))-(((R237/(R237-R236))*((U224)-R236))*J220),2),ROUND(IF(U223&lt;(SUM(S221:S223)),IF((V224)&gt;(SUM(S221:S224)),(((SUM(S221:S224))-(V224-C223))*J220)+((U224-C223)*J220),U224*J220),IF(V224&gt;(SUM(S221:S224)),S224*J220,U224*J220)),2)))</f>
        <v>0</v>
      </c>
      <c r="K224" s="64">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64">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7"/>
        <v>0</v>
      </c>
      <c r="Q224" s="456"/>
      <c r="R224" s="140">
        <f>ROUND(IF(M199="",R215,R215/M199*P201),2)</f>
        <v>5175</v>
      </c>
      <c r="S224" s="140">
        <f>ROUND(IF(M199="",R216,R216/M199*P201),2)</f>
        <v>7450</v>
      </c>
      <c r="U224" s="950">
        <f t="shared" si="38"/>
        <v>0</v>
      </c>
      <c r="V224" s="950">
        <f>SUM(B221:F224)</f>
        <v>0</v>
      </c>
    </row>
    <row r="225" spans="1:24" x14ac:dyDescent="0.2">
      <c r="A225" s="76" t="str">
        <f>CONCATENATE("Mai ",O197)</f>
        <v>Mai 2025</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6"/>
        <v>0</v>
      </c>
      <c r="H225" s="64">
        <f>IF(B225=0,0,IF(AND(H212="ja",((U225)&lt;R237)),ROUND(((R239*R236+((R237/(R237-R236))-(R236/(R237-R236))*R239)*((U225)-R236))*(H220*2))-(((R237/(R237-R236))*((U225)-R236))*H220),2),ROUND(IF(V224&lt;(SUM(R221:R224)),IF((V225)&gt;(SUM(R221:R225)),(((SUM(R221:R225))-(V225-C224))*H220)+((U225-C224)*H220),U225*H220),IF(V225&gt;(SUM(R221:R225)),R225*H220,U225*H220)),2)))</f>
        <v>0</v>
      </c>
      <c r="I225" s="64">
        <f>IF(B225=0,0,IF(AND(H212="ja",((U225)&lt;R237)),ROUND(((R239*R236+((R237/(R237-R236))-(R236/(R237-R236))*R239)*((U225)-R236))*(I220*2))-(((R237/(R237-R236))*((U225)-R236))*I220),2),ROUND(IF(V224&lt;(SUM(S221:S224)),IF((V225)&gt;(SUM(S221:S225)),(((SUM(S221:S225))-(V225-C224))*I220)+((U225-C224)*I220),U225*I220),IF(V225&gt;(SUM(S221:S225)),S225*I220,U225*I220)),2)))</f>
        <v>0</v>
      </c>
      <c r="J225" s="64">
        <f>IF(B225=0,0,IF(AND(H212="ja",((U225)&lt;R237)),ROUND(((R239*R236+((R237/(R237-R236))-(R236/(R237-R236))*R239)*((U225)-R236))*(J220*2))-(((R237/(R237-R236))*((U225)-R236))*J220),2),ROUND(IF(V224&lt;(SUM(S221:S224)),IF((V225)&gt;(SUM(S221:S225)),(((SUM(S221:S225))-(V225-C224))*J220)+((U225-C224)*J220),U225*J220),IF(V225&gt;(SUM(S221:S225)),S225*J220,U225*J220)),2)))</f>
        <v>0</v>
      </c>
      <c r="K225" s="64">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64">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7"/>
        <v>0</v>
      </c>
      <c r="Q225" s="456"/>
      <c r="R225" s="140">
        <f>ROUND(IF(M199="",R215,R215/M199*P202),2)</f>
        <v>5175</v>
      </c>
      <c r="S225" s="140">
        <f>ROUND(IF(M199="",R216,R216/M199*P202),2)</f>
        <v>7450</v>
      </c>
      <c r="U225" s="950">
        <f t="shared" si="38"/>
        <v>0</v>
      </c>
      <c r="V225" s="950">
        <f>SUM(B221:F225)</f>
        <v>0</v>
      </c>
    </row>
    <row r="226" spans="1:24" x14ac:dyDescent="0.2">
      <c r="A226" s="76" t="str">
        <f>CONCATENATE("Jun ",O197)</f>
        <v>Jun 2025</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6"/>
        <v>0</v>
      </c>
      <c r="H226" s="64">
        <f>IF(B226=0,0,IF(AND(H212="ja",((U226)&lt;R237)),ROUND(((R239*R236+((R237/(R237-R236))-(R236/(R237-R236))*R239)*((U226)-R236))*(H220*2))-(((R237/(R237-R236))*((U226)-R236))*H220),2),ROUND(IF(V225&lt;(SUM(R221:R225)),IF((V226)&gt;(SUM(R221:R226)),(((SUM(R221:R226))-(V226-C225))*H220)+((U226-C225)*H220),U226*H220),IF(V226&gt;(SUM(R221:R226)),R226*H220,U226*H220)),2)))</f>
        <v>0</v>
      </c>
      <c r="I226" s="64">
        <f>IF(B226=0,0,IF(AND(H212="ja",((U226)&lt;R237)),ROUND(((R239*R236+((R237/(R237-R236))-(R236/(R237-R236))*R239)*((U226)-R236))*(I220*2))-(((R237/(R237-R236))*((U226)-R236))*I220),2),ROUND(IF(V225&lt;(SUM(S221:S225)),IF((V226)&gt;(SUM(S221:S226)),(((SUM(S221:S226))-(V226-C225))*I220)+((U226-C225)*I220),U226*I220),IF(V226&gt;(SUM(S221:S226)),S226*I220,U226*I220)),2)))</f>
        <v>0</v>
      </c>
      <c r="J226" s="64">
        <f>IF(B226=0,0,IF(AND(H212="ja",((U226)&lt;R237)),ROUND(((R239*R236+((R237/(R237-R236))-(R236/(R237-R236))*R239)*((U226)-R236))*(J220*2))-(((R237/(R237-R236))*((U226)-R236))*J220),2),ROUND(IF(V225&lt;(SUM(S221:S225)),IF((V226)&gt;(SUM(S221:S226)),(((SUM(S221:S226))-(V226-C225))*J220)+((U226-C225)*J220),U226*J220),IF(V226&gt;(SUM(S221:S226)),S226*J220,U226*J220)),2)))</f>
        <v>0</v>
      </c>
      <c r="K226" s="64">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64">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7"/>
        <v>0</v>
      </c>
      <c r="Q226" s="456"/>
      <c r="R226" s="140">
        <f>ROUND(IF(M199="",R215,R215/M199*P203),2)</f>
        <v>5175</v>
      </c>
      <c r="S226" s="140">
        <f>ROUND(IF(M199="",R216,R216/M199*P203),2)</f>
        <v>7450</v>
      </c>
      <c r="U226" s="950">
        <f t="shared" si="38"/>
        <v>0</v>
      </c>
      <c r="V226" s="950">
        <f>SUM(B221:F226)</f>
        <v>0</v>
      </c>
    </row>
    <row r="227" spans="1:24" x14ac:dyDescent="0.2">
      <c r="A227" s="76" t="str">
        <f>CONCATENATE("Jul ",O197)</f>
        <v>Jul 2025</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6"/>
        <v>0</v>
      </c>
      <c r="H227" s="64">
        <f>IF(B227=0,0,IF(AND(H212="ja",((U227)&lt;R237)),ROUND(((R239*R236+((R237/(R237-R236))-(R236/(R237-R236))*R239)*((U227)-R236))*(H220*2))-(((R237/(R237-R236))*((U227)-R236))*H220),2),ROUND(IF(V226&lt;(SUM(R221:R226)),IF((V227)&gt;(SUM(R221:R227)),(((SUM(R221:R227))-(V227-C226))*H220)+((U227-C226)*H220),U227*H220),IF(V227&gt;(SUM(R221:R227)),R227*H220,U227*H220)),2)))</f>
        <v>0</v>
      </c>
      <c r="I227" s="64">
        <f>IF(B227=0,0,IF(AND(H212="ja",((U227)&lt;R237)),ROUND(((R239*R236+((R237/(R237-R236))-(R236/(R237-R236))*R239)*((U227)-R236))*(I220*2))-(((R237/(R237-R236))*((U227)-R236))*I220),2),ROUND(IF(V226&lt;(SUM(S221:S226)),IF((V227)&gt;(SUM(S221:S227)),(((SUM(S221:S227))-(V227-C226))*I220)+((U227-C226)*I220),U227*I220),IF(V227&gt;(SUM(S221:S227)),S227*I220,U227*I220)),2)))</f>
        <v>0</v>
      </c>
      <c r="J227" s="64">
        <f>IF(B227=0,0,IF(AND(H212="ja",((U227)&lt;R237)),ROUND(((R239*R236+((R237/(R237-R236))-(R236/(R237-R236))*R239)*((U227)-R236))*(J220*2))-(((R237/(R237-R236))*((U227)-R236))*J220),2),ROUND(IF(V226&lt;(SUM(S221:S226)),IF((V227)&gt;(SUM(S221:S227)),(((SUM(S221:S227))-(V227-C226))*J220)+((U227-C226)*J220),U227*J220),IF(V227&gt;(SUM(S221:S227)),S227*J220,U227*J220)),2)))</f>
        <v>0</v>
      </c>
      <c r="K227" s="64">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64">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7"/>
        <v>0</v>
      </c>
      <c r="Q227" s="456"/>
      <c r="R227" s="140">
        <f>ROUND(IF(M199="",R215,R215/M199*P204),2)</f>
        <v>5175</v>
      </c>
      <c r="S227" s="140">
        <f>ROUND(IF(M199="",R216,R216/M199*P204),2)</f>
        <v>7450</v>
      </c>
      <c r="U227" s="950">
        <f t="shared" si="38"/>
        <v>0</v>
      </c>
      <c r="V227" s="950">
        <f>SUM(B221:F227)</f>
        <v>0</v>
      </c>
    </row>
    <row r="228" spans="1:24" x14ac:dyDescent="0.2">
      <c r="A228" s="76" t="str">
        <f>CONCATENATE("Aug ",O197)</f>
        <v>Aug 2025</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6"/>
        <v>0</v>
      </c>
      <c r="H228" s="64">
        <f>IF(B228=0,0,IF(AND(H212="ja",((U228)&lt;R237)),ROUND(((R239*R236+((R237/(R237-R236))-(R236/(R237-R236))*R239)*((U228)-R236))*(H220*2))-(((R237/(R237-R236))*((U228)-R236))*H220),2),ROUND(IF(V227&lt;(SUM(R221:R227)),IF((V228)&gt;(SUM(R221:R228)),(((SUM(R221:R228))-(V228-C227))*H220)+((U228-C227)*H220),U228*H220),IF(V228&gt;(SUM(R221:R228)),R228*H220,U228*H220)),2)))</f>
        <v>0</v>
      </c>
      <c r="I228" s="64">
        <f>IF(B228=0,0,IF(AND(H212="ja",((U228)&lt;R237)),ROUND(((R239*R236+((R237/(R237-R236))-(R236/(R237-R236))*R239)*((U228)-R236))*(I220*2))-(((R237/(R237-R236))*((U228)-R236))*I220),2),ROUND(IF(V227&lt;(SUM(S221:S227)),IF((V228)&gt;(SUM(S221:S228)),(((SUM(S221:S228))-(V228-C227))*I220)+((U228-C227)*I220),U228*I220),IF(V228&gt;(SUM(S221:S228)),S228*I220,U228*I220)),2)))</f>
        <v>0</v>
      </c>
      <c r="J228" s="64">
        <f>IF(B228=0,0,IF(AND(H212="ja",((U228)&lt;R237)),ROUND(((R239*R236+((R237/(R237-R236))-(R236/(R237-R236))*R239)*((U228)-R236))*(J220*2))-(((R237/(R237-R236))*((U228)-R236))*J220),2),ROUND(IF(V227&lt;(SUM(S221:S227)),IF((V228)&gt;(SUM(S221:S228)),(((SUM(S221:S228))-(V228-C227))*J220)+((U228-C227)*J220),U228*J220),IF(V228&gt;(SUM(S221:S228)),S228*J220,U228*J220)),2)))</f>
        <v>0</v>
      </c>
      <c r="K228" s="64">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64">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7"/>
        <v>0</v>
      </c>
      <c r="Q228" s="456"/>
      <c r="R228" s="140">
        <f>ROUND(IF(M199="",R215,R215/M199*P205),2)</f>
        <v>5175</v>
      </c>
      <c r="S228" s="140">
        <f>ROUND(IF(M199="",R216,R216/M199*P205),2)</f>
        <v>7450</v>
      </c>
      <c r="U228" s="950">
        <f t="shared" si="38"/>
        <v>0</v>
      </c>
      <c r="V228" s="950">
        <f>SUM(B221:F228)</f>
        <v>0</v>
      </c>
    </row>
    <row r="229" spans="1:24" x14ac:dyDescent="0.2">
      <c r="A229" s="76" t="str">
        <f>CONCATENATE("Sep ",O197)</f>
        <v>Sep 2025</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6"/>
        <v>0</v>
      </c>
      <c r="H229" s="64">
        <f>IF(B229=0,0,IF(AND(H212="ja",((U229)&lt;R237)),ROUND(((R239*R236+((R237/(R237-R236))-(R236/(R237-R236))*R239)*((U229)-R236))*(H220*2))-(((R237/(R237-R236))*((U229)-R236))*H220),2),ROUND(IF(V228&lt;(SUM(R221:R228)),IF((V229)&gt;(SUM(R221:R229)),(((SUM(R221:R229))-(V229-C228))*H220)+((U229-C228)*H220),U229*H220),IF(V229&gt;(SUM(R221:R229)),R229*H220,U229*H220)),2)))</f>
        <v>0</v>
      </c>
      <c r="I229" s="64">
        <f>IF(B229=0,0,IF(AND(H212="ja",((U229)&lt;R237)),ROUND(((R239*R236+((R237/(R237-R236))-(R236/(R237-R236))*R239)*((U229)-R236))*(I220*2))-(((R237/(R237-R236))*((U229)-R236))*I220),2),ROUND(IF(V228&lt;(SUM(S221:S228)),IF((V229)&gt;(SUM(S221:S229)),(((SUM(S221:S229))-(V229-C228))*I220)+((U229-C228)*I220),U229*I220),IF(V229&gt;(SUM(S221:S229)),S229*I220,U229*I220)),2)))</f>
        <v>0</v>
      </c>
      <c r="J229" s="64">
        <f>IF(B229=0,0,IF(AND(H212="ja",((U229)&lt;R237)),ROUND(((R239*R236+((R237/(R237-R236))-(R236/(R237-R236))*R239)*((U229)-R236))*(J220*2))-(((R237/(R237-R236))*((U229)-R236))*J220),2),ROUND(IF(V228&lt;(SUM(S221:S228)),IF((V229)&gt;(SUM(S221:S229)),(((SUM(S221:S229))-(V229-C228))*J220)+((U229-C228)*J220),U229*J220),IF(V229&gt;(SUM(S221:S229)),S229*J220,U229*J220)),2)))</f>
        <v>0</v>
      </c>
      <c r="K229" s="64">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64">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7"/>
        <v>0</v>
      </c>
      <c r="Q229" s="456"/>
      <c r="R229" s="140">
        <f>ROUND(IF(M199="",R215,R215/M199*P206),2)</f>
        <v>5175</v>
      </c>
      <c r="S229" s="140">
        <f>ROUND(IF(M199="",R216,R216/M199*P206),2)</f>
        <v>7450</v>
      </c>
      <c r="U229" s="950">
        <f t="shared" si="38"/>
        <v>0</v>
      </c>
      <c r="V229" s="950">
        <f>SUM(B221:F229)</f>
        <v>0</v>
      </c>
    </row>
    <row r="230" spans="1:24" s="12" customFormat="1" ht="15" x14ac:dyDescent="0.25">
      <c r="A230" s="76" t="str">
        <f>CONCATENATE("Okt ",O197)</f>
        <v>Okt 2025</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6"/>
        <v>0</v>
      </c>
      <c r="H230" s="64">
        <f>IF(B230=0,0,IF(AND(H212="ja",((U230)&lt;R237)),ROUND(((R239*R236+((R237/(R237-R236))-(R236/(R237-R236))*R239)*((U230)-R236))*(H220*2))-(((R237/(R237-R236))*((U230)-R236))*H220),2),ROUND(IF(V229&lt;(SUM(R221:R229)),IF((V230)&gt;(SUM(R221:R230)),(((SUM(R221:R230))-(V230-C229))*H220)+((U230-C229)*H220),U230*H220),IF(V230&gt;(SUM(R221:R230)),R230*H220,U230*H220)),2)))</f>
        <v>0</v>
      </c>
      <c r="I230" s="64">
        <f>IF(B230=0,0,IF(AND(H212="ja",((U230)&lt;R237)),ROUND(((R239*R236+((R237/(R237-R236))-(R236/(R237-R236))*R239)*((U230)-R236))*(I220*2))-(((R237/(R237-R236))*((U230)-R236))*I220),2),ROUND(IF(V229&lt;(SUM(S221:S229)),IF((V230)&gt;(SUM(S221:S230)),(((SUM(S221:S230))-(V230-C229))*I220)+((U230-C229)*I220),U230*I220),IF(V230&gt;(SUM(S221:S230)),S230*I220,U230*I220)),2)))</f>
        <v>0</v>
      </c>
      <c r="J230" s="64">
        <f>IF(B230=0,0,IF(AND(H212="ja",((U230)&lt;R237)),ROUND(((R239*R236+((R237/(R237-R236))-(R236/(R237-R236))*R239)*((U230)-R236))*(J220*2))-(((R237/(R237-R236))*((U230)-R236))*J220),2),ROUND(IF(V229&lt;(SUM(S221:S229)),IF((V230)&gt;(SUM(S221:S230)),(((SUM(S221:S230))-(V230-C229))*J220)+((U230-C229)*J220),U230*J220),IF(V230&gt;(SUM(S221:S230)),S230*J220,U230*J220)),2)))</f>
        <v>0</v>
      </c>
      <c r="K230" s="64">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64">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7"/>
        <v>0</v>
      </c>
      <c r="Q230" s="936"/>
      <c r="R230" s="140">
        <f>ROUND(IF(M199="",R215,R215/M199*P207),2)</f>
        <v>5175</v>
      </c>
      <c r="S230" s="140">
        <f>ROUND(IF(M199="",R216,R216/M199*P207),2)</f>
        <v>7450</v>
      </c>
      <c r="U230" s="950">
        <f t="shared" si="38"/>
        <v>0</v>
      </c>
      <c r="V230" s="950">
        <f>SUM(B221:F230)</f>
        <v>0</v>
      </c>
      <c r="X230" s="1"/>
    </row>
    <row r="231" spans="1:24" s="11" customFormat="1" x14ac:dyDescent="0.2">
      <c r="A231" s="76" t="str">
        <f>CONCATENATE("Nov ",O197)</f>
        <v>Nov 2025</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6"/>
        <v>0</v>
      </c>
      <c r="H231" s="64">
        <f>IF(B231=0,0,IF(AND(H212="ja",((U231)&lt;R237)),ROUND(((R239*R236+((R237/(R237-R236))-(R236/(R237-R236))*R239)*((U231)-R236))*(H220*2))-(((R237/(R237-R236))*((U231)-R236))*H220),2),ROUND(IF(V230&lt;(SUM(R221:R230)),IF((V231)&gt;(SUM(R221:R231)),(((SUM(R221:R231))-(V231-C230))*H220)+((U231-C230)*H220),U231*H220),IF(V231&gt;(SUM(R221:R231)),R231*H220,U231*H220)),2)))</f>
        <v>0</v>
      </c>
      <c r="I231" s="64">
        <f>IF(B231=0,0,IF(AND(H212="ja",((U231)&lt;R237)),ROUND(((R239*R236+((R237/(R237-R236))-(R236/(R237-R236))*R239)*((U231)-R236))*(I220*2))-(((R237/(R237-R236))*((U231)-R236))*I220),2),ROUND(IF(V230&lt;(SUM(S221:S230)),IF((V231)&gt;(SUM(S221:S231)),(((SUM(S221:S231))-(V231-C230))*I220)+((U231-C230)*I220),U231*I220),IF(V231&gt;(SUM(S221:S231)),S231*I220,U231*I220)),2)))</f>
        <v>0</v>
      </c>
      <c r="J231" s="64">
        <f>IF(B231=0,0,IF(AND(H212="ja",((U231)&lt;R237)),ROUND(((R239*R236+((R237/(R237-R236))-(R236/(R237-R236))*R239)*((U231)-R236))*(J220*2))-(((R237/(R237-R236))*((U231)-R236))*J220),2),ROUND(IF(V230&lt;(SUM(S221:S230)),IF((V231)&gt;(SUM(S221:S231)),(((SUM(S221:S231))-(V231-C230))*J220)+((U231-C230)*J220),U231*J220),IF(V231&gt;(SUM(S221:S231)),S231*J220,U231*J220)),2)))</f>
        <v>0</v>
      </c>
      <c r="K231" s="64">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64">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7"/>
        <v>0</v>
      </c>
      <c r="R231" s="140">
        <f>ROUND(IF(M199="",R215,R215/M199*P208),2)</f>
        <v>5175</v>
      </c>
      <c r="S231" s="140">
        <f>ROUND(IF(M199="",R216,R216/M199*P208),2)</f>
        <v>7450</v>
      </c>
      <c r="U231" s="950">
        <f t="shared" si="38"/>
        <v>0</v>
      </c>
      <c r="V231" s="950">
        <f>SUM(B221:F231)</f>
        <v>0</v>
      </c>
      <c r="X231" s="1"/>
    </row>
    <row r="232" spans="1:24" ht="14.25" customHeight="1" x14ac:dyDescent="0.2">
      <c r="A232" s="76" t="str">
        <f>CONCATENATE("Dez ",O197)</f>
        <v>Dez 2025</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6"/>
        <v>0</v>
      </c>
      <c r="H232" s="64">
        <f>IF(B232=0,0,IF(AND(H212="ja",((U232)&lt;R237)),ROUND(((R239*R236+((R237/(R237-R236))-(R236/(R237-R236))*R239)*((U232)-R236))*(H220*2))-(((R237/(R237-R236))*((U232)-R236))*H220),2),ROUND(IF(V231&lt;(SUM(R221:R231)),IF((V232)&gt;(SUM(R221:R232)),(((SUM(R221:R232))-(V232-C231))*H220)+((U232-C231)*H220),U232*H220),IF(V232&gt;(SUM(R221:R232)),R232*H220,U232*H220)),2)))</f>
        <v>0</v>
      </c>
      <c r="I232" s="64">
        <f>IF(B232=0,0,IF(AND(H212="ja",((U232)&lt;R237)),ROUND(((R239*R236+((R237/(R237-R236))-(R236/(R237-R236))*R239)*((U232)-R236))*(I220*2))-(((R237/(R237-R236))*((U232)-R236))*I220),2),ROUND(IF(V231&lt;(SUM(S221:S231)),IF((V232)&gt;(SUM(S221:S232)),(((SUM(S221:S232))-(V232-C231))*I220)+((U232-C231)*I220),U232*I220),IF(V232&gt;(SUM(S221:S232)),S232*I220,U232*I220)),2)))</f>
        <v>0</v>
      </c>
      <c r="J232" s="64">
        <f>IF(B232=0,0,IF(AND(H212="ja",((U232)&lt;R237)),ROUND(((R239*R236+((R237/(R237-R236))-(R236/(R237-R236))*R239)*((U232)-R236))*(J220*2))-(((R237/(R237-R236))*((U232)-R236))*J220),2),ROUND(IF(V231&lt;(SUM(S221:S231)),IF((V232)&gt;(SUM(S221:S232)),(((SUM(S221:S232))-(V232-C231))*J220)+((U232-C231)*J220),U232*J220),IF(V232&gt;(SUM(S221:S232)),S232*J220,U232*J220)),2)))</f>
        <v>0</v>
      </c>
      <c r="K232" s="64">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64">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7"/>
        <v>0</v>
      </c>
      <c r="Q232" s="11"/>
      <c r="R232" s="140">
        <f>ROUND(IF(M199="",R215,R215/M199*P209),2)</f>
        <v>5175</v>
      </c>
      <c r="S232" s="140">
        <f>ROUND(IF(M199="",R216,R216/M199*P209),2)</f>
        <v>7450</v>
      </c>
      <c r="U232" s="950">
        <f t="shared" si="38"/>
        <v>0</v>
      </c>
      <c r="V232" s="950">
        <f>SUM(B221:F232)</f>
        <v>0</v>
      </c>
    </row>
    <row r="233" spans="1:24" ht="15" customHeight="1" x14ac:dyDescent="0.2">
      <c r="A233" s="2" t="s">
        <v>1</v>
      </c>
      <c r="B233" s="25">
        <f>SUM(B221:B232)</f>
        <v>0</v>
      </c>
      <c r="C233" s="25">
        <f t="shared" ref="C233:G233" si="39">SUM(C221:C232)</f>
        <v>0</v>
      </c>
      <c r="D233" s="25">
        <f t="shared" si="39"/>
        <v>0</v>
      </c>
      <c r="E233" s="25">
        <f t="shared" si="39"/>
        <v>0</v>
      </c>
      <c r="F233" s="25">
        <f t="shared" si="39"/>
        <v>0</v>
      </c>
      <c r="G233" s="25">
        <f t="shared" si="39"/>
        <v>0</v>
      </c>
      <c r="H233" s="1309">
        <f>SUM(H221:N232)</f>
        <v>0</v>
      </c>
      <c r="I233" s="1310"/>
      <c r="J233" s="1310"/>
      <c r="K233" s="1310"/>
      <c r="L233" s="1310"/>
      <c r="M233" s="1310"/>
      <c r="N233" s="1311"/>
      <c r="O233" s="25">
        <f>SUM(O221:O232)</f>
        <v>0</v>
      </c>
      <c r="P233" s="25">
        <f>SUM(P221:P232)</f>
        <v>0</v>
      </c>
    </row>
    <row r="234" spans="1:24" ht="12" customHeight="1" x14ac:dyDescent="0.2"/>
    <row r="235" spans="1:24" ht="14.25" customHeight="1" x14ac:dyDescent="0.2">
      <c r="B235" s="906"/>
      <c r="H235" s="905"/>
      <c r="I235" s="62"/>
      <c r="J235" s="914" t="s">
        <v>123</v>
      </c>
      <c r="L235" s="900" t="s">
        <v>124</v>
      </c>
      <c r="M235" s="974" t="str">
        <f>IF(IF(G233=0,"",$M$43)=0,"",IF(G233=0,"",$M$43))</f>
        <v/>
      </c>
      <c r="N235" s="902" t="s">
        <v>125</v>
      </c>
      <c r="O235" s="963" t="str">
        <f>IF(IF(G233=0,"",$O$43)=0,"",IF(G233=0,"",$O$43))</f>
        <v/>
      </c>
      <c r="P235" s="25">
        <f>ROUND(IF(M235="",0,G233*M235*O235/1000),2)</f>
        <v>0</v>
      </c>
      <c r="Q235" s="937"/>
      <c r="R235" s="938">
        <v>2025</v>
      </c>
      <c r="S235" s="939"/>
    </row>
    <row r="236" spans="1:24" ht="14.25" customHeight="1" x14ac:dyDescent="0.2">
      <c r="H236" s="907"/>
      <c r="I236" s="42"/>
      <c r="M236" s="915" t="s">
        <v>129</v>
      </c>
      <c r="N236" s="80" t="s">
        <v>125</v>
      </c>
      <c r="O236" s="75" t="str">
        <f>IF(IF(G233=0,"",$O$44)=0,"",IF(G233=0,"",$O$44))</f>
        <v/>
      </c>
      <c r="P236" s="25">
        <f>ROUND(IF(O236="",0,G233*O236/1000),2)</f>
        <v>0</v>
      </c>
      <c r="Q236" s="942" t="s">
        <v>737</v>
      </c>
      <c r="R236" s="141">
        <f>'päd.Personal - Leitung'!$R$44</f>
        <v>556</v>
      </c>
      <c r="S236" s="955">
        <f>'päd.Personal - Leitung'!$S$44</f>
        <v>12.82</v>
      </c>
    </row>
    <row r="237" spans="1:24" ht="14.25" customHeight="1" x14ac:dyDescent="0.2">
      <c r="H237" s="912" t="s">
        <v>126</v>
      </c>
      <c r="I237" s="1013" t="s">
        <v>127</v>
      </c>
      <c r="J237" s="975" t="str">
        <f>IF(IF(G233=0,"",$J$45)=0,"",IF(G233=0,"",$J$45))</f>
        <v/>
      </c>
      <c r="K237" s="902" t="s">
        <v>128</v>
      </c>
      <c r="L237" s="964" t="str">
        <f>IF(IF(G233=0,"",$L$45)=0,"",IF(G233=0,"",$L$45))</f>
        <v/>
      </c>
      <c r="M237" s="16"/>
      <c r="N237" s="900" t="s">
        <v>132</v>
      </c>
      <c r="O237" s="965" t="str">
        <f>IF(IF(G233=0,"",$O$45)=0,"",IF(G233=0,"",$O$45))</f>
        <v/>
      </c>
      <c r="P237" s="25">
        <f>ROUND(IF(J237="",0,(J237*L237/O237)/M201*M202),2)</f>
        <v>0</v>
      </c>
      <c r="Q237" s="942" t="s">
        <v>738</v>
      </c>
      <c r="R237" s="140">
        <f>'päd.Personal - Leitung'!$R$45</f>
        <v>2000</v>
      </c>
      <c r="S237" s="939"/>
    </row>
    <row r="238" spans="1:24" ht="14.25" customHeight="1" x14ac:dyDescent="0.2">
      <c r="D238" s="16"/>
      <c r="I238" s="16"/>
      <c r="J238" s="16"/>
      <c r="K238" s="63"/>
      <c r="L238" s="67"/>
      <c r="M238" s="915" t="s">
        <v>130</v>
      </c>
      <c r="N238" s="80" t="s">
        <v>131</v>
      </c>
      <c r="O238" s="904">
        <f>IF(IF(M203="",0,$O$46)=0,0,IF(M203="",0,$O$46))</f>
        <v>0</v>
      </c>
      <c r="P238" s="21">
        <f>ROUND(IF(G233=0,0,O238/M199*M200),2)</f>
        <v>0</v>
      </c>
      <c r="Q238" s="942" t="s">
        <v>740</v>
      </c>
      <c r="R238" s="956">
        <f>'päd.Personal - Leitung'!$R$46</f>
        <v>0.40900000000000003</v>
      </c>
    </row>
    <row r="239" spans="1:24" ht="14.25" customHeight="1" x14ac:dyDescent="0.2">
      <c r="A239" s="16"/>
      <c r="B239" s="16"/>
      <c r="I239" s="905"/>
      <c r="J239" s="961" t="s">
        <v>176</v>
      </c>
      <c r="K239" s="1312" t="str">
        <f>IF($K$47="","",$K$47)</f>
        <v/>
      </c>
      <c r="L239" s="1312"/>
      <c r="M239" s="1312"/>
      <c r="N239" s="80" t="s">
        <v>131</v>
      </c>
      <c r="O239" s="904">
        <f>IF(IF(M203="",0,$O$47)=0,0,IF(M203="",0,$O$47))</f>
        <v>0</v>
      </c>
      <c r="P239" s="21">
        <f>ROUND(IF(G233=0,0,O239/M199*M200),2)</f>
        <v>0</v>
      </c>
      <c r="Q239" s="942" t="s">
        <v>739</v>
      </c>
      <c r="R239" s="940">
        <f>'päd.Personal - Leitung'!$R$47</f>
        <v>0.68459999999999999</v>
      </c>
      <c r="S239" s="957">
        <f>'päd.Personal - Leitung'!$S$47</f>
        <v>0.28000000000000003</v>
      </c>
    </row>
    <row r="240" spans="1:24" ht="14.25" customHeight="1" x14ac:dyDescent="0.2">
      <c r="A240" s="908"/>
      <c r="B240" s="908"/>
      <c r="C240" s="1013"/>
      <c r="D240" s="1013"/>
      <c r="I240" s="913"/>
      <c r="J240" s="913"/>
      <c r="K240" s="916"/>
      <c r="L240" s="27"/>
      <c r="M240" s="27"/>
      <c r="N240" s="27"/>
      <c r="O240" s="26" t="s">
        <v>0</v>
      </c>
      <c r="P240" s="25">
        <f>P233+SUM(P235:P239)</f>
        <v>0</v>
      </c>
    </row>
    <row r="241" spans="1:19" s="10" customFormat="1" ht="13.5" customHeight="1" x14ac:dyDescent="0.2">
      <c r="A241" s="1321" t="s">
        <v>17</v>
      </c>
      <c r="B241" s="1321"/>
      <c r="C241" s="1321"/>
      <c r="D241" s="1320" t="str">
        <f>IF('päd.Personal - Leitung'!$D$1="","",'päd.Personal - Leitung'!$D$1)</f>
        <v/>
      </c>
      <c r="E241" s="1320"/>
      <c r="F241" s="1320"/>
      <c r="G241" s="1320"/>
      <c r="H241" s="1320"/>
      <c r="I241" s="1320"/>
      <c r="J241" s="1320"/>
      <c r="K241" s="1320"/>
      <c r="L241" s="1320"/>
      <c r="M241" s="1320"/>
      <c r="N241" s="1320"/>
    </row>
    <row r="242" spans="1:19" s="10" customFormat="1" ht="15" customHeight="1" x14ac:dyDescent="0.2">
      <c r="A242" s="1321" t="s">
        <v>16</v>
      </c>
      <c r="B242" s="1321"/>
      <c r="C242" s="1321" t="s">
        <v>14</v>
      </c>
      <c r="D242" s="1320" t="str">
        <f>IF('päd.Personal - Leitung'!$D$2="","",'päd.Personal - Leitung'!$D$2)</f>
        <v/>
      </c>
      <c r="E242" s="1320"/>
      <c r="F242" s="1320"/>
      <c r="G242" s="1320"/>
      <c r="H242" s="1320"/>
      <c r="I242" s="1320"/>
      <c r="J242" s="1320"/>
      <c r="K242" s="1320"/>
      <c r="L242" s="1320"/>
      <c r="M242" s="1320"/>
      <c r="N242" s="1320"/>
    </row>
    <row r="243" spans="1:19" s="10" customFormat="1" ht="15" customHeight="1" x14ac:dyDescent="0.2">
      <c r="A243" s="1321" t="s">
        <v>15</v>
      </c>
      <c r="B243" s="1321"/>
      <c r="C243" s="1321" t="s">
        <v>14</v>
      </c>
      <c r="D243" s="1320" t="str">
        <f>IF('päd.Personal - Leitung'!$D$3="","",'päd.Personal - Leitung'!$D$3)</f>
        <v/>
      </c>
      <c r="E243" s="1320"/>
      <c r="F243" s="1320"/>
      <c r="G243" s="1320"/>
      <c r="H243" s="1320"/>
      <c r="I243" s="1320"/>
      <c r="J243" s="1320"/>
      <c r="K243" s="1321" t="s">
        <v>100</v>
      </c>
      <c r="L243" s="1321"/>
      <c r="M243" s="1321"/>
      <c r="N243" s="38" t="str">
        <f>IF('päd.Personal - Leitung'!$N$3="","",'päd.Personal - Leitung'!$N$3)</f>
        <v/>
      </c>
    </row>
    <row r="244" spans="1:19" s="923" customFormat="1" ht="7.5" customHeight="1" x14ac:dyDescent="0.15">
      <c r="A244" s="1353"/>
      <c r="B244" s="1353"/>
      <c r="C244" s="1353"/>
      <c r="D244" s="1354"/>
      <c r="E244" s="1354"/>
      <c r="F244" s="1354"/>
      <c r="G244" s="1354"/>
      <c r="H244" s="1354"/>
      <c r="I244" s="1354"/>
      <c r="J244" s="1354"/>
      <c r="K244" s="922"/>
      <c r="L244" s="922"/>
      <c r="M244" s="922"/>
      <c r="N244" s="922"/>
      <c r="O244" s="922"/>
      <c r="P244" s="922"/>
    </row>
    <row r="245" spans="1:19" s="13" customFormat="1" ht="13.5" customHeight="1" x14ac:dyDescent="0.2">
      <c r="A245" s="1355" t="s">
        <v>196</v>
      </c>
      <c r="B245" s="1355"/>
      <c r="C245" s="1355"/>
      <c r="D245" s="1355"/>
      <c r="E245" s="1355"/>
      <c r="F245" s="1355"/>
      <c r="G245" s="1355"/>
      <c r="H245" s="1355"/>
      <c r="I245" s="1355"/>
      <c r="J245" s="1355"/>
      <c r="K245" s="7"/>
      <c r="L245" s="7"/>
      <c r="M245" s="7"/>
      <c r="N245" s="52"/>
      <c r="O245" s="138">
        <f>'päd.Personal - Leitung'!$O$5</f>
        <v>2025</v>
      </c>
      <c r="P245" s="52" t="s">
        <v>140</v>
      </c>
    </row>
    <row r="246" spans="1:19" s="8" customFormat="1" ht="13.5" customHeight="1" x14ac:dyDescent="0.25">
      <c r="B246" s="29"/>
      <c r="C246" s="29"/>
      <c r="D246" s="3" t="s">
        <v>35</v>
      </c>
      <c r="E246" s="28"/>
      <c r="F246" s="28"/>
      <c r="G246" s="28"/>
      <c r="H246" s="28"/>
      <c r="I246" s="24"/>
      <c r="K246" s="1327" t="s">
        <v>13</v>
      </c>
      <c r="L246" s="1327"/>
      <c r="M246" s="131"/>
      <c r="O246" s="928" t="str">
        <f>A269</f>
        <v>Jan 2025</v>
      </c>
      <c r="P246" s="1402">
        <f>IF(M248="","",M248)</f>
        <v>0</v>
      </c>
    </row>
    <row r="247" spans="1:19" s="5" customFormat="1" ht="13.5" customHeight="1" x14ac:dyDescent="0.25">
      <c r="A247" s="1328" t="s">
        <v>754</v>
      </c>
      <c r="B247" s="1328"/>
      <c r="C247" s="1328"/>
      <c r="D247" s="1329"/>
      <c r="E247" s="1329"/>
      <c r="F247" s="1329"/>
      <c r="G247" s="1329"/>
      <c r="H247" s="1329"/>
      <c r="I247" s="1329"/>
      <c r="K247" s="1327" t="s">
        <v>101</v>
      </c>
      <c r="L247" s="1327"/>
      <c r="M247" s="101"/>
      <c r="O247" s="928" t="str">
        <f t="shared" ref="O247:O257" si="40">A270</f>
        <v>Feb 2025</v>
      </c>
      <c r="P247" s="1403">
        <f t="shared" ref="P247:P254" si="41">IF(P246="","",P246)</f>
        <v>0</v>
      </c>
    </row>
    <row r="248" spans="1:19" ht="13.5" customHeight="1" x14ac:dyDescent="0.2">
      <c r="A248" s="1328" t="s">
        <v>12</v>
      </c>
      <c r="B248" s="1328"/>
      <c r="C248" s="1328"/>
      <c r="D248" s="1345"/>
      <c r="E248" s="1345"/>
      <c r="F248" s="1345"/>
      <c r="G248" s="1345"/>
      <c r="H248" s="1345"/>
      <c r="I248" s="1345"/>
      <c r="K248" s="1327" t="s">
        <v>194</v>
      </c>
      <c r="L248" s="1327"/>
      <c r="M248" s="101">
        <f>IF(M249&gt;M247,0,M247-M249)</f>
        <v>0</v>
      </c>
      <c r="O248" s="928" t="str">
        <f t="shared" si="40"/>
        <v>Mrz 2025</v>
      </c>
      <c r="P248" s="1403">
        <f t="shared" si="41"/>
        <v>0</v>
      </c>
    </row>
    <row r="249" spans="1:19" ht="13.5" customHeight="1" x14ac:dyDescent="0.2">
      <c r="A249" s="1328" t="s">
        <v>11</v>
      </c>
      <c r="B249" s="1328"/>
      <c r="C249" s="1328"/>
      <c r="D249" s="1345"/>
      <c r="E249" s="1345"/>
      <c r="F249" s="1345"/>
      <c r="G249" s="1345"/>
      <c r="H249" s="1345"/>
      <c r="I249" s="1345"/>
      <c r="K249" s="1327" t="s">
        <v>195</v>
      </c>
      <c r="L249" s="1327"/>
      <c r="M249" s="101"/>
      <c r="O249" s="928" t="str">
        <f t="shared" si="40"/>
        <v>Apr 2025</v>
      </c>
      <c r="P249" s="1403">
        <f t="shared" si="41"/>
        <v>0</v>
      </c>
    </row>
    <row r="250" spans="1:19" ht="13.5" customHeight="1" x14ac:dyDescent="0.2">
      <c r="A250" s="1328" t="s">
        <v>18</v>
      </c>
      <c r="B250" s="1328"/>
      <c r="C250" s="1328"/>
      <c r="D250" s="1345"/>
      <c r="E250" s="1345"/>
      <c r="F250" s="1345"/>
      <c r="G250" s="1345"/>
      <c r="H250" s="1345"/>
      <c r="I250" s="1345"/>
      <c r="K250" s="1327" t="s">
        <v>94</v>
      </c>
      <c r="L250" s="1327"/>
      <c r="M250" s="15" t="str">
        <f>IF(IF((COUNTIF(B269:B280,"&gt;0"))=0,0,(COUNTIF(B269:B280,"&gt;0")))&gt;Grundlagen!$C$26,Grundlagen!$C$26,IF((COUNTIF(B269:B280,"&gt;0"))=0,"",(COUNTIF(B269:B280,"&gt;0"))))</f>
        <v/>
      </c>
      <c r="O250" s="928" t="str">
        <f t="shared" si="40"/>
        <v>Mai 2025</v>
      </c>
      <c r="P250" s="1403">
        <f t="shared" si="41"/>
        <v>0</v>
      </c>
    </row>
    <row r="251" spans="1:19" ht="13.5" customHeight="1" x14ac:dyDescent="0.2">
      <c r="B251" s="6"/>
      <c r="C251" s="1012" t="s">
        <v>147</v>
      </c>
      <c r="D251" s="1324"/>
      <c r="E251" s="1324"/>
      <c r="F251" s="1359" t="s">
        <v>103</v>
      </c>
      <c r="G251" s="1359"/>
      <c r="H251" s="1361"/>
      <c r="I251" s="1361"/>
      <c r="M251" s="102" t="str">
        <f>IF((SUM(F254:F257))=0,"",IF(P258&gt;M248,M248,IF(M248="","",IF(M250="","",P258))))</f>
        <v/>
      </c>
      <c r="O251" s="928" t="str">
        <f t="shared" si="40"/>
        <v>Jun 2025</v>
      </c>
      <c r="P251" s="1403">
        <f t="shared" si="41"/>
        <v>0</v>
      </c>
    </row>
    <row r="252" spans="1:19" ht="13.5" customHeight="1" x14ac:dyDescent="0.2">
      <c r="I252" s="4"/>
      <c r="O252" s="928" t="str">
        <f t="shared" si="40"/>
        <v>Jul 2025</v>
      </c>
      <c r="P252" s="1403">
        <f t="shared" si="41"/>
        <v>0</v>
      </c>
    </row>
    <row r="253" spans="1:19" s="46" customFormat="1" ht="13.5" customHeight="1" x14ac:dyDescent="0.2">
      <c r="A253" s="54" t="s">
        <v>134</v>
      </c>
      <c r="B253" s="1356" t="s">
        <v>135</v>
      </c>
      <c r="C253" s="1356"/>
      <c r="D253" s="55" t="s">
        <v>136</v>
      </c>
      <c r="E253" s="56" t="s">
        <v>137</v>
      </c>
      <c r="F253" s="57" t="str">
        <f>CONCATENATE("Entg. ",N243," h/Wo")</f>
        <v>Entg.  h/Wo</v>
      </c>
      <c r="G253" s="58" t="s">
        <v>138</v>
      </c>
      <c r="I253" s="58" t="s">
        <v>139</v>
      </c>
      <c r="K253" s="970"/>
      <c r="L253" s="970"/>
      <c r="M253" s="59"/>
      <c r="N253" s="968" t="str">
        <f>IF(A255="","",A255)</f>
        <v/>
      </c>
      <c r="O253" s="928" t="str">
        <f t="shared" si="40"/>
        <v>Aug 2025</v>
      </c>
      <c r="P253" s="1403">
        <f t="shared" si="41"/>
        <v>0</v>
      </c>
      <c r="Q253" s="85"/>
      <c r="R253" s="85"/>
      <c r="S253" s="85"/>
    </row>
    <row r="254" spans="1:19" s="46" customFormat="1" ht="13.5" customHeight="1" x14ac:dyDescent="0.25">
      <c r="A254" s="48" t="str">
        <f>'päd.Personal - Leitung'!$A$14</f>
        <v>Jan 2025</v>
      </c>
      <c r="B254" s="1357" t="str">
        <f>IF($D$3="","",$D$3)</f>
        <v/>
      </c>
      <c r="C254" s="1358"/>
      <c r="D254" s="132"/>
      <c r="E254" s="132"/>
      <c r="F254" s="71"/>
      <c r="G254" s="50">
        <f>IF(N243="",0,F254/N243/4.348)</f>
        <v>0</v>
      </c>
      <c r="I254" s="125">
        <f>SUM(J254:M254)</f>
        <v>0</v>
      </c>
      <c r="J254" s="124"/>
      <c r="K254" s="124"/>
      <c r="L254" s="124"/>
      <c r="M254" s="124"/>
      <c r="N254" s="969"/>
      <c r="O254" s="928" t="str">
        <f t="shared" si="40"/>
        <v>Sep 2025</v>
      </c>
      <c r="P254" s="1403">
        <f t="shared" si="41"/>
        <v>0</v>
      </c>
      <c r="Q254" s="85"/>
      <c r="R254" s="85"/>
      <c r="S254" s="85"/>
    </row>
    <row r="255" spans="1:19" s="46" customFormat="1" ht="13.5" customHeight="1" x14ac:dyDescent="0.25">
      <c r="A255" s="49"/>
      <c r="B255" s="1322" t="str">
        <f>IF(A255="","",B254)</f>
        <v/>
      </c>
      <c r="C255" s="1323"/>
      <c r="D255" s="132"/>
      <c r="E255" s="132"/>
      <c r="F255" s="71"/>
      <c r="G255" s="50">
        <f>IF(N243="",0,F255/N243/4.348)</f>
        <v>0</v>
      </c>
      <c r="I255" s="125">
        <f t="shared" ref="I255:I257" si="42">SUM(J255:M255)</f>
        <v>0</v>
      </c>
      <c r="J255" s="124"/>
      <c r="K255" s="124"/>
      <c r="L255" s="124"/>
      <c r="M255" s="124"/>
      <c r="N255" s="969"/>
      <c r="O255" s="928" t="str">
        <f t="shared" si="40"/>
        <v>Okt 2025</v>
      </c>
      <c r="P255" s="1403">
        <f t="shared" ref="P255:P257" si="43">IF(P254="","",P254)</f>
        <v>0</v>
      </c>
      <c r="Q255" s="85"/>
      <c r="R255" s="85"/>
      <c r="S255" s="85"/>
    </row>
    <row r="256" spans="1:19" s="46" customFormat="1" ht="13.5" customHeight="1" x14ac:dyDescent="0.25">
      <c r="A256" s="49"/>
      <c r="B256" s="1322" t="str">
        <f>IF(A256="","",B255)</f>
        <v/>
      </c>
      <c r="C256" s="1323"/>
      <c r="D256" s="132"/>
      <c r="E256" s="132"/>
      <c r="F256" s="71"/>
      <c r="G256" s="50">
        <f>IF(N243="",0,F256/N243/4.348)</f>
        <v>0</v>
      </c>
      <c r="I256" s="125">
        <f t="shared" si="42"/>
        <v>0</v>
      </c>
      <c r="J256" s="124"/>
      <c r="K256" s="124"/>
      <c r="L256" s="124"/>
      <c r="M256" s="124"/>
      <c r="N256" s="969"/>
      <c r="O256" s="928" t="str">
        <f t="shared" si="40"/>
        <v>Nov 2025</v>
      </c>
      <c r="P256" s="1403">
        <f t="shared" si="43"/>
        <v>0</v>
      </c>
      <c r="Q256" s="85"/>
      <c r="R256" s="85"/>
      <c r="S256" s="85"/>
    </row>
    <row r="257" spans="1:22" s="46" customFormat="1" ht="13.5" customHeight="1" x14ac:dyDescent="0.25">
      <c r="A257" s="49"/>
      <c r="B257" s="1322" t="str">
        <f>IF(A257="","",B256)</f>
        <v/>
      </c>
      <c r="C257" s="1323"/>
      <c r="D257" s="132"/>
      <c r="E257" s="132"/>
      <c r="F257" s="71"/>
      <c r="G257" s="50">
        <f>IF(N243="",0,F257/N243/4.348)</f>
        <v>0</v>
      </c>
      <c r="I257" s="125">
        <f t="shared" si="42"/>
        <v>0</v>
      </c>
      <c r="J257" s="124"/>
      <c r="K257" s="124"/>
      <c r="L257" s="124"/>
      <c r="M257" s="124"/>
      <c r="N257" s="969"/>
      <c r="O257" s="928" t="str">
        <f t="shared" si="40"/>
        <v>Dez 2025</v>
      </c>
      <c r="P257" s="1403">
        <f t="shared" si="43"/>
        <v>0</v>
      </c>
      <c r="Q257" s="85"/>
      <c r="R257" s="85"/>
      <c r="S257" s="85"/>
    </row>
    <row r="258" spans="1:22" s="46" customFormat="1" ht="13.5" customHeight="1" x14ac:dyDescent="0.25">
      <c r="B258" s="972"/>
      <c r="C258" s="972"/>
      <c r="E258" s="972"/>
      <c r="F258" s="972"/>
      <c r="I258" s="930" t="s">
        <v>730</v>
      </c>
      <c r="J258" s="976"/>
      <c r="K258" s="976"/>
      <c r="L258" s="976"/>
      <c r="M258" s="976"/>
      <c r="N258" s="971"/>
      <c r="O258" s="126" t="s">
        <v>221</v>
      </c>
      <c r="P258" s="127">
        <f>IF(M250="",0,((IF(SUMIF(B269,"&gt;0"),P246,0))+(IF(SUMIF(B270,"&gt;0"),P247,0))+(IF(SUMIF(B271,"&gt;0"),P248,0))+(IF(SUMIF(B272,"&gt;0"),P249,0))+(IF(SUMIF(B273,"&gt;0"),P250,0))+(IF(SUMIF(B274,"&gt;0"),P251,0))+(IF(SUMIF(B275,"&gt;0"),P252,0))+(IF(SUMIF(B276,"&gt;0"),P253,0))+(IF(SUMIF(B277,"&gt;0"),P254,0))+(IF(SUMIF(B278,"&gt;0"),P255,0))+(IF(SUMIF(B279,"&gt;0"),P256,0))+(IF(SUMIF(B280,"&gt;0"),P257,0)))/Grundlagen!$C$26)</f>
        <v>0</v>
      </c>
      <c r="Q258" s="978" t="str">
        <f>CONCATENATE("BBG"," anteilig ",O260)</f>
        <v>BBG anteilig 2025</v>
      </c>
      <c r="R258" s="931" t="s">
        <v>659</v>
      </c>
      <c r="S258" s="931" t="s">
        <v>398</v>
      </c>
      <c r="T258" s="107"/>
    </row>
    <row r="259" spans="1:22" s="46" customFormat="1" ht="13.5" customHeight="1" x14ac:dyDescent="0.2">
      <c r="A259" s="924" t="s">
        <v>732</v>
      </c>
      <c r="D259" s="55" t="s">
        <v>369</v>
      </c>
      <c r="E259" s="56" t="s">
        <v>368</v>
      </c>
      <c r="F259" s="58"/>
      <c r="J259" s="61"/>
      <c r="Q259" s="932" t="s">
        <v>144</v>
      </c>
      <c r="R259" s="140">
        <f>IF(M248=0,R263,IF(M247="",R263,(SUM(R269:R280)/M251)))</f>
        <v>5175</v>
      </c>
      <c r="S259" s="933">
        <f>IF(M248=0,S263,IF(M247="",S263,SUM(R269:R280)))</f>
        <v>0</v>
      </c>
      <c r="T259" s="107"/>
    </row>
    <row r="260" spans="1:22" s="46" customFormat="1" ht="13.5" customHeight="1" x14ac:dyDescent="0.25">
      <c r="A260" s="60"/>
      <c r="B260" s="1314" t="str">
        <f>IF($B$20="","",$B$20)</f>
        <v>Jahressonderzahlung (JSZ)</v>
      </c>
      <c r="C260" s="1315"/>
      <c r="D260" s="926"/>
      <c r="E260" s="929" t="str">
        <f>IF(A260="","",ROUND((((SUM(B275:B277)+SUM(F275:F277))/3)*D260)/Grundlagen!$C$26*M250,2))</f>
        <v/>
      </c>
      <c r="G260" s="941" t="s">
        <v>733</v>
      </c>
      <c r="H260" s="943"/>
      <c r="I260" s="1316" t="str">
        <f>CONCATENATE(R283,":"," Übergangsbereich von ",R284+0.01," €"," bis ",R285," €")</f>
        <v>2025: Übergangsbereich von 556,01 € bis 2000 €</v>
      </c>
      <c r="J260" s="1317"/>
      <c r="K260" s="1317"/>
      <c r="L260" s="1067"/>
      <c r="M260" s="1067"/>
      <c r="N260" s="1068" t="s">
        <v>736</v>
      </c>
      <c r="O260" s="1069">
        <f>P260+1</f>
        <v>2025</v>
      </c>
      <c r="P260" s="1069" t="s">
        <v>721</v>
      </c>
      <c r="Q260" s="932" t="s">
        <v>145</v>
      </c>
      <c r="R260" s="140">
        <f>IF(M248=0,R264,IF(M247="",R264,(SUM(S269:S280)/M251)))</f>
        <v>7450</v>
      </c>
      <c r="S260" s="933">
        <f>IF(M248=0,S264,IF(M247="",S264,SUM(S269:S280)))</f>
        <v>0</v>
      </c>
      <c r="T260" s="109"/>
    </row>
    <row r="261" spans="1:22" ht="14.25" customHeight="1" x14ac:dyDescent="0.2">
      <c r="A261" s="60"/>
      <c r="B261" s="1314" t="str">
        <f>IF($B$21="","",$B$21)</f>
        <v>Leistungsentgelt (LOB)</v>
      </c>
      <c r="C261" s="1315"/>
      <c r="D261" s="926"/>
      <c r="E261" s="929" t="str">
        <f>IF(A261="","",ROUND(((B281+F281)*D261)/Grundlagen!$C$26*M250,2))</f>
        <v/>
      </c>
      <c r="G261" s="941" t="str">
        <f>IF(OR(H260="",H260="nein")=TRUE,"","Faktor (F):")</f>
        <v/>
      </c>
      <c r="H261" s="949" t="str">
        <f>IF(OR(H260="",H260="nein")=TRUE,"",IF(H260="","",R287))</f>
        <v/>
      </c>
      <c r="I261" s="1318" t="str">
        <f>IF(OR(H260="",H260="nein")=TRUE,"",IF(H261="","",CONCATENATE(S287*100,"%"," / ","(",R286*100,"%"," Gesamt-SV-Beitragssatz 2024)")))</f>
        <v/>
      </c>
      <c r="J261" s="1319"/>
      <c r="K261" s="1319"/>
      <c r="L261" s="1070"/>
      <c r="M261" s="1070"/>
      <c r="N261" s="1071" t="s">
        <v>144</v>
      </c>
      <c r="O261" s="1072">
        <f>'päd.Personal - Leitung'!$O$21</f>
        <v>5175</v>
      </c>
      <c r="P261" s="1072">
        <f>'päd.Personal - Leitung'!$P$21</f>
        <v>5175</v>
      </c>
      <c r="Q261" s="11"/>
      <c r="R261" s="11"/>
      <c r="S261" s="11"/>
      <c r="T261" s="109"/>
    </row>
    <row r="262" spans="1:22" ht="14.25" customHeight="1" x14ac:dyDescent="0.2">
      <c r="C262" s="925" t="s">
        <v>731</v>
      </c>
      <c r="L262" s="1070"/>
      <c r="M262" s="1070"/>
      <c r="N262" s="1071" t="s">
        <v>145</v>
      </c>
      <c r="O262" s="1073">
        <f>'päd.Personal - Leitung'!$O$22</f>
        <v>7450</v>
      </c>
      <c r="P262" s="1073">
        <f>'päd.Personal - Leitung'!$P$22</f>
        <v>7450</v>
      </c>
      <c r="Q262" s="978" t="str">
        <f>CONCATENATE("BBG"," ",O260)</f>
        <v>BBG 2025</v>
      </c>
      <c r="R262" s="11"/>
      <c r="S262" s="11"/>
      <c r="T262" s="109"/>
    </row>
    <row r="263" spans="1:22" ht="14.25" customHeight="1" x14ac:dyDescent="0.2">
      <c r="A263" s="53" t="s">
        <v>141</v>
      </c>
      <c r="B263" s="46"/>
      <c r="C263" s="46"/>
      <c r="D263" s="46"/>
      <c r="E263" s="46"/>
      <c r="F263" s="46"/>
      <c r="G263" s="46"/>
      <c r="H263" s="46"/>
      <c r="I263" s="46"/>
      <c r="J263" s="46"/>
      <c r="K263" s="46"/>
      <c r="L263" s="46"/>
      <c r="M263" s="46"/>
      <c r="N263" s="46"/>
      <c r="O263" s="46"/>
      <c r="P263" s="46"/>
      <c r="Q263" s="932" t="s">
        <v>144</v>
      </c>
      <c r="R263" s="141">
        <f>IF($O$21="",0,$O$21)</f>
        <v>5175</v>
      </c>
      <c r="S263" s="933">
        <f>R263*IF(M251="",0,M251)</f>
        <v>0</v>
      </c>
      <c r="T263" s="295"/>
    </row>
    <row r="264" spans="1:22" ht="14.25" customHeight="1" x14ac:dyDescent="0.2">
      <c r="A264" s="1346"/>
      <c r="B264" s="1348" t="s">
        <v>8</v>
      </c>
      <c r="C264" s="1349"/>
      <c r="D264" s="1349"/>
      <c r="E264" s="1349"/>
      <c r="F264" s="1349"/>
      <c r="G264" s="1350"/>
      <c r="H264" s="1351" t="s">
        <v>113</v>
      </c>
      <c r="I264" s="1352"/>
      <c r="J264" s="1352"/>
      <c r="K264" s="1352"/>
      <c r="L264" s="1352"/>
      <c r="M264" s="1352"/>
      <c r="N264" s="1352"/>
      <c r="O264" s="30"/>
      <c r="P264" s="1330" t="s">
        <v>0</v>
      </c>
      <c r="Q264" s="932" t="s">
        <v>145</v>
      </c>
      <c r="R264" s="141">
        <f>IF($O$22="",0,$O$22)</f>
        <v>7450</v>
      </c>
      <c r="S264" s="933">
        <f>R264*IF(M251="",0,M251)</f>
        <v>0</v>
      </c>
      <c r="T264" s="830"/>
    </row>
    <row r="265" spans="1:22" ht="14.25" customHeight="1" x14ac:dyDescent="0.2">
      <c r="A265" s="1347"/>
      <c r="B265" s="1333" t="s">
        <v>111</v>
      </c>
      <c r="C265" s="1335" t="s">
        <v>743</v>
      </c>
      <c r="D265" s="1337" t="s">
        <v>226</v>
      </c>
      <c r="E265" s="1339" t="s">
        <v>133</v>
      </c>
      <c r="F265" s="1014" t="s">
        <v>6</v>
      </c>
      <c r="G265" s="1340" t="s">
        <v>5</v>
      </c>
      <c r="H265" s="1339" t="s">
        <v>119</v>
      </c>
      <c r="I265" s="1339" t="s">
        <v>4</v>
      </c>
      <c r="J265" s="1339" t="s">
        <v>3</v>
      </c>
      <c r="K265" s="1339" t="s">
        <v>2</v>
      </c>
      <c r="L265" s="1339" t="s">
        <v>114</v>
      </c>
      <c r="M265" s="1339" t="s">
        <v>115</v>
      </c>
      <c r="N265" s="1339" t="s">
        <v>116</v>
      </c>
      <c r="O265" s="1338" t="s">
        <v>109</v>
      </c>
      <c r="P265" s="1331"/>
      <c r="Q265" s="456"/>
      <c r="R265" s="11"/>
      <c r="S265" s="11"/>
      <c r="T265" s="621"/>
    </row>
    <row r="266" spans="1:22" ht="14.25" customHeight="1" x14ac:dyDescent="0.2">
      <c r="A266" s="1347"/>
      <c r="B266" s="1333"/>
      <c r="C266" s="1335"/>
      <c r="D266" s="1338"/>
      <c r="E266" s="1339"/>
      <c r="F266" s="1343" t="str">
        <f>I258</f>
        <v>Zuschläge / Zulagen / o.ä.:</v>
      </c>
      <c r="G266" s="1340"/>
      <c r="H266" s="1342" t="s">
        <v>117</v>
      </c>
      <c r="I266" s="1342"/>
      <c r="J266" s="1342"/>
      <c r="K266" s="1342"/>
      <c r="L266" s="1342"/>
      <c r="M266" s="1342"/>
      <c r="N266" s="1342"/>
      <c r="O266" s="1338"/>
      <c r="P266" s="1331"/>
      <c r="Q266" s="456"/>
      <c r="R266" s="1306" t="str">
        <f>Q258</f>
        <v>BBG anteilig 2025</v>
      </c>
      <c r="S266" s="1306"/>
      <c r="T266" s="829"/>
    </row>
    <row r="267" spans="1:22" ht="14.25" customHeight="1" x14ac:dyDescent="0.2">
      <c r="A267" s="1347"/>
      <c r="B267" s="1333"/>
      <c r="C267" s="1335"/>
      <c r="D267" s="1338"/>
      <c r="E267" s="1339"/>
      <c r="F267" s="1343"/>
      <c r="G267" s="1340"/>
      <c r="H267" s="39" t="str">
        <f>'päd.Personal - Leitung'!$H$27</f>
        <v>(7,30% + Zusatz)</v>
      </c>
      <c r="I267" s="39" t="str">
        <f>'päd.Personal - Leitung'!$I$27</f>
        <v xml:space="preserve"> (2024: 9,30%)</v>
      </c>
      <c r="J267" s="39" t="str">
        <f>'päd.Personal - Leitung'!$J$27</f>
        <v>(2024: 1,30%)</v>
      </c>
      <c r="K267" s="39" t="str">
        <f>'päd.Personal - Leitung'!$K$27</f>
        <v>(2024: 1,700%)</v>
      </c>
      <c r="L267" s="39"/>
      <c r="M267" s="39"/>
      <c r="N267" s="39" t="str">
        <f>'päd.Personal - Leitung'!$N$27</f>
        <v>(2024: 0,06%)</v>
      </c>
      <c r="O267" s="1338"/>
      <c r="P267" s="1331"/>
      <c r="Q267" s="456"/>
      <c r="R267" s="1307" t="s">
        <v>659</v>
      </c>
      <c r="S267" s="1307"/>
      <c r="T267" s="829"/>
      <c r="U267" s="1308" t="s">
        <v>1</v>
      </c>
      <c r="V267" s="1308" t="s">
        <v>741</v>
      </c>
    </row>
    <row r="268" spans="1:22" x14ac:dyDescent="0.2">
      <c r="A268" s="1347"/>
      <c r="B268" s="1334"/>
      <c r="C268" s="1336"/>
      <c r="D268" s="45"/>
      <c r="E268" s="45"/>
      <c r="F268" s="1344"/>
      <c r="G268" s="1341"/>
      <c r="H268" s="74"/>
      <c r="I268" s="99">
        <f>'päd.Personal - Leitung'!$I$28</f>
        <v>0</v>
      </c>
      <c r="J268" s="99">
        <f>'päd.Personal - Leitung'!$J$28</f>
        <v>0</v>
      </c>
      <c r="K268" s="40">
        <f>'päd.Personal - Leitung'!$K$28</f>
        <v>0</v>
      </c>
      <c r="L268" s="19"/>
      <c r="M268" s="19"/>
      <c r="N268" s="99">
        <f>'päd.Personal - Leitung'!$N$28</f>
        <v>0</v>
      </c>
      <c r="O268" s="23"/>
      <c r="P268" s="1332"/>
      <c r="Q268" s="456"/>
      <c r="R268" s="935" t="s">
        <v>144</v>
      </c>
      <c r="S268" s="935" t="s">
        <v>145</v>
      </c>
      <c r="T268" s="829"/>
      <c r="U268" s="1308"/>
      <c r="V268" s="1308"/>
    </row>
    <row r="269" spans="1:22" x14ac:dyDescent="0.2">
      <c r="A269" s="76" t="str">
        <f>CONCATENATE("Jan ",O245)</f>
        <v>Jan 2025</v>
      </c>
      <c r="B269" s="22">
        <f>ROUND(IF(P246=0,0,(LOOKUP(2,1/(A254:A257=A269),G254:G257))*P246*4.348),2)</f>
        <v>0</v>
      </c>
      <c r="C269" s="21">
        <f>ROUND(IFERROR((LOOKUP(2,1/(A260=A269),E260)),0)+IFERROR((LOOKUP(2,1/(A261=A269),E261)),0),2)</f>
        <v>0</v>
      </c>
      <c r="D269" s="21">
        <f>ROUND(IF(B269=0,0,D268/M247*P246),2)</f>
        <v>0</v>
      </c>
      <c r="E269" s="21">
        <f>ROUND(IF(B269=0,0,E268/N243*P246),2)</f>
        <v>0</v>
      </c>
      <c r="F269" s="22">
        <f>ROUND(IF(P246=0,0,(LOOKUP(2,1/(A254:A257=A269),I254:I257))/N243*P246),2)</f>
        <v>0</v>
      </c>
      <c r="G269" s="25">
        <f t="shared" ref="G269:G280" si="44">SUM(B269+C269+E269+F269)</f>
        <v>0</v>
      </c>
      <c r="H269" s="64">
        <f>IF(B269=0,0,IF(AND(H260="ja",((U269)&lt;R285)),ROUND(((R287*R284+((R285/(R285-R284))-(R284/(R285-R284))*R287)*((U269)-R284))*(H268*2))-(((R285/(R285-R284))*((U269)-R284))*H268),2),ROUND(IF((U269)&gt;R269,R269*H268,U269*H268),2)))</f>
        <v>0</v>
      </c>
      <c r="I269" s="64">
        <f>IF(B269=0,0,IF(AND(H260="ja",((U269)&lt;R285)),ROUND(((R287*R284+((R285/(R285-R284))-(R284/(R285-R284))*R287)*((U269)-R284))*(I268*2))-(((R285/(R285-R284))*((U269)-R284))*I268),2),ROUND(IF((U269)&gt;S269,S269*I268,U269*I268),2)))</f>
        <v>0</v>
      </c>
      <c r="J269" s="64">
        <f>IF(B269=0,0,IF(AND(H260="ja",((U269)&lt;R285)),ROUND(((R287*R284+((R285/(R285-R284))-(R284/(R285-R284))*R287)*((U269)-R284))*(J268*2))-(((R285/(R285-R284))*((U269)-R284))*J268),2),ROUND(IF((U269)&gt;S269,S269*J268,U269*J268),2)))</f>
        <v>0</v>
      </c>
      <c r="K269" s="64">
        <f>IF(B269=0,0,IF(AND(H260="ja",((U269)&lt;R285)),ROUND(((R287*R284+((R285/(R285-R284))-(R284/(R285-R284))*R287)*((U269)-R284))*(K268*2))-(((R285/(R285-R284))*((U269)-R284))*K268),2),ROUND(IF((U269)&gt;R269,R269*K268,U269*K268),2)))</f>
        <v>0</v>
      </c>
      <c r="L269" s="64">
        <f>IF(B269=0,0,IF(AND(H260="ja",((U269-C269)&lt;R285)),ROUND(((R287*R284+((R285/(R285-R284))-(R284/(R285-R284))*R287)*((U269-C269)-R284))*(L268)),2),ROUND(IF((SUM(B269:F269))&gt;S269,S269*L268,(SUM(B269:F269)-C269)*L268),2)))</f>
        <v>0</v>
      </c>
      <c r="M269" s="64">
        <f>IF(B269=0,0,IF(AND(H260="ja",((U269-C269)&lt;R285)),ROUND(((R287*R284+((R285/(R285-R284))-(R284/(R285-R284))*R287)*((U269-C269)-R284))*(M268)),2),ROUND(IF((SUM(B269:F269))&gt;S269,S269*M268,(SUM(B269:F269)-C269)*M268),2)))</f>
        <v>0</v>
      </c>
      <c r="N269" s="64">
        <f>IF(B269=0,0,IF(AND(H260="ja",((U269)&lt;R285)),ROUND(((R287*R284+((R285/(R285-R284))-(R284/(R285-R284))*R287)*((U269)-R284))*(N268)),2),ROUND(IF((SUM(B269:F269))&gt;S269,S269*N268,SUM(B269:F269)*N268),2)))</f>
        <v>0</v>
      </c>
      <c r="O269" s="21">
        <f>ROUND(SUM(B269+C269+F269)*O268,2)</f>
        <v>0</v>
      </c>
      <c r="P269" s="25">
        <f>SUM(G269:O269)</f>
        <v>0</v>
      </c>
      <c r="Q269" s="456"/>
      <c r="R269" s="140">
        <f>ROUND(IF(M247="",R263,R263/M247*P246),2)</f>
        <v>5175</v>
      </c>
      <c r="S269" s="140">
        <f>ROUND(IF(M247="",R264,R264/M247*P246),2)</f>
        <v>7450</v>
      </c>
      <c r="U269" s="950">
        <f>SUM(B269:F269)</f>
        <v>0</v>
      </c>
      <c r="V269" s="950">
        <f>SUM(B269:F269)</f>
        <v>0</v>
      </c>
    </row>
    <row r="270" spans="1:22" x14ac:dyDescent="0.2">
      <c r="A270" s="76" t="str">
        <f>CONCATENATE("Feb ",O245)</f>
        <v>Feb 2025</v>
      </c>
      <c r="B270" s="22">
        <f>ROUND(IF(P247=0,0,IFERROR(((LOOKUP(2,1/(A254:A257=A270),G254:G257))*P247*4.348),B269/P246*P247)),2)</f>
        <v>0</v>
      </c>
      <c r="C270" s="21">
        <f>ROUND(IFERROR((LOOKUP(2,1/(A260=A270),E260)),0)+IFERROR((LOOKUP(2,1/(A261=A270),E261)),0),2)</f>
        <v>0</v>
      </c>
      <c r="D270" s="21">
        <f>ROUND(IF(B270=0,0,D268/M247*P247),2)</f>
        <v>0</v>
      </c>
      <c r="E270" s="21">
        <f>ROUND(IF(B270=0,0,E268/N243*P247),2)</f>
        <v>0</v>
      </c>
      <c r="F270" s="22">
        <f>ROUND(IF(P247=0,0,IFERROR(((LOOKUP(2,1/(A254:A257=A270),I254:I257))/N243*P247),F269/P246*P247)),2)</f>
        <v>0</v>
      </c>
      <c r="G270" s="25">
        <f t="shared" si="44"/>
        <v>0</v>
      </c>
      <c r="H270" s="64">
        <f>IF(B270=0,0,IF(AND(H260="ja",((U270)&lt;R285)),ROUND(((R287*R284+((R285/(R285-R284))-(R284/(R285-R284))*R287)*((U270)-R284))*(H268*2))-(((R285/(R285-R284))*((U270)-R284))*H268),2),ROUND(IF(U269&lt;(R269),IF((V270)&gt;(SUM(R269:R270)),(((SUM(R269:R270))-(V270-C269))*H268)+((U270-C269)*H268),U270*H268),IF(V270&gt;(SUM(R269:R270)),R270*H268,U270*H268)),2)))</f>
        <v>0</v>
      </c>
      <c r="I270" s="64">
        <f>IF(B270=0,0,IF(AND(H260="ja",((U270)&lt;R285)),ROUND(((R287*R284+((R285/(R285-R284))-(R284/(R285-R284))*R287)*((U270)-R284))*(I268*2))-(((R285/(R285-R284))*((U270)-R284))*I268),2),ROUND(IF(U269&lt;(S269),IF((V270)&gt;(SUM(S269:S270)),(((SUM(S269:S270))-(V270-C269))*I268)+((U270-C269)*I268),U270*I268),IF(V270&gt;(SUM(S269:S270)),S270*I268,U270*I268)),2)))</f>
        <v>0</v>
      </c>
      <c r="J270" s="64">
        <f>IF(B270=0,0,IF(AND(H260="ja",((U270)&lt;R285)),ROUND(((R287*R284+((R285/(R285-R284))-(R284/(R285-R284))*R287)*((U270)-R284))*(J268*2))-(((R285/(R285-R284))*((U270)-R284))*J268),2),ROUND(IF(U269&lt;(S269),IF((V270)&gt;(SUM(S269:S270)),(((SUM(S269:S270))-(V270-C269))*J268)+((U270-C269)*J268),U270*J268),IF(V270&gt;(SUM(S269:S270)),S270*J268,U270*J268)),2)))</f>
        <v>0</v>
      </c>
      <c r="K270" s="64">
        <f>IF(B270=0,0,IF(AND(H260="ja",((U270)&lt;R285)),ROUND(((R287*R284+((R285/(R285-R284))-(R284/(R285-R284))*R287)*((U270)-R284))*(K268*2))-(((R285/(R285-R284))*((U270)-R284))*K268),2),ROUND(IF(U269&lt;(R269),IF((V270)&gt;(SUM(R269:R270)),(((SUM(R269:R270))-(V270-C269))*K268)+((U270-C269)*K268),U270*K268),IF(V270&gt;(SUM(R269:R270)),R270*K268,U270*K268)),2)))</f>
        <v>0</v>
      </c>
      <c r="L270" s="64">
        <f>IF(B270=0,0,IF(AND(H260="ja",((U270-C270)&lt;R285)),ROUND(((R287*R284+((R285/(R285-R284))-(R284/(R285-R284))*R287)*((U270-C270)-R284))*(L268)),2),ROUND(IF(SUM(B269:F269)&lt;(S269),IF((SUM(B269:F270))&gt;(SUM(S269:S270)),(((SUM(S269:S270))-(SUM(B269:F270)-C270))*L268)+((SUM(B270:F270)-C270)*L268),(SUM(B270:F270)-C270)*L268),IF(SUM(B269:F270)&gt;(SUM(S269:S270)),S270*L268,SUM(B270:F270)*L268)),2)))</f>
        <v>0</v>
      </c>
      <c r="M270" s="64">
        <f>IF(B270=0,0,IF(AND(H260="ja",((U270-C270)&lt;R285)),ROUND(((R287*R284+((R285/(R285-R284))-(R284/(R285-R284))*R287)*((U270-C270)-R284))*(M268)),2),ROUND(IF(SUM(B269:F269)&lt;(S269),IF((SUM(B269:F270))&gt;(SUM(S269:S270)),(((SUM(S269:S270))-(SUM(B269:F270)-C270))*M268)+((SUM(B270:F270)-C270)*M268),(SUM(B270:F270)-C270)*M268),IF(SUM(B269:F270)&gt;(SUM(S269:S270)),S270*M268,SUM(B270:F270)*M268)),2)))</f>
        <v>0</v>
      </c>
      <c r="N270" s="64">
        <f>IF(B270=0,0,IF(AND(H260="ja",((U270)&lt;R285)),ROUND(((R287*R284+((R285/(R285-R284))-(R284/(R285-R284))*R287)*((U270)-R284))*(N268)),2),ROUND(IF(SUM(B269:F269)&lt;(S269),IF((SUM(B269:F270))&gt;(SUM(S269:S270)),(((SUM(S269:S270))-(SUM(B269:F270)-C269))*N268)+((SUM(B270:F270)-C269)*N268),SUM(B270:F270)*N268),IF(SUM(B269:F270)&gt;(SUM(S269:S270)),S270*N268,SUM(B270:F270)*N268)),2)))</f>
        <v>0</v>
      </c>
      <c r="O270" s="21">
        <f>ROUND(SUM(B270+C270+F270)*O268,2)</f>
        <v>0</v>
      </c>
      <c r="P270" s="25">
        <f t="shared" ref="P270:P280" si="45">SUM(G270:O270)</f>
        <v>0</v>
      </c>
      <c r="Q270" s="456"/>
      <c r="R270" s="140">
        <f>ROUND(IF(M247="",R263,R263/M247*P247),2)</f>
        <v>5175</v>
      </c>
      <c r="S270" s="140">
        <f>ROUND(IF(M247="",R264,R264/M247*P247),2)</f>
        <v>7450</v>
      </c>
      <c r="U270" s="950">
        <f t="shared" ref="U270:U280" si="46">SUM(B270:F270)</f>
        <v>0</v>
      </c>
      <c r="V270" s="950">
        <f>SUM(B269:F270)</f>
        <v>0</v>
      </c>
    </row>
    <row r="271" spans="1:22" x14ac:dyDescent="0.2">
      <c r="A271" s="76" t="str">
        <f>CONCATENATE("Mrz ",O245)</f>
        <v>Mrz 2025</v>
      </c>
      <c r="B271" s="22">
        <f>ROUND(IF(P248=0,0,IFERROR(((LOOKUP(2,1/(A254:A257=A271),G254:G257))*P248*4.348),B270/P247*P248)),2)</f>
        <v>0</v>
      </c>
      <c r="C271" s="21">
        <f>ROUND(IFERROR((LOOKUP(2,1/(A260=A271),E260)),0)+IFERROR((LOOKUP(2,1/(A261=A271),E261)),0),2)</f>
        <v>0</v>
      </c>
      <c r="D271" s="21">
        <f>ROUND(IF(B271=0,0,D268/M247*P248),2)</f>
        <v>0</v>
      </c>
      <c r="E271" s="21">
        <f>ROUND(IF(B271=0,0,E268/N243*P248),2)</f>
        <v>0</v>
      </c>
      <c r="F271" s="22">
        <f>ROUND(IF(P248=0,0,IFERROR(((LOOKUP(2,1/(A254:A257=A271),I254:I257))/N243*P248),F270/P247*P248)),2)</f>
        <v>0</v>
      </c>
      <c r="G271" s="25">
        <f t="shared" si="44"/>
        <v>0</v>
      </c>
      <c r="H271" s="64">
        <f>IF(B271=0,0,IF(AND(H260="ja",((U271)&lt;R285)),ROUND(((R287*R284+((R285/(R285-R284))-(R284/(R285-R284))*R287)*((U271)-R284))*(H268*2))-(((R285/(R285-R284))*((U271)-R284))*H268),2),ROUND(IF(V270&lt;(SUM(R269:R270)),IF((V271)&gt;(SUM(R269:R271)),(((SUM(R269:R271))-(V271-C270))*H268)+((U271-C270)*H268),U271*H268),IF(V271&gt;(SUM(R269:R271)),R271*H268,U271*H268)),2)))</f>
        <v>0</v>
      </c>
      <c r="I271" s="64">
        <f>IF(B271=0,0,IF(AND(H260="ja",((U271)&lt;R285)),ROUND(((R287*R284+((R285/(R285-R284))-(R284/(R285-R284))*R287)*((U271)-R284))*(I268*2))-(((R285/(R285-R284))*((U271)-R284))*I268),2),ROUND(IF(V270&lt;(SUM(S269:S270)),IF((V271)&gt;(SUM(S269:S271)),(((SUM(S269:S271))-(V271-C270))*I268)+((U271-C270)*I268),U271*I268),IF(V271&gt;(SUM(S269:S271)),S271*I268,U271*I268)),2)))</f>
        <v>0</v>
      </c>
      <c r="J271" s="64">
        <f>IF(B271=0,0,IF(AND(H260="ja",((U271)&lt;R285)),ROUND(((R287*R284+((R285/(R285-R284))-(R284/(R285-R284))*R287)*((U271)-R284))*(J268*2))-(((R285/(R285-R284))*((U271)-R284))*J268),2),ROUND(IF(V270&lt;(SUM(S269:S270)),IF((V271)&gt;(SUM(S269:S271)),(((SUM(S269:S271))-(V271-C270))*J268)+((U271-C270)*J268),U271*J268),IF(V271&gt;(SUM(S269:S271)),S271*J268,U271*J268)),2)))</f>
        <v>0</v>
      </c>
      <c r="K271" s="64">
        <f>IF(B271=0,0,IF(AND(H260="ja",((U271)&lt;R285)),ROUND(((R287*R284+((R285/(R285-R284))-(R284/(R285-R284))*R287)*((U271)-R284))*(K268*2))-(((R285/(R285-R284))*((U271)-R284))*K268),2),ROUND(IF(V270&lt;(SUM(R269:R270)),IF((V271)&gt;(SUM(R269:R271)),(((SUM(R269:R271))-(V271-C270))*K268)+((U271-C270)*K268),U271*K268),IF(V271&gt;(SUM(R269:R271)),R271*K268,U271*K268)),2)))</f>
        <v>0</v>
      </c>
      <c r="L271" s="64">
        <f>IF(B271=0,0,IF(AND(H260="ja",((U271-C271)&lt;R285)),ROUND(((R287*R284+((R285/(R285-R284))-(R284/(R285-R284))*R287)*((U271-C271)-R284))*(L268)),2),ROUND(IF(SUM(B269:F270)&lt;(SUM(S269:S270)),IF((SUM(B269:F271))&gt;(SUM(S269:S271)),(((SUM(S269:S271))-(SUM(B269:F271)-C271))*L268)+((SUM(B271:F271)-C271)*L268),(SUM(B271:F271)-C271)*L268),IF(SUM(B269:F271)&gt;(SUM(S269:S271)),S271*L268,SUM(B271:F271)*L268)),2)))</f>
        <v>0</v>
      </c>
      <c r="M271" s="64">
        <f>IF(B271=0,0,IF(AND(H260="ja",((U271-C271)&lt;R285)),ROUND(((R287*R284+((R285/(R285-R284))-(R284/(R285-R284))*R287)*((U271-C271)-R284))*(M268)),2),ROUND(IF(SUM(B269:F270)&lt;(SUM(S269:S270)),IF((SUM(B269:F271))&gt;(SUM(S269:S271)),(((SUM(S269:S271))-(SUM(B269:F271)-C271))*M268)+((SUM(B271:F271)-C271)*M268),(SUM(B271:F271)-C271)*M268),IF(SUM(B269:F271)&gt;(SUM(S269:S271)),S271*M268,SUM(B271:F271)*M268)),2)))</f>
        <v>0</v>
      </c>
      <c r="N271" s="64">
        <f>IF(B271=0,0,IF(AND(H260="ja",((U271)&lt;R285)),ROUND(((R287*R284+((R285/(R285-R284))-(R284/(R285-R284))*R287)*((U271)-R284))*(N268)),2),ROUND(IF(SUM(B269:F270)&lt;(SUM(S269:S270)),IF((SUM(B269:F271))&gt;(SUM(S269:S271)),(((SUM(S269:S271))-(SUM(B269:F271)-C270))*N268)+((SUM(B271:F271)-C270)*N268),SUM(B271:F271)*N268),IF(SUM(B269:F271)&gt;(SUM(S269:S271)),S271*N268,SUM(B271:F271)*N268)),2)))</f>
        <v>0</v>
      </c>
      <c r="O271" s="21">
        <f>ROUND(SUM(B271+C271+F271)*O268,2)</f>
        <v>0</v>
      </c>
      <c r="P271" s="25">
        <f t="shared" si="45"/>
        <v>0</v>
      </c>
      <c r="Q271" s="456"/>
      <c r="R271" s="140">
        <f>ROUND(IF(M247="",R263,R263/M247*P248),2)</f>
        <v>5175</v>
      </c>
      <c r="S271" s="140">
        <f>ROUND(IF(M247="",R264,R264/M247*P248),2)</f>
        <v>7450</v>
      </c>
      <c r="U271" s="950">
        <f t="shared" si="46"/>
        <v>0</v>
      </c>
      <c r="V271" s="950">
        <f>SUM(B269:F271)</f>
        <v>0</v>
      </c>
    </row>
    <row r="272" spans="1:22" x14ac:dyDescent="0.2">
      <c r="A272" s="76" t="str">
        <f>CONCATENATE("Apr ",O245)</f>
        <v>Apr 2025</v>
      </c>
      <c r="B272" s="22">
        <f>ROUND(IF(P249=0,0,IFERROR(((LOOKUP(2,1/(A254:A257=A272),G254:G257))*P249*4.348),B271/P248*P249)),2)</f>
        <v>0</v>
      </c>
      <c r="C272" s="21">
        <f>ROUND(IFERROR((LOOKUP(2,1/(A260=A272),E260)),0)+IFERROR((LOOKUP(2,1/(A261=A272),E261)),0),2)</f>
        <v>0</v>
      </c>
      <c r="D272" s="21">
        <f>ROUND(IF(B272=0,0,D268/M247*P249),2)</f>
        <v>0</v>
      </c>
      <c r="E272" s="21">
        <f>ROUND(IF(B272=0,0,E268/N243*P249),2)</f>
        <v>0</v>
      </c>
      <c r="F272" s="22">
        <f>ROUND(IF(P249=0,0,IFERROR(((LOOKUP(2,1/(A254:A257=A272),I254:I257))/N243*P249),F271/P248*P249)),2)</f>
        <v>0</v>
      </c>
      <c r="G272" s="25">
        <f t="shared" si="44"/>
        <v>0</v>
      </c>
      <c r="H272" s="64">
        <f>IF(B272=0,0,IF(AND(H260="ja",((U272)&lt;R285)),ROUND(((R287*R284+((R285/(R285-R284))-(R284/(R285-R284))*R287)*((U272)-R284))*(H268*2))-(((R285/(R285-R284))*((U272)-R284))*H268),2),ROUND(IF(V271&lt;(SUM(R269:R271)),IF((V272)&gt;(SUM(R269:R272)),(((SUM(R269:R272))-(V272-C271))*H268)+((U272-C271)*H268),U272*H268),IF(V272&gt;(SUM(R269:R272)),R272*H268,U272*H268)),2)))</f>
        <v>0</v>
      </c>
      <c r="I272" s="64">
        <f>IF(B272=0,0,IF(AND(H260="ja",((U272)&lt;R285)),ROUND(((R287*R284+((R285/(R285-R284))-(R284/(R285-R284))*R287)*((U272)-R284))*(I268*2))-(((R285/(R285-R284))*((U272)-R284))*I268),2),ROUND(IF(V271&lt;(SUM(S269:S271)),IF((V272)&gt;(SUM(S269:S272)),(((SUM(S269:S272))-(V272-C271))*I268)+((U272-C271)*I268),U272*I268),IF(V272&gt;(SUM(S269:S272)),S272*I268,U272*I268)),2)))</f>
        <v>0</v>
      </c>
      <c r="J272" s="64">
        <f>IF(B272=0,0,IF(AND(H260="ja",((U272)&lt;R285)),ROUND(((R287*R284+((R285/(R285-R284))-(R284/(R285-R284))*R287)*((U272)-R284))*(J268*2))-(((R285/(R285-R284))*((U272)-R284))*J268),2),ROUND(IF(U271&lt;(SUM(S269:S271)),IF((V272)&gt;(SUM(S269:S272)),(((SUM(S269:S272))-(V272-C271))*J268)+((U272-C271)*J268),U272*J268),IF(V272&gt;(SUM(S269:S272)),S272*J268,U272*J268)),2)))</f>
        <v>0</v>
      </c>
      <c r="K272" s="64">
        <f>IF(B272=0,0,IF(AND(H260="ja",((U272)&lt;R285)),ROUND(((R287*R284+((R285/(R285-R284))-(R284/(R285-R284))*R287)*((U272)-R284))*(K268*2))-(((R285/(R285-R284))*((U272)-R284))*K268),2),ROUND(IF(V271&lt;(SUM(R269:R271)),IF((V272)&gt;(SUM(R269:R272)),(((SUM(R269:R272))-(V272-C271))*K268)+((U272-C271)*K268),U272*K268),IF(V272&gt;(SUM(R269:R272)),R272*K268,U272*K268)),2)))</f>
        <v>0</v>
      </c>
      <c r="L272" s="64">
        <f>IF(B272=0,0,IF(AND(H260="ja",((U272-C272)&lt;R285)),ROUND(((R287*R284+((R285/(R285-R284))-(R284/(R285-R284))*R287)*((U272-C272)-R284))*(L268)),2),ROUND(IF(SUM(B269:F271)&lt;(SUM(S269:S271)),IF((SUM(B269:F272))&gt;(SUM(S269:S272)),(((SUM(S269:S272))-(SUM(B269:F272)-C272))*L268)+((SUM(B272:F272)-C272)*L268),(SUM(B272:F272)-C272)*L268),IF(SUM(B269:F272)&gt;(SUM(S269:S272)),S272*L268,SUM(B272:F272)*L268)),2)))</f>
        <v>0</v>
      </c>
      <c r="M272" s="64">
        <f>IF(B272=0,0,IF(AND(H260="ja",((U272-C272)&lt;R285)),ROUND(((R287*R284+((R285/(R285-R284))-(R284/(R285-R284))*R287)*((U272-C272)-R284))*(M268)),2),ROUND(IF(SUM(B269:F271)&lt;(SUM(S269:S271)),IF((SUM(B269:F272))&gt;(SUM(S269:S272)),(((SUM(S269:S272))-(SUM(B269:F272)-C272))*M268)+((SUM(B272:F272)-C272)*M268),(SUM(B272:F272)-C272)*M268),IF(SUM(B269:F272)&gt;(SUM(S269:S272)),S272*M268,SUM(B272:F272)*M268)),2)))</f>
        <v>0</v>
      </c>
      <c r="N272" s="64">
        <f>IF(B272=0,0,IF(AND(H260="ja",((U272)&lt;R285)),ROUND(((R287*R284+((R285/(R285-R284))-(R284/(R285-R284))*R287)*((U272)-R284))*(N268)),2),ROUND(IF(SUM(B269:F271)&lt;(SUM(S269:S271)),IF((SUM(B269:F272))&gt;(SUM(S269:S272)),(((SUM(S269:S272))-(SUM(B269:F272)-C271))*N268)+((SUM(B272:F272)-C271)*N268),SUM(B272:F272)*N268),IF(SUM(B269:F272)&gt;(SUM(S269:S272)),S272*N268,SUM(B272:F272)*N268)),2)))</f>
        <v>0</v>
      </c>
      <c r="O272" s="21">
        <f>ROUND(SUM(B272+C272+F272)*O268,2)</f>
        <v>0</v>
      </c>
      <c r="P272" s="25">
        <f t="shared" si="45"/>
        <v>0</v>
      </c>
      <c r="Q272" s="456"/>
      <c r="R272" s="140">
        <f>ROUND(IF(M247="",R263,R263/M247*P249),2)</f>
        <v>5175</v>
      </c>
      <c r="S272" s="140">
        <f>ROUND(IF(M247="",R264,R264/M247*P249),2)</f>
        <v>7450</v>
      </c>
      <c r="U272" s="950">
        <f t="shared" si="46"/>
        <v>0</v>
      </c>
      <c r="V272" s="950">
        <f>SUM(B269:F272)</f>
        <v>0</v>
      </c>
    </row>
    <row r="273" spans="1:24" x14ac:dyDescent="0.2">
      <c r="A273" s="76" t="str">
        <f>CONCATENATE("Mai ",O245)</f>
        <v>Mai 2025</v>
      </c>
      <c r="B273" s="22">
        <f>ROUND(IF(P250=0,0,IFERROR(((LOOKUP(2,1/(A254:A257=A273),G254:G257))*P250*4.348),B272/P249*P250)),2)</f>
        <v>0</v>
      </c>
      <c r="C273" s="21">
        <f>ROUND(IFERROR((LOOKUP(2,1/(A260=A273),E260)),0)+IFERROR((LOOKUP(2,1/(A261=A273),E261)),0),2)</f>
        <v>0</v>
      </c>
      <c r="D273" s="21">
        <f>ROUND(IF(B273=0,0,D268/M247*P250),2)</f>
        <v>0</v>
      </c>
      <c r="E273" s="21">
        <f>ROUND(IF(B273=0,0,E268/N243*P250),2)</f>
        <v>0</v>
      </c>
      <c r="F273" s="22">
        <f>ROUND(IF(P250=0,0,IFERROR(((LOOKUP(2,1/(A254:A257=A273),I254:I257))/N243*P250),F272/P249*P250)),2)</f>
        <v>0</v>
      </c>
      <c r="G273" s="25">
        <f t="shared" si="44"/>
        <v>0</v>
      </c>
      <c r="H273" s="64">
        <f>IF(B273=0,0,IF(AND(H260="ja",((U273)&lt;R285)),ROUND(((R287*R284+((R285/(R285-R284))-(R284/(R285-R284))*R287)*((U273)-R284))*(H268*2))-(((R285/(R285-R284))*((U273)-R284))*H268),2),ROUND(IF(V272&lt;(SUM(R269:R272)),IF((V273)&gt;(SUM(R269:R273)),(((SUM(R269:R273))-(V273-C272))*H268)+((U273-C272)*H268),U273*H268),IF(V273&gt;(SUM(R269:R273)),R273*H268,U273*H268)),2)))</f>
        <v>0</v>
      </c>
      <c r="I273" s="64">
        <f>IF(B273=0,0,IF(AND(H260="ja",((U273)&lt;R285)),ROUND(((R287*R284+((R285/(R285-R284))-(R284/(R285-R284))*R287)*((U273)-R284))*(I268*2))-(((R285/(R285-R284))*((U273)-R284))*I268),2),ROUND(IF(V272&lt;(SUM(S269:S272)),IF((V273)&gt;(SUM(S269:S273)),(((SUM(S269:S273))-(V273-C272))*I268)+((U273-C272)*I268),U273*I268),IF(V273&gt;(SUM(S269:S273)),S273*I268,U273*I268)),2)))</f>
        <v>0</v>
      </c>
      <c r="J273" s="64">
        <f>IF(B273=0,0,IF(AND(H260="ja",((U273)&lt;R285)),ROUND(((R287*R284+((R285/(R285-R284))-(R284/(R285-R284))*R287)*((U273)-R284))*(J268*2))-(((R285/(R285-R284))*((U273)-R284))*J268),2),ROUND(IF(V272&lt;(SUM(S269:S272)),IF((V273)&gt;(SUM(S269:S273)),(((SUM(S269:S273))-(V273-C272))*J268)+((U273-C272)*J268),U273*J268),IF(V273&gt;(SUM(S269:S273)),S273*J268,U273*J268)),2)))</f>
        <v>0</v>
      </c>
      <c r="K273" s="64">
        <f>IF(B273=0,0,IF(AND(H260="ja",((U273)&lt;R285)),ROUND(((R287*R284+((R285/(R285-R284))-(R284/(R285-R284))*R287)*((U273)-R284))*(K268*2))-(((R285/(R285-R284))*((U273)-R284))*K268),2),ROUND(IF(V272&lt;(SUM(R269:R272)),IF((V273)&gt;(SUM(R269:R273)),(((SUM(R269:R273))-(V273-C272))*K268)+((U273-C272)*K268),U273*K268),IF(V273&gt;(SUM(R269:R273)),R273*K268,U273*K268)),2)))</f>
        <v>0</v>
      </c>
      <c r="L273" s="64">
        <f>IF(B273=0,0,IF(AND(H260="ja",((U273-C273)&lt;R285)),ROUND(((R287*R284+((R285/(R285-R284))-(R284/(R285-R284))*R287)*((U273-C273)-R284))*(L268)),2),ROUND(IF(SUM(B269:F272)&lt;(SUM(S269:S272)),IF((SUM(B269:F273))&gt;(SUM(S269:S273)),(((SUM(S269:S273))-(SUM(B269:F273)-C273))*L268)+((SUM(B273:F273)-C273)*L268),(SUM(B273:F273)-C273)*L268),IF(SUM(B269:F273)&gt;(SUM(S269:S273)),S273*L268,SUM(B273:F273)*L268)),2)))</f>
        <v>0</v>
      </c>
      <c r="M273" s="64">
        <f>IF(B273=0,0,IF(AND(H260="ja",((U273-C273)&lt;R285)),ROUND(((R287*R284+((R285/(R285-R284))-(R284/(R285-R284))*R287)*((U273-C273)-R284))*(M268)),2),ROUND(IF(SUM(B269:F272)&lt;(SUM(S269:S272)),IF((SUM(B269:F273))&gt;(SUM(S269:S273)),(((SUM(S269:S273))-(SUM(B269:F273)-C273))*M268)+((SUM(B273:F273)-C273)*M268),(SUM(B273:F273)-C273)*M268),IF(SUM(B269:F273)&gt;(SUM(S269:S273)),S273*M268,SUM(B273:F273)*M268)),2)))</f>
        <v>0</v>
      </c>
      <c r="N273" s="64">
        <f>IF(B273=0,0,IF(AND(H260="ja",((U273)&lt;R285)),ROUND(((R287*R284+((R285/(R285-R284))-(R284/(R285-R284))*R287)*((U273)-R284))*(N268)),2),ROUND(IF(SUM(B269:F272)&lt;(SUM(S269:S272)),IF((SUM(B269:F273))&gt;(SUM(S269:S273)),(((SUM(S269:S273))-(SUM(B269:F273)-C272))*N268)+((SUM(B273:F273)-C272)*N268),SUM(B273:F273)*N268),IF(SUM(B269:F273)&gt;(SUM(S269:S273)),S273*N268,SUM(B273:F273)*N268)),2)))</f>
        <v>0</v>
      </c>
      <c r="O273" s="21">
        <f>ROUND(SUM(B273+C273+F273)*O268,2)</f>
        <v>0</v>
      </c>
      <c r="P273" s="25">
        <f t="shared" si="45"/>
        <v>0</v>
      </c>
      <c r="Q273" s="456"/>
      <c r="R273" s="140">
        <f>ROUND(IF(M247="",R263,R263/M247*P250),2)</f>
        <v>5175</v>
      </c>
      <c r="S273" s="140">
        <f>ROUND(IF(M247="",R264,R264/M247*P250),2)</f>
        <v>7450</v>
      </c>
      <c r="U273" s="950">
        <f t="shared" si="46"/>
        <v>0</v>
      </c>
      <c r="V273" s="950">
        <f>SUM(B269:F273)</f>
        <v>0</v>
      </c>
    </row>
    <row r="274" spans="1:24" x14ac:dyDescent="0.2">
      <c r="A274" s="76" t="str">
        <f>CONCATENATE("Jun ",O245)</f>
        <v>Jun 2025</v>
      </c>
      <c r="B274" s="22">
        <f>ROUND(IF(P251=0,0,IFERROR(((LOOKUP(2,1/(A254:A257=A274),G254:G257))*P251*4.348),B273/P250*P251)),2)</f>
        <v>0</v>
      </c>
      <c r="C274" s="21">
        <f>ROUND(IFERROR((LOOKUP(2,1/(A260=A274),E260)),0)+IFERROR((LOOKUP(2,1/(A261=A274),E261)),0),2)</f>
        <v>0</v>
      </c>
      <c r="D274" s="21">
        <f>ROUND(IF(B274=0,0,D268/M247*P251),2)</f>
        <v>0</v>
      </c>
      <c r="E274" s="21">
        <f>ROUND(IF(B274=0,0,E268/N243*P251),2)</f>
        <v>0</v>
      </c>
      <c r="F274" s="22">
        <f>ROUND(IF(P251=0,0,IFERROR(((LOOKUP(2,1/(A254:A257=A274),I254:I257))/N243*P251),F273/P250*P251)),2)</f>
        <v>0</v>
      </c>
      <c r="G274" s="25">
        <f t="shared" si="44"/>
        <v>0</v>
      </c>
      <c r="H274" s="64">
        <f>IF(B274=0,0,IF(AND(H260="ja",((U274)&lt;R285)),ROUND(((R287*R284+((R285/(R285-R284))-(R284/(R285-R284))*R287)*((U274)-R284))*(H268*2))-(((R285/(R285-R284))*((U274)-R284))*H268),2),ROUND(IF(V273&lt;(SUM(R269:R273)),IF((V274)&gt;(SUM(R269:R274)),(((SUM(R269:R274))-(V274-C273))*H268)+((U274-C273)*H268),U274*H268),IF(V274&gt;(SUM(R269:R274)),R274*H268,U274*H268)),2)))</f>
        <v>0</v>
      </c>
      <c r="I274" s="64">
        <f>IF(B274=0,0,IF(AND(H260="ja",((U274)&lt;R285)),ROUND(((R287*R284+((R285/(R285-R284))-(R284/(R285-R284))*R287)*((U274)-R284))*(I268*2))-(((R285/(R285-R284))*((U274)-R284))*I268),2),ROUND(IF(V273&lt;(SUM(S269:S273)),IF((V274)&gt;(SUM(S269:S274)),(((SUM(S269:S274))-(V274-C273))*I268)+((U274-C273)*I268),U274*I268),IF(V274&gt;(SUM(S269:S274)),S274*I268,U274*I268)),2)))</f>
        <v>0</v>
      </c>
      <c r="J274" s="64">
        <f>IF(B274=0,0,IF(AND(H260="ja",((U274)&lt;R285)),ROUND(((R287*R284+((R285/(R285-R284))-(R284/(R285-R284))*R287)*((U274)-R284))*(J268*2))-(((R285/(R285-R284))*((U274)-R284))*J268),2),ROUND(IF(V273&lt;(SUM(S269:S273)),IF((V274)&gt;(SUM(S269:S274)),(((SUM(S269:S274))-(V274-C273))*J268)+((U274-C273)*J268),U274*J268),IF(V274&gt;(SUM(S269:S274)),S274*J268,U274*J268)),2)))</f>
        <v>0</v>
      </c>
      <c r="K274" s="64">
        <f>IF(B274=0,0,IF(AND(H260="ja",((U274)&lt;R285)),ROUND(((R287*R284+((R285/(R285-R284))-(R284/(R285-R284))*R287)*((U274)-R284))*(K268*2))-(((R285/(R285-R284))*((U274)-R284))*K268),2),ROUND(IF(V273&lt;(SUM(R269:R273)),IF((V274)&gt;(SUM(R269:R274)),(((SUM(R269:R274))-(V274-C273))*K268)+((U274-C273)*K268),U274*K268),IF(V274&gt;(SUM(R269:R274)),R274*K268,U274*K268)),2)))</f>
        <v>0</v>
      </c>
      <c r="L274" s="64">
        <f>IF(B274=0,0,IF(AND(H260="ja",((U274-C274)&lt;R285)),ROUND(((R287*R284+((R285/(R285-R284))-(R284/(R285-R284))*R287)*((U274-C274)-R284))*(L268)),2),ROUND(IF(SUM(B269:F273)&lt;(SUM(S269:S273)),IF((SUM(B269:F274))&gt;(SUM(S269:S274)),(((SUM(S269:S274))-(SUM(B269:F274)-C274))*L268)+((SUM(B274:F274)-C274)*L268),(SUM(B274:F274)-C274)*L268),IF(SUM(B269:F274)&gt;(SUM(S269:S274)),S274*L268,SUM(B274:F274)*L268)),2)))</f>
        <v>0</v>
      </c>
      <c r="M274" s="64">
        <f>IF(B274=0,0,IF(AND(H260="ja",((U274-C274)&lt;R285)),ROUND(((R287*R284+((R285/(R285-R284))-(R284/(R285-R284))*R287)*((U274-C274)-R284))*(M268)),2),ROUND(IF(SUM(B269:F273)&lt;(SUM(S269:S273)),IF((SUM(B269:F274))&gt;(SUM(S269:S274)),(((SUM(S269:S274))-(SUM(B269:F274)-C274))*M268)+((SUM(B274:F274)-C274)*M268),(SUM(B274:F274)-C274)*M268),IF(SUM(B269:F274)&gt;(SUM(S269:S274)),S274*M268,SUM(B274:F274)*M268)),2)))</f>
        <v>0</v>
      </c>
      <c r="N274" s="64">
        <f>IF(B274=0,0,IF(AND(H260="ja",((U274)&lt;R285)),ROUND(((R287*R284+((R285/(R285-R284))-(R284/(R285-R284))*R287)*((U274)-R284))*(N268)),2),ROUND(IF(SUM(B269:F273)&lt;(SUM(S269:S273)),IF((SUM(B269:F274))&gt;(SUM(S269:S274)),(((SUM(S269:S274))-(SUM(B269:F274)-C273))*N268)+((SUM(B274:F274)-C273)*N268),SUM(B274:F274)*N268),IF(SUM(B269:F274)&gt;(SUM(S269:S274)),S274*N268,SUM(B274:F274)*N268)),2)))</f>
        <v>0</v>
      </c>
      <c r="O274" s="21">
        <f>ROUND(SUM(B274+C274+F274)*O268,2)</f>
        <v>0</v>
      </c>
      <c r="P274" s="25">
        <f t="shared" si="45"/>
        <v>0</v>
      </c>
      <c r="Q274" s="456"/>
      <c r="R274" s="140">
        <f>ROUND(IF(M247="",R263,R263/M247*P251),2)</f>
        <v>5175</v>
      </c>
      <c r="S274" s="140">
        <f>ROUND(IF(M247="",R264,R264/M247*P251),2)</f>
        <v>7450</v>
      </c>
      <c r="U274" s="950">
        <f t="shared" si="46"/>
        <v>0</v>
      </c>
      <c r="V274" s="950">
        <f>SUM(B269:F274)</f>
        <v>0</v>
      </c>
    </row>
    <row r="275" spans="1:24" x14ac:dyDescent="0.2">
      <c r="A275" s="76" t="str">
        <f>CONCATENATE("Jul ",O245)</f>
        <v>Jul 2025</v>
      </c>
      <c r="B275" s="22">
        <f>ROUND(IF(P252=0,0,IFERROR(((LOOKUP(2,1/(A254:A257=A275),G254:G257))*P252*4.348),B274/P251*P252)),2)</f>
        <v>0</v>
      </c>
      <c r="C275" s="21">
        <f>ROUND(IFERROR((LOOKUP(2,1/(A260=A275),E260)),0)+IFERROR((LOOKUP(2,1/(A261=A275),E261)),0),2)</f>
        <v>0</v>
      </c>
      <c r="D275" s="21">
        <f>ROUND(IF(B275=0,0,D268/M247*P252),2)</f>
        <v>0</v>
      </c>
      <c r="E275" s="21">
        <f>ROUND(IF(B275=0,0,E268/N243*P252),2)</f>
        <v>0</v>
      </c>
      <c r="F275" s="22">
        <f>ROUND(IF(P252=0,0,IFERROR(((LOOKUP(2,1/(A254:A257=A275),I254:I257))/N243*P252),F274/P251*P252)),2)</f>
        <v>0</v>
      </c>
      <c r="G275" s="25">
        <f t="shared" si="44"/>
        <v>0</v>
      </c>
      <c r="H275" s="64">
        <f>IF(B275=0,0,IF(AND(H260="ja",((U275)&lt;R285)),ROUND(((R287*R284+((R285/(R285-R284))-(R284/(R285-R284))*R287)*((U275)-R284))*(H268*2))-(((R285/(R285-R284))*((U275)-R284))*H268),2),ROUND(IF(V274&lt;(SUM(R269:R274)),IF((V275)&gt;(SUM(R269:R275)),(((SUM(R269:R275))-(V275-C274))*H268)+((U275-C274)*H268),U275*H268),IF(V275&gt;(SUM(R269:R275)),R275*H268,U275*H268)),2)))</f>
        <v>0</v>
      </c>
      <c r="I275" s="64">
        <f>IF(B275=0,0,IF(AND(H260="ja",((U275)&lt;R285)),ROUND(((R287*R284+((R285/(R285-R284))-(R284/(R285-R284))*R287)*((U275)-R284))*(I268*2))-(((R285/(R285-R284))*((U275)-R284))*I268),2),ROUND(IF(V274&lt;(SUM(S269:S274)),IF((V275)&gt;(SUM(S269:S275)),(((SUM(S269:S275))-(V275-C274))*I268)+((U275-C274)*I268),U275*I268),IF(V275&gt;(SUM(S269:S275)),S275*I268,U275*I268)),2)))</f>
        <v>0</v>
      </c>
      <c r="J275" s="64">
        <f>IF(B275=0,0,IF(AND(H260="ja",((U275)&lt;R285)),ROUND(((R287*R284+((R285/(R285-R284))-(R284/(R285-R284))*R287)*((U275)-R284))*(J268*2))-(((R285/(R285-R284))*((U275)-R284))*J268),2),ROUND(IF(V274&lt;(SUM(S269:S274)),IF((V275)&gt;(SUM(S269:S275)),(((SUM(S269:S275))-(V275-C274))*J268)+((U275-C274)*J268),U275*J268),IF(V275&gt;(SUM(S269:S275)),S275*J268,U275*J268)),2)))</f>
        <v>0</v>
      </c>
      <c r="K275" s="64">
        <f>IF(B275=0,0,IF(AND(H260="ja",((U275)&lt;R285)),ROUND(((R287*R284+((R285/(R285-R284))-(R284/(R285-R284))*R287)*((U275)-R284))*(K268*2))-(((R285/(R285-R284))*((U275)-R284))*K268),2),ROUND(IF(V274&lt;(SUM(R269:R274)),IF((V275)&gt;(SUM(R269:R275)),(((SUM(R269:R275))-(V275-C274))*K268)+((U275-C274)*K268),U275*K268),IF(V275&gt;(SUM(R269:R275)),R275*K268,U275*K268)),2)))</f>
        <v>0</v>
      </c>
      <c r="L275" s="64">
        <f>IF(B275=0,0,IF(AND(H260="ja",((U275-C275)&lt;R285)),ROUND(((R287*R284+((R285/(R285-R284))-(R284/(R285-R284))*R287)*((U275-C275)-R284))*(L268)),2),ROUND(IF(SUM(B269:F274)&lt;(SUM(S269:S274)),IF((SUM(B269:F275))&gt;(SUM(S269:S275)),(((SUM(S269:S275))-(SUM(B269:F275)-C275))*L268)+((SUM(B275:F275)-C275)*L268),(SUM(B275:F275)-C275)*L268),IF(SUM(B269:F275)&gt;(SUM(S269:S275)),S275*L268,SUM(B275:F275)*L268)),2)))</f>
        <v>0</v>
      </c>
      <c r="M275" s="64">
        <f>IF(B275=0,0,IF(AND(H260="ja",((U275-C275)&lt;R285)),ROUND(((R287*R284+((R285/(R285-R284))-(R284/(R285-R284))*R287)*((U275-C275)-R284))*(M268)),2),ROUND(IF(SUM(B269:F274)&lt;(SUM(S269:S274)),IF((SUM(B269:F275))&gt;(SUM(S269:S275)),(((SUM(S269:S275))-(SUM(B269:F275)-C275))*M268)+((SUM(B275:F275)-C275)*M268),(SUM(B275:F275)-C275)*M268),IF(SUM(B269:F275)&gt;(SUM(S269:S275)),S275*M268,SUM(B275:F275)*M268)),2)))</f>
        <v>0</v>
      </c>
      <c r="N275" s="64">
        <f>IF(B275=0,0,IF(AND(H260="ja",((U275)&lt;R285)),ROUND(((R287*R284+((R285/(R285-R284))-(R284/(R285-R284))*R287)*((U275)-R284))*(N268)),2),ROUND(IF(SUM(B269:F274)&lt;(SUM(S269:S274)),IF((SUM(B269:F275))&gt;(SUM(S269:S275)),(((SUM(S269:S275))-(SUM(B269:F275)-C274))*N268)+((SUM(B275:F275)-C274)*N268),SUM(B275:F275)*N268),IF(SUM(B269:F275)&gt;(SUM(S269:S275)),S275*N268,SUM(B275:F275)*N268)),2)))</f>
        <v>0</v>
      </c>
      <c r="O275" s="21">
        <f>ROUND(SUM(B275+C275+F275)*O268,2)</f>
        <v>0</v>
      </c>
      <c r="P275" s="25">
        <f t="shared" si="45"/>
        <v>0</v>
      </c>
      <c r="Q275" s="456"/>
      <c r="R275" s="140">
        <f>ROUND(IF(M247="",R263,R263/M247*P252),2)</f>
        <v>5175</v>
      </c>
      <c r="S275" s="140">
        <f>ROUND(IF(M247="",R264,R264/M247*P252),2)</f>
        <v>7450</v>
      </c>
      <c r="U275" s="950">
        <f t="shared" si="46"/>
        <v>0</v>
      </c>
      <c r="V275" s="950">
        <f>SUM(B269:F275)</f>
        <v>0</v>
      </c>
    </row>
    <row r="276" spans="1:24" x14ac:dyDescent="0.2">
      <c r="A276" s="76" t="str">
        <f>CONCATENATE("Aug ",O245)</f>
        <v>Aug 2025</v>
      </c>
      <c r="B276" s="22">
        <f>ROUND(IF(P253=0,0,IFERROR(((LOOKUP(2,1/(A254:A257=A276),G254:G257))*P253*4.348),B275/P252*P253)),2)</f>
        <v>0</v>
      </c>
      <c r="C276" s="21">
        <f>ROUND(IFERROR((LOOKUP(2,1/(A260=A276),E260)),0)+IFERROR((LOOKUP(2,1/(A261=A276),E261)),0),2)</f>
        <v>0</v>
      </c>
      <c r="D276" s="21">
        <f>ROUND(IF(B276=0,0,D268/M247*P253),2)</f>
        <v>0</v>
      </c>
      <c r="E276" s="21">
        <f>ROUND(IF(B276=0,0,E268/N243*P253),2)</f>
        <v>0</v>
      </c>
      <c r="F276" s="22">
        <f>ROUND(IF(P253=0,0,IFERROR(((LOOKUP(2,1/(A254:A257=A276),I254:I257))/N243*P253),F275/P252*P253)),2)</f>
        <v>0</v>
      </c>
      <c r="G276" s="25">
        <f t="shared" si="44"/>
        <v>0</v>
      </c>
      <c r="H276" s="64">
        <f>IF(B276=0,0,IF(AND(H260="ja",((U276)&lt;R285)),ROUND(((R287*R284+((R285/(R285-R284))-(R284/(R285-R284))*R287)*((U276)-R284))*(H268*2))-(((R285/(R285-R284))*((U276)-R284))*H268),2),ROUND(IF(V275&lt;(SUM(R269:R275)),IF((V276)&gt;(SUM(R269:R276)),(((SUM(R269:R276))-(V276-C275))*H268)+((U276-C275)*H268),U276*H268),IF(V276&gt;(SUM(R269:R276)),R276*H268,U276*H268)),2)))</f>
        <v>0</v>
      </c>
      <c r="I276" s="64">
        <f>IF(B276=0,0,IF(AND(H260="ja",((U276)&lt;R285)),ROUND(((R287*R284+((R285/(R285-R284))-(R284/(R285-R284))*R287)*((U276)-R284))*(I268*2))-(((R285/(R285-R284))*((U276)-R284))*I268),2),ROUND(IF(V275&lt;(SUM(S269:S275)),IF((V276)&gt;(SUM(S269:S276)),(((SUM(S269:S276))-(V276-C275))*I268)+((U276-C275)*I268),U276*I268),IF(V276&gt;(SUM(S269:S276)),S276*I268,U276*I268)),2)))</f>
        <v>0</v>
      </c>
      <c r="J276" s="64">
        <f>IF(B276=0,0,IF(AND(H260="ja",((U276)&lt;R285)),ROUND(((R287*R284+((R285/(R285-R284))-(R284/(R285-R284))*R287)*((U276)-R284))*(J268*2))-(((R285/(R285-R284))*((U276)-R284))*J268),2),ROUND(IF(V275&lt;(SUM(S269:S275)),IF((V276)&gt;(SUM(S269:S276)),(((SUM(S269:S276))-(V276-C275))*J268)+((U276-C275)*J268),U276*J268),IF(V276&gt;(SUM(S269:S276)),S276*J268,U276*J268)),2)))</f>
        <v>0</v>
      </c>
      <c r="K276" s="64">
        <f>IF(B276=0,0,IF(AND(H260="ja",((U276)&lt;R285)),ROUND(((R287*R284+((R285/(R285-R284))-(R284/(R285-R284))*R287)*((U276)-R284))*(K268*2))-(((R285/(R285-R284))*((U276)-R284))*K268),2),ROUND(IF(V275&lt;(SUM(R269:R275)),IF((V276)&gt;(SUM(R269:R276)),(((SUM(R269:R276))-(V276-C275))*K268)+((U276-C275)*K268),U276*K268),IF(V276&gt;(SUM(R269:R276)),R276*K268,U276*K268)),2)))</f>
        <v>0</v>
      </c>
      <c r="L276" s="64">
        <f>IF(B276=0,0,IF(AND(H260="ja",((U276-C276)&lt;R285)),ROUND(((R287*R284+((R285/(R285-R284))-(R284/(R285-R284))*R287)*((U276-C276)-R284))*(L268)),2),ROUND(IF(SUM(B269:F275)&lt;(SUM(S269:S275)),IF((SUM(B269:F276))&gt;(SUM(S269:S276)),(((SUM(S269:S276))-(SUM(B269:F276)-C276))*L268)+((SUM(B276:F276)-C276)*L268),(SUM(B276:F276)-C276)*L268),IF(SUM(B269:F276)&gt;(SUM(S269:S276)),S276*L268,SUM(B276:F276)*L268)),2)))</f>
        <v>0</v>
      </c>
      <c r="M276" s="64">
        <f>IF(B276=0,0,IF(AND(H260="ja",((U276-C276)&lt;R285)),ROUND(((R287*R284+((R285/(R285-R284))-(R284/(R285-R284))*R287)*((U276-C276)-R284))*(M268)),2),ROUND(IF(SUM(B269:F275)&lt;(SUM(S269:S275)),IF((SUM(B269:F276))&gt;(SUM(S269:S276)),(((SUM(S269:S276))-(SUM(B269:F276)-C276))*M268)+((SUM(B276:F276)-C276)*M268),(SUM(B276:F276)-C276)*M268),IF(SUM(B269:F276)&gt;(SUM(S269:S276)),S276*M268,SUM(B276:F276)*M268)),2)))</f>
        <v>0</v>
      </c>
      <c r="N276" s="64">
        <f>IF(B276=0,0,IF(AND(H260="ja",((U276)&lt;R285)),ROUND(((R287*R284+((R285/(R285-R284))-(R284/(R285-R284))*R287)*((U276)-R284))*(N268)),2),ROUND(IF(SUM(B269:F275)&lt;(SUM(S269:S275)),IF((SUM(B269:F276))&gt;(SUM(S269:S276)),(((SUM(S269:S276))-(SUM(B269:F276)-C275))*N268)+((SUM(B276:F276)-C275)*N268),SUM(B276:F276)*N268),IF(SUM(B269:F276)&gt;(SUM(S269:S276)),S276*N268,SUM(B276:F276)*N268)),2)))</f>
        <v>0</v>
      </c>
      <c r="O276" s="21">
        <f>ROUND(SUM(B276+C276+F276)*O268,2)</f>
        <v>0</v>
      </c>
      <c r="P276" s="25">
        <f t="shared" si="45"/>
        <v>0</v>
      </c>
      <c r="Q276" s="456"/>
      <c r="R276" s="140">
        <f>ROUND(IF(M247="",R263,R263/M247*P253),2)</f>
        <v>5175</v>
      </c>
      <c r="S276" s="140">
        <f>ROUND(IF(M247="",R264,R264/M247*P253),2)</f>
        <v>7450</v>
      </c>
      <c r="U276" s="950">
        <f t="shared" si="46"/>
        <v>0</v>
      </c>
      <c r="V276" s="950">
        <f>SUM(B269:F276)</f>
        <v>0</v>
      </c>
    </row>
    <row r="277" spans="1:24" x14ac:dyDescent="0.2">
      <c r="A277" s="76" t="str">
        <f>CONCATENATE("Sep ",O245)</f>
        <v>Sep 2025</v>
      </c>
      <c r="B277" s="22">
        <f>ROUND(IF(P254=0,0,IFERROR(((LOOKUP(2,1/(A254:A257=A277),G254:G257))*P254*4.348),B276/P253*P254)),2)</f>
        <v>0</v>
      </c>
      <c r="C277" s="21">
        <f>ROUND(IFERROR((LOOKUP(2,1/(A260=A277),E260)),0)+IFERROR((LOOKUP(2,1/(A261=A277),E261)),0),2)</f>
        <v>0</v>
      </c>
      <c r="D277" s="21">
        <f>ROUND(IF(B277=0,0,D268/M247*P254),2)</f>
        <v>0</v>
      </c>
      <c r="E277" s="21">
        <f>ROUND(IF(B277=0,0,E268/N243*P254),2)</f>
        <v>0</v>
      </c>
      <c r="F277" s="22">
        <f>ROUND(IF(P254=0,0,IFERROR(((LOOKUP(2,1/(A254:A257=A277),I254:I257))/N243*P254),F276/P253*P254)),2)</f>
        <v>0</v>
      </c>
      <c r="G277" s="25">
        <f t="shared" si="44"/>
        <v>0</v>
      </c>
      <c r="H277" s="64">
        <f>IF(B277=0,0,IF(AND(H260="ja",((U277)&lt;R285)),ROUND(((R287*R284+((R285/(R285-R284))-(R284/(R285-R284))*R287)*((U277)-R284))*(H268*2))-(((R285/(R285-R284))*((U277)-R284))*H268),2),ROUND(IF(V276&lt;(SUM(R269:R276)),IF((V277)&gt;(SUM(R269:R277)),(((SUM(R269:R277))-(V277-C276))*H268)+((U277-C276)*H268),U277*H268),IF(V277&gt;(SUM(R269:R277)),R277*H268,U277*H268)),2)))</f>
        <v>0</v>
      </c>
      <c r="I277" s="64">
        <f>IF(B277=0,0,IF(AND(H260="ja",((U277)&lt;R285)),ROUND(((R287*R284+((R285/(R285-R284))-(R284/(R285-R284))*R287)*((U277)-R284))*(I268*2))-(((R285/(R285-R284))*((U277)-R284))*I268),2),ROUND(IF(V276&lt;(SUM(S269:S276)),IF((V277)&gt;(SUM(S269:S277)),(((SUM(S269:S277))-(V277-C276))*I268)+((U277-C276)*I268),U277*I268),IF(V277&gt;(SUM(S269:S277)),S277*I268,U277*I268)),2)))</f>
        <v>0</v>
      </c>
      <c r="J277" s="64">
        <f>IF(B277=0,0,IF(AND(H260="ja",((U277)&lt;R285)),ROUND(((R287*R284+((R285/(R285-R284))-(R284/(R285-R284))*R287)*((U277)-R284))*(J268*2))-(((R285/(R285-R284))*((U277)-R284))*J268),2),ROUND(IF(V276&lt;(SUM(S269:S276)),IF((V277)&gt;(SUM(S269:S277)),(((SUM(S269:S277))-(V277-C276))*J268)+((U277-C276)*J268),U277*J268),IF(V277&gt;(SUM(S269:S277)),S277*J268,U277*J268)),2)))</f>
        <v>0</v>
      </c>
      <c r="K277" s="64">
        <f>IF(B277=0,0,IF(AND(H260="ja",((U277)&lt;R285)),ROUND(((R287*R284+((R285/(R285-R284))-(R284/(R285-R284))*R287)*((U277)-R284))*(K268*2))-(((R285/(R285-R284))*((U277)-R284))*K268),2),ROUND(IF(V276&lt;(SUM(R269:R276)),IF((V277)&gt;(SUM(R269:R277)),(((SUM(R269:R277))-(V277-C276))*K268)+((U277-C276)*K268),U277*K268),IF(V277&gt;(SUM(R269:R277)),R277*K268,U277*K268)),2)))</f>
        <v>0</v>
      </c>
      <c r="L277" s="64">
        <f>IF(B277=0,0,IF(AND(H260="ja",((U277-C277)&lt;R285)),ROUND(((R287*R284+((R285/(R285-R284))-(R284/(R285-R284))*R287)*((U277-C277)-R284))*(L268)),2),ROUND(IF(SUM(B269:F276)&lt;(SUM(S269:S276)),IF((SUM(B269:F277))&gt;(SUM(S269:S277)),(((SUM(S269:S277))-(SUM(B269:F277)-C277))*L268)+((SUM(B277:F277)-C277)*L268),(SUM(B277:F277)-C277)*L268),IF(SUM(B269:F277)&gt;(SUM(S269:S277)),S277*L268,SUM(B277:F277)*L268)),2)))</f>
        <v>0</v>
      </c>
      <c r="M277" s="64">
        <f>IF(B277=0,0,IF(AND(H260="ja",((U277-C277)&lt;R285)),ROUND(((R287*R284+((R285/(R285-R284))-(R284/(R285-R284))*R287)*((U277-C277)-R284))*(M268)),2),ROUND(IF(SUM(B269:F276)&lt;(SUM(S269:S276)),IF((SUM(B269:F277))&gt;(SUM(S269:S277)),(((SUM(S269:S277))-(SUM(B269:F277)-C277))*M268)+((SUM(B277:F277)-C277)*M268),(SUM(B277:F277)-C277)*M268),IF(SUM(B269:F277)&gt;(SUM(S269:S277)),S277*M268,SUM(B277:F277)*M268)),2)))</f>
        <v>0</v>
      </c>
      <c r="N277" s="64">
        <f>IF(B277=0,0,IF(AND(H260="ja",((U277)&lt;R285)),ROUND(((R287*R284+((R285/(R285-R284))-(R284/(R285-R284))*R287)*((U277)-R284))*(N268)),2),ROUND(IF(SUM(B269:F276)&lt;(SUM(S269:S276)),IF((SUM(B269:F277))&gt;(SUM(S269:S277)),(((SUM(S269:S277))-(SUM(B269:F277)-C276))*N268)+((SUM(B277:F277)-C276)*N268),SUM(B277:F277)*N268),IF(SUM(B269:F277)&gt;(SUM(S269:S277)),S277*N268,SUM(B277:F277)*N268)),2)))</f>
        <v>0</v>
      </c>
      <c r="O277" s="21">
        <f>ROUND(SUM(B277+C277+F277)*O268,2)</f>
        <v>0</v>
      </c>
      <c r="P277" s="25">
        <f t="shared" si="45"/>
        <v>0</v>
      </c>
      <c r="Q277" s="456"/>
      <c r="R277" s="140">
        <f>ROUND(IF(M247="",R263,R263/M247*P254),2)</f>
        <v>5175</v>
      </c>
      <c r="S277" s="140">
        <f>ROUND(IF(M247="",R264,R264/M247*P254),2)</f>
        <v>7450</v>
      </c>
      <c r="U277" s="950">
        <f t="shared" si="46"/>
        <v>0</v>
      </c>
      <c r="V277" s="950">
        <f>SUM(B269:F277)</f>
        <v>0</v>
      </c>
    </row>
    <row r="278" spans="1:24" s="12" customFormat="1" ht="15" x14ac:dyDescent="0.25">
      <c r="A278" s="76" t="str">
        <f>CONCATENATE("Okt ",O245)</f>
        <v>Okt 2025</v>
      </c>
      <c r="B278" s="22">
        <f>ROUND(IF(P255=0,0,IFERROR(((LOOKUP(2,1/(A254:A257=A278),G254:G257))*P255*4.348),B277/P254*P255)),2)</f>
        <v>0</v>
      </c>
      <c r="C278" s="21">
        <f>ROUND(IFERROR((LOOKUP(2,1/(A260=A278),E260)),0)+IFERROR((LOOKUP(2,1/(A261=A278),E261)),0),2)</f>
        <v>0</v>
      </c>
      <c r="D278" s="21">
        <f>ROUND(IF(B278=0,0,D268/M247*P255),2)</f>
        <v>0</v>
      </c>
      <c r="E278" s="21">
        <f>ROUND(IF(B278=0,0,E268/N243*P255),2)</f>
        <v>0</v>
      </c>
      <c r="F278" s="22">
        <f>ROUND(IF(P255=0,0,IFERROR(((LOOKUP(2,1/(A254:A257=A278),I254:I257))/N243*P255),F277/P254*P255)),2)</f>
        <v>0</v>
      </c>
      <c r="G278" s="25">
        <f t="shared" si="44"/>
        <v>0</v>
      </c>
      <c r="H278" s="64">
        <f>IF(B278=0,0,IF(AND(H260="ja",((U278)&lt;R285)),ROUND(((R287*R284+((R285/(R285-R284))-(R284/(R285-R284))*R287)*((U278)-R284))*(H268*2))-(((R285/(R285-R284))*((U278)-R284))*H268),2),ROUND(IF(V277&lt;(SUM(R269:R277)),IF((V278)&gt;(SUM(R269:R278)),(((SUM(R269:R278))-(V278-C277))*H268)+((U278-C277)*H268),U278*H268),IF(V278&gt;(SUM(R269:R278)),R278*H268,U278*H268)),2)))</f>
        <v>0</v>
      </c>
      <c r="I278" s="64">
        <f>IF(B278=0,0,IF(AND(H260="ja",((U278)&lt;R285)),ROUND(((R287*R284+((R285/(R285-R284))-(R284/(R285-R284))*R287)*((U278)-R284))*(I268*2))-(((R285/(R285-R284))*((U278)-R284))*I268),2),ROUND(IF(V277&lt;(SUM(S269:S277)),IF((V278)&gt;(SUM(S269:S278)),(((SUM(S269:S278))-(V278-C277))*I268)+((U278-C277)*I268),U278*I268),IF(V278&gt;(SUM(S269:S278)),S278*I268,U278*I268)),2)))</f>
        <v>0</v>
      </c>
      <c r="J278" s="64">
        <f>IF(B278=0,0,IF(AND(H260="ja",((U278)&lt;R285)),ROUND(((R287*R284+((R285/(R285-R284))-(R284/(R285-R284))*R287)*((U278)-R284))*(J268*2))-(((R285/(R285-R284))*((U278)-R284))*J268),2),ROUND(IF(V277&lt;(SUM(S269:S277)),IF((V278)&gt;(SUM(S269:S278)),(((SUM(S269:S278))-(V278-C277))*J268)+((U278-C277)*J268),U278*J268),IF(V278&gt;(SUM(S269:S278)),S278*J268,U278*J268)),2)))</f>
        <v>0</v>
      </c>
      <c r="K278" s="64">
        <f>IF(B278=0,0,IF(AND(H260="ja",((U278)&lt;R285)),ROUND(((R287*R284+((R285/(R285-R284))-(R284/(R285-R284))*R287)*((U278)-R284))*(K268*2))-(((R285/(R285-R284))*((U278)-R284))*K268),2),ROUND(IF(V277&lt;(SUM(R269:R277)),IF((V278)&gt;(SUM(R269:R278)),(((SUM(R269:R278))-(V278-C277))*K268)+((U278-C277)*K268),U278*K268),IF(V278&gt;(SUM(R269:R278)),R278*K268,U278*K268)),2)))</f>
        <v>0</v>
      </c>
      <c r="L278" s="64">
        <f>IF(B278=0,0,IF(AND(H260="ja",((U278-C278)&lt;R285)),ROUND(((R287*R284+((R285/(R285-R284))-(R284/(R285-R284))*R287)*((U278-C278)-R284))*(L268)),2),ROUND(IF(SUM(B269:F277)&lt;(SUM(S269:S277)),IF((SUM(B269:F278))&gt;(SUM(S269:S278)),(((SUM(S269:S278))-(SUM(B269:F278)-C278))*L268)+((SUM(B278:F278)-C278)*L268),(SUM(B278:F278)-C278)*L268),IF(SUM(B269:F278)&gt;(SUM(S269:S278)),S278*L268,SUM(B278:F278)*L268)),2)))</f>
        <v>0</v>
      </c>
      <c r="M278" s="64">
        <f>IF(B278=0,0,IF(AND(H260="ja",((U278-C278)&lt;R285)),ROUND(((R287*R284+((R285/(R285-R284))-(R284/(R285-R284))*R287)*((U278-C278)-R284))*(M268)),2),ROUND(IF(SUM(B269:F277)&lt;(SUM(S269:S277)),IF((SUM(B269:F278))&gt;(SUM(S269:S278)),(((SUM(S269:S278))-(SUM(B269:F278)-C278))*M268)+((SUM(B278:F278)-C278)*M268),(SUM(B278:F278)-C278)*M268),IF(SUM(B269:F278)&gt;(SUM(S269:S278)),S278*M268,SUM(B278:F278)*M268)),2)))</f>
        <v>0</v>
      </c>
      <c r="N278" s="64">
        <f>IF(B278=0,0,IF(AND(H260="ja",((U278)&lt;R285)),ROUND(((R287*R284+((R285/(R285-R284))-(R284/(R285-R284))*R287)*((U278)-R284))*(N268)),2),ROUND(IF(SUM(B269:F277)&lt;(SUM(S269:S277)),IF((SUM(B269:F278))&gt;(SUM(S269:S278)),(((SUM(S269:S278))-(SUM(B269:F278)-C277))*N268)+((SUM(B278:F278)-C277)*N268),SUM(B278:F278)*N268),IF(SUM(B269:F278)&gt;(SUM(S269:S278)),S278*N268,SUM(B278:F278)*N268)),2)))</f>
        <v>0</v>
      </c>
      <c r="O278" s="21">
        <f>ROUND(SUM(B278+C278+F278)*O268,2)</f>
        <v>0</v>
      </c>
      <c r="P278" s="25">
        <f t="shared" si="45"/>
        <v>0</v>
      </c>
      <c r="Q278" s="936"/>
      <c r="R278" s="140">
        <f>ROUND(IF(M247="",R263,R263/M247*P255),2)</f>
        <v>5175</v>
      </c>
      <c r="S278" s="140">
        <f>ROUND(IF(M247="",R264,R264/M247*P255),2)</f>
        <v>7450</v>
      </c>
      <c r="U278" s="950">
        <f t="shared" si="46"/>
        <v>0</v>
      </c>
      <c r="V278" s="950">
        <f>SUM(B269:F278)</f>
        <v>0</v>
      </c>
      <c r="X278" s="1"/>
    </row>
    <row r="279" spans="1:24" s="11" customFormat="1" x14ac:dyDescent="0.2">
      <c r="A279" s="76" t="str">
        <f>CONCATENATE("Nov ",O245)</f>
        <v>Nov 2025</v>
      </c>
      <c r="B279" s="22">
        <f>ROUND(IF(P256=0,0,IFERROR(((LOOKUP(2,1/(A254:A257=A279),G254:G257))*P256*4.348),B278/P255*P256)),2)</f>
        <v>0</v>
      </c>
      <c r="C279" s="21">
        <f>ROUND(IFERROR((LOOKUP(2,1/(A260=A279),E260)),0)+(IFERROR((LOOKUP(2,1/(A261=A279),E261)),0)),2)</f>
        <v>0</v>
      </c>
      <c r="D279" s="21">
        <f>ROUND(IF(B279=0,0,D268/M247*P256),2)</f>
        <v>0</v>
      </c>
      <c r="E279" s="21">
        <f>ROUND(IF(B279=0,0,E268/N243*P256),2)</f>
        <v>0</v>
      </c>
      <c r="F279" s="22">
        <f>ROUND(IF(P256=0,0,IFERROR(((LOOKUP(2,1/(A254:A257=A279),I254:I257))/N243*P256),F278/P255*P256)),2)</f>
        <v>0</v>
      </c>
      <c r="G279" s="25">
        <f t="shared" si="44"/>
        <v>0</v>
      </c>
      <c r="H279" s="64">
        <f>IF(B279=0,0,IF(AND(H260="ja",((U279)&lt;R285)),ROUND(((R287*R284+((R285/(R285-R284))-(R284/(R285-R284))*R287)*((U279)-R284))*(H268*2))-(((R285/(R285-R284))*((U279)-R284))*H268),2),ROUND(IF(V278&lt;(SUM(R269:R278)),IF((V279)&gt;(SUM(R269:R279)),(((SUM(R269:R279))-(V279-C278))*H268)+((U279-C278)*H268),U279*H268),IF(V279&gt;(SUM(R269:R279)),R279*H268,U279*H268)),2)))</f>
        <v>0</v>
      </c>
      <c r="I279" s="64">
        <f>IF(B279=0,0,IF(AND(H260="ja",((U279)&lt;R285)),ROUND(((R287*R284+((R285/(R285-R284))-(R284/(R285-R284))*R287)*((U279)-R284))*(I268*2))-(((R285/(R285-R284))*((U279)-R284))*I268),2),ROUND(IF(V278&lt;(SUM(S269:S278)),IF((V279)&gt;(SUM(S269:S279)),(((SUM(S269:S279))-(V279-C278))*I268)+((U279-C278)*I268),U279*I268),IF(V279&gt;(SUM(S269:S279)),S279*I268,U279*I268)),2)))</f>
        <v>0</v>
      </c>
      <c r="J279" s="64">
        <f>IF(B279=0,0,IF(AND(H260="ja",((U279)&lt;R285)),ROUND(((R287*R284+((R285/(R285-R284))-(R284/(R285-R284))*R287)*((U279)-R284))*(J268*2))-(((R285/(R285-R284))*((U279)-R284))*J268),2),ROUND(IF(V278&lt;(SUM(S269:S278)),IF((V279)&gt;(SUM(S269:S279)),(((SUM(S269:S279))-(V279-C278))*J268)+((U279-C278)*J268),U279*J268),IF(V279&gt;(SUM(S269:S279)),S279*J268,U279*J268)),2)))</f>
        <v>0</v>
      </c>
      <c r="K279" s="64">
        <f>IF(B279=0,0,IF(AND(H260="ja",((U279)&lt;R285)),ROUND(((R287*R284+((R285/(R285-R284))-(R284/(R285-R284))*R287)*((U279)-R284))*(K268*2))-(((R285/(R285-R284))*((U279)-R284))*K268),2),ROUND(IF(V278&lt;(SUM(R269:R278)),IF((V279)&gt;(SUM(R269:R279)),(((SUM(R269:R279))-(V279-C278))*K268)+((U279-C278)*K268),U279*K268),IF(V279&gt;(SUM(R269:R279)),R279*K268,U279*K268)),2)))</f>
        <v>0</v>
      </c>
      <c r="L279" s="64">
        <f>IF(B279=0,0,IF(AND(H260="ja",((U279-C279)&lt;R285)),ROUND(((R287*R284+((R285/(R285-R284))-(R284/(R285-R284))*R287)*((U279-C279)-R284))*(L268)),2),ROUND(IF(SUM(B269:F278)&lt;(SUM(S269:S278)),IF((SUM(B269:F279))&gt;(SUM(S269:S279)),(((SUM(S269:S279))-(SUM(B269:F279)-C279))*L268)+((SUM(B279:F279)-C279)*L268),(SUM(B279:F279)-C279)*L268),IF(SUM(B269:F279)&gt;(SUM(S269:S279)),S279*L268,SUM(B279:F279)*L268)),2)))</f>
        <v>0</v>
      </c>
      <c r="M279" s="64">
        <f>IF(B279=0,0,IF(AND(H260="ja",((U279-C279)&lt;R285)),ROUND(((R287*R284+((R285/(R285-R284))-(R284/(R285-R284))*R287)*((U279-C279)-R284))*(M268)),2),ROUND(IF(SUM(B269:F278)&lt;(SUM(S269:S278)),IF((SUM(B269:F279))&gt;(SUM(S269:S279)),(((SUM(S269:S279))-(SUM(B269:F279)-C279))*M268)+((SUM(B279:F279)-C279)*M268),(SUM(B279:F279)-C279)*M268),IF(SUM(B269:F279)&gt;(SUM(S269:S279)),S279*M268,SUM(B279:F279)*M268)),2)))</f>
        <v>0</v>
      </c>
      <c r="N279" s="64">
        <f>IF(B279=0,0,IF(AND(H260="ja",((U279)&lt;R285)),ROUND(((R287*R284+((R285/(R285-R284))-(R284/(R285-R284))*R287)*((U279)-R284))*(N268)),2),ROUND(IF(SUM(B269:F278)&lt;(SUM(S269:S278)),IF((SUM(B269:F279))&gt;(SUM(S269:S279)),(((SUM(S269:S279))-(SUM(B269:F279)-C278))*N268)+((SUM(B279:F279)-C278)*N268),SUM(B279:F279)*N268),IF(SUM(B269:F279)&gt;(SUM(S269:S279)),S279*N268,SUM(B279:F279)*N268)),2)))</f>
        <v>0</v>
      </c>
      <c r="O279" s="21">
        <f>ROUND(SUM(B279+C279+F279)*O268,2)</f>
        <v>0</v>
      </c>
      <c r="P279" s="25">
        <f t="shared" si="45"/>
        <v>0</v>
      </c>
      <c r="R279" s="140">
        <f>ROUND(IF(M247="",R263,R263/M247*P256),2)</f>
        <v>5175</v>
      </c>
      <c r="S279" s="140">
        <f>ROUND(IF(M247="",R264,R264/M247*P256),2)</f>
        <v>7450</v>
      </c>
      <c r="U279" s="950">
        <f t="shared" si="46"/>
        <v>0</v>
      </c>
      <c r="V279" s="950">
        <f>SUM(B269:F279)</f>
        <v>0</v>
      </c>
      <c r="X279" s="1"/>
    </row>
    <row r="280" spans="1:24" ht="14.25" customHeight="1" x14ac:dyDescent="0.2">
      <c r="A280" s="76" t="str">
        <f>CONCATENATE("Dez ",O245)</f>
        <v>Dez 2025</v>
      </c>
      <c r="B280" s="22">
        <f>ROUND(IF(P257=0,0,IFERROR(((LOOKUP(2,1/(A254:A257=A280),G254:G257))*P257*4.348),B279/P256*P257)),2)</f>
        <v>0</v>
      </c>
      <c r="C280" s="21">
        <f>ROUND(IFERROR((LOOKUP(2,1/(A260=A280),E260)),0)+IFERROR((LOOKUP(2,1/(A261=A280),E261)),0),2)</f>
        <v>0</v>
      </c>
      <c r="D280" s="21">
        <f>ROUND(IF(B280=0,0,D268/M247*P257),2)</f>
        <v>0</v>
      </c>
      <c r="E280" s="21">
        <f>ROUND(IF(B280=0,0,E268/N243*P257),2)</f>
        <v>0</v>
      </c>
      <c r="F280" s="22">
        <f>ROUND(IF(P257=0,0,IFERROR(((LOOKUP(2,1/(A254:A257=A280),I254:I257))/N243*P257),F279/P256*P257)),2)</f>
        <v>0</v>
      </c>
      <c r="G280" s="25">
        <f t="shared" si="44"/>
        <v>0</v>
      </c>
      <c r="H280" s="64">
        <f>IF(B280=0,0,IF(AND(H260="ja",((U280)&lt;R285)),ROUND(((R287*R284+((R285/(R285-R284))-(R284/(R285-R284))*R287)*((U280)-R284))*(H268*2))-(((R285/(R285-R284))*((U280)-R284))*H268),2),ROUND(IF(V279&lt;(SUM(R269:R279)),IF((V280)&gt;(SUM(R269:R280)),(((SUM(R269:R280))-(V280-C279))*H268)+((U280-C279)*H268),U280*H268),IF(V280&gt;(SUM(R269:R280)),R280*H268,U280*H268)),2)))</f>
        <v>0</v>
      </c>
      <c r="I280" s="64">
        <f>IF(B280=0,0,IF(AND(H260="ja",((U280)&lt;R285)),ROUND(((R287*R284+((R285/(R285-R284))-(R284/(R285-R284))*R287)*((U280)-R284))*(I268*2))-(((R285/(R285-R284))*((U280)-R284))*I268),2),ROUND(IF(V279&lt;(SUM(S269:S279)),IF((V280)&gt;(SUM(S269:S280)),(((SUM(S269:S280))-(V280-C279))*I268)+((U280-C279)*I268),U280*I268),IF(V280&gt;(SUM(S269:S280)),S280*I268,U280*I268)),2)))</f>
        <v>0</v>
      </c>
      <c r="J280" s="64">
        <f>IF(B280=0,0,IF(AND(H260="ja",((U280)&lt;R285)),ROUND(((R287*R284+((R285/(R285-R284))-(R284/(R285-R284))*R287)*((U280)-R284))*(J268*2))-(((R285/(R285-R284))*((U280)-R284))*J268),2),ROUND(IF(V279&lt;(SUM(S269:S279)),IF((V280)&gt;(SUM(S269:S280)),(((SUM(S269:S280))-(V280-C279))*J268)+((U280-C279)*J268),U280*J268),IF(V280&gt;(SUM(S269:S280)),S280*J268,U280*J268)),2)))</f>
        <v>0</v>
      </c>
      <c r="K280" s="64">
        <f>IF(B280=0,0,IF(AND(H260="ja",((U280)&lt;R285)),ROUND(((R287*R284+((R285/(R285-R284))-(R284/(R285-R284))*R287)*((U280)-R284))*(K268*2))-(((R285/(R285-R284))*((U280)-R284))*K268),2),ROUND(IF(V279&lt;(SUM(R269:R279)),IF((V280)&gt;(SUM(R269:R280)),(((SUM(R269:R280))-(V280-C279))*K268)+((U280-C279)*K268),U280*K268),IF(V280&gt;(SUM(R269:R280)),R280*K268,U280*K268)),2)))</f>
        <v>0</v>
      </c>
      <c r="L280" s="64">
        <f>IF(B280=0,0,IF(AND(H260="ja",((U280-C280)&lt;R285)),ROUND(((R287*R284+((R285/(R285-R284))-(R284/(R285-R284))*R287)*((U280-C280)-R284))*(L268)),2),ROUND(IF(SUM(B269:F279)&lt;(SUM(S269:S279)),IF((SUM(B269:F280))&gt;(SUM(S269:S280)),(((SUM(S269:S280))-(SUM(B269:F280)-C280))*L268)+((SUM(B280:F280)-C280)*L268),(SUM(B280:F280)-C280)*L268),IF(SUM(B269:F280)&gt;(SUM(S269:S280)),S280*L268,SUM(B280:F280)*L268)),2)))</f>
        <v>0</v>
      </c>
      <c r="M280" s="64">
        <f>IF(B280=0,0,IF(AND(H260="ja",((U280-C280)&lt;R285)),ROUND(((R287*R284+((R285/(R285-R284))-(R284/(R285-R284))*R287)*((U280-C280)-R284))*(M268)),2),ROUND(IF(SUM(B269:F279)&lt;(SUM(S269:S279)),IF((SUM(B269:F280))&gt;(SUM(S269:S280)),(((SUM(S269:S280))-(SUM(B269:F280)-C280))*M268)+((SUM(B280:F280)-C280)*M268),(SUM(B280:F280)-C280)*M268),IF(SUM(B269:F280)&gt;(SUM(S269:S280)),S280*M268,SUM(B280:F280)*M268)),2)))</f>
        <v>0</v>
      </c>
      <c r="N280" s="64">
        <f>IF(B280=0,0,IF(AND(H260="ja",((U280)&lt;R285)),ROUND(((R287*R284+((R285/(R285-R284))-(R284/(R285-R284))*R287)*((U280)-R284))*(N268)),2),ROUND(IF(SUM(B269:F279)&lt;(SUM(S269:S279)),IF((SUM(B269:F280))&gt;(SUM(S269:S280)),(((SUM(S269:S280))-(SUM(B269:F280)-C279))*N268)+((SUM(B280:F280)-C279)*N268),SUM(B280:F280)*N268),IF(SUM(B269:F280)&gt;(SUM(S269:S280)),S280*N268,SUM(B280:F280)*N268)),2)))</f>
        <v>0</v>
      </c>
      <c r="O280" s="21">
        <f>ROUND(SUM(B280+C280+F280)*O268,2)</f>
        <v>0</v>
      </c>
      <c r="P280" s="25">
        <f t="shared" si="45"/>
        <v>0</v>
      </c>
      <c r="Q280" s="11"/>
      <c r="R280" s="140">
        <f>ROUND(IF(M247="",R263,R263/M247*P257),2)</f>
        <v>5175</v>
      </c>
      <c r="S280" s="140">
        <f>ROUND(IF(M247="",R264,R264/M247*P257),2)</f>
        <v>7450</v>
      </c>
      <c r="U280" s="950">
        <f t="shared" si="46"/>
        <v>0</v>
      </c>
      <c r="V280" s="950">
        <f>SUM(B269:F280)</f>
        <v>0</v>
      </c>
    </row>
    <row r="281" spans="1:24" ht="15" customHeight="1" x14ac:dyDescent="0.2">
      <c r="A281" s="2" t="s">
        <v>1</v>
      </c>
      <c r="B281" s="25">
        <f>SUM(B269:B280)</f>
        <v>0</v>
      </c>
      <c r="C281" s="25">
        <f t="shared" ref="C281:G281" si="47">SUM(C269:C280)</f>
        <v>0</v>
      </c>
      <c r="D281" s="25">
        <f t="shared" si="47"/>
        <v>0</v>
      </c>
      <c r="E281" s="25">
        <f t="shared" si="47"/>
        <v>0</v>
      </c>
      <c r="F281" s="25">
        <f t="shared" si="47"/>
        <v>0</v>
      </c>
      <c r="G281" s="25">
        <f t="shared" si="47"/>
        <v>0</v>
      </c>
      <c r="H281" s="1309">
        <f>SUM(H269:N280)</f>
        <v>0</v>
      </c>
      <c r="I281" s="1310"/>
      <c r="J281" s="1310"/>
      <c r="K281" s="1310"/>
      <c r="L281" s="1310"/>
      <c r="M281" s="1310"/>
      <c r="N281" s="1311"/>
      <c r="O281" s="25">
        <f>SUM(O269:O280)</f>
        <v>0</v>
      </c>
      <c r="P281" s="25">
        <f>SUM(P269:P280)</f>
        <v>0</v>
      </c>
    </row>
    <row r="282" spans="1:24" ht="12" customHeight="1" x14ac:dyDescent="0.2"/>
    <row r="283" spans="1:24" ht="14.25" customHeight="1" x14ac:dyDescent="0.2">
      <c r="B283" s="906"/>
      <c r="H283" s="905"/>
      <c r="I283" s="62"/>
      <c r="J283" s="914" t="s">
        <v>123</v>
      </c>
      <c r="L283" s="900" t="s">
        <v>124</v>
      </c>
      <c r="M283" s="974" t="str">
        <f>IF(IF(G281=0,"",$M$43)=0,"",IF(G281=0,"",$M$43))</f>
        <v/>
      </c>
      <c r="N283" s="902" t="s">
        <v>125</v>
      </c>
      <c r="O283" s="963" t="str">
        <f>IF(IF(G281=0,"",$O$43)=0,"",IF(G281=0,"",$O$43))</f>
        <v/>
      </c>
      <c r="P283" s="25">
        <f>ROUND(IF(M283="",0,G281*M283*O283/1000),2)</f>
        <v>0</v>
      </c>
      <c r="Q283" s="937"/>
      <c r="R283" s="938">
        <v>2025</v>
      </c>
      <c r="S283" s="939"/>
    </row>
    <row r="284" spans="1:24" ht="14.25" customHeight="1" x14ac:dyDescent="0.2">
      <c r="H284" s="907"/>
      <c r="I284" s="42"/>
      <c r="M284" s="915" t="s">
        <v>129</v>
      </c>
      <c r="N284" s="80" t="s">
        <v>125</v>
      </c>
      <c r="O284" s="75" t="str">
        <f>IF(IF(G281=0,"",$O$44)=0,"",IF(G281=0,"",$O$44))</f>
        <v/>
      </c>
      <c r="P284" s="25">
        <f>ROUND(IF(O284="",0,G281*O284/1000),2)</f>
        <v>0</v>
      </c>
      <c r="Q284" s="942" t="s">
        <v>737</v>
      </c>
      <c r="R284" s="141">
        <f>'päd.Personal - Leitung'!$R$44</f>
        <v>556</v>
      </c>
      <c r="S284" s="955">
        <f>'päd.Personal - Leitung'!$S$44</f>
        <v>12.82</v>
      </c>
    </row>
    <row r="285" spans="1:24" ht="14.25" customHeight="1" x14ac:dyDescent="0.2">
      <c r="H285" s="912" t="s">
        <v>126</v>
      </c>
      <c r="I285" s="1013" t="s">
        <v>127</v>
      </c>
      <c r="J285" s="975" t="str">
        <f>IF(IF(G281=0,"",$J$45)=0,"",IF(G281=0,"",$J$45))</f>
        <v/>
      </c>
      <c r="K285" s="902" t="s">
        <v>128</v>
      </c>
      <c r="L285" s="964" t="str">
        <f>IF(IF(G281=0,"",$L$45)=0,"",IF(G281=0,"",$L$45))</f>
        <v/>
      </c>
      <c r="M285" s="16"/>
      <c r="N285" s="900" t="s">
        <v>132</v>
      </c>
      <c r="O285" s="965" t="str">
        <f>IF(IF(G281=0,"",$O$45)=0,"",IF(G281=0,"",$O$45))</f>
        <v/>
      </c>
      <c r="P285" s="25">
        <f>ROUND(IF(J285="",0,(J285*L285/O285)/M249*M250),2)</f>
        <v>0</v>
      </c>
      <c r="Q285" s="942" t="s">
        <v>738</v>
      </c>
      <c r="R285" s="140">
        <f>'päd.Personal - Leitung'!$R$45</f>
        <v>2000</v>
      </c>
      <c r="S285" s="939"/>
    </row>
    <row r="286" spans="1:24" ht="14.25" customHeight="1" x14ac:dyDescent="0.2">
      <c r="D286" s="16"/>
      <c r="I286" s="16"/>
      <c r="J286" s="16"/>
      <c r="K286" s="63"/>
      <c r="L286" s="67"/>
      <c r="M286" s="915" t="s">
        <v>130</v>
      </c>
      <c r="N286" s="80" t="s">
        <v>131</v>
      </c>
      <c r="O286" s="904">
        <f>IF(IF(M251="",0,$O$46)=0,0,IF(M251="",0,$O$46))</f>
        <v>0</v>
      </c>
      <c r="P286" s="21">
        <f>ROUND(IF(G281=0,0,O286/M247*M248),2)</f>
        <v>0</v>
      </c>
      <c r="Q286" s="942" t="s">
        <v>740</v>
      </c>
      <c r="R286" s="956">
        <f>'päd.Personal - Leitung'!$R$46</f>
        <v>0.40900000000000003</v>
      </c>
    </row>
    <row r="287" spans="1:24" ht="14.25" customHeight="1" x14ac:dyDescent="0.2">
      <c r="A287" s="16"/>
      <c r="B287" s="16"/>
      <c r="I287" s="905"/>
      <c r="J287" s="961" t="s">
        <v>176</v>
      </c>
      <c r="K287" s="1312" t="str">
        <f>IF($K$47="","",$K$47)</f>
        <v/>
      </c>
      <c r="L287" s="1312"/>
      <c r="M287" s="1312"/>
      <c r="N287" s="80" t="s">
        <v>131</v>
      </c>
      <c r="O287" s="904">
        <f>IF(IF(M251="",0,$O$47)=0,0,IF(M251="",0,$O$47))</f>
        <v>0</v>
      </c>
      <c r="P287" s="21">
        <f>ROUND(IF(G281=0,0,O287/M247*M248),2)</f>
        <v>0</v>
      </c>
      <c r="Q287" s="942" t="s">
        <v>739</v>
      </c>
      <c r="R287" s="940">
        <f>'päd.Personal - Leitung'!$R$47</f>
        <v>0.68459999999999999</v>
      </c>
      <c r="S287" s="957">
        <f>'päd.Personal - Leitung'!$S$47</f>
        <v>0.28000000000000003</v>
      </c>
    </row>
    <row r="288" spans="1:24" ht="14.25" customHeight="1" x14ac:dyDescent="0.2">
      <c r="A288" s="908"/>
      <c r="B288" s="908"/>
      <c r="C288" s="1013"/>
      <c r="D288" s="1013"/>
      <c r="I288" s="913"/>
      <c r="J288" s="913"/>
      <c r="K288" s="916"/>
      <c r="L288" s="27"/>
      <c r="M288" s="27"/>
      <c r="N288" s="27"/>
      <c r="O288" s="26" t="s">
        <v>0</v>
      </c>
      <c r="P288" s="25">
        <f>P281+SUM(P283:P287)</f>
        <v>0</v>
      </c>
    </row>
    <row r="289" spans="1:19" s="10" customFormat="1" ht="13.5" customHeight="1" x14ac:dyDescent="0.2">
      <c r="A289" s="1321" t="s">
        <v>17</v>
      </c>
      <c r="B289" s="1321"/>
      <c r="C289" s="1321"/>
      <c r="D289" s="1320" t="str">
        <f>IF('päd.Personal - Leitung'!$D$1="","",'päd.Personal - Leitung'!$D$1)</f>
        <v/>
      </c>
      <c r="E289" s="1320"/>
      <c r="F289" s="1320"/>
      <c r="G289" s="1320"/>
      <c r="H289" s="1320"/>
      <c r="I289" s="1320"/>
      <c r="J289" s="1320"/>
      <c r="K289" s="1320"/>
      <c r="L289" s="1320"/>
      <c r="M289" s="1320"/>
      <c r="N289" s="1320"/>
    </row>
    <row r="290" spans="1:19" s="10" customFormat="1" ht="15" customHeight="1" x14ac:dyDescent="0.2">
      <c r="A290" s="1321" t="s">
        <v>16</v>
      </c>
      <c r="B290" s="1321"/>
      <c r="C290" s="1321" t="s">
        <v>14</v>
      </c>
      <c r="D290" s="1320" t="str">
        <f>IF('päd.Personal - Leitung'!$D$2="","",'päd.Personal - Leitung'!$D$2)</f>
        <v/>
      </c>
      <c r="E290" s="1320"/>
      <c r="F290" s="1320"/>
      <c r="G290" s="1320"/>
      <c r="H290" s="1320"/>
      <c r="I290" s="1320"/>
      <c r="J290" s="1320"/>
      <c r="K290" s="1320"/>
      <c r="L290" s="1320"/>
      <c r="M290" s="1320"/>
      <c r="N290" s="1320"/>
    </row>
    <row r="291" spans="1:19" s="10" customFormat="1" ht="15" customHeight="1" x14ac:dyDescent="0.2">
      <c r="A291" s="1321" t="s">
        <v>15</v>
      </c>
      <c r="B291" s="1321"/>
      <c r="C291" s="1321" t="s">
        <v>14</v>
      </c>
      <c r="D291" s="1320" t="str">
        <f>IF('päd.Personal - Leitung'!$D$3="","",'päd.Personal - Leitung'!$D$3)</f>
        <v/>
      </c>
      <c r="E291" s="1320"/>
      <c r="F291" s="1320"/>
      <c r="G291" s="1320"/>
      <c r="H291" s="1320"/>
      <c r="I291" s="1320"/>
      <c r="J291" s="1320"/>
      <c r="K291" s="1321" t="s">
        <v>100</v>
      </c>
      <c r="L291" s="1321"/>
      <c r="M291" s="1321"/>
      <c r="N291" s="38" t="str">
        <f>IF('päd.Personal - Leitung'!$N$3="","",'päd.Personal - Leitung'!$N$3)</f>
        <v/>
      </c>
    </row>
    <row r="292" spans="1:19" s="923" customFormat="1" ht="7.5" customHeight="1" x14ac:dyDescent="0.15">
      <c r="A292" s="1353"/>
      <c r="B292" s="1353"/>
      <c r="C292" s="1353"/>
      <c r="D292" s="1354"/>
      <c r="E292" s="1354"/>
      <c r="F292" s="1354"/>
      <c r="G292" s="1354"/>
      <c r="H292" s="1354"/>
      <c r="I292" s="1354"/>
      <c r="J292" s="1354"/>
      <c r="K292" s="922"/>
      <c r="L292" s="922"/>
      <c r="M292" s="922"/>
      <c r="N292" s="922"/>
      <c r="O292" s="922"/>
      <c r="P292" s="922"/>
    </row>
    <row r="293" spans="1:19" s="13" customFormat="1" ht="13.5" customHeight="1" x14ac:dyDescent="0.2">
      <c r="A293" s="1355" t="s">
        <v>196</v>
      </c>
      <c r="B293" s="1355"/>
      <c r="C293" s="1355"/>
      <c r="D293" s="1355"/>
      <c r="E293" s="1355"/>
      <c r="F293" s="1355"/>
      <c r="G293" s="1355"/>
      <c r="H293" s="1355"/>
      <c r="I293" s="1355"/>
      <c r="J293" s="1355"/>
      <c r="K293" s="7"/>
      <c r="L293" s="7"/>
      <c r="M293" s="7"/>
      <c r="N293" s="52"/>
      <c r="O293" s="138">
        <f>'päd.Personal - Leitung'!$O$5</f>
        <v>2025</v>
      </c>
      <c r="P293" s="52" t="s">
        <v>140</v>
      </c>
    </row>
    <row r="294" spans="1:19" s="8" customFormat="1" ht="13.5" customHeight="1" x14ac:dyDescent="0.25">
      <c r="B294" s="29"/>
      <c r="C294" s="29"/>
      <c r="D294" s="3" t="s">
        <v>36</v>
      </c>
      <c r="E294" s="28"/>
      <c r="F294" s="28"/>
      <c r="G294" s="28"/>
      <c r="H294" s="28"/>
      <c r="I294" s="24"/>
      <c r="K294" s="1327" t="s">
        <v>13</v>
      </c>
      <c r="L294" s="1327"/>
      <c r="M294" s="131"/>
      <c r="O294" s="928" t="str">
        <f>A317</f>
        <v>Jan 2025</v>
      </c>
      <c r="P294" s="1402">
        <f>IF(M296="","",M296)</f>
        <v>0</v>
      </c>
    </row>
    <row r="295" spans="1:19" s="5" customFormat="1" ht="13.5" customHeight="1" x14ac:dyDescent="0.25">
      <c r="A295" s="1328" t="s">
        <v>754</v>
      </c>
      <c r="B295" s="1328"/>
      <c r="C295" s="1328"/>
      <c r="D295" s="1329"/>
      <c r="E295" s="1329"/>
      <c r="F295" s="1329"/>
      <c r="G295" s="1329"/>
      <c r="H295" s="1329"/>
      <c r="I295" s="1329"/>
      <c r="K295" s="1327" t="s">
        <v>101</v>
      </c>
      <c r="L295" s="1327"/>
      <c r="M295" s="101"/>
      <c r="O295" s="928" t="str">
        <f t="shared" ref="O295:O305" si="48">A318</f>
        <v>Feb 2025</v>
      </c>
      <c r="P295" s="1403">
        <f t="shared" ref="P295:P302" si="49">IF(P294="","",P294)</f>
        <v>0</v>
      </c>
    </row>
    <row r="296" spans="1:19" ht="13.5" customHeight="1" x14ac:dyDescent="0.2">
      <c r="A296" s="1328" t="s">
        <v>12</v>
      </c>
      <c r="B296" s="1328"/>
      <c r="C296" s="1328"/>
      <c r="D296" s="1345"/>
      <c r="E296" s="1345"/>
      <c r="F296" s="1345"/>
      <c r="G296" s="1345"/>
      <c r="H296" s="1345"/>
      <c r="I296" s="1345"/>
      <c r="K296" s="1327" t="s">
        <v>194</v>
      </c>
      <c r="L296" s="1327"/>
      <c r="M296" s="101">
        <f>IF(M297&gt;M295,0,M295-M297)</f>
        <v>0</v>
      </c>
      <c r="O296" s="928" t="str">
        <f t="shared" si="48"/>
        <v>Mrz 2025</v>
      </c>
      <c r="P296" s="1403">
        <f t="shared" si="49"/>
        <v>0</v>
      </c>
    </row>
    <row r="297" spans="1:19" ht="13.5" customHeight="1" x14ac:dyDescent="0.2">
      <c r="A297" s="1328" t="s">
        <v>11</v>
      </c>
      <c r="B297" s="1328"/>
      <c r="C297" s="1328"/>
      <c r="D297" s="1345"/>
      <c r="E297" s="1345"/>
      <c r="F297" s="1345"/>
      <c r="G297" s="1345"/>
      <c r="H297" s="1345"/>
      <c r="I297" s="1345"/>
      <c r="K297" s="1327" t="s">
        <v>195</v>
      </c>
      <c r="L297" s="1327"/>
      <c r="M297" s="101"/>
      <c r="O297" s="928" t="str">
        <f t="shared" si="48"/>
        <v>Apr 2025</v>
      </c>
      <c r="P297" s="1403">
        <f t="shared" si="49"/>
        <v>0</v>
      </c>
    </row>
    <row r="298" spans="1:19" ht="13.5" customHeight="1" x14ac:dyDescent="0.2">
      <c r="A298" s="1328" t="s">
        <v>18</v>
      </c>
      <c r="B298" s="1328"/>
      <c r="C298" s="1328"/>
      <c r="D298" s="1345"/>
      <c r="E298" s="1345"/>
      <c r="F298" s="1345"/>
      <c r="G298" s="1345"/>
      <c r="H298" s="1345"/>
      <c r="I298" s="1345"/>
      <c r="K298" s="1327" t="s">
        <v>94</v>
      </c>
      <c r="L298" s="1327"/>
      <c r="M298" s="15" t="str">
        <f>IF(IF((COUNTIF(B317:B328,"&gt;0"))=0,0,(COUNTIF(B317:B328,"&gt;0")))&gt;Grundlagen!$C$26,Grundlagen!$C$26,IF((COUNTIF(B317:B328,"&gt;0"))=0,"",(COUNTIF(B317:B328,"&gt;0"))))</f>
        <v/>
      </c>
      <c r="O298" s="928" t="str">
        <f t="shared" si="48"/>
        <v>Mai 2025</v>
      </c>
      <c r="P298" s="1403">
        <f t="shared" si="49"/>
        <v>0</v>
      </c>
    </row>
    <row r="299" spans="1:19" ht="13.5" customHeight="1" x14ac:dyDescent="0.2">
      <c r="B299" s="6"/>
      <c r="C299" s="1012" t="s">
        <v>147</v>
      </c>
      <c r="D299" s="1324"/>
      <c r="E299" s="1324"/>
      <c r="F299" s="1359" t="s">
        <v>103</v>
      </c>
      <c r="G299" s="1359"/>
      <c r="H299" s="1361"/>
      <c r="I299" s="1361"/>
      <c r="M299" s="102" t="str">
        <f>IF((SUM(F302:F305))=0,"",IF(P306&gt;M296,M296,IF(M296="","",IF(M298="","",P306))))</f>
        <v/>
      </c>
      <c r="O299" s="928" t="str">
        <f t="shared" si="48"/>
        <v>Jun 2025</v>
      </c>
      <c r="P299" s="1403">
        <f t="shared" si="49"/>
        <v>0</v>
      </c>
    </row>
    <row r="300" spans="1:19" ht="13.5" customHeight="1" x14ac:dyDescent="0.2">
      <c r="I300" s="4"/>
      <c r="O300" s="928" t="str">
        <f t="shared" si="48"/>
        <v>Jul 2025</v>
      </c>
      <c r="P300" s="1403">
        <f t="shared" si="49"/>
        <v>0</v>
      </c>
    </row>
    <row r="301" spans="1:19" s="46" customFormat="1" ht="13.5" customHeight="1" x14ac:dyDescent="0.2">
      <c r="A301" s="54" t="s">
        <v>134</v>
      </c>
      <c r="B301" s="1356" t="s">
        <v>135</v>
      </c>
      <c r="C301" s="1356"/>
      <c r="D301" s="55" t="s">
        <v>136</v>
      </c>
      <c r="E301" s="56" t="s">
        <v>137</v>
      </c>
      <c r="F301" s="57" t="str">
        <f>CONCATENATE("Entg. ",N291," h/Wo")</f>
        <v>Entg.  h/Wo</v>
      </c>
      <c r="G301" s="58" t="s">
        <v>138</v>
      </c>
      <c r="I301" s="58" t="s">
        <v>139</v>
      </c>
      <c r="K301" s="970"/>
      <c r="L301" s="970"/>
      <c r="M301" s="59"/>
      <c r="N301" s="968" t="str">
        <f>IF(A303="","",A303)</f>
        <v/>
      </c>
      <c r="O301" s="928" t="str">
        <f t="shared" si="48"/>
        <v>Aug 2025</v>
      </c>
      <c r="P301" s="1403">
        <f t="shared" si="49"/>
        <v>0</v>
      </c>
      <c r="Q301" s="85"/>
      <c r="R301" s="85"/>
      <c r="S301" s="85"/>
    </row>
    <row r="302" spans="1:19" s="46" customFormat="1" ht="13.5" customHeight="1" x14ac:dyDescent="0.25">
      <c r="A302" s="48" t="str">
        <f>'päd.Personal - Leitung'!$A$14</f>
        <v>Jan 2025</v>
      </c>
      <c r="B302" s="1357" t="str">
        <f>IF($D$3="","",$D$3)</f>
        <v/>
      </c>
      <c r="C302" s="1358"/>
      <c r="D302" s="132"/>
      <c r="E302" s="132"/>
      <c r="F302" s="71"/>
      <c r="G302" s="50">
        <f>IF(N291="",0,F302/N291/4.348)</f>
        <v>0</v>
      </c>
      <c r="I302" s="125">
        <f>SUM(J302:M302)</f>
        <v>0</v>
      </c>
      <c r="J302" s="124"/>
      <c r="K302" s="124"/>
      <c r="L302" s="124"/>
      <c r="M302" s="124"/>
      <c r="N302" s="969"/>
      <c r="O302" s="928" t="str">
        <f t="shared" si="48"/>
        <v>Sep 2025</v>
      </c>
      <c r="P302" s="1403">
        <f t="shared" si="49"/>
        <v>0</v>
      </c>
      <c r="Q302" s="85"/>
      <c r="R302" s="85"/>
      <c r="S302" s="85"/>
    </row>
    <row r="303" spans="1:19" s="46" customFormat="1" ht="13.5" customHeight="1" x14ac:dyDescent="0.25">
      <c r="A303" s="49"/>
      <c r="B303" s="1322" t="str">
        <f>IF(A303="","",B302)</f>
        <v/>
      </c>
      <c r="C303" s="1323"/>
      <c r="D303" s="132"/>
      <c r="E303" s="132"/>
      <c r="F303" s="71"/>
      <c r="G303" s="50">
        <f>IF(N291="",0,F303/N291/4.348)</f>
        <v>0</v>
      </c>
      <c r="I303" s="125">
        <f t="shared" ref="I303:I305" si="50">SUM(J303:M303)</f>
        <v>0</v>
      </c>
      <c r="J303" s="124"/>
      <c r="K303" s="124"/>
      <c r="L303" s="124"/>
      <c r="M303" s="124"/>
      <c r="N303" s="969"/>
      <c r="O303" s="928" t="str">
        <f t="shared" si="48"/>
        <v>Okt 2025</v>
      </c>
      <c r="P303" s="1403">
        <f t="shared" ref="P303:P305" si="51">IF(P302="","",P302)</f>
        <v>0</v>
      </c>
      <c r="Q303" s="85"/>
      <c r="R303" s="85"/>
      <c r="S303" s="85"/>
    </row>
    <row r="304" spans="1:19" s="46" customFormat="1" ht="13.5" customHeight="1" x14ac:dyDescent="0.25">
      <c r="A304" s="49"/>
      <c r="B304" s="1322" t="str">
        <f>IF(A304="","",B303)</f>
        <v/>
      </c>
      <c r="C304" s="1323"/>
      <c r="D304" s="132"/>
      <c r="E304" s="132"/>
      <c r="F304" s="71"/>
      <c r="G304" s="50">
        <f>IF(N291="",0,F304/N291/4.348)</f>
        <v>0</v>
      </c>
      <c r="I304" s="125">
        <f t="shared" si="50"/>
        <v>0</v>
      </c>
      <c r="J304" s="124"/>
      <c r="K304" s="124"/>
      <c r="L304" s="124"/>
      <c r="M304" s="124"/>
      <c r="N304" s="969"/>
      <c r="O304" s="928" t="str">
        <f t="shared" si="48"/>
        <v>Nov 2025</v>
      </c>
      <c r="P304" s="1403">
        <f t="shared" si="51"/>
        <v>0</v>
      </c>
      <c r="Q304" s="85"/>
      <c r="R304" s="85"/>
      <c r="S304" s="85"/>
    </row>
    <row r="305" spans="1:22" s="46" customFormat="1" ht="13.5" customHeight="1" x14ac:dyDescent="0.25">
      <c r="A305" s="49"/>
      <c r="B305" s="1322" t="str">
        <f>IF(A305="","",B304)</f>
        <v/>
      </c>
      <c r="C305" s="1323"/>
      <c r="D305" s="132"/>
      <c r="E305" s="132"/>
      <c r="F305" s="71"/>
      <c r="G305" s="50">
        <f>IF(N291="",0,F305/N291/4.348)</f>
        <v>0</v>
      </c>
      <c r="I305" s="125">
        <f t="shared" si="50"/>
        <v>0</v>
      </c>
      <c r="J305" s="124"/>
      <c r="K305" s="124"/>
      <c r="L305" s="124"/>
      <c r="M305" s="124"/>
      <c r="N305" s="969"/>
      <c r="O305" s="928" t="str">
        <f t="shared" si="48"/>
        <v>Dez 2025</v>
      </c>
      <c r="P305" s="1403">
        <f t="shared" si="51"/>
        <v>0</v>
      </c>
      <c r="Q305" s="85"/>
      <c r="R305" s="85"/>
      <c r="S305" s="85"/>
    </row>
    <row r="306" spans="1:22" s="46" customFormat="1" ht="13.5" customHeight="1" x14ac:dyDescent="0.25">
      <c r="B306" s="972"/>
      <c r="C306" s="972"/>
      <c r="E306" s="972"/>
      <c r="F306" s="972"/>
      <c r="I306" s="930" t="s">
        <v>730</v>
      </c>
      <c r="J306" s="976"/>
      <c r="K306" s="976"/>
      <c r="L306" s="976"/>
      <c r="M306" s="976"/>
      <c r="N306" s="971"/>
      <c r="O306" s="126" t="s">
        <v>221</v>
      </c>
      <c r="P306" s="127">
        <f>IF(M298="",0,((IF(SUMIF(B317,"&gt;0"),P294,0))+(IF(SUMIF(B318,"&gt;0"),P295,0))+(IF(SUMIF(B319,"&gt;0"),P296,0))+(IF(SUMIF(B320,"&gt;0"),P297,0))+(IF(SUMIF(B321,"&gt;0"),P298,0))+(IF(SUMIF(B322,"&gt;0"),P299,0))+(IF(SUMIF(B323,"&gt;0"),P300,0))+(IF(SUMIF(B324,"&gt;0"),P301,0))+(IF(SUMIF(B325,"&gt;0"),P302,0))+(IF(SUMIF(B326,"&gt;0"),P303,0))+(IF(SUMIF(B327,"&gt;0"),P304,0))+(IF(SUMIF(B328,"&gt;0"),P305,0)))/Grundlagen!$C$26)</f>
        <v>0</v>
      </c>
      <c r="Q306" s="978" t="str">
        <f>CONCATENATE("BBG"," anteilig ",O308)</f>
        <v>BBG anteilig 2025</v>
      </c>
      <c r="R306" s="931" t="s">
        <v>659</v>
      </c>
      <c r="S306" s="931" t="s">
        <v>398</v>
      </c>
      <c r="T306" s="107"/>
    </row>
    <row r="307" spans="1:22" s="46" customFormat="1" ht="13.5" customHeight="1" x14ac:dyDescent="0.2">
      <c r="A307" s="924" t="s">
        <v>732</v>
      </c>
      <c r="D307" s="55" t="s">
        <v>369</v>
      </c>
      <c r="E307" s="56" t="s">
        <v>368</v>
      </c>
      <c r="F307" s="58"/>
      <c r="J307" s="61"/>
      <c r="Q307" s="932" t="s">
        <v>144</v>
      </c>
      <c r="R307" s="140">
        <f>IF(M296=0,R311,IF(M295="",R311,(SUM(R317:R328)/M299)))</f>
        <v>5175</v>
      </c>
      <c r="S307" s="933">
        <f>IF(M296=0,S311,IF(M295="",S311,SUM(R317:R328)))</f>
        <v>0</v>
      </c>
      <c r="T307" s="107"/>
    </row>
    <row r="308" spans="1:22" s="46" customFormat="1" ht="13.5" customHeight="1" x14ac:dyDescent="0.25">
      <c r="A308" s="60"/>
      <c r="B308" s="1314" t="str">
        <f>IF($B$20="","",$B$20)</f>
        <v>Jahressonderzahlung (JSZ)</v>
      </c>
      <c r="C308" s="1315"/>
      <c r="D308" s="926"/>
      <c r="E308" s="929" t="str">
        <f>IF(A308="","",ROUND((((SUM(B323:B325)+SUM(F323:F325))/3)*D308)/Grundlagen!$C$26*M298,2))</f>
        <v/>
      </c>
      <c r="G308" s="941" t="s">
        <v>733</v>
      </c>
      <c r="H308" s="943"/>
      <c r="I308" s="1316" t="str">
        <f>CONCATENATE(R331,":"," Übergangsbereich von ",R332+0.01," €"," bis ",R333," €")</f>
        <v>2025: Übergangsbereich von 556,01 € bis 2000 €</v>
      </c>
      <c r="J308" s="1317"/>
      <c r="K308" s="1317"/>
      <c r="L308" s="1067"/>
      <c r="M308" s="1067"/>
      <c r="N308" s="1068" t="s">
        <v>736</v>
      </c>
      <c r="O308" s="1069">
        <f>P308+1</f>
        <v>2025</v>
      </c>
      <c r="P308" s="1069" t="s">
        <v>721</v>
      </c>
      <c r="Q308" s="932" t="s">
        <v>145</v>
      </c>
      <c r="R308" s="140">
        <f>IF(M296=0,R312,IF(M295="",R312,(SUM(S317:S328)/M299)))</f>
        <v>7450</v>
      </c>
      <c r="S308" s="933">
        <f>IF(M296=0,S312,IF(M295="",S312,SUM(S317:S328)))</f>
        <v>0</v>
      </c>
      <c r="T308" s="109"/>
    </row>
    <row r="309" spans="1:22" ht="14.25" customHeight="1" x14ac:dyDescent="0.2">
      <c r="A309" s="60"/>
      <c r="B309" s="1314" t="str">
        <f>IF($B$21="","",$B$21)</f>
        <v>Leistungsentgelt (LOB)</v>
      </c>
      <c r="C309" s="1315"/>
      <c r="D309" s="926"/>
      <c r="E309" s="929" t="str">
        <f>IF(A309="","",ROUND(((B329+F329)*D309)/Grundlagen!$C$26*M298,2))</f>
        <v/>
      </c>
      <c r="G309" s="941" t="str">
        <f>IF(OR(H308="",H308="nein")=TRUE,"","Faktor (F):")</f>
        <v/>
      </c>
      <c r="H309" s="949" t="str">
        <f>IF(OR(H308="",H308="nein")=TRUE,"",IF(H308="","",R335))</f>
        <v/>
      </c>
      <c r="I309" s="1318" t="str">
        <f>IF(OR(H308="",H308="nein")=TRUE,"",IF(H309="","",CONCATENATE(S335*100,"%"," / ","(",R334*100,"%"," Gesamt-SV-Beitragssatz 2024)")))</f>
        <v/>
      </c>
      <c r="J309" s="1319"/>
      <c r="K309" s="1319"/>
      <c r="L309" s="1070"/>
      <c r="M309" s="1070"/>
      <c r="N309" s="1071" t="s">
        <v>144</v>
      </c>
      <c r="O309" s="1072">
        <f>'päd.Personal - Leitung'!$O$21</f>
        <v>5175</v>
      </c>
      <c r="P309" s="1072">
        <f>'päd.Personal - Leitung'!$P$21</f>
        <v>5175</v>
      </c>
      <c r="Q309" s="11"/>
      <c r="R309" s="11"/>
      <c r="S309" s="11"/>
      <c r="T309" s="109"/>
    </row>
    <row r="310" spans="1:22" ht="14.25" customHeight="1" x14ac:dyDescent="0.2">
      <c r="C310" s="925" t="s">
        <v>731</v>
      </c>
      <c r="L310" s="1070"/>
      <c r="M310" s="1070"/>
      <c r="N310" s="1071" t="s">
        <v>145</v>
      </c>
      <c r="O310" s="1073">
        <f>'päd.Personal - Leitung'!$O$22</f>
        <v>7450</v>
      </c>
      <c r="P310" s="1073">
        <f>'päd.Personal - Leitung'!$P$22</f>
        <v>7450</v>
      </c>
      <c r="Q310" s="978" t="str">
        <f>CONCATENATE("BBG"," ",O308)</f>
        <v>BBG 2025</v>
      </c>
      <c r="R310" s="11"/>
      <c r="S310" s="11"/>
      <c r="T310" s="109"/>
    </row>
    <row r="311" spans="1:22" ht="14.25" customHeight="1" x14ac:dyDescent="0.2">
      <c r="A311" s="53" t="s">
        <v>141</v>
      </c>
      <c r="B311" s="46"/>
      <c r="C311" s="46"/>
      <c r="D311" s="46"/>
      <c r="E311" s="46"/>
      <c r="F311" s="46"/>
      <c r="G311" s="46"/>
      <c r="H311" s="46"/>
      <c r="I311" s="46"/>
      <c r="J311" s="46"/>
      <c r="K311" s="46"/>
      <c r="L311" s="46"/>
      <c r="M311" s="46"/>
      <c r="N311" s="46"/>
      <c r="O311" s="46"/>
      <c r="P311" s="46"/>
      <c r="Q311" s="932" t="s">
        <v>144</v>
      </c>
      <c r="R311" s="141">
        <f>IF($O$21="",0,$O$21)</f>
        <v>5175</v>
      </c>
      <c r="S311" s="933">
        <f>R311*IF(M299="",0,M299)</f>
        <v>0</v>
      </c>
      <c r="T311" s="295"/>
    </row>
    <row r="312" spans="1:22" ht="14.25" customHeight="1" x14ac:dyDescent="0.2">
      <c r="A312" s="1346"/>
      <c r="B312" s="1348" t="s">
        <v>8</v>
      </c>
      <c r="C312" s="1349"/>
      <c r="D312" s="1349"/>
      <c r="E312" s="1349"/>
      <c r="F312" s="1349"/>
      <c r="G312" s="1350"/>
      <c r="H312" s="1351" t="s">
        <v>113</v>
      </c>
      <c r="I312" s="1352"/>
      <c r="J312" s="1352"/>
      <c r="K312" s="1352"/>
      <c r="L312" s="1352"/>
      <c r="M312" s="1352"/>
      <c r="N312" s="1352"/>
      <c r="O312" s="30"/>
      <c r="P312" s="1330" t="s">
        <v>0</v>
      </c>
      <c r="Q312" s="932" t="s">
        <v>145</v>
      </c>
      <c r="R312" s="141">
        <f>IF($O$22="",0,$O$22)</f>
        <v>7450</v>
      </c>
      <c r="S312" s="933">
        <f>R312*IF(M299="",0,M299)</f>
        <v>0</v>
      </c>
      <c r="T312" s="830"/>
    </row>
    <row r="313" spans="1:22" ht="14.25" customHeight="1" x14ac:dyDescent="0.2">
      <c r="A313" s="1347"/>
      <c r="B313" s="1333" t="s">
        <v>111</v>
      </c>
      <c r="C313" s="1335" t="s">
        <v>743</v>
      </c>
      <c r="D313" s="1337" t="s">
        <v>226</v>
      </c>
      <c r="E313" s="1339" t="s">
        <v>133</v>
      </c>
      <c r="F313" s="1014" t="s">
        <v>6</v>
      </c>
      <c r="G313" s="1340" t="s">
        <v>5</v>
      </c>
      <c r="H313" s="1339" t="s">
        <v>119</v>
      </c>
      <c r="I313" s="1339" t="s">
        <v>4</v>
      </c>
      <c r="J313" s="1339" t="s">
        <v>3</v>
      </c>
      <c r="K313" s="1339" t="s">
        <v>2</v>
      </c>
      <c r="L313" s="1339" t="s">
        <v>114</v>
      </c>
      <c r="M313" s="1339" t="s">
        <v>115</v>
      </c>
      <c r="N313" s="1339" t="s">
        <v>116</v>
      </c>
      <c r="O313" s="1338" t="s">
        <v>109</v>
      </c>
      <c r="P313" s="1331"/>
      <c r="Q313" s="456"/>
      <c r="R313" s="11"/>
      <c r="S313" s="11"/>
      <c r="T313" s="621"/>
    </row>
    <row r="314" spans="1:22" ht="14.25" customHeight="1" x14ac:dyDescent="0.2">
      <c r="A314" s="1347"/>
      <c r="B314" s="1333"/>
      <c r="C314" s="1335"/>
      <c r="D314" s="1338"/>
      <c r="E314" s="1339"/>
      <c r="F314" s="1343" t="str">
        <f>I306</f>
        <v>Zuschläge / Zulagen / o.ä.:</v>
      </c>
      <c r="G314" s="1340"/>
      <c r="H314" s="1342" t="s">
        <v>117</v>
      </c>
      <c r="I314" s="1342"/>
      <c r="J314" s="1342"/>
      <c r="K314" s="1342"/>
      <c r="L314" s="1342"/>
      <c r="M314" s="1342"/>
      <c r="N314" s="1342"/>
      <c r="O314" s="1338"/>
      <c r="P314" s="1331"/>
      <c r="Q314" s="456"/>
      <c r="R314" s="1306" t="str">
        <f>Q306</f>
        <v>BBG anteilig 2025</v>
      </c>
      <c r="S314" s="1306"/>
      <c r="T314" s="829"/>
    </row>
    <row r="315" spans="1:22" ht="14.25" customHeight="1" x14ac:dyDescent="0.2">
      <c r="A315" s="1347"/>
      <c r="B315" s="1333"/>
      <c r="C315" s="1335"/>
      <c r="D315" s="1338"/>
      <c r="E315" s="1339"/>
      <c r="F315" s="1343"/>
      <c r="G315" s="1340"/>
      <c r="H315" s="39" t="str">
        <f>'päd.Personal - Leitung'!$H$27</f>
        <v>(7,30% + Zusatz)</v>
      </c>
      <c r="I315" s="39" t="str">
        <f>'päd.Personal - Leitung'!$I$27</f>
        <v xml:space="preserve"> (2024: 9,30%)</v>
      </c>
      <c r="J315" s="39" t="str">
        <f>'päd.Personal - Leitung'!$J$27</f>
        <v>(2024: 1,30%)</v>
      </c>
      <c r="K315" s="39" t="str">
        <f>'päd.Personal - Leitung'!$K$27</f>
        <v>(2024: 1,700%)</v>
      </c>
      <c r="L315" s="39"/>
      <c r="M315" s="39"/>
      <c r="N315" s="39" t="str">
        <f>'päd.Personal - Leitung'!$N$27</f>
        <v>(2024: 0,06%)</v>
      </c>
      <c r="O315" s="1338"/>
      <c r="P315" s="1331"/>
      <c r="Q315" s="456"/>
      <c r="R315" s="1307" t="s">
        <v>659</v>
      </c>
      <c r="S315" s="1307"/>
      <c r="T315" s="829"/>
      <c r="U315" s="1308" t="s">
        <v>1</v>
      </c>
      <c r="V315" s="1308" t="s">
        <v>741</v>
      </c>
    </row>
    <row r="316" spans="1:22" x14ac:dyDescent="0.2">
      <c r="A316" s="1347"/>
      <c r="B316" s="1334"/>
      <c r="C316" s="1336"/>
      <c r="D316" s="45"/>
      <c r="E316" s="45"/>
      <c r="F316" s="1344"/>
      <c r="G316" s="1341"/>
      <c r="H316" s="74"/>
      <c r="I316" s="99">
        <f>'päd.Personal - Leitung'!$I$28</f>
        <v>0</v>
      </c>
      <c r="J316" s="99">
        <f>'päd.Personal - Leitung'!$J$28</f>
        <v>0</v>
      </c>
      <c r="K316" s="40">
        <f>'päd.Personal - Leitung'!$K$28</f>
        <v>0</v>
      </c>
      <c r="L316" s="19"/>
      <c r="M316" s="19"/>
      <c r="N316" s="99">
        <f>'päd.Personal - Leitung'!$N$28</f>
        <v>0</v>
      </c>
      <c r="O316" s="23"/>
      <c r="P316" s="1332"/>
      <c r="Q316" s="456"/>
      <c r="R316" s="935" t="s">
        <v>144</v>
      </c>
      <c r="S316" s="935" t="s">
        <v>145</v>
      </c>
      <c r="T316" s="829"/>
      <c r="U316" s="1308"/>
      <c r="V316" s="1308"/>
    </row>
    <row r="317" spans="1:22" x14ac:dyDescent="0.2">
      <c r="A317" s="76" t="str">
        <f>CONCATENATE("Jan ",O293)</f>
        <v>Jan 2025</v>
      </c>
      <c r="B317" s="22">
        <f>ROUND(IF(P294=0,0,(LOOKUP(2,1/(A302:A305=A317),G302:G305))*P294*4.348),2)</f>
        <v>0</v>
      </c>
      <c r="C317" s="21">
        <f>ROUND(IFERROR((LOOKUP(2,1/(A308=A317),E308)),0)+IFERROR((LOOKUP(2,1/(A309=A317),E309)),0),2)</f>
        <v>0</v>
      </c>
      <c r="D317" s="21">
        <f>ROUND(IF(B317=0,0,D316/M295*P294),2)</f>
        <v>0</v>
      </c>
      <c r="E317" s="21">
        <f>ROUND(IF(B317=0,0,E316/N291*P294),2)</f>
        <v>0</v>
      </c>
      <c r="F317" s="22">
        <f>ROUND(IF(P294=0,0,(LOOKUP(2,1/(A302:A305=A317),I302:I305))/N291*P294),2)</f>
        <v>0</v>
      </c>
      <c r="G317" s="25">
        <f t="shared" ref="G317:G328" si="52">SUM(B317+C317+E317+F317)</f>
        <v>0</v>
      </c>
      <c r="H317" s="64">
        <f>IF(B317=0,0,IF(AND(H308="ja",((U317)&lt;R333)),ROUND(((R335*R332+((R333/(R333-R332))-(R332/(R333-R332))*R335)*((U317)-R332))*(H316*2))-(((R333/(R333-R332))*((U317)-R332))*H316),2),ROUND(IF((U317)&gt;R317,R317*H316,U317*H316),2)))</f>
        <v>0</v>
      </c>
      <c r="I317" s="64">
        <f>IF(B317=0,0,IF(AND(H308="ja",((U317)&lt;R333)),ROUND(((R335*R332+((R333/(R333-R332))-(R332/(R333-R332))*R335)*((U317)-R332))*(I316*2))-(((R333/(R333-R332))*((U317)-R332))*I316),2),ROUND(IF((U317)&gt;S317,S317*I316,U317*I316),2)))</f>
        <v>0</v>
      </c>
      <c r="J317" s="64">
        <f>IF(B317=0,0,IF(AND(H308="ja",((U317)&lt;R333)),ROUND(((R335*R332+((R333/(R333-R332))-(R332/(R333-R332))*R335)*((U317)-R332))*(J316*2))-(((R333/(R333-R332))*((U317)-R332))*J316),2),ROUND(IF((U317)&gt;S317,S317*J316,U317*J316),2)))</f>
        <v>0</v>
      </c>
      <c r="K317" s="64">
        <f>IF(B317=0,0,IF(AND(H308="ja",((U317)&lt;R333)),ROUND(((R335*R332+((R333/(R333-R332))-(R332/(R333-R332))*R335)*((U317)-R332))*(K316*2))-(((R333/(R333-R332))*((U317)-R332))*K316),2),ROUND(IF((U317)&gt;R317,R317*K316,U317*K316),2)))</f>
        <v>0</v>
      </c>
      <c r="L317" s="64">
        <f>IF(B317=0,0,IF(AND(H308="ja",((U317-C317)&lt;R333)),ROUND(((R335*R332+((R333/(R333-R332))-(R332/(R333-R332))*R335)*((U317-C317)-R332))*(L316)),2),ROUND(IF((SUM(B317:F317))&gt;S317,S317*L316,(SUM(B317:F317)-C317)*L316),2)))</f>
        <v>0</v>
      </c>
      <c r="M317" s="64">
        <f>IF(B317=0,0,IF(AND(H308="ja",((U317-C317)&lt;R333)),ROUND(((R335*R332+((R333/(R333-R332))-(R332/(R333-R332))*R335)*((U317-C317)-R332))*(M316)),2),ROUND(IF((SUM(B317:F317))&gt;S317,S317*M316,(SUM(B317:F317)-C317)*M316),2)))</f>
        <v>0</v>
      </c>
      <c r="N317" s="64">
        <f>IF(B317=0,0,IF(AND(H308="ja",((U317)&lt;R333)),ROUND(((R335*R332+((R333/(R333-R332))-(R332/(R333-R332))*R335)*((U317)-R332))*(N316)),2),ROUND(IF((SUM(B317:F317))&gt;S317,S317*N316,SUM(B317:F317)*N316),2)))</f>
        <v>0</v>
      </c>
      <c r="O317" s="21">
        <f>ROUND(SUM(B317+C317+F317)*O316,2)</f>
        <v>0</v>
      </c>
      <c r="P317" s="25">
        <f>SUM(G317:O317)</f>
        <v>0</v>
      </c>
      <c r="Q317" s="456"/>
      <c r="R317" s="140">
        <f>ROUND(IF(M295="",R311,R311/M295*P294),2)</f>
        <v>5175</v>
      </c>
      <c r="S317" s="140">
        <f>ROUND(IF(M295="",R312,R312/M295*P294),2)</f>
        <v>7450</v>
      </c>
      <c r="U317" s="950">
        <f>SUM(B317:F317)</f>
        <v>0</v>
      </c>
      <c r="V317" s="950">
        <f>SUM(B317:F317)</f>
        <v>0</v>
      </c>
    </row>
    <row r="318" spans="1:22" x14ac:dyDescent="0.2">
      <c r="A318" s="76" t="str">
        <f>CONCATENATE("Feb ",O293)</f>
        <v>Feb 2025</v>
      </c>
      <c r="B318" s="22">
        <f>ROUND(IF(P295=0,0,IFERROR(((LOOKUP(2,1/(A302:A305=A318),G302:G305))*P295*4.348),B317/P294*P295)),2)</f>
        <v>0</v>
      </c>
      <c r="C318" s="21">
        <f>ROUND(IFERROR((LOOKUP(2,1/(A308=A318),E308)),0)+IFERROR((LOOKUP(2,1/(A309=A318),E309)),0),2)</f>
        <v>0</v>
      </c>
      <c r="D318" s="21">
        <f>ROUND(IF(B318=0,0,D316/M295*P295),2)</f>
        <v>0</v>
      </c>
      <c r="E318" s="21">
        <f>ROUND(IF(B318=0,0,E316/N291*P295),2)</f>
        <v>0</v>
      </c>
      <c r="F318" s="22">
        <f>ROUND(IF(P295=0,0,IFERROR(((LOOKUP(2,1/(A302:A305=A318),I302:I305))/N291*P295),F317/P294*P295)),2)</f>
        <v>0</v>
      </c>
      <c r="G318" s="25">
        <f t="shared" si="52"/>
        <v>0</v>
      </c>
      <c r="H318" s="64">
        <f>IF(B318=0,0,IF(AND(H308="ja",((U318)&lt;R333)),ROUND(((R335*R332+((R333/(R333-R332))-(R332/(R333-R332))*R335)*((U318)-R332))*(H316*2))-(((R333/(R333-R332))*((U318)-R332))*H316),2),ROUND(IF(U317&lt;(R317),IF((V318)&gt;(SUM(R317:R318)),(((SUM(R317:R318))-(V318-C317))*H316)+((U318-C317)*H316),U318*H316),IF(V318&gt;(SUM(R317:R318)),R318*H316,U318*H316)),2)))</f>
        <v>0</v>
      </c>
      <c r="I318" s="64">
        <f>IF(B318=0,0,IF(AND(H308="ja",((U318)&lt;R333)),ROUND(((R335*R332+((R333/(R333-R332))-(R332/(R333-R332))*R335)*((U318)-R332))*(I316*2))-(((R333/(R333-R332))*((U318)-R332))*I316),2),ROUND(IF(U317&lt;(S317),IF((V318)&gt;(SUM(S317:S318)),(((SUM(S317:S318))-(V318-C317))*I316)+((U318-C317)*I316),U318*I316),IF(V318&gt;(SUM(S317:S318)),S318*I316,U318*I316)),2)))</f>
        <v>0</v>
      </c>
      <c r="J318" s="64">
        <f>IF(B318=0,0,IF(AND(H308="ja",((U318)&lt;R333)),ROUND(((R335*R332+((R333/(R333-R332))-(R332/(R333-R332))*R335)*((U318)-R332))*(J316*2))-(((R333/(R333-R332))*((U318)-R332))*J316),2),ROUND(IF(U317&lt;(S317),IF((V318)&gt;(SUM(S317:S318)),(((SUM(S317:S318))-(V318-C317))*J316)+((U318-C317)*J316),U318*J316),IF(V318&gt;(SUM(S317:S318)),S318*J316,U318*J316)),2)))</f>
        <v>0</v>
      </c>
      <c r="K318" s="64">
        <f>IF(B318=0,0,IF(AND(H308="ja",((U318)&lt;R333)),ROUND(((R335*R332+((R333/(R333-R332))-(R332/(R333-R332))*R335)*((U318)-R332))*(K316*2))-(((R333/(R333-R332))*((U318)-R332))*K316),2),ROUND(IF(U317&lt;(R317),IF((V318)&gt;(SUM(R317:R318)),(((SUM(R317:R318))-(V318-C317))*K316)+((U318-C317)*K316),U318*K316),IF(V318&gt;(SUM(R317:R318)),R318*K316,U318*K316)),2)))</f>
        <v>0</v>
      </c>
      <c r="L318" s="64">
        <f>IF(B318=0,0,IF(AND(H308="ja",((U318-C318)&lt;R333)),ROUND(((R335*R332+((R333/(R333-R332))-(R332/(R333-R332))*R335)*((U318-C318)-R332))*(L316)),2),ROUND(IF(SUM(B317:F317)&lt;(S317),IF((SUM(B317:F318))&gt;(SUM(S317:S318)),(((SUM(S317:S318))-(SUM(B317:F318)-C318))*L316)+((SUM(B318:F318)-C318)*L316),(SUM(B318:F318)-C318)*L316),IF(SUM(B317:F318)&gt;(SUM(S317:S318)),S318*L316,SUM(B318:F318)*L316)),2)))</f>
        <v>0</v>
      </c>
      <c r="M318" s="64">
        <f>IF(B318=0,0,IF(AND(H308="ja",((U318-C318)&lt;R333)),ROUND(((R335*R332+((R333/(R333-R332))-(R332/(R333-R332))*R335)*((U318-C318)-R332))*(M316)),2),ROUND(IF(SUM(B317:F317)&lt;(S317),IF((SUM(B317:F318))&gt;(SUM(S317:S318)),(((SUM(S317:S318))-(SUM(B317:F318)-C318))*M316)+((SUM(B318:F318)-C318)*M316),(SUM(B318:F318)-C318)*M316),IF(SUM(B317:F318)&gt;(SUM(S317:S318)),S318*M316,SUM(B318:F318)*M316)),2)))</f>
        <v>0</v>
      </c>
      <c r="N318" s="64">
        <f>IF(B318=0,0,IF(AND(H308="ja",((U318)&lt;R333)),ROUND(((R335*R332+((R333/(R333-R332))-(R332/(R333-R332))*R335)*((U318)-R332))*(N316)),2),ROUND(IF(SUM(B317:F317)&lt;(S317),IF((SUM(B317:F318))&gt;(SUM(S317:S318)),(((SUM(S317:S318))-(SUM(B317:F318)-C317))*N316)+((SUM(B318:F318)-C317)*N316),SUM(B318:F318)*N316),IF(SUM(B317:F318)&gt;(SUM(S317:S318)),S318*N316,SUM(B318:F318)*N316)),2)))</f>
        <v>0</v>
      </c>
      <c r="O318" s="21">
        <f>ROUND(SUM(B318+C318+F318)*O316,2)</f>
        <v>0</v>
      </c>
      <c r="P318" s="25">
        <f t="shared" ref="P318:P328" si="53">SUM(G318:O318)</f>
        <v>0</v>
      </c>
      <c r="Q318" s="456"/>
      <c r="R318" s="140">
        <f>ROUND(IF(M295="",R311,R311/M295*P295),2)</f>
        <v>5175</v>
      </c>
      <c r="S318" s="140">
        <f>ROUND(IF(M295="",R312,R312/M295*P295),2)</f>
        <v>7450</v>
      </c>
      <c r="U318" s="950">
        <f t="shared" ref="U318:U328" si="54">SUM(B318:F318)</f>
        <v>0</v>
      </c>
      <c r="V318" s="950">
        <f>SUM(B317:F318)</f>
        <v>0</v>
      </c>
    </row>
    <row r="319" spans="1:22" x14ac:dyDescent="0.2">
      <c r="A319" s="76" t="str">
        <f>CONCATENATE("Mrz ",O293)</f>
        <v>Mrz 2025</v>
      </c>
      <c r="B319" s="22">
        <f>ROUND(IF(P296=0,0,IFERROR(((LOOKUP(2,1/(A302:A305=A319),G302:G305))*P296*4.348),B318/P295*P296)),2)</f>
        <v>0</v>
      </c>
      <c r="C319" s="21">
        <f>ROUND(IFERROR((LOOKUP(2,1/(A308=A319),E308)),0)+IFERROR((LOOKUP(2,1/(A309=A319),E309)),0),2)</f>
        <v>0</v>
      </c>
      <c r="D319" s="21">
        <f>ROUND(IF(B319=0,0,D316/M295*P296),2)</f>
        <v>0</v>
      </c>
      <c r="E319" s="21">
        <f>ROUND(IF(B319=0,0,E316/N291*P296),2)</f>
        <v>0</v>
      </c>
      <c r="F319" s="22">
        <f>ROUND(IF(P296=0,0,IFERROR(((LOOKUP(2,1/(A302:A305=A319),I302:I305))/N291*P296),F318/P295*P296)),2)</f>
        <v>0</v>
      </c>
      <c r="G319" s="25">
        <f t="shared" si="52"/>
        <v>0</v>
      </c>
      <c r="H319" s="64">
        <f>IF(B319=0,0,IF(AND(H308="ja",((U319)&lt;R333)),ROUND(((R335*R332+((R333/(R333-R332))-(R332/(R333-R332))*R335)*((U319)-R332))*(H316*2))-(((R333/(R333-R332))*((U319)-R332))*H316),2),ROUND(IF(V318&lt;(SUM(R317:R318)),IF((V319)&gt;(SUM(R317:R319)),(((SUM(R317:R319))-(V319-C318))*H316)+((U319-C318)*H316),U319*H316),IF(V319&gt;(SUM(R317:R319)),R319*H316,U319*H316)),2)))</f>
        <v>0</v>
      </c>
      <c r="I319" s="64">
        <f>IF(B319=0,0,IF(AND(H308="ja",((U319)&lt;R333)),ROUND(((R335*R332+((R333/(R333-R332))-(R332/(R333-R332))*R335)*((U319)-R332))*(I316*2))-(((R333/(R333-R332))*((U319)-R332))*I316),2),ROUND(IF(V318&lt;(SUM(S317:S318)),IF((V319)&gt;(SUM(S317:S319)),(((SUM(S317:S319))-(V319-C318))*I316)+((U319-C318)*I316),U319*I316),IF(V319&gt;(SUM(S317:S319)),S319*I316,U319*I316)),2)))</f>
        <v>0</v>
      </c>
      <c r="J319" s="64">
        <f>IF(B319=0,0,IF(AND(H308="ja",((U319)&lt;R333)),ROUND(((R335*R332+((R333/(R333-R332))-(R332/(R333-R332))*R335)*((U319)-R332))*(J316*2))-(((R333/(R333-R332))*((U319)-R332))*J316),2),ROUND(IF(V318&lt;(SUM(S317:S318)),IF((V319)&gt;(SUM(S317:S319)),(((SUM(S317:S319))-(V319-C318))*J316)+((U319-C318)*J316),U319*J316),IF(V319&gt;(SUM(S317:S319)),S319*J316,U319*J316)),2)))</f>
        <v>0</v>
      </c>
      <c r="K319" s="64">
        <f>IF(B319=0,0,IF(AND(H308="ja",((U319)&lt;R333)),ROUND(((R335*R332+((R333/(R333-R332))-(R332/(R333-R332))*R335)*((U319)-R332))*(K316*2))-(((R333/(R333-R332))*((U319)-R332))*K316),2),ROUND(IF(V318&lt;(SUM(R317:R318)),IF((V319)&gt;(SUM(R317:R319)),(((SUM(R317:R319))-(V319-C318))*K316)+((U319-C318)*K316),U319*K316),IF(V319&gt;(SUM(R317:R319)),R319*K316,U319*K316)),2)))</f>
        <v>0</v>
      </c>
      <c r="L319" s="64">
        <f>IF(B319=0,0,IF(AND(H308="ja",((U319-C319)&lt;R333)),ROUND(((R335*R332+((R333/(R333-R332))-(R332/(R333-R332))*R335)*((U319-C319)-R332))*(L316)),2),ROUND(IF(SUM(B317:F318)&lt;(SUM(S317:S318)),IF((SUM(B317:F319))&gt;(SUM(S317:S319)),(((SUM(S317:S319))-(SUM(B317:F319)-C319))*L316)+((SUM(B319:F319)-C319)*L316),(SUM(B319:F319)-C319)*L316),IF(SUM(B317:F319)&gt;(SUM(S317:S319)),S319*L316,SUM(B319:F319)*L316)),2)))</f>
        <v>0</v>
      </c>
      <c r="M319" s="64">
        <f>IF(B319=0,0,IF(AND(H308="ja",((U319-C319)&lt;R333)),ROUND(((R335*R332+((R333/(R333-R332))-(R332/(R333-R332))*R335)*((U319-C319)-R332))*(M316)),2),ROUND(IF(SUM(B317:F318)&lt;(SUM(S317:S318)),IF((SUM(B317:F319))&gt;(SUM(S317:S319)),(((SUM(S317:S319))-(SUM(B317:F319)-C319))*M316)+((SUM(B319:F319)-C319)*M316),(SUM(B319:F319)-C319)*M316),IF(SUM(B317:F319)&gt;(SUM(S317:S319)),S319*M316,SUM(B319:F319)*M316)),2)))</f>
        <v>0</v>
      </c>
      <c r="N319" s="64">
        <f>IF(B319=0,0,IF(AND(H308="ja",((U319)&lt;R333)),ROUND(((R335*R332+((R333/(R333-R332))-(R332/(R333-R332))*R335)*((U319)-R332))*(N316)),2),ROUND(IF(SUM(B317:F318)&lt;(SUM(S317:S318)),IF((SUM(B317:F319))&gt;(SUM(S317:S319)),(((SUM(S317:S319))-(SUM(B317:F319)-C318))*N316)+((SUM(B319:F319)-C318)*N316),SUM(B319:F319)*N316),IF(SUM(B317:F319)&gt;(SUM(S317:S319)),S319*N316,SUM(B319:F319)*N316)),2)))</f>
        <v>0</v>
      </c>
      <c r="O319" s="21">
        <f>ROUND(SUM(B319+C319+F319)*O316,2)</f>
        <v>0</v>
      </c>
      <c r="P319" s="25">
        <f t="shared" si="53"/>
        <v>0</v>
      </c>
      <c r="Q319" s="456"/>
      <c r="R319" s="140">
        <f>ROUND(IF(M295="",R311,R311/M295*P296),2)</f>
        <v>5175</v>
      </c>
      <c r="S319" s="140">
        <f>ROUND(IF(M295="",R312,R312/M295*P296),2)</f>
        <v>7450</v>
      </c>
      <c r="U319" s="950">
        <f t="shared" si="54"/>
        <v>0</v>
      </c>
      <c r="V319" s="950">
        <f>SUM(B317:F319)</f>
        <v>0</v>
      </c>
    </row>
    <row r="320" spans="1:22" x14ac:dyDescent="0.2">
      <c r="A320" s="76" t="str">
        <f>CONCATENATE("Apr ",O293)</f>
        <v>Apr 2025</v>
      </c>
      <c r="B320" s="22">
        <f>ROUND(IF(P297=0,0,IFERROR(((LOOKUP(2,1/(A302:A305=A320),G302:G305))*P297*4.348),B319/P296*P297)),2)</f>
        <v>0</v>
      </c>
      <c r="C320" s="21">
        <f>ROUND(IFERROR((LOOKUP(2,1/(A308=A320),E308)),0)+IFERROR((LOOKUP(2,1/(A309=A320),E309)),0),2)</f>
        <v>0</v>
      </c>
      <c r="D320" s="21">
        <f>ROUND(IF(B320=0,0,D316/M295*P297),2)</f>
        <v>0</v>
      </c>
      <c r="E320" s="21">
        <f>ROUND(IF(B320=0,0,E316/N291*P297),2)</f>
        <v>0</v>
      </c>
      <c r="F320" s="22">
        <f>ROUND(IF(P297=0,0,IFERROR(((LOOKUP(2,1/(A302:A305=A320),I302:I305))/N291*P297),F319/P296*P297)),2)</f>
        <v>0</v>
      </c>
      <c r="G320" s="25">
        <f t="shared" si="52"/>
        <v>0</v>
      </c>
      <c r="H320" s="64">
        <f>IF(B320=0,0,IF(AND(H308="ja",((U320)&lt;R333)),ROUND(((R335*R332+((R333/(R333-R332))-(R332/(R333-R332))*R335)*((U320)-R332))*(H316*2))-(((R333/(R333-R332))*((U320)-R332))*H316),2),ROUND(IF(V319&lt;(SUM(R317:R319)),IF((V320)&gt;(SUM(R317:R320)),(((SUM(R317:R320))-(V320-C319))*H316)+((U320-C319)*H316),U320*H316),IF(V320&gt;(SUM(R317:R320)),R320*H316,U320*H316)),2)))</f>
        <v>0</v>
      </c>
      <c r="I320" s="64">
        <f>IF(B320=0,0,IF(AND(H308="ja",((U320)&lt;R333)),ROUND(((R335*R332+((R333/(R333-R332))-(R332/(R333-R332))*R335)*((U320)-R332))*(I316*2))-(((R333/(R333-R332))*((U320)-R332))*I316),2),ROUND(IF(V319&lt;(SUM(S317:S319)),IF((V320)&gt;(SUM(S317:S320)),(((SUM(S317:S320))-(V320-C319))*I316)+((U320-C319)*I316),U320*I316),IF(V320&gt;(SUM(S317:S320)),S320*I316,U320*I316)),2)))</f>
        <v>0</v>
      </c>
      <c r="J320" s="64">
        <f>IF(B320=0,0,IF(AND(H308="ja",((U320)&lt;R333)),ROUND(((R335*R332+((R333/(R333-R332))-(R332/(R333-R332))*R335)*((U320)-R332))*(J316*2))-(((R333/(R333-R332))*((U320)-R332))*J316),2),ROUND(IF(U319&lt;(SUM(S317:S319)),IF((V320)&gt;(SUM(S317:S320)),(((SUM(S317:S320))-(V320-C319))*J316)+((U320-C319)*J316),U320*J316),IF(V320&gt;(SUM(S317:S320)),S320*J316,U320*J316)),2)))</f>
        <v>0</v>
      </c>
      <c r="K320" s="64">
        <f>IF(B320=0,0,IF(AND(H308="ja",((U320)&lt;R333)),ROUND(((R335*R332+((R333/(R333-R332))-(R332/(R333-R332))*R335)*((U320)-R332))*(K316*2))-(((R333/(R333-R332))*((U320)-R332))*K316),2),ROUND(IF(V319&lt;(SUM(R317:R319)),IF((V320)&gt;(SUM(R317:R320)),(((SUM(R317:R320))-(V320-C319))*K316)+((U320-C319)*K316),U320*K316),IF(V320&gt;(SUM(R317:R320)),R320*K316,U320*K316)),2)))</f>
        <v>0</v>
      </c>
      <c r="L320" s="64">
        <f>IF(B320=0,0,IF(AND(H308="ja",((U320-C320)&lt;R333)),ROUND(((R335*R332+((R333/(R333-R332))-(R332/(R333-R332))*R335)*((U320-C320)-R332))*(L316)),2),ROUND(IF(SUM(B317:F319)&lt;(SUM(S317:S319)),IF((SUM(B317:F320))&gt;(SUM(S317:S320)),(((SUM(S317:S320))-(SUM(B317:F320)-C320))*L316)+((SUM(B320:F320)-C320)*L316),(SUM(B320:F320)-C320)*L316),IF(SUM(B317:F320)&gt;(SUM(S317:S320)),S320*L316,SUM(B320:F320)*L316)),2)))</f>
        <v>0</v>
      </c>
      <c r="M320" s="64">
        <f>IF(B320=0,0,IF(AND(H308="ja",((U320-C320)&lt;R333)),ROUND(((R335*R332+((R333/(R333-R332))-(R332/(R333-R332))*R335)*((U320-C320)-R332))*(M316)),2),ROUND(IF(SUM(B317:F319)&lt;(SUM(S317:S319)),IF((SUM(B317:F320))&gt;(SUM(S317:S320)),(((SUM(S317:S320))-(SUM(B317:F320)-C320))*M316)+((SUM(B320:F320)-C320)*M316),(SUM(B320:F320)-C320)*M316),IF(SUM(B317:F320)&gt;(SUM(S317:S320)),S320*M316,SUM(B320:F320)*M316)),2)))</f>
        <v>0</v>
      </c>
      <c r="N320" s="64">
        <f>IF(B320=0,0,IF(AND(H308="ja",((U320)&lt;R333)),ROUND(((R335*R332+((R333/(R333-R332))-(R332/(R333-R332))*R335)*((U320)-R332))*(N316)),2),ROUND(IF(SUM(B317:F319)&lt;(SUM(S317:S319)),IF((SUM(B317:F320))&gt;(SUM(S317:S320)),(((SUM(S317:S320))-(SUM(B317:F320)-C319))*N316)+((SUM(B320:F320)-C319)*N316),SUM(B320:F320)*N316),IF(SUM(B317:F320)&gt;(SUM(S317:S320)),S320*N316,SUM(B320:F320)*N316)),2)))</f>
        <v>0</v>
      </c>
      <c r="O320" s="21">
        <f>ROUND(SUM(B320+C320+F320)*O316,2)</f>
        <v>0</v>
      </c>
      <c r="P320" s="25">
        <f t="shared" si="53"/>
        <v>0</v>
      </c>
      <c r="Q320" s="456"/>
      <c r="R320" s="140">
        <f>ROUND(IF(M295="",R311,R311/M295*P297),2)</f>
        <v>5175</v>
      </c>
      <c r="S320" s="140">
        <f>ROUND(IF(M295="",R312,R312/M295*P297),2)</f>
        <v>7450</v>
      </c>
      <c r="U320" s="950">
        <f t="shared" si="54"/>
        <v>0</v>
      </c>
      <c r="V320" s="950">
        <f>SUM(B317:F320)</f>
        <v>0</v>
      </c>
    </row>
    <row r="321" spans="1:24" x14ac:dyDescent="0.2">
      <c r="A321" s="76" t="str">
        <f>CONCATENATE("Mai ",O293)</f>
        <v>Mai 2025</v>
      </c>
      <c r="B321" s="22">
        <f>ROUND(IF(P298=0,0,IFERROR(((LOOKUP(2,1/(A302:A305=A321),G302:G305))*P298*4.348),B320/P297*P298)),2)</f>
        <v>0</v>
      </c>
      <c r="C321" s="21">
        <f>ROUND(IFERROR((LOOKUP(2,1/(A308=A321),E308)),0)+IFERROR((LOOKUP(2,1/(A309=A321),E309)),0),2)</f>
        <v>0</v>
      </c>
      <c r="D321" s="21">
        <f>ROUND(IF(B321=0,0,D316/M295*P298),2)</f>
        <v>0</v>
      </c>
      <c r="E321" s="21">
        <f>ROUND(IF(B321=0,0,E316/N291*P298),2)</f>
        <v>0</v>
      </c>
      <c r="F321" s="22">
        <f>ROUND(IF(P298=0,0,IFERROR(((LOOKUP(2,1/(A302:A305=A321),I302:I305))/N291*P298),F320/P297*P298)),2)</f>
        <v>0</v>
      </c>
      <c r="G321" s="25">
        <f t="shared" si="52"/>
        <v>0</v>
      </c>
      <c r="H321" s="64">
        <f>IF(B321=0,0,IF(AND(H308="ja",((U321)&lt;R333)),ROUND(((R335*R332+((R333/(R333-R332))-(R332/(R333-R332))*R335)*((U321)-R332))*(H316*2))-(((R333/(R333-R332))*((U321)-R332))*H316),2),ROUND(IF(V320&lt;(SUM(R317:R320)),IF((V321)&gt;(SUM(R317:R321)),(((SUM(R317:R321))-(V321-C320))*H316)+((U321-C320)*H316),U321*H316),IF(V321&gt;(SUM(R317:R321)),R321*H316,U321*H316)),2)))</f>
        <v>0</v>
      </c>
      <c r="I321" s="64">
        <f>IF(B321=0,0,IF(AND(H308="ja",((U321)&lt;R333)),ROUND(((R335*R332+((R333/(R333-R332))-(R332/(R333-R332))*R335)*((U321)-R332))*(I316*2))-(((R333/(R333-R332))*((U321)-R332))*I316),2),ROUND(IF(V320&lt;(SUM(S317:S320)),IF((V321)&gt;(SUM(S317:S321)),(((SUM(S317:S321))-(V321-C320))*I316)+((U321-C320)*I316),U321*I316),IF(V321&gt;(SUM(S317:S321)),S321*I316,U321*I316)),2)))</f>
        <v>0</v>
      </c>
      <c r="J321" s="64">
        <f>IF(B321=0,0,IF(AND(H308="ja",((U321)&lt;R333)),ROUND(((R335*R332+((R333/(R333-R332))-(R332/(R333-R332))*R335)*((U321)-R332))*(J316*2))-(((R333/(R333-R332))*((U321)-R332))*J316),2),ROUND(IF(V320&lt;(SUM(S317:S320)),IF((V321)&gt;(SUM(S317:S321)),(((SUM(S317:S321))-(V321-C320))*J316)+((U321-C320)*J316),U321*J316),IF(V321&gt;(SUM(S317:S321)),S321*J316,U321*J316)),2)))</f>
        <v>0</v>
      </c>
      <c r="K321" s="64">
        <f>IF(B321=0,0,IF(AND(H308="ja",((U321)&lt;R333)),ROUND(((R335*R332+((R333/(R333-R332))-(R332/(R333-R332))*R335)*((U321)-R332))*(K316*2))-(((R333/(R333-R332))*((U321)-R332))*K316),2),ROUND(IF(V320&lt;(SUM(R317:R320)),IF((V321)&gt;(SUM(R317:R321)),(((SUM(R317:R321))-(V321-C320))*K316)+((U321-C320)*K316),U321*K316),IF(V321&gt;(SUM(R317:R321)),R321*K316,U321*K316)),2)))</f>
        <v>0</v>
      </c>
      <c r="L321" s="64">
        <f>IF(B321=0,0,IF(AND(H308="ja",((U321-C321)&lt;R333)),ROUND(((R335*R332+((R333/(R333-R332))-(R332/(R333-R332))*R335)*((U321-C321)-R332))*(L316)),2),ROUND(IF(SUM(B317:F320)&lt;(SUM(S317:S320)),IF((SUM(B317:F321))&gt;(SUM(S317:S321)),(((SUM(S317:S321))-(SUM(B317:F321)-C321))*L316)+((SUM(B321:F321)-C321)*L316),(SUM(B321:F321)-C321)*L316),IF(SUM(B317:F321)&gt;(SUM(S317:S321)),S321*L316,SUM(B321:F321)*L316)),2)))</f>
        <v>0</v>
      </c>
      <c r="M321" s="64">
        <f>IF(B321=0,0,IF(AND(H308="ja",((U321-C321)&lt;R333)),ROUND(((R335*R332+((R333/(R333-R332))-(R332/(R333-R332))*R335)*((U321-C321)-R332))*(M316)),2),ROUND(IF(SUM(B317:F320)&lt;(SUM(S317:S320)),IF((SUM(B317:F321))&gt;(SUM(S317:S321)),(((SUM(S317:S321))-(SUM(B317:F321)-C321))*M316)+((SUM(B321:F321)-C321)*M316),(SUM(B321:F321)-C321)*M316),IF(SUM(B317:F321)&gt;(SUM(S317:S321)),S321*M316,SUM(B321:F321)*M316)),2)))</f>
        <v>0</v>
      </c>
      <c r="N321" s="64">
        <f>IF(B321=0,0,IF(AND(H308="ja",((U321)&lt;R333)),ROUND(((R335*R332+((R333/(R333-R332))-(R332/(R333-R332))*R335)*((U321)-R332))*(N316)),2),ROUND(IF(SUM(B317:F320)&lt;(SUM(S317:S320)),IF((SUM(B317:F321))&gt;(SUM(S317:S321)),(((SUM(S317:S321))-(SUM(B317:F321)-C320))*N316)+((SUM(B321:F321)-C320)*N316),SUM(B321:F321)*N316),IF(SUM(B317:F321)&gt;(SUM(S317:S321)),S321*N316,SUM(B321:F321)*N316)),2)))</f>
        <v>0</v>
      </c>
      <c r="O321" s="21">
        <f>ROUND(SUM(B321+C321+F321)*O316,2)</f>
        <v>0</v>
      </c>
      <c r="P321" s="25">
        <f t="shared" si="53"/>
        <v>0</v>
      </c>
      <c r="Q321" s="456"/>
      <c r="R321" s="140">
        <f>ROUND(IF(M295="",R311,R311/M295*P298),2)</f>
        <v>5175</v>
      </c>
      <c r="S321" s="140">
        <f>ROUND(IF(M295="",R312,R312/M295*P298),2)</f>
        <v>7450</v>
      </c>
      <c r="U321" s="950">
        <f t="shared" si="54"/>
        <v>0</v>
      </c>
      <c r="V321" s="950">
        <f>SUM(B317:F321)</f>
        <v>0</v>
      </c>
    </row>
    <row r="322" spans="1:24" x14ac:dyDescent="0.2">
      <c r="A322" s="76" t="str">
        <f>CONCATENATE("Jun ",O293)</f>
        <v>Jun 2025</v>
      </c>
      <c r="B322" s="22">
        <f>ROUND(IF(P299=0,0,IFERROR(((LOOKUP(2,1/(A302:A305=A322),G302:G305))*P299*4.348),B321/P298*P299)),2)</f>
        <v>0</v>
      </c>
      <c r="C322" s="21">
        <f>ROUND(IFERROR((LOOKUP(2,1/(A308=A322),E308)),0)+IFERROR((LOOKUP(2,1/(A309=A322),E309)),0),2)</f>
        <v>0</v>
      </c>
      <c r="D322" s="21">
        <f>ROUND(IF(B322=0,0,D316/M295*P299),2)</f>
        <v>0</v>
      </c>
      <c r="E322" s="21">
        <f>ROUND(IF(B322=0,0,E316/N291*P299),2)</f>
        <v>0</v>
      </c>
      <c r="F322" s="22">
        <f>ROUND(IF(P299=0,0,IFERROR(((LOOKUP(2,1/(A302:A305=A322),I302:I305))/N291*P299),F321/P298*P299)),2)</f>
        <v>0</v>
      </c>
      <c r="G322" s="25">
        <f t="shared" si="52"/>
        <v>0</v>
      </c>
      <c r="H322" s="64">
        <f>IF(B322=0,0,IF(AND(H308="ja",((U322)&lt;R333)),ROUND(((R335*R332+((R333/(R333-R332))-(R332/(R333-R332))*R335)*((U322)-R332))*(H316*2))-(((R333/(R333-R332))*((U322)-R332))*H316),2),ROUND(IF(V321&lt;(SUM(R317:R321)),IF((V322)&gt;(SUM(R317:R322)),(((SUM(R317:R322))-(V322-C321))*H316)+((U322-C321)*H316),U322*H316),IF(V322&gt;(SUM(R317:R322)),R322*H316,U322*H316)),2)))</f>
        <v>0</v>
      </c>
      <c r="I322" s="64">
        <f>IF(B322=0,0,IF(AND(H308="ja",((U322)&lt;R333)),ROUND(((R335*R332+((R333/(R333-R332))-(R332/(R333-R332))*R335)*((U322)-R332))*(I316*2))-(((R333/(R333-R332))*((U322)-R332))*I316),2),ROUND(IF(V321&lt;(SUM(S317:S321)),IF((V322)&gt;(SUM(S317:S322)),(((SUM(S317:S322))-(V322-C321))*I316)+((U322-C321)*I316),U322*I316),IF(V322&gt;(SUM(S317:S322)),S322*I316,U322*I316)),2)))</f>
        <v>0</v>
      </c>
      <c r="J322" s="64">
        <f>IF(B322=0,0,IF(AND(H308="ja",((U322)&lt;R333)),ROUND(((R335*R332+((R333/(R333-R332))-(R332/(R333-R332))*R335)*((U322)-R332))*(J316*2))-(((R333/(R333-R332))*((U322)-R332))*J316),2),ROUND(IF(V321&lt;(SUM(S317:S321)),IF((V322)&gt;(SUM(S317:S322)),(((SUM(S317:S322))-(V322-C321))*J316)+((U322-C321)*J316),U322*J316),IF(V322&gt;(SUM(S317:S322)),S322*J316,U322*J316)),2)))</f>
        <v>0</v>
      </c>
      <c r="K322" s="64">
        <f>IF(B322=0,0,IF(AND(H308="ja",((U322)&lt;R333)),ROUND(((R335*R332+((R333/(R333-R332))-(R332/(R333-R332))*R335)*((U322)-R332))*(K316*2))-(((R333/(R333-R332))*((U322)-R332))*K316),2),ROUND(IF(V321&lt;(SUM(R317:R321)),IF((V322)&gt;(SUM(R317:R322)),(((SUM(R317:R322))-(V322-C321))*K316)+((U322-C321)*K316),U322*K316),IF(V322&gt;(SUM(R317:R322)),R322*K316,U322*K316)),2)))</f>
        <v>0</v>
      </c>
      <c r="L322" s="64">
        <f>IF(B322=0,0,IF(AND(H308="ja",((U322-C322)&lt;R333)),ROUND(((R335*R332+((R333/(R333-R332))-(R332/(R333-R332))*R335)*((U322-C322)-R332))*(L316)),2),ROUND(IF(SUM(B317:F321)&lt;(SUM(S317:S321)),IF((SUM(B317:F322))&gt;(SUM(S317:S322)),(((SUM(S317:S322))-(SUM(B317:F322)-C322))*L316)+((SUM(B322:F322)-C322)*L316),(SUM(B322:F322)-C322)*L316),IF(SUM(B317:F322)&gt;(SUM(S317:S322)),S322*L316,SUM(B322:F322)*L316)),2)))</f>
        <v>0</v>
      </c>
      <c r="M322" s="64">
        <f>IF(B322=0,0,IF(AND(H308="ja",((U322-C322)&lt;R333)),ROUND(((R335*R332+((R333/(R333-R332))-(R332/(R333-R332))*R335)*((U322-C322)-R332))*(M316)),2),ROUND(IF(SUM(B317:F321)&lt;(SUM(S317:S321)),IF((SUM(B317:F322))&gt;(SUM(S317:S322)),(((SUM(S317:S322))-(SUM(B317:F322)-C322))*M316)+((SUM(B322:F322)-C322)*M316),(SUM(B322:F322)-C322)*M316),IF(SUM(B317:F322)&gt;(SUM(S317:S322)),S322*M316,SUM(B322:F322)*M316)),2)))</f>
        <v>0</v>
      </c>
      <c r="N322" s="64">
        <f>IF(B322=0,0,IF(AND(H308="ja",((U322)&lt;R333)),ROUND(((R335*R332+((R333/(R333-R332))-(R332/(R333-R332))*R335)*((U322)-R332))*(N316)),2),ROUND(IF(SUM(B317:F321)&lt;(SUM(S317:S321)),IF((SUM(B317:F322))&gt;(SUM(S317:S322)),(((SUM(S317:S322))-(SUM(B317:F322)-C321))*N316)+((SUM(B322:F322)-C321)*N316),SUM(B322:F322)*N316),IF(SUM(B317:F322)&gt;(SUM(S317:S322)),S322*N316,SUM(B322:F322)*N316)),2)))</f>
        <v>0</v>
      </c>
      <c r="O322" s="21">
        <f>ROUND(SUM(B322+C322+F322)*O316,2)</f>
        <v>0</v>
      </c>
      <c r="P322" s="25">
        <f t="shared" si="53"/>
        <v>0</v>
      </c>
      <c r="Q322" s="456"/>
      <c r="R322" s="140">
        <f>ROUND(IF(M295="",R311,R311/M295*P299),2)</f>
        <v>5175</v>
      </c>
      <c r="S322" s="140">
        <f>ROUND(IF(M295="",R312,R312/M295*P299),2)</f>
        <v>7450</v>
      </c>
      <c r="U322" s="950">
        <f t="shared" si="54"/>
        <v>0</v>
      </c>
      <c r="V322" s="950">
        <f>SUM(B317:F322)</f>
        <v>0</v>
      </c>
    </row>
    <row r="323" spans="1:24" x14ac:dyDescent="0.2">
      <c r="A323" s="76" t="str">
        <f>CONCATENATE("Jul ",O293)</f>
        <v>Jul 2025</v>
      </c>
      <c r="B323" s="22">
        <f>ROUND(IF(P300=0,0,IFERROR(((LOOKUP(2,1/(A302:A305=A323),G302:G305))*P300*4.348),B322/P299*P300)),2)</f>
        <v>0</v>
      </c>
      <c r="C323" s="21">
        <f>ROUND(IFERROR((LOOKUP(2,1/(A308=A323),E308)),0)+IFERROR((LOOKUP(2,1/(A309=A323),E309)),0),2)</f>
        <v>0</v>
      </c>
      <c r="D323" s="21">
        <f>ROUND(IF(B323=0,0,D316/M295*P300),2)</f>
        <v>0</v>
      </c>
      <c r="E323" s="21">
        <f>ROUND(IF(B323=0,0,E316/N291*P300),2)</f>
        <v>0</v>
      </c>
      <c r="F323" s="22">
        <f>ROUND(IF(P300=0,0,IFERROR(((LOOKUP(2,1/(A302:A305=A323),I302:I305))/N291*P300),F322/P299*P300)),2)</f>
        <v>0</v>
      </c>
      <c r="G323" s="25">
        <f t="shared" si="52"/>
        <v>0</v>
      </c>
      <c r="H323" s="64">
        <f>IF(B323=0,0,IF(AND(H308="ja",((U323)&lt;R333)),ROUND(((R335*R332+((R333/(R333-R332))-(R332/(R333-R332))*R335)*((U323)-R332))*(H316*2))-(((R333/(R333-R332))*((U323)-R332))*H316),2),ROUND(IF(V322&lt;(SUM(R317:R322)),IF((V323)&gt;(SUM(R317:R323)),(((SUM(R317:R323))-(V323-C322))*H316)+((U323-C322)*H316),U323*H316),IF(V323&gt;(SUM(R317:R323)),R323*H316,U323*H316)),2)))</f>
        <v>0</v>
      </c>
      <c r="I323" s="64">
        <f>IF(B323=0,0,IF(AND(H308="ja",((U323)&lt;R333)),ROUND(((R335*R332+((R333/(R333-R332))-(R332/(R333-R332))*R335)*((U323)-R332))*(I316*2))-(((R333/(R333-R332))*((U323)-R332))*I316),2),ROUND(IF(V322&lt;(SUM(S317:S322)),IF((V323)&gt;(SUM(S317:S323)),(((SUM(S317:S323))-(V323-C322))*I316)+((U323-C322)*I316),U323*I316),IF(V323&gt;(SUM(S317:S323)),S323*I316,U323*I316)),2)))</f>
        <v>0</v>
      </c>
      <c r="J323" s="64">
        <f>IF(B323=0,0,IF(AND(H308="ja",((U323)&lt;R333)),ROUND(((R335*R332+((R333/(R333-R332))-(R332/(R333-R332))*R335)*((U323)-R332))*(J316*2))-(((R333/(R333-R332))*((U323)-R332))*J316),2),ROUND(IF(V322&lt;(SUM(S317:S322)),IF((V323)&gt;(SUM(S317:S323)),(((SUM(S317:S323))-(V323-C322))*J316)+((U323-C322)*J316),U323*J316),IF(V323&gt;(SUM(S317:S323)),S323*J316,U323*J316)),2)))</f>
        <v>0</v>
      </c>
      <c r="K323" s="64">
        <f>IF(B323=0,0,IF(AND(H308="ja",((U323)&lt;R333)),ROUND(((R335*R332+((R333/(R333-R332))-(R332/(R333-R332))*R335)*((U323)-R332))*(K316*2))-(((R333/(R333-R332))*((U323)-R332))*K316),2),ROUND(IF(V322&lt;(SUM(R317:R322)),IF((V323)&gt;(SUM(R317:R323)),(((SUM(R317:R323))-(V323-C322))*K316)+((U323-C322)*K316),U323*K316),IF(V323&gt;(SUM(R317:R323)),R323*K316,U323*K316)),2)))</f>
        <v>0</v>
      </c>
      <c r="L323" s="64">
        <f>IF(B323=0,0,IF(AND(H308="ja",((U323-C323)&lt;R333)),ROUND(((R335*R332+((R333/(R333-R332))-(R332/(R333-R332))*R335)*((U323-C323)-R332))*(L316)),2),ROUND(IF(SUM(B317:F322)&lt;(SUM(S317:S322)),IF((SUM(B317:F323))&gt;(SUM(S317:S323)),(((SUM(S317:S323))-(SUM(B317:F323)-C323))*L316)+((SUM(B323:F323)-C323)*L316),(SUM(B323:F323)-C323)*L316),IF(SUM(B317:F323)&gt;(SUM(S317:S323)),S323*L316,SUM(B323:F323)*L316)),2)))</f>
        <v>0</v>
      </c>
      <c r="M323" s="64">
        <f>IF(B323=0,0,IF(AND(H308="ja",((U323-C323)&lt;R333)),ROUND(((R335*R332+((R333/(R333-R332))-(R332/(R333-R332))*R335)*((U323-C323)-R332))*(M316)),2),ROUND(IF(SUM(B317:F322)&lt;(SUM(S317:S322)),IF((SUM(B317:F323))&gt;(SUM(S317:S323)),(((SUM(S317:S323))-(SUM(B317:F323)-C323))*M316)+((SUM(B323:F323)-C323)*M316),(SUM(B323:F323)-C323)*M316),IF(SUM(B317:F323)&gt;(SUM(S317:S323)),S323*M316,SUM(B323:F323)*M316)),2)))</f>
        <v>0</v>
      </c>
      <c r="N323" s="64">
        <f>IF(B323=0,0,IF(AND(H308="ja",((U323)&lt;R333)),ROUND(((R335*R332+((R333/(R333-R332))-(R332/(R333-R332))*R335)*((U323)-R332))*(N316)),2),ROUND(IF(SUM(B317:F322)&lt;(SUM(S317:S322)),IF((SUM(B317:F323))&gt;(SUM(S317:S323)),(((SUM(S317:S323))-(SUM(B317:F323)-C322))*N316)+((SUM(B323:F323)-C322)*N316),SUM(B323:F323)*N316),IF(SUM(B317:F323)&gt;(SUM(S317:S323)),S323*N316,SUM(B323:F323)*N316)),2)))</f>
        <v>0</v>
      </c>
      <c r="O323" s="21">
        <f>ROUND(SUM(B323+C323+F323)*O316,2)</f>
        <v>0</v>
      </c>
      <c r="P323" s="25">
        <f t="shared" si="53"/>
        <v>0</v>
      </c>
      <c r="Q323" s="456"/>
      <c r="R323" s="140">
        <f>ROUND(IF(M295="",R311,R311/M295*P300),2)</f>
        <v>5175</v>
      </c>
      <c r="S323" s="140">
        <f>ROUND(IF(M295="",R312,R312/M295*P300),2)</f>
        <v>7450</v>
      </c>
      <c r="U323" s="950">
        <f t="shared" si="54"/>
        <v>0</v>
      </c>
      <c r="V323" s="950">
        <f>SUM(B317:F323)</f>
        <v>0</v>
      </c>
    </row>
    <row r="324" spans="1:24" x14ac:dyDescent="0.2">
      <c r="A324" s="76" t="str">
        <f>CONCATENATE("Aug ",O293)</f>
        <v>Aug 2025</v>
      </c>
      <c r="B324" s="22">
        <f>ROUND(IF(P301=0,0,IFERROR(((LOOKUP(2,1/(A302:A305=A324),G302:G305))*P301*4.348),B323/P300*P301)),2)</f>
        <v>0</v>
      </c>
      <c r="C324" s="21">
        <f>ROUND(IFERROR((LOOKUP(2,1/(A308=A324),E308)),0)+IFERROR((LOOKUP(2,1/(A309=A324),E309)),0),2)</f>
        <v>0</v>
      </c>
      <c r="D324" s="21">
        <f>ROUND(IF(B324=0,0,D316/M295*P301),2)</f>
        <v>0</v>
      </c>
      <c r="E324" s="21">
        <f>ROUND(IF(B324=0,0,E316/N291*P301),2)</f>
        <v>0</v>
      </c>
      <c r="F324" s="22">
        <f>ROUND(IF(P301=0,0,IFERROR(((LOOKUP(2,1/(A302:A305=A324),I302:I305))/N291*P301),F323/P300*P301)),2)</f>
        <v>0</v>
      </c>
      <c r="G324" s="25">
        <f t="shared" si="52"/>
        <v>0</v>
      </c>
      <c r="H324" s="64">
        <f>IF(B324=0,0,IF(AND(H308="ja",((U324)&lt;R333)),ROUND(((R335*R332+((R333/(R333-R332))-(R332/(R333-R332))*R335)*((U324)-R332))*(H316*2))-(((R333/(R333-R332))*((U324)-R332))*H316),2),ROUND(IF(V323&lt;(SUM(R317:R323)),IF((V324)&gt;(SUM(R317:R324)),(((SUM(R317:R324))-(V324-C323))*H316)+((U324-C323)*H316),U324*H316),IF(V324&gt;(SUM(R317:R324)),R324*H316,U324*H316)),2)))</f>
        <v>0</v>
      </c>
      <c r="I324" s="64">
        <f>IF(B324=0,0,IF(AND(H308="ja",((U324)&lt;R333)),ROUND(((R335*R332+((R333/(R333-R332))-(R332/(R333-R332))*R335)*((U324)-R332))*(I316*2))-(((R333/(R333-R332))*((U324)-R332))*I316),2),ROUND(IF(V323&lt;(SUM(S317:S323)),IF((V324)&gt;(SUM(S317:S324)),(((SUM(S317:S324))-(V324-C323))*I316)+((U324-C323)*I316),U324*I316),IF(V324&gt;(SUM(S317:S324)),S324*I316,U324*I316)),2)))</f>
        <v>0</v>
      </c>
      <c r="J324" s="64">
        <f>IF(B324=0,0,IF(AND(H308="ja",((U324)&lt;R333)),ROUND(((R335*R332+((R333/(R333-R332))-(R332/(R333-R332))*R335)*((U324)-R332))*(J316*2))-(((R333/(R333-R332))*((U324)-R332))*J316),2),ROUND(IF(V323&lt;(SUM(S317:S323)),IF((V324)&gt;(SUM(S317:S324)),(((SUM(S317:S324))-(V324-C323))*J316)+((U324-C323)*J316),U324*J316),IF(V324&gt;(SUM(S317:S324)),S324*J316,U324*J316)),2)))</f>
        <v>0</v>
      </c>
      <c r="K324" s="64">
        <f>IF(B324=0,0,IF(AND(H308="ja",((U324)&lt;R333)),ROUND(((R335*R332+((R333/(R333-R332))-(R332/(R333-R332))*R335)*((U324)-R332))*(K316*2))-(((R333/(R333-R332))*((U324)-R332))*K316),2),ROUND(IF(V323&lt;(SUM(R317:R323)),IF((V324)&gt;(SUM(R317:R324)),(((SUM(R317:R324))-(V324-C323))*K316)+((U324-C323)*K316),U324*K316),IF(V324&gt;(SUM(R317:R324)),R324*K316,U324*K316)),2)))</f>
        <v>0</v>
      </c>
      <c r="L324" s="64">
        <f>IF(B324=0,0,IF(AND(H308="ja",((U324-C324)&lt;R333)),ROUND(((R335*R332+((R333/(R333-R332))-(R332/(R333-R332))*R335)*((U324-C324)-R332))*(L316)),2),ROUND(IF(SUM(B317:F323)&lt;(SUM(S317:S323)),IF((SUM(B317:F324))&gt;(SUM(S317:S324)),(((SUM(S317:S324))-(SUM(B317:F324)-C324))*L316)+((SUM(B324:F324)-C324)*L316),(SUM(B324:F324)-C324)*L316),IF(SUM(B317:F324)&gt;(SUM(S317:S324)),S324*L316,SUM(B324:F324)*L316)),2)))</f>
        <v>0</v>
      </c>
      <c r="M324" s="64">
        <f>IF(B324=0,0,IF(AND(H308="ja",((U324-C324)&lt;R333)),ROUND(((R335*R332+((R333/(R333-R332))-(R332/(R333-R332))*R335)*((U324-C324)-R332))*(M316)),2),ROUND(IF(SUM(B317:F323)&lt;(SUM(S317:S323)),IF((SUM(B317:F324))&gt;(SUM(S317:S324)),(((SUM(S317:S324))-(SUM(B317:F324)-C324))*M316)+((SUM(B324:F324)-C324)*M316),(SUM(B324:F324)-C324)*M316),IF(SUM(B317:F324)&gt;(SUM(S317:S324)),S324*M316,SUM(B324:F324)*M316)),2)))</f>
        <v>0</v>
      </c>
      <c r="N324" s="64">
        <f>IF(B324=0,0,IF(AND(H308="ja",((U324)&lt;R333)),ROUND(((R335*R332+((R333/(R333-R332))-(R332/(R333-R332))*R335)*((U324)-R332))*(N316)),2),ROUND(IF(SUM(B317:F323)&lt;(SUM(S317:S323)),IF((SUM(B317:F324))&gt;(SUM(S317:S324)),(((SUM(S317:S324))-(SUM(B317:F324)-C323))*N316)+((SUM(B324:F324)-C323)*N316),SUM(B324:F324)*N316),IF(SUM(B317:F324)&gt;(SUM(S317:S324)),S324*N316,SUM(B324:F324)*N316)),2)))</f>
        <v>0</v>
      </c>
      <c r="O324" s="21">
        <f>ROUND(SUM(B324+C324+F324)*O316,2)</f>
        <v>0</v>
      </c>
      <c r="P324" s="25">
        <f t="shared" si="53"/>
        <v>0</v>
      </c>
      <c r="Q324" s="456"/>
      <c r="R324" s="140">
        <f>ROUND(IF(M295="",R311,R311/M295*P301),2)</f>
        <v>5175</v>
      </c>
      <c r="S324" s="140">
        <f>ROUND(IF(M295="",R312,R312/M295*P301),2)</f>
        <v>7450</v>
      </c>
      <c r="U324" s="950">
        <f t="shared" si="54"/>
        <v>0</v>
      </c>
      <c r="V324" s="950">
        <f>SUM(B317:F324)</f>
        <v>0</v>
      </c>
    </row>
    <row r="325" spans="1:24" x14ac:dyDescent="0.2">
      <c r="A325" s="76" t="str">
        <f>CONCATENATE("Sep ",O293)</f>
        <v>Sep 2025</v>
      </c>
      <c r="B325" s="22">
        <f>ROUND(IF(P302=0,0,IFERROR(((LOOKUP(2,1/(A302:A305=A325),G302:G305))*P302*4.348),B324/P301*P302)),2)</f>
        <v>0</v>
      </c>
      <c r="C325" s="21">
        <f>ROUND(IFERROR((LOOKUP(2,1/(A308=A325),E308)),0)+IFERROR((LOOKUP(2,1/(A309=A325),E309)),0),2)</f>
        <v>0</v>
      </c>
      <c r="D325" s="21">
        <f>ROUND(IF(B325=0,0,D316/M295*P302),2)</f>
        <v>0</v>
      </c>
      <c r="E325" s="21">
        <f>ROUND(IF(B325=0,0,E316/N291*P302),2)</f>
        <v>0</v>
      </c>
      <c r="F325" s="22">
        <f>ROUND(IF(P302=0,0,IFERROR(((LOOKUP(2,1/(A302:A305=A325),I302:I305))/N291*P302),F324/P301*P302)),2)</f>
        <v>0</v>
      </c>
      <c r="G325" s="25">
        <f t="shared" si="52"/>
        <v>0</v>
      </c>
      <c r="H325" s="64">
        <f>IF(B325=0,0,IF(AND(H308="ja",((U325)&lt;R333)),ROUND(((R335*R332+((R333/(R333-R332))-(R332/(R333-R332))*R335)*((U325)-R332))*(H316*2))-(((R333/(R333-R332))*((U325)-R332))*H316),2),ROUND(IF(V324&lt;(SUM(R317:R324)),IF((V325)&gt;(SUM(R317:R325)),(((SUM(R317:R325))-(V325-C324))*H316)+((U325-C324)*H316),U325*H316),IF(V325&gt;(SUM(R317:R325)),R325*H316,U325*H316)),2)))</f>
        <v>0</v>
      </c>
      <c r="I325" s="64">
        <f>IF(B325=0,0,IF(AND(H308="ja",((U325)&lt;R333)),ROUND(((R335*R332+((R333/(R333-R332))-(R332/(R333-R332))*R335)*((U325)-R332))*(I316*2))-(((R333/(R333-R332))*((U325)-R332))*I316),2),ROUND(IF(V324&lt;(SUM(S317:S324)),IF((V325)&gt;(SUM(S317:S325)),(((SUM(S317:S325))-(V325-C324))*I316)+((U325-C324)*I316),U325*I316),IF(V325&gt;(SUM(S317:S325)),S325*I316,U325*I316)),2)))</f>
        <v>0</v>
      </c>
      <c r="J325" s="64">
        <f>IF(B325=0,0,IF(AND(H308="ja",((U325)&lt;R333)),ROUND(((R335*R332+((R333/(R333-R332))-(R332/(R333-R332))*R335)*((U325)-R332))*(J316*2))-(((R333/(R333-R332))*((U325)-R332))*J316),2),ROUND(IF(V324&lt;(SUM(S317:S324)),IF((V325)&gt;(SUM(S317:S325)),(((SUM(S317:S325))-(V325-C324))*J316)+((U325-C324)*J316),U325*J316),IF(V325&gt;(SUM(S317:S325)),S325*J316,U325*J316)),2)))</f>
        <v>0</v>
      </c>
      <c r="K325" s="64">
        <f>IF(B325=0,0,IF(AND(H308="ja",((U325)&lt;R333)),ROUND(((R335*R332+((R333/(R333-R332))-(R332/(R333-R332))*R335)*((U325)-R332))*(K316*2))-(((R333/(R333-R332))*((U325)-R332))*K316),2),ROUND(IF(V324&lt;(SUM(R317:R324)),IF((V325)&gt;(SUM(R317:R325)),(((SUM(R317:R325))-(V325-C324))*K316)+((U325-C324)*K316),U325*K316),IF(V325&gt;(SUM(R317:R325)),R325*K316,U325*K316)),2)))</f>
        <v>0</v>
      </c>
      <c r="L325" s="64">
        <f>IF(B325=0,0,IF(AND(H308="ja",((U325-C325)&lt;R333)),ROUND(((R335*R332+((R333/(R333-R332))-(R332/(R333-R332))*R335)*((U325-C325)-R332))*(L316)),2),ROUND(IF(SUM(B317:F324)&lt;(SUM(S317:S324)),IF((SUM(B317:F325))&gt;(SUM(S317:S325)),(((SUM(S317:S325))-(SUM(B317:F325)-C325))*L316)+((SUM(B325:F325)-C325)*L316),(SUM(B325:F325)-C325)*L316),IF(SUM(B317:F325)&gt;(SUM(S317:S325)),S325*L316,SUM(B325:F325)*L316)),2)))</f>
        <v>0</v>
      </c>
      <c r="M325" s="64">
        <f>IF(B325=0,0,IF(AND(H308="ja",((U325-C325)&lt;R333)),ROUND(((R335*R332+((R333/(R333-R332))-(R332/(R333-R332))*R335)*((U325-C325)-R332))*(M316)),2),ROUND(IF(SUM(B317:F324)&lt;(SUM(S317:S324)),IF((SUM(B317:F325))&gt;(SUM(S317:S325)),(((SUM(S317:S325))-(SUM(B317:F325)-C325))*M316)+((SUM(B325:F325)-C325)*M316),(SUM(B325:F325)-C325)*M316),IF(SUM(B317:F325)&gt;(SUM(S317:S325)),S325*M316,SUM(B325:F325)*M316)),2)))</f>
        <v>0</v>
      </c>
      <c r="N325" s="64">
        <f>IF(B325=0,0,IF(AND(H308="ja",((U325)&lt;R333)),ROUND(((R335*R332+((R333/(R333-R332))-(R332/(R333-R332))*R335)*((U325)-R332))*(N316)),2),ROUND(IF(SUM(B317:F324)&lt;(SUM(S317:S324)),IF((SUM(B317:F325))&gt;(SUM(S317:S325)),(((SUM(S317:S325))-(SUM(B317:F325)-C324))*N316)+((SUM(B325:F325)-C324)*N316),SUM(B325:F325)*N316),IF(SUM(B317:F325)&gt;(SUM(S317:S325)),S325*N316,SUM(B325:F325)*N316)),2)))</f>
        <v>0</v>
      </c>
      <c r="O325" s="21">
        <f>ROUND(SUM(B325+C325+F325)*O316,2)</f>
        <v>0</v>
      </c>
      <c r="P325" s="25">
        <f t="shared" si="53"/>
        <v>0</v>
      </c>
      <c r="Q325" s="456"/>
      <c r="R325" s="140">
        <f>ROUND(IF(M295="",R311,R311/M295*P302),2)</f>
        <v>5175</v>
      </c>
      <c r="S325" s="140">
        <f>ROUND(IF(M295="",R312,R312/M295*P302),2)</f>
        <v>7450</v>
      </c>
      <c r="U325" s="950">
        <f t="shared" si="54"/>
        <v>0</v>
      </c>
      <c r="V325" s="950">
        <f>SUM(B317:F325)</f>
        <v>0</v>
      </c>
    </row>
    <row r="326" spans="1:24" s="12" customFormat="1" ht="15" x14ac:dyDescent="0.25">
      <c r="A326" s="76" t="str">
        <f>CONCATENATE("Okt ",O293)</f>
        <v>Okt 2025</v>
      </c>
      <c r="B326" s="22">
        <f>ROUND(IF(P303=0,0,IFERROR(((LOOKUP(2,1/(A302:A305=A326),G302:G305))*P303*4.348),B325/P302*P303)),2)</f>
        <v>0</v>
      </c>
      <c r="C326" s="21">
        <f>ROUND(IFERROR((LOOKUP(2,1/(A308=A326),E308)),0)+IFERROR((LOOKUP(2,1/(A309=A326),E309)),0),2)</f>
        <v>0</v>
      </c>
      <c r="D326" s="21">
        <f>ROUND(IF(B326=0,0,D316/M295*P303),2)</f>
        <v>0</v>
      </c>
      <c r="E326" s="21">
        <f>ROUND(IF(B326=0,0,E316/N291*P303),2)</f>
        <v>0</v>
      </c>
      <c r="F326" s="22">
        <f>ROUND(IF(P303=0,0,IFERROR(((LOOKUP(2,1/(A302:A305=A326),I302:I305))/N291*P303),F325/P302*P303)),2)</f>
        <v>0</v>
      </c>
      <c r="G326" s="25">
        <f t="shared" si="52"/>
        <v>0</v>
      </c>
      <c r="H326" s="64">
        <f>IF(B326=0,0,IF(AND(H308="ja",((U326)&lt;R333)),ROUND(((R335*R332+((R333/(R333-R332))-(R332/(R333-R332))*R335)*((U326)-R332))*(H316*2))-(((R333/(R333-R332))*((U326)-R332))*H316),2),ROUND(IF(V325&lt;(SUM(R317:R325)),IF((V326)&gt;(SUM(R317:R326)),(((SUM(R317:R326))-(V326-C325))*H316)+((U326-C325)*H316),U326*H316),IF(V326&gt;(SUM(R317:R326)),R326*H316,U326*H316)),2)))</f>
        <v>0</v>
      </c>
      <c r="I326" s="64">
        <f>IF(B326=0,0,IF(AND(H308="ja",((U326)&lt;R333)),ROUND(((R335*R332+((R333/(R333-R332))-(R332/(R333-R332))*R335)*((U326)-R332))*(I316*2))-(((R333/(R333-R332))*((U326)-R332))*I316),2),ROUND(IF(V325&lt;(SUM(S317:S325)),IF((V326)&gt;(SUM(S317:S326)),(((SUM(S317:S326))-(V326-C325))*I316)+((U326-C325)*I316),U326*I316),IF(V326&gt;(SUM(S317:S326)),S326*I316,U326*I316)),2)))</f>
        <v>0</v>
      </c>
      <c r="J326" s="64">
        <f>IF(B326=0,0,IF(AND(H308="ja",((U326)&lt;R333)),ROUND(((R335*R332+((R333/(R333-R332))-(R332/(R333-R332))*R335)*((U326)-R332))*(J316*2))-(((R333/(R333-R332))*((U326)-R332))*J316),2),ROUND(IF(V325&lt;(SUM(S317:S325)),IF((V326)&gt;(SUM(S317:S326)),(((SUM(S317:S326))-(V326-C325))*J316)+((U326-C325)*J316),U326*J316),IF(V326&gt;(SUM(S317:S326)),S326*J316,U326*J316)),2)))</f>
        <v>0</v>
      </c>
      <c r="K326" s="64">
        <f>IF(B326=0,0,IF(AND(H308="ja",((U326)&lt;R333)),ROUND(((R335*R332+((R333/(R333-R332))-(R332/(R333-R332))*R335)*((U326)-R332))*(K316*2))-(((R333/(R333-R332))*((U326)-R332))*K316),2),ROUND(IF(V325&lt;(SUM(R317:R325)),IF((V326)&gt;(SUM(R317:R326)),(((SUM(R317:R326))-(V326-C325))*K316)+((U326-C325)*K316),U326*K316),IF(V326&gt;(SUM(R317:R326)),R326*K316,U326*K316)),2)))</f>
        <v>0</v>
      </c>
      <c r="L326" s="64">
        <f>IF(B326=0,0,IF(AND(H308="ja",((U326-C326)&lt;R333)),ROUND(((R335*R332+((R333/(R333-R332))-(R332/(R333-R332))*R335)*((U326-C326)-R332))*(L316)),2),ROUND(IF(SUM(B317:F325)&lt;(SUM(S317:S325)),IF((SUM(B317:F326))&gt;(SUM(S317:S326)),(((SUM(S317:S326))-(SUM(B317:F326)-C326))*L316)+((SUM(B326:F326)-C326)*L316),(SUM(B326:F326)-C326)*L316),IF(SUM(B317:F326)&gt;(SUM(S317:S326)),S326*L316,SUM(B326:F326)*L316)),2)))</f>
        <v>0</v>
      </c>
      <c r="M326" s="64">
        <f>IF(B326=0,0,IF(AND(H308="ja",((U326-C326)&lt;R333)),ROUND(((R335*R332+((R333/(R333-R332))-(R332/(R333-R332))*R335)*((U326-C326)-R332))*(M316)),2),ROUND(IF(SUM(B317:F325)&lt;(SUM(S317:S325)),IF((SUM(B317:F326))&gt;(SUM(S317:S326)),(((SUM(S317:S326))-(SUM(B317:F326)-C326))*M316)+((SUM(B326:F326)-C326)*M316),(SUM(B326:F326)-C326)*M316),IF(SUM(B317:F326)&gt;(SUM(S317:S326)),S326*M316,SUM(B326:F326)*M316)),2)))</f>
        <v>0</v>
      </c>
      <c r="N326" s="64">
        <f>IF(B326=0,0,IF(AND(H308="ja",((U326)&lt;R333)),ROUND(((R335*R332+((R333/(R333-R332))-(R332/(R333-R332))*R335)*((U326)-R332))*(N316)),2),ROUND(IF(SUM(B317:F325)&lt;(SUM(S317:S325)),IF((SUM(B317:F326))&gt;(SUM(S317:S326)),(((SUM(S317:S326))-(SUM(B317:F326)-C325))*N316)+((SUM(B326:F326)-C325)*N316),SUM(B326:F326)*N316),IF(SUM(B317:F326)&gt;(SUM(S317:S326)),S326*N316,SUM(B326:F326)*N316)),2)))</f>
        <v>0</v>
      </c>
      <c r="O326" s="21">
        <f>ROUND(SUM(B326+C326+F326)*O316,2)</f>
        <v>0</v>
      </c>
      <c r="P326" s="25">
        <f t="shared" si="53"/>
        <v>0</v>
      </c>
      <c r="Q326" s="936"/>
      <c r="R326" s="140">
        <f>ROUND(IF(M295="",R311,R311/M295*P303),2)</f>
        <v>5175</v>
      </c>
      <c r="S326" s="140">
        <f>ROUND(IF(M295="",R312,R312/M295*P303),2)</f>
        <v>7450</v>
      </c>
      <c r="U326" s="950">
        <f t="shared" si="54"/>
        <v>0</v>
      </c>
      <c r="V326" s="950">
        <f>SUM(B317:F326)</f>
        <v>0</v>
      </c>
      <c r="X326" s="1"/>
    </row>
    <row r="327" spans="1:24" s="11" customFormat="1" x14ac:dyDescent="0.2">
      <c r="A327" s="76" t="str">
        <f>CONCATENATE("Nov ",O293)</f>
        <v>Nov 2025</v>
      </c>
      <c r="B327" s="22">
        <f>ROUND(IF(P304=0,0,IFERROR(((LOOKUP(2,1/(A302:A305=A327),G302:G305))*P304*4.348),B326/P303*P304)),2)</f>
        <v>0</v>
      </c>
      <c r="C327" s="21">
        <f>ROUND(IFERROR((LOOKUP(2,1/(A308=A327),E308)),0)+(IFERROR((LOOKUP(2,1/(A309=A327),E309)),0)),2)</f>
        <v>0</v>
      </c>
      <c r="D327" s="21">
        <f>ROUND(IF(B327=0,0,D316/M295*P304),2)</f>
        <v>0</v>
      </c>
      <c r="E327" s="21">
        <f>ROUND(IF(B327=0,0,E316/N291*P304),2)</f>
        <v>0</v>
      </c>
      <c r="F327" s="22">
        <f>ROUND(IF(P304=0,0,IFERROR(((LOOKUP(2,1/(A302:A305=A327),I302:I305))/N291*P304),F326/P303*P304)),2)</f>
        <v>0</v>
      </c>
      <c r="G327" s="25">
        <f t="shared" si="52"/>
        <v>0</v>
      </c>
      <c r="H327" s="64">
        <f>IF(B327=0,0,IF(AND(H308="ja",((U327)&lt;R333)),ROUND(((R335*R332+((R333/(R333-R332))-(R332/(R333-R332))*R335)*((U327)-R332))*(H316*2))-(((R333/(R333-R332))*((U327)-R332))*H316),2),ROUND(IF(V326&lt;(SUM(R317:R326)),IF((V327)&gt;(SUM(R317:R327)),(((SUM(R317:R327))-(V327-C326))*H316)+((U327-C326)*H316),U327*H316),IF(V327&gt;(SUM(R317:R327)),R327*H316,U327*H316)),2)))</f>
        <v>0</v>
      </c>
      <c r="I327" s="64">
        <f>IF(B327=0,0,IF(AND(H308="ja",((U327)&lt;R333)),ROUND(((R335*R332+((R333/(R333-R332))-(R332/(R333-R332))*R335)*((U327)-R332))*(I316*2))-(((R333/(R333-R332))*((U327)-R332))*I316),2),ROUND(IF(V326&lt;(SUM(S317:S326)),IF((V327)&gt;(SUM(S317:S327)),(((SUM(S317:S327))-(V327-C326))*I316)+((U327-C326)*I316),U327*I316),IF(V327&gt;(SUM(S317:S327)),S327*I316,U327*I316)),2)))</f>
        <v>0</v>
      </c>
      <c r="J327" s="64">
        <f>IF(B327=0,0,IF(AND(H308="ja",((U327)&lt;R333)),ROUND(((R335*R332+((R333/(R333-R332))-(R332/(R333-R332))*R335)*((U327)-R332))*(J316*2))-(((R333/(R333-R332))*((U327)-R332))*J316),2),ROUND(IF(V326&lt;(SUM(S317:S326)),IF((V327)&gt;(SUM(S317:S327)),(((SUM(S317:S327))-(V327-C326))*J316)+((U327-C326)*J316),U327*J316),IF(V327&gt;(SUM(S317:S327)),S327*J316,U327*J316)),2)))</f>
        <v>0</v>
      </c>
      <c r="K327" s="64">
        <f>IF(B327=0,0,IF(AND(H308="ja",((U327)&lt;R333)),ROUND(((R335*R332+((R333/(R333-R332))-(R332/(R333-R332))*R335)*((U327)-R332))*(K316*2))-(((R333/(R333-R332))*((U327)-R332))*K316),2),ROUND(IF(V326&lt;(SUM(R317:R326)),IF((V327)&gt;(SUM(R317:R327)),(((SUM(R317:R327))-(V327-C326))*K316)+((U327-C326)*K316),U327*K316),IF(V327&gt;(SUM(R317:R327)),R327*K316,U327*K316)),2)))</f>
        <v>0</v>
      </c>
      <c r="L327" s="64">
        <f>IF(B327=0,0,IF(AND(H308="ja",((U327-C327)&lt;R333)),ROUND(((R335*R332+((R333/(R333-R332))-(R332/(R333-R332))*R335)*((U327-C327)-R332))*(L316)),2),ROUND(IF(SUM(B317:F326)&lt;(SUM(S317:S326)),IF((SUM(B317:F327))&gt;(SUM(S317:S327)),(((SUM(S317:S327))-(SUM(B317:F327)-C327))*L316)+((SUM(B327:F327)-C327)*L316),(SUM(B327:F327)-C327)*L316),IF(SUM(B317:F327)&gt;(SUM(S317:S327)),S327*L316,SUM(B327:F327)*L316)),2)))</f>
        <v>0</v>
      </c>
      <c r="M327" s="64">
        <f>IF(B327=0,0,IF(AND(H308="ja",((U327-C327)&lt;R333)),ROUND(((R335*R332+((R333/(R333-R332))-(R332/(R333-R332))*R335)*((U327-C327)-R332))*(M316)),2),ROUND(IF(SUM(B317:F326)&lt;(SUM(S317:S326)),IF((SUM(B317:F327))&gt;(SUM(S317:S327)),(((SUM(S317:S327))-(SUM(B317:F327)-C327))*M316)+((SUM(B327:F327)-C327)*M316),(SUM(B327:F327)-C327)*M316),IF(SUM(B317:F327)&gt;(SUM(S317:S327)),S327*M316,SUM(B327:F327)*M316)),2)))</f>
        <v>0</v>
      </c>
      <c r="N327" s="64">
        <f>IF(B327=0,0,IF(AND(H308="ja",((U327)&lt;R333)),ROUND(((R335*R332+((R333/(R333-R332))-(R332/(R333-R332))*R335)*((U327)-R332))*(N316)),2),ROUND(IF(SUM(B317:F326)&lt;(SUM(S317:S326)),IF((SUM(B317:F327))&gt;(SUM(S317:S327)),(((SUM(S317:S327))-(SUM(B317:F327)-C326))*N316)+((SUM(B327:F327)-C326)*N316),SUM(B327:F327)*N316),IF(SUM(B317:F327)&gt;(SUM(S317:S327)),S327*N316,SUM(B327:F327)*N316)),2)))</f>
        <v>0</v>
      </c>
      <c r="O327" s="21">
        <f>ROUND(SUM(B327+C327+F327)*O316,2)</f>
        <v>0</v>
      </c>
      <c r="P327" s="25">
        <f t="shared" si="53"/>
        <v>0</v>
      </c>
      <c r="R327" s="140">
        <f>ROUND(IF(M295="",R311,R311/M295*P304),2)</f>
        <v>5175</v>
      </c>
      <c r="S327" s="140">
        <f>ROUND(IF(M295="",R312,R312/M295*P304),2)</f>
        <v>7450</v>
      </c>
      <c r="U327" s="950">
        <f t="shared" si="54"/>
        <v>0</v>
      </c>
      <c r="V327" s="950">
        <f>SUM(B317:F327)</f>
        <v>0</v>
      </c>
      <c r="X327" s="1"/>
    </row>
    <row r="328" spans="1:24" ht="14.25" customHeight="1" x14ac:dyDescent="0.2">
      <c r="A328" s="76" t="str">
        <f>CONCATENATE("Dez ",O293)</f>
        <v>Dez 2025</v>
      </c>
      <c r="B328" s="22">
        <f>ROUND(IF(P305=0,0,IFERROR(((LOOKUP(2,1/(A302:A305=A328),G302:G305))*P305*4.348),B327/P304*P305)),2)</f>
        <v>0</v>
      </c>
      <c r="C328" s="21">
        <f>ROUND(IFERROR((LOOKUP(2,1/(A308=A328),E308)),0)+IFERROR((LOOKUP(2,1/(A309=A328),E309)),0),2)</f>
        <v>0</v>
      </c>
      <c r="D328" s="21">
        <f>ROUND(IF(B328=0,0,D316/M295*P305),2)</f>
        <v>0</v>
      </c>
      <c r="E328" s="21">
        <f>ROUND(IF(B328=0,0,E316/N291*P305),2)</f>
        <v>0</v>
      </c>
      <c r="F328" s="22">
        <f>ROUND(IF(P305=0,0,IFERROR(((LOOKUP(2,1/(A302:A305=A328),I302:I305))/N291*P305),F327/P304*P305)),2)</f>
        <v>0</v>
      </c>
      <c r="G328" s="25">
        <f t="shared" si="52"/>
        <v>0</v>
      </c>
      <c r="H328" s="64">
        <f>IF(B328=0,0,IF(AND(H308="ja",((U328)&lt;R333)),ROUND(((R335*R332+((R333/(R333-R332))-(R332/(R333-R332))*R335)*((U328)-R332))*(H316*2))-(((R333/(R333-R332))*((U328)-R332))*H316),2),ROUND(IF(V327&lt;(SUM(R317:R327)),IF((V328)&gt;(SUM(R317:R328)),(((SUM(R317:R328))-(V328-C327))*H316)+((U328-C327)*H316),U328*H316),IF(V328&gt;(SUM(R317:R328)),R328*H316,U328*H316)),2)))</f>
        <v>0</v>
      </c>
      <c r="I328" s="64">
        <f>IF(B328=0,0,IF(AND(H308="ja",((U328)&lt;R333)),ROUND(((R335*R332+((R333/(R333-R332))-(R332/(R333-R332))*R335)*((U328)-R332))*(I316*2))-(((R333/(R333-R332))*((U328)-R332))*I316),2),ROUND(IF(V327&lt;(SUM(S317:S327)),IF((V328)&gt;(SUM(S317:S328)),(((SUM(S317:S328))-(V328-C327))*I316)+((U328-C327)*I316),U328*I316),IF(V328&gt;(SUM(S317:S328)),S328*I316,U328*I316)),2)))</f>
        <v>0</v>
      </c>
      <c r="J328" s="64">
        <f>IF(B328=0,0,IF(AND(H308="ja",((U328)&lt;R333)),ROUND(((R335*R332+((R333/(R333-R332))-(R332/(R333-R332))*R335)*((U328)-R332))*(J316*2))-(((R333/(R333-R332))*((U328)-R332))*J316),2),ROUND(IF(V327&lt;(SUM(S317:S327)),IF((V328)&gt;(SUM(S317:S328)),(((SUM(S317:S328))-(V328-C327))*J316)+((U328-C327)*J316),U328*J316),IF(V328&gt;(SUM(S317:S328)),S328*J316,U328*J316)),2)))</f>
        <v>0</v>
      </c>
      <c r="K328" s="64">
        <f>IF(B328=0,0,IF(AND(H308="ja",((U328)&lt;R333)),ROUND(((R335*R332+((R333/(R333-R332))-(R332/(R333-R332))*R335)*((U328)-R332))*(K316*2))-(((R333/(R333-R332))*((U328)-R332))*K316),2),ROUND(IF(V327&lt;(SUM(R317:R327)),IF((V328)&gt;(SUM(R317:R328)),(((SUM(R317:R328))-(V328-C327))*K316)+((U328-C327)*K316),U328*K316),IF(V328&gt;(SUM(R317:R328)),R328*K316,U328*K316)),2)))</f>
        <v>0</v>
      </c>
      <c r="L328" s="64">
        <f>IF(B328=0,0,IF(AND(H308="ja",((U328-C328)&lt;R333)),ROUND(((R335*R332+((R333/(R333-R332))-(R332/(R333-R332))*R335)*((U328-C328)-R332))*(L316)),2),ROUND(IF(SUM(B317:F327)&lt;(SUM(S317:S327)),IF((SUM(B317:F328))&gt;(SUM(S317:S328)),(((SUM(S317:S328))-(SUM(B317:F328)-C328))*L316)+((SUM(B328:F328)-C328)*L316),(SUM(B328:F328)-C328)*L316),IF(SUM(B317:F328)&gt;(SUM(S317:S328)),S328*L316,SUM(B328:F328)*L316)),2)))</f>
        <v>0</v>
      </c>
      <c r="M328" s="64">
        <f>IF(B328=0,0,IF(AND(H308="ja",((U328-C328)&lt;R333)),ROUND(((R335*R332+((R333/(R333-R332))-(R332/(R333-R332))*R335)*((U328-C328)-R332))*(M316)),2),ROUND(IF(SUM(B317:F327)&lt;(SUM(S317:S327)),IF((SUM(B317:F328))&gt;(SUM(S317:S328)),(((SUM(S317:S328))-(SUM(B317:F328)-C328))*M316)+((SUM(B328:F328)-C328)*M316),(SUM(B328:F328)-C328)*M316),IF(SUM(B317:F328)&gt;(SUM(S317:S328)),S328*M316,SUM(B328:F328)*M316)),2)))</f>
        <v>0</v>
      </c>
      <c r="N328" s="64">
        <f>IF(B328=0,0,IF(AND(H308="ja",((U328)&lt;R333)),ROUND(((R335*R332+((R333/(R333-R332))-(R332/(R333-R332))*R335)*((U328)-R332))*(N316)),2),ROUND(IF(SUM(B317:F327)&lt;(SUM(S317:S327)),IF((SUM(B317:F328))&gt;(SUM(S317:S328)),(((SUM(S317:S328))-(SUM(B317:F328)-C327))*N316)+((SUM(B328:F328)-C327)*N316),SUM(B328:F328)*N316),IF(SUM(B317:F328)&gt;(SUM(S317:S328)),S328*N316,SUM(B328:F328)*N316)),2)))</f>
        <v>0</v>
      </c>
      <c r="O328" s="21">
        <f>ROUND(SUM(B328+C328+F328)*O316,2)</f>
        <v>0</v>
      </c>
      <c r="P328" s="25">
        <f t="shared" si="53"/>
        <v>0</v>
      </c>
      <c r="Q328" s="11"/>
      <c r="R328" s="140">
        <f>ROUND(IF(M295="",R311,R311/M295*P305),2)</f>
        <v>5175</v>
      </c>
      <c r="S328" s="140">
        <f>ROUND(IF(M295="",R312,R312/M295*P305),2)</f>
        <v>7450</v>
      </c>
      <c r="U328" s="950">
        <f t="shared" si="54"/>
        <v>0</v>
      </c>
      <c r="V328" s="950">
        <f>SUM(B317:F328)</f>
        <v>0</v>
      </c>
    </row>
    <row r="329" spans="1:24" ht="15" customHeight="1" x14ac:dyDescent="0.2">
      <c r="A329" s="2" t="s">
        <v>1</v>
      </c>
      <c r="B329" s="25">
        <f>SUM(B317:B328)</f>
        <v>0</v>
      </c>
      <c r="C329" s="25">
        <f t="shared" ref="C329:G329" si="55">SUM(C317:C328)</f>
        <v>0</v>
      </c>
      <c r="D329" s="25">
        <f t="shared" si="55"/>
        <v>0</v>
      </c>
      <c r="E329" s="25">
        <f t="shared" si="55"/>
        <v>0</v>
      </c>
      <c r="F329" s="25">
        <f t="shared" si="55"/>
        <v>0</v>
      </c>
      <c r="G329" s="25">
        <f t="shared" si="55"/>
        <v>0</v>
      </c>
      <c r="H329" s="1309">
        <f>SUM(H317:N328)</f>
        <v>0</v>
      </c>
      <c r="I329" s="1310"/>
      <c r="J329" s="1310"/>
      <c r="K329" s="1310"/>
      <c r="L329" s="1310"/>
      <c r="M329" s="1310"/>
      <c r="N329" s="1311"/>
      <c r="O329" s="25">
        <f>SUM(O317:O328)</f>
        <v>0</v>
      </c>
      <c r="P329" s="25">
        <f>SUM(P317:P328)</f>
        <v>0</v>
      </c>
    </row>
    <row r="330" spans="1:24" ht="12" customHeight="1" x14ac:dyDescent="0.2"/>
    <row r="331" spans="1:24" ht="14.25" customHeight="1" x14ac:dyDescent="0.2">
      <c r="B331" s="906"/>
      <c r="H331" s="905"/>
      <c r="I331" s="62"/>
      <c r="J331" s="914" t="s">
        <v>123</v>
      </c>
      <c r="L331" s="900" t="s">
        <v>124</v>
      </c>
      <c r="M331" s="974" t="str">
        <f>IF(IF(G329=0,"",$M$43)=0,"",IF(G329=0,"",$M$43))</f>
        <v/>
      </c>
      <c r="N331" s="902" t="s">
        <v>125</v>
      </c>
      <c r="O331" s="963" t="str">
        <f>IF(IF(G329=0,"",$O$43)=0,"",IF(G329=0,"",$O$43))</f>
        <v/>
      </c>
      <c r="P331" s="25">
        <f>ROUND(IF(M331="",0,G329*M331*O331/1000),2)</f>
        <v>0</v>
      </c>
      <c r="Q331" s="937"/>
      <c r="R331" s="938">
        <v>2025</v>
      </c>
      <c r="S331" s="939"/>
    </row>
    <row r="332" spans="1:24" ht="14.25" customHeight="1" x14ac:dyDescent="0.2">
      <c r="H332" s="907"/>
      <c r="I332" s="42"/>
      <c r="M332" s="915" t="s">
        <v>129</v>
      </c>
      <c r="N332" s="80" t="s">
        <v>125</v>
      </c>
      <c r="O332" s="75" t="str">
        <f>IF(IF(G329=0,"",$O$44)=0,"",IF(G329=0,"",$O$44))</f>
        <v/>
      </c>
      <c r="P332" s="25">
        <f>ROUND(IF(O332="",0,G329*O332/1000),2)</f>
        <v>0</v>
      </c>
      <c r="Q332" s="942" t="s">
        <v>737</v>
      </c>
      <c r="R332" s="141">
        <f>'päd.Personal - Leitung'!$R$44</f>
        <v>556</v>
      </c>
      <c r="S332" s="955">
        <f>'päd.Personal - Leitung'!$S$44</f>
        <v>12.82</v>
      </c>
    </row>
    <row r="333" spans="1:24" ht="14.25" customHeight="1" x14ac:dyDescent="0.2">
      <c r="H333" s="912" t="s">
        <v>126</v>
      </c>
      <c r="I333" s="1013" t="s">
        <v>127</v>
      </c>
      <c r="J333" s="975" t="str">
        <f>IF(IF(G329=0,"",$J$45)=0,"",IF(G329=0,"",$J$45))</f>
        <v/>
      </c>
      <c r="K333" s="902" t="s">
        <v>128</v>
      </c>
      <c r="L333" s="964" t="str">
        <f>IF(IF(G329=0,"",$L$45)=0,"",IF(G329=0,"",$L$45))</f>
        <v/>
      </c>
      <c r="M333" s="16"/>
      <c r="N333" s="900" t="s">
        <v>132</v>
      </c>
      <c r="O333" s="965" t="str">
        <f>IF(IF(G329=0,"",$O$45)=0,"",IF(G329=0,"",$O$45))</f>
        <v/>
      </c>
      <c r="P333" s="25">
        <f>ROUND(IF(J333="",0,(J333*L333/O333)/M297*M298),2)</f>
        <v>0</v>
      </c>
      <c r="Q333" s="942" t="s">
        <v>738</v>
      </c>
      <c r="R333" s="140">
        <f>'päd.Personal - Leitung'!$R$45</f>
        <v>2000</v>
      </c>
      <c r="S333" s="939"/>
    </row>
    <row r="334" spans="1:24" ht="14.25" customHeight="1" x14ac:dyDescent="0.2">
      <c r="D334" s="16"/>
      <c r="I334" s="16"/>
      <c r="J334" s="16"/>
      <c r="K334" s="63"/>
      <c r="L334" s="67"/>
      <c r="M334" s="915" t="s">
        <v>130</v>
      </c>
      <c r="N334" s="80" t="s">
        <v>131</v>
      </c>
      <c r="O334" s="904">
        <f>IF(IF(M299="",0,$O$46)=0,0,IF(M299="",0,$O$46))</f>
        <v>0</v>
      </c>
      <c r="P334" s="21">
        <f>ROUND(IF(G329=0,0,O334/M295*M296),2)</f>
        <v>0</v>
      </c>
      <c r="Q334" s="942" t="s">
        <v>740</v>
      </c>
      <c r="R334" s="956">
        <f>'päd.Personal - Leitung'!$R$46</f>
        <v>0.40900000000000003</v>
      </c>
    </row>
    <row r="335" spans="1:24" ht="14.25" customHeight="1" x14ac:dyDescent="0.2">
      <c r="A335" s="16"/>
      <c r="B335" s="16"/>
      <c r="I335" s="905"/>
      <c r="J335" s="961" t="s">
        <v>176</v>
      </c>
      <c r="K335" s="1312" t="str">
        <f>IF($K$47="","",$K$47)</f>
        <v/>
      </c>
      <c r="L335" s="1312"/>
      <c r="M335" s="1312"/>
      <c r="N335" s="80" t="s">
        <v>131</v>
      </c>
      <c r="O335" s="904">
        <f>IF(IF(M299="",0,$O$47)=0,0,IF(M299="",0,$O$47))</f>
        <v>0</v>
      </c>
      <c r="P335" s="21">
        <f>ROUND(IF(G329=0,0,O335/M295*M296),2)</f>
        <v>0</v>
      </c>
      <c r="Q335" s="942" t="s">
        <v>739</v>
      </c>
      <c r="R335" s="940">
        <f>'päd.Personal - Leitung'!$R$47</f>
        <v>0.68459999999999999</v>
      </c>
      <c r="S335" s="957">
        <f>'päd.Personal - Leitung'!$S$47</f>
        <v>0.28000000000000003</v>
      </c>
    </row>
    <row r="336" spans="1:24" ht="14.25" customHeight="1" x14ac:dyDescent="0.2">
      <c r="A336" s="908"/>
      <c r="B336" s="908"/>
      <c r="C336" s="1013"/>
      <c r="D336" s="1013"/>
      <c r="I336" s="913"/>
      <c r="J336" s="913"/>
      <c r="K336" s="916"/>
      <c r="L336" s="27"/>
      <c r="M336" s="27"/>
      <c r="N336" s="27"/>
      <c r="O336" s="26" t="s">
        <v>0</v>
      </c>
      <c r="P336" s="25">
        <f>P329+SUM(P331:P335)</f>
        <v>0</v>
      </c>
    </row>
    <row r="337" spans="1:19" s="10" customFormat="1" ht="13.5" customHeight="1" x14ac:dyDescent="0.2">
      <c r="A337" s="1321" t="s">
        <v>17</v>
      </c>
      <c r="B337" s="1321"/>
      <c r="C337" s="1321"/>
      <c r="D337" s="1320" t="str">
        <f>IF('päd.Personal - Leitung'!$D$1="","",'päd.Personal - Leitung'!$D$1)</f>
        <v/>
      </c>
      <c r="E337" s="1320"/>
      <c r="F337" s="1320"/>
      <c r="G337" s="1320"/>
      <c r="H337" s="1320"/>
      <c r="I337" s="1320"/>
      <c r="J337" s="1320"/>
      <c r="K337" s="1320"/>
      <c r="L337" s="1320"/>
      <c r="M337" s="1320"/>
      <c r="N337" s="1320"/>
    </row>
    <row r="338" spans="1:19" s="10" customFormat="1" ht="15" customHeight="1" x14ac:dyDescent="0.2">
      <c r="A338" s="1321" t="s">
        <v>16</v>
      </c>
      <c r="B338" s="1321"/>
      <c r="C338" s="1321" t="s">
        <v>14</v>
      </c>
      <c r="D338" s="1320" t="str">
        <f>IF('päd.Personal - Leitung'!$D$2="","",'päd.Personal - Leitung'!$D$2)</f>
        <v/>
      </c>
      <c r="E338" s="1320"/>
      <c r="F338" s="1320"/>
      <c r="G338" s="1320"/>
      <c r="H338" s="1320"/>
      <c r="I338" s="1320"/>
      <c r="J338" s="1320"/>
      <c r="K338" s="1320"/>
      <c r="L338" s="1320"/>
      <c r="M338" s="1320"/>
      <c r="N338" s="1320"/>
    </row>
    <row r="339" spans="1:19" s="10" customFormat="1" ht="15" customHeight="1" x14ac:dyDescent="0.2">
      <c r="A339" s="1321" t="s">
        <v>15</v>
      </c>
      <c r="B339" s="1321"/>
      <c r="C339" s="1321" t="s">
        <v>14</v>
      </c>
      <c r="D339" s="1320" t="str">
        <f>IF('päd.Personal - Leitung'!$D$3="","",'päd.Personal - Leitung'!$D$3)</f>
        <v/>
      </c>
      <c r="E339" s="1320"/>
      <c r="F339" s="1320"/>
      <c r="G339" s="1320"/>
      <c r="H339" s="1320"/>
      <c r="I339" s="1320"/>
      <c r="J339" s="1320"/>
      <c r="K339" s="1321" t="s">
        <v>100</v>
      </c>
      <c r="L339" s="1321"/>
      <c r="M339" s="1321"/>
      <c r="N339" s="38" t="str">
        <f>IF('päd.Personal - Leitung'!$N$3="","",'päd.Personal - Leitung'!$N$3)</f>
        <v/>
      </c>
    </row>
    <row r="340" spans="1:19" s="923" customFormat="1" ht="7.5" customHeight="1" x14ac:dyDescent="0.15">
      <c r="A340" s="1353"/>
      <c r="B340" s="1353"/>
      <c r="C340" s="1353"/>
      <c r="D340" s="1354"/>
      <c r="E340" s="1354"/>
      <c r="F340" s="1354"/>
      <c r="G340" s="1354"/>
      <c r="H340" s="1354"/>
      <c r="I340" s="1354"/>
      <c r="J340" s="1354"/>
      <c r="K340" s="922"/>
      <c r="L340" s="922"/>
      <c r="M340" s="922"/>
      <c r="N340" s="922"/>
      <c r="O340" s="922"/>
      <c r="P340" s="922"/>
    </row>
    <row r="341" spans="1:19" s="13" customFormat="1" ht="13.5" customHeight="1" x14ac:dyDescent="0.2">
      <c r="A341" s="1355" t="s">
        <v>196</v>
      </c>
      <c r="B341" s="1355"/>
      <c r="C341" s="1355"/>
      <c r="D341" s="1355"/>
      <c r="E341" s="1355"/>
      <c r="F341" s="1355"/>
      <c r="G341" s="1355"/>
      <c r="H341" s="1355"/>
      <c r="I341" s="1355"/>
      <c r="J341" s="1355"/>
      <c r="K341" s="7"/>
      <c r="L341" s="7"/>
      <c r="M341" s="7"/>
      <c r="N341" s="52"/>
      <c r="O341" s="138">
        <f>'päd.Personal - Leitung'!$O$5</f>
        <v>2025</v>
      </c>
      <c r="P341" s="52" t="s">
        <v>140</v>
      </c>
    </row>
    <row r="342" spans="1:19" s="8" customFormat="1" ht="13.5" customHeight="1" x14ac:dyDescent="0.25">
      <c r="B342" s="29"/>
      <c r="C342" s="29"/>
      <c r="D342" s="3" t="s">
        <v>37</v>
      </c>
      <c r="E342" s="28"/>
      <c r="F342" s="28"/>
      <c r="G342" s="28"/>
      <c r="H342" s="28"/>
      <c r="I342" s="24"/>
      <c r="K342" s="1327" t="s">
        <v>13</v>
      </c>
      <c r="L342" s="1327"/>
      <c r="M342" s="131"/>
      <c r="O342" s="928" t="str">
        <f>A365</f>
        <v>Jan 2025</v>
      </c>
      <c r="P342" s="1402">
        <f>IF(M344="","",M344)</f>
        <v>0</v>
      </c>
    </row>
    <row r="343" spans="1:19" s="5" customFormat="1" ht="13.5" customHeight="1" x14ac:dyDescent="0.25">
      <c r="A343" s="1328" t="s">
        <v>754</v>
      </c>
      <c r="B343" s="1328"/>
      <c r="C343" s="1328"/>
      <c r="D343" s="1329"/>
      <c r="E343" s="1329"/>
      <c r="F343" s="1329"/>
      <c r="G343" s="1329"/>
      <c r="H343" s="1329"/>
      <c r="I343" s="1329"/>
      <c r="K343" s="1327" t="s">
        <v>101</v>
      </c>
      <c r="L343" s="1327"/>
      <c r="M343" s="101"/>
      <c r="O343" s="928" t="str">
        <f t="shared" ref="O343:O353" si="56">A366</f>
        <v>Feb 2025</v>
      </c>
      <c r="P343" s="1403">
        <f t="shared" ref="P343:P350" si="57">IF(P342="","",P342)</f>
        <v>0</v>
      </c>
    </row>
    <row r="344" spans="1:19" ht="13.5" customHeight="1" x14ac:dyDescent="0.2">
      <c r="A344" s="1328" t="s">
        <v>12</v>
      </c>
      <c r="B344" s="1328"/>
      <c r="C344" s="1328"/>
      <c r="D344" s="1345"/>
      <c r="E344" s="1345"/>
      <c r="F344" s="1345"/>
      <c r="G344" s="1345"/>
      <c r="H344" s="1345"/>
      <c r="I344" s="1345"/>
      <c r="K344" s="1327" t="s">
        <v>194</v>
      </c>
      <c r="L344" s="1327"/>
      <c r="M344" s="101">
        <f>IF(M345&gt;M343,0,M343-M345)</f>
        <v>0</v>
      </c>
      <c r="O344" s="928" t="str">
        <f t="shared" si="56"/>
        <v>Mrz 2025</v>
      </c>
      <c r="P344" s="1403">
        <f t="shared" si="57"/>
        <v>0</v>
      </c>
    </row>
    <row r="345" spans="1:19" ht="13.5" customHeight="1" x14ac:dyDescent="0.2">
      <c r="A345" s="1328" t="s">
        <v>11</v>
      </c>
      <c r="B345" s="1328"/>
      <c r="C345" s="1328"/>
      <c r="D345" s="1345"/>
      <c r="E345" s="1345"/>
      <c r="F345" s="1345"/>
      <c r="G345" s="1345"/>
      <c r="H345" s="1345"/>
      <c r="I345" s="1345"/>
      <c r="K345" s="1327" t="s">
        <v>195</v>
      </c>
      <c r="L345" s="1327"/>
      <c r="M345" s="101"/>
      <c r="O345" s="928" t="str">
        <f t="shared" si="56"/>
        <v>Apr 2025</v>
      </c>
      <c r="P345" s="1403">
        <f t="shared" si="57"/>
        <v>0</v>
      </c>
    </row>
    <row r="346" spans="1:19" ht="13.5" customHeight="1" x14ac:dyDescent="0.2">
      <c r="A346" s="1328" t="s">
        <v>18</v>
      </c>
      <c r="B346" s="1328"/>
      <c r="C346" s="1328"/>
      <c r="D346" s="1345"/>
      <c r="E346" s="1345"/>
      <c r="F346" s="1345"/>
      <c r="G346" s="1345"/>
      <c r="H346" s="1345"/>
      <c r="I346" s="1345"/>
      <c r="K346" s="1327" t="s">
        <v>94</v>
      </c>
      <c r="L346" s="1327"/>
      <c r="M346" s="15" t="str">
        <f>IF(IF((COUNTIF(B365:B376,"&gt;0"))=0,0,(COUNTIF(B365:B376,"&gt;0")))&gt;Grundlagen!$C$26,Grundlagen!$C$26,IF((COUNTIF(B365:B376,"&gt;0"))=0,"",(COUNTIF(B365:B376,"&gt;0"))))</f>
        <v/>
      </c>
      <c r="O346" s="928" t="str">
        <f t="shared" si="56"/>
        <v>Mai 2025</v>
      </c>
      <c r="P346" s="1403">
        <f t="shared" si="57"/>
        <v>0</v>
      </c>
    </row>
    <row r="347" spans="1:19" ht="13.5" customHeight="1" x14ac:dyDescent="0.2">
      <c r="B347" s="6"/>
      <c r="C347" s="979" t="s">
        <v>147</v>
      </c>
      <c r="D347" s="1324"/>
      <c r="E347" s="1324"/>
      <c r="F347" s="1359" t="s">
        <v>103</v>
      </c>
      <c r="G347" s="1359"/>
      <c r="H347" s="1361"/>
      <c r="I347" s="1361"/>
      <c r="M347" s="102" t="str">
        <f>IF((SUM(F350:F353))=0,"",IF(P354&gt;M344,M344,IF(M344="","",IF(M346="","",P354))))</f>
        <v/>
      </c>
      <c r="O347" s="928" t="str">
        <f t="shared" si="56"/>
        <v>Jun 2025</v>
      </c>
      <c r="P347" s="1403">
        <f t="shared" si="57"/>
        <v>0</v>
      </c>
    </row>
    <row r="348" spans="1:19" ht="13.5" customHeight="1" x14ac:dyDescent="0.2">
      <c r="I348" s="4"/>
      <c r="O348" s="928" t="str">
        <f t="shared" si="56"/>
        <v>Jul 2025</v>
      </c>
      <c r="P348" s="1403">
        <f t="shared" si="57"/>
        <v>0</v>
      </c>
    </row>
    <row r="349" spans="1:19" s="46" customFormat="1" ht="13.5" customHeight="1" x14ac:dyDescent="0.2">
      <c r="A349" s="54" t="s">
        <v>134</v>
      </c>
      <c r="B349" s="1356" t="s">
        <v>135</v>
      </c>
      <c r="C349" s="1356"/>
      <c r="D349" s="55" t="s">
        <v>136</v>
      </c>
      <c r="E349" s="56" t="s">
        <v>137</v>
      </c>
      <c r="F349" s="57" t="str">
        <f>CONCATENATE("Entg. ",N339," h/Wo")</f>
        <v>Entg.  h/Wo</v>
      </c>
      <c r="G349" s="58" t="s">
        <v>138</v>
      </c>
      <c r="I349" s="58" t="s">
        <v>139</v>
      </c>
      <c r="K349" s="970"/>
      <c r="L349" s="970"/>
      <c r="M349" s="59"/>
      <c r="N349" s="968" t="str">
        <f>IF(A351="","",A351)</f>
        <v/>
      </c>
      <c r="O349" s="928" t="str">
        <f t="shared" si="56"/>
        <v>Aug 2025</v>
      </c>
      <c r="P349" s="1403">
        <f t="shared" si="57"/>
        <v>0</v>
      </c>
      <c r="Q349" s="85"/>
      <c r="R349" s="85"/>
      <c r="S349" s="85"/>
    </row>
    <row r="350" spans="1:19" s="46" customFormat="1" ht="13.5" customHeight="1" x14ac:dyDescent="0.25">
      <c r="A350" s="48" t="str">
        <f>'päd.Personal - Leitung'!$A$14</f>
        <v>Jan 2025</v>
      </c>
      <c r="B350" s="1357" t="str">
        <f>IF($D$3="","",$D$3)</f>
        <v/>
      </c>
      <c r="C350" s="1358"/>
      <c r="D350" s="132"/>
      <c r="E350" s="132"/>
      <c r="F350" s="71"/>
      <c r="G350" s="50">
        <f>IF(N339="",0,F350/N339/4.348)</f>
        <v>0</v>
      </c>
      <c r="I350" s="125">
        <f>SUM(J350:M350)</f>
        <v>0</v>
      </c>
      <c r="J350" s="124"/>
      <c r="K350" s="124"/>
      <c r="L350" s="124"/>
      <c r="M350" s="124"/>
      <c r="N350" s="969"/>
      <c r="O350" s="928" t="str">
        <f t="shared" si="56"/>
        <v>Sep 2025</v>
      </c>
      <c r="P350" s="1403">
        <f t="shared" si="57"/>
        <v>0</v>
      </c>
      <c r="Q350" s="85"/>
      <c r="R350" s="85"/>
      <c r="S350" s="85"/>
    </row>
    <row r="351" spans="1:19" s="46" customFormat="1" ht="13.5" customHeight="1" x14ac:dyDescent="0.25">
      <c r="A351" s="49"/>
      <c r="B351" s="1322" t="str">
        <f>IF(A351="","",B350)</f>
        <v/>
      </c>
      <c r="C351" s="1323"/>
      <c r="D351" s="132"/>
      <c r="E351" s="132"/>
      <c r="F351" s="71"/>
      <c r="G351" s="50">
        <f>IF(N339="",0,F351/N339/4.348)</f>
        <v>0</v>
      </c>
      <c r="I351" s="125">
        <f t="shared" ref="I351:I353" si="58">SUM(J351:M351)</f>
        <v>0</v>
      </c>
      <c r="J351" s="124"/>
      <c r="K351" s="124"/>
      <c r="L351" s="124"/>
      <c r="M351" s="124"/>
      <c r="N351" s="969"/>
      <c r="O351" s="928" t="str">
        <f t="shared" si="56"/>
        <v>Okt 2025</v>
      </c>
      <c r="P351" s="1403">
        <f t="shared" ref="P351:P353" si="59">IF(P350="","",P350)</f>
        <v>0</v>
      </c>
      <c r="Q351" s="85"/>
      <c r="R351" s="85"/>
      <c r="S351" s="85"/>
    </row>
    <row r="352" spans="1:19" s="46" customFormat="1" ht="13.5" customHeight="1" x14ac:dyDescent="0.25">
      <c r="A352" s="49"/>
      <c r="B352" s="1322" t="str">
        <f>IF(A352="","",B351)</f>
        <v/>
      </c>
      <c r="C352" s="1323"/>
      <c r="D352" s="132"/>
      <c r="E352" s="132"/>
      <c r="F352" s="71"/>
      <c r="G352" s="50">
        <f>IF(N339="",0,F352/N339/4.348)</f>
        <v>0</v>
      </c>
      <c r="I352" s="125">
        <f t="shared" si="58"/>
        <v>0</v>
      </c>
      <c r="J352" s="124"/>
      <c r="K352" s="124"/>
      <c r="L352" s="124"/>
      <c r="M352" s="124"/>
      <c r="N352" s="969"/>
      <c r="O352" s="928" t="str">
        <f t="shared" si="56"/>
        <v>Nov 2025</v>
      </c>
      <c r="P352" s="1403">
        <f t="shared" si="59"/>
        <v>0</v>
      </c>
      <c r="Q352" s="85"/>
      <c r="R352" s="85"/>
      <c r="S352" s="85"/>
    </row>
    <row r="353" spans="1:22" s="46" customFormat="1" ht="13.5" customHeight="1" x14ac:dyDescent="0.25">
      <c r="A353" s="49"/>
      <c r="B353" s="1322" t="str">
        <f>IF(A353="","",B352)</f>
        <v/>
      </c>
      <c r="C353" s="1323"/>
      <c r="D353" s="132"/>
      <c r="E353" s="132"/>
      <c r="F353" s="71"/>
      <c r="G353" s="50">
        <f>IF(N339="",0,F353/N339/4.348)</f>
        <v>0</v>
      </c>
      <c r="I353" s="125">
        <f t="shared" si="58"/>
        <v>0</v>
      </c>
      <c r="J353" s="124"/>
      <c r="K353" s="124"/>
      <c r="L353" s="124"/>
      <c r="M353" s="124"/>
      <c r="N353" s="969"/>
      <c r="O353" s="928" t="str">
        <f t="shared" si="56"/>
        <v>Dez 2025</v>
      </c>
      <c r="P353" s="1403">
        <f t="shared" si="59"/>
        <v>0</v>
      </c>
      <c r="Q353" s="85"/>
      <c r="R353" s="85"/>
      <c r="S353" s="85"/>
    </row>
    <row r="354" spans="1:22" s="46" customFormat="1" ht="13.5" customHeight="1" x14ac:dyDescent="0.25">
      <c r="B354" s="972"/>
      <c r="C354" s="972"/>
      <c r="E354" s="972"/>
      <c r="F354" s="972"/>
      <c r="I354" s="930" t="s">
        <v>730</v>
      </c>
      <c r="J354" s="976"/>
      <c r="K354" s="976"/>
      <c r="L354" s="976"/>
      <c r="M354" s="976"/>
      <c r="N354" s="971"/>
      <c r="O354" s="126" t="s">
        <v>221</v>
      </c>
      <c r="P354" s="127">
        <f>IF(M346="",0,((IF(SUMIF(B365,"&gt;0"),P342,0))+(IF(SUMIF(B366,"&gt;0"),P343,0))+(IF(SUMIF(B367,"&gt;0"),P344,0))+(IF(SUMIF(B368,"&gt;0"),P345,0))+(IF(SUMIF(B369,"&gt;0"),P346,0))+(IF(SUMIF(B370,"&gt;0"),P347,0))+(IF(SUMIF(B371,"&gt;0"),P348,0))+(IF(SUMIF(B372,"&gt;0"),P349,0))+(IF(SUMIF(B373,"&gt;0"),P350,0))+(IF(SUMIF(B374,"&gt;0"),P351,0))+(IF(SUMIF(B375,"&gt;0"),P352,0))+(IF(SUMIF(B376,"&gt;0"),P353,0)))/Grundlagen!$C$26)</f>
        <v>0</v>
      </c>
      <c r="Q354" s="978" t="str">
        <f>CONCATENATE("BBG"," anteilig ",O356)</f>
        <v>BBG anteilig 2025</v>
      </c>
      <c r="R354" s="931" t="s">
        <v>659</v>
      </c>
      <c r="S354" s="931" t="s">
        <v>398</v>
      </c>
      <c r="T354" s="107"/>
    </row>
    <row r="355" spans="1:22" s="46" customFormat="1" ht="13.5" customHeight="1" x14ac:dyDescent="0.2">
      <c r="A355" s="924" t="s">
        <v>732</v>
      </c>
      <c r="D355" s="55" t="s">
        <v>369</v>
      </c>
      <c r="E355" s="56" t="s">
        <v>368</v>
      </c>
      <c r="F355" s="58"/>
      <c r="J355" s="61"/>
      <c r="Q355" s="932" t="s">
        <v>144</v>
      </c>
      <c r="R355" s="140">
        <f>IF(M344=0,R359,IF(M343="",R359,(SUM(R365:R376)/M347)))</f>
        <v>5175</v>
      </c>
      <c r="S355" s="933">
        <f>IF(M344=0,S359,IF(M343="",S359,SUM(R365:R376)))</f>
        <v>0</v>
      </c>
      <c r="T355" s="107"/>
    </row>
    <row r="356" spans="1:22" s="46" customFormat="1" ht="13.5" customHeight="1" x14ac:dyDescent="0.25">
      <c r="A356" s="60"/>
      <c r="B356" s="1314" t="str">
        <f>IF($B$20="","",$B$20)</f>
        <v>Jahressonderzahlung (JSZ)</v>
      </c>
      <c r="C356" s="1315"/>
      <c r="D356" s="926"/>
      <c r="E356" s="929" t="str">
        <f>IF(A356="","",ROUND((((SUM(B371:B373)+SUM(F371:F373))/3)*D356)/Grundlagen!$C$26*M346,2))</f>
        <v/>
      </c>
      <c r="G356" s="941" t="s">
        <v>733</v>
      </c>
      <c r="H356" s="943"/>
      <c r="I356" s="1316" t="str">
        <f>CONCATENATE(R379,":"," Übergangsbereich von ",R380+0.01," €"," bis ",R381," €")</f>
        <v>2025: Übergangsbereich von 556,01 € bis 2000 €</v>
      </c>
      <c r="J356" s="1317"/>
      <c r="K356" s="1317"/>
      <c r="L356" s="1067"/>
      <c r="M356" s="1067"/>
      <c r="N356" s="1068" t="s">
        <v>736</v>
      </c>
      <c r="O356" s="1069">
        <f>P356+1</f>
        <v>2025</v>
      </c>
      <c r="P356" s="1069" t="s">
        <v>721</v>
      </c>
      <c r="Q356" s="932" t="s">
        <v>145</v>
      </c>
      <c r="R356" s="140">
        <f>IF(M344=0,R360,IF(M343="",R360,(SUM(S365:S376)/M347)))</f>
        <v>7450</v>
      </c>
      <c r="S356" s="933">
        <f>IF(M344=0,S360,IF(M343="",S360,SUM(S365:S376)))</f>
        <v>0</v>
      </c>
      <c r="T356" s="109"/>
    </row>
    <row r="357" spans="1:22" ht="14.25" customHeight="1" x14ac:dyDescent="0.2">
      <c r="A357" s="60"/>
      <c r="B357" s="1314" t="str">
        <f>IF($B$21="","",$B$21)</f>
        <v>Leistungsentgelt (LOB)</v>
      </c>
      <c r="C357" s="1315"/>
      <c r="D357" s="926"/>
      <c r="E357" s="929" t="str">
        <f>IF(A357="","",ROUND(((B377+F377)*D357)/Grundlagen!$C$26*M346,2))</f>
        <v/>
      </c>
      <c r="G357" s="941" t="str">
        <f>IF(OR(H356="",H356="nein")=TRUE,"","Faktor (F):")</f>
        <v/>
      </c>
      <c r="H357" s="949" t="str">
        <f>IF(OR(H356="",H356="nein")=TRUE,"",IF(H356="","",R383))</f>
        <v/>
      </c>
      <c r="I357" s="1318" t="str">
        <f>IF(OR(H356="",H356="nein")=TRUE,"",IF(H357="","",CONCATENATE(S383*100,"%"," / ","(",R382*100,"%"," Gesamt-SV-Beitragssatz 2024)")))</f>
        <v/>
      </c>
      <c r="J357" s="1319"/>
      <c r="K357" s="1319"/>
      <c r="L357" s="1070"/>
      <c r="M357" s="1070"/>
      <c r="N357" s="1071" t="s">
        <v>144</v>
      </c>
      <c r="O357" s="1072">
        <f>'päd.Personal - Leitung'!$O$21</f>
        <v>5175</v>
      </c>
      <c r="P357" s="1072">
        <f>'päd.Personal - Leitung'!$P$21</f>
        <v>5175</v>
      </c>
      <c r="Q357" s="11"/>
      <c r="R357" s="11"/>
      <c r="S357" s="11"/>
      <c r="T357" s="109"/>
    </row>
    <row r="358" spans="1:22" ht="14.25" customHeight="1" x14ac:dyDescent="0.2">
      <c r="C358" s="925" t="s">
        <v>731</v>
      </c>
      <c r="L358" s="1070"/>
      <c r="M358" s="1070"/>
      <c r="N358" s="1071" t="s">
        <v>145</v>
      </c>
      <c r="O358" s="1073">
        <f>'päd.Personal - Leitung'!$O$22</f>
        <v>7450</v>
      </c>
      <c r="P358" s="1073">
        <f>'päd.Personal - Leitung'!$P$22</f>
        <v>7450</v>
      </c>
      <c r="Q358" s="978" t="str">
        <f>CONCATENATE("BBG"," ",O356)</f>
        <v>BBG 2025</v>
      </c>
      <c r="R358" s="11"/>
      <c r="S358" s="11"/>
      <c r="T358" s="109"/>
    </row>
    <row r="359" spans="1:22" ht="14.25" customHeight="1" x14ac:dyDescent="0.2">
      <c r="A359" s="53" t="s">
        <v>141</v>
      </c>
      <c r="B359" s="46"/>
      <c r="C359" s="46"/>
      <c r="D359" s="46"/>
      <c r="E359" s="46"/>
      <c r="F359" s="46"/>
      <c r="G359" s="46"/>
      <c r="H359" s="46"/>
      <c r="I359" s="46"/>
      <c r="J359" s="46"/>
      <c r="K359" s="46"/>
      <c r="L359" s="46"/>
      <c r="M359" s="46"/>
      <c r="N359" s="46"/>
      <c r="O359" s="46"/>
      <c r="P359" s="46"/>
      <c r="Q359" s="932" t="s">
        <v>144</v>
      </c>
      <c r="R359" s="141">
        <f>IF($O$21="",0,$O$21)</f>
        <v>5175</v>
      </c>
      <c r="S359" s="933">
        <f>R359*IF(M347="",0,M347)</f>
        <v>0</v>
      </c>
      <c r="T359" s="295"/>
    </row>
    <row r="360" spans="1:22" x14ac:dyDescent="0.2">
      <c r="A360" s="1346"/>
      <c r="B360" s="1348" t="s">
        <v>8</v>
      </c>
      <c r="C360" s="1349"/>
      <c r="D360" s="1349"/>
      <c r="E360" s="1349"/>
      <c r="F360" s="1349"/>
      <c r="G360" s="1350"/>
      <c r="H360" s="1351" t="s">
        <v>113</v>
      </c>
      <c r="I360" s="1352"/>
      <c r="J360" s="1352"/>
      <c r="K360" s="1352"/>
      <c r="L360" s="1352"/>
      <c r="M360" s="1352"/>
      <c r="N360" s="1352"/>
      <c r="O360" s="30"/>
      <c r="P360" s="1330" t="s">
        <v>0</v>
      </c>
      <c r="Q360" s="932" t="s">
        <v>145</v>
      </c>
      <c r="R360" s="141">
        <f>IF($O$22="",0,$O$22)</f>
        <v>7450</v>
      </c>
      <c r="S360" s="933">
        <f>R360*IF(M347="",0,M347)</f>
        <v>0</v>
      </c>
      <c r="T360" s="830"/>
    </row>
    <row r="361" spans="1:22" ht="14.25" customHeight="1" x14ac:dyDescent="0.2">
      <c r="A361" s="1347"/>
      <c r="B361" s="1333" t="s">
        <v>111</v>
      </c>
      <c r="C361" s="1335" t="s">
        <v>743</v>
      </c>
      <c r="D361" s="1337" t="s">
        <v>226</v>
      </c>
      <c r="E361" s="1339" t="s">
        <v>133</v>
      </c>
      <c r="F361" s="981" t="s">
        <v>6</v>
      </c>
      <c r="G361" s="1340" t="s">
        <v>5</v>
      </c>
      <c r="H361" s="1339" t="s">
        <v>119</v>
      </c>
      <c r="I361" s="1339" t="s">
        <v>4</v>
      </c>
      <c r="J361" s="1339" t="s">
        <v>3</v>
      </c>
      <c r="K361" s="1339" t="s">
        <v>2</v>
      </c>
      <c r="L361" s="1339" t="s">
        <v>114</v>
      </c>
      <c r="M361" s="1339" t="s">
        <v>115</v>
      </c>
      <c r="N361" s="1339" t="s">
        <v>116</v>
      </c>
      <c r="O361" s="1338" t="s">
        <v>109</v>
      </c>
      <c r="P361" s="1331"/>
      <c r="Q361" s="456"/>
      <c r="R361" s="11"/>
      <c r="S361" s="11"/>
      <c r="T361" s="621"/>
    </row>
    <row r="362" spans="1:22" x14ac:dyDescent="0.2">
      <c r="A362" s="1347"/>
      <c r="B362" s="1333"/>
      <c r="C362" s="1335"/>
      <c r="D362" s="1338"/>
      <c r="E362" s="1339"/>
      <c r="F362" s="1343" t="str">
        <f>I354</f>
        <v>Zuschläge / Zulagen / o.ä.:</v>
      </c>
      <c r="G362" s="1340"/>
      <c r="H362" s="1342" t="s">
        <v>117</v>
      </c>
      <c r="I362" s="1342"/>
      <c r="J362" s="1342"/>
      <c r="K362" s="1342"/>
      <c r="L362" s="1342"/>
      <c r="M362" s="1342"/>
      <c r="N362" s="1342"/>
      <c r="O362" s="1338"/>
      <c r="P362" s="1331"/>
      <c r="Q362" s="456"/>
      <c r="R362" s="1306" t="str">
        <f>Q354</f>
        <v>BBG anteilig 2025</v>
      </c>
      <c r="S362" s="1306"/>
      <c r="T362" s="829"/>
    </row>
    <row r="363" spans="1:22" ht="14.25" customHeight="1" x14ac:dyDescent="0.2">
      <c r="A363" s="1347"/>
      <c r="B363" s="1333"/>
      <c r="C363" s="1335"/>
      <c r="D363" s="1338"/>
      <c r="E363" s="1339"/>
      <c r="F363" s="1343"/>
      <c r="G363" s="1340"/>
      <c r="H363" s="39" t="str">
        <f>'päd.Personal - Leitung'!$H$27</f>
        <v>(7,30% + Zusatz)</v>
      </c>
      <c r="I363" s="39" t="str">
        <f>'päd.Personal - Leitung'!$I$27</f>
        <v xml:space="preserve"> (2024: 9,30%)</v>
      </c>
      <c r="J363" s="39" t="str">
        <f>'päd.Personal - Leitung'!$J$27</f>
        <v>(2024: 1,30%)</v>
      </c>
      <c r="K363" s="39" t="str">
        <f>'päd.Personal - Leitung'!$K$27</f>
        <v>(2024: 1,700%)</v>
      </c>
      <c r="L363" s="39"/>
      <c r="M363" s="39"/>
      <c r="N363" s="39" t="str">
        <f>'päd.Personal - Leitung'!$N$27</f>
        <v>(2024: 0,06%)</v>
      </c>
      <c r="O363" s="1338"/>
      <c r="P363" s="1331"/>
      <c r="Q363" s="456"/>
      <c r="R363" s="1307" t="s">
        <v>659</v>
      </c>
      <c r="S363" s="1307"/>
      <c r="T363" s="829"/>
      <c r="U363" s="1308" t="s">
        <v>1</v>
      </c>
      <c r="V363" s="1308" t="s">
        <v>741</v>
      </c>
    </row>
    <row r="364" spans="1:22" x14ac:dyDescent="0.2">
      <c r="A364" s="1347"/>
      <c r="B364" s="1334"/>
      <c r="C364" s="1336"/>
      <c r="D364" s="45"/>
      <c r="E364" s="45"/>
      <c r="F364" s="1344"/>
      <c r="G364" s="1341"/>
      <c r="H364" s="74"/>
      <c r="I364" s="99">
        <f>'päd.Personal - Leitung'!$I$28</f>
        <v>0</v>
      </c>
      <c r="J364" s="99">
        <f>'päd.Personal - Leitung'!$J$28</f>
        <v>0</v>
      </c>
      <c r="K364" s="40">
        <f>'päd.Personal - Leitung'!$K$28</f>
        <v>0</v>
      </c>
      <c r="L364" s="19"/>
      <c r="M364" s="19"/>
      <c r="N364" s="99">
        <f>'päd.Personal - Leitung'!$N$28</f>
        <v>0</v>
      </c>
      <c r="O364" s="23"/>
      <c r="P364" s="1332"/>
      <c r="Q364" s="456"/>
      <c r="R364" s="935" t="s">
        <v>144</v>
      </c>
      <c r="S364" s="935" t="s">
        <v>145</v>
      </c>
      <c r="T364" s="829"/>
      <c r="U364" s="1308"/>
      <c r="V364" s="1308"/>
    </row>
    <row r="365" spans="1:22" x14ac:dyDescent="0.2">
      <c r="A365" s="76" t="str">
        <f>CONCATENATE("Jan ",O341)</f>
        <v>Jan 2025</v>
      </c>
      <c r="B365" s="22">
        <f>ROUND(IF(P342=0,0,(LOOKUP(2,1/(A350:A353=A365),G350:G353))*P342*4.348),2)</f>
        <v>0</v>
      </c>
      <c r="C365" s="21">
        <f>ROUND(IFERROR((LOOKUP(2,1/(A356=A365),E356)),0)+IFERROR((LOOKUP(2,1/(A357=A365),E357)),0),2)</f>
        <v>0</v>
      </c>
      <c r="D365" s="21">
        <f>ROUND(IF(B365=0,0,D364/M343*P342),2)</f>
        <v>0</v>
      </c>
      <c r="E365" s="21">
        <f>ROUND(IF(B365=0,0,E364/N339*P342),2)</f>
        <v>0</v>
      </c>
      <c r="F365" s="22">
        <f>ROUND(IF(P342=0,0,(LOOKUP(2,1/(A350:A353=A365),I350:I353))/N339*P342),2)</f>
        <v>0</v>
      </c>
      <c r="G365" s="25">
        <f t="shared" ref="G365:G376" si="60">SUM(B365+C365+E365+F365)</f>
        <v>0</v>
      </c>
      <c r="H365" s="64">
        <f>IF(B365=0,0,IF(AND(H356="ja",((U365)&lt;R381)),ROUND(((R383*R380+((R381/(R381-R380))-(R380/(R381-R380))*R383)*((U365)-R380))*(H364*2))-(((R381/(R381-R380))*((U365)-R380))*H364),2),ROUND(IF((U365)&gt;R365,R365*H364,U365*H364),2)))</f>
        <v>0</v>
      </c>
      <c r="I365" s="64">
        <f>IF(B365=0,0,IF(AND(H356="ja",((U365)&lt;R381)),ROUND(((R383*R380+((R381/(R381-R380))-(R380/(R381-R380))*R383)*((U365)-R380))*(I364*2))-(((R381/(R381-R380))*((U365)-R380))*I364),2),ROUND(IF((U365)&gt;S365,S365*I364,U365*I364),2)))</f>
        <v>0</v>
      </c>
      <c r="J365" s="64">
        <f>IF(B365=0,0,IF(AND(H356="ja",((U365)&lt;R381)),ROUND(((R383*R380+((R381/(R381-R380))-(R380/(R381-R380))*R383)*((U365)-R380))*(J364*2))-(((R381/(R381-R380))*((U365)-R380))*J364),2),ROUND(IF((U365)&gt;S365,S365*J364,U365*J364),2)))</f>
        <v>0</v>
      </c>
      <c r="K365" s="64">
        <f>IF(B365=0,0,IF(AND(H356="ja",((U365)&lt;R381)),ROUND(((R383*R380+((R381/(R381-R380))-(R380/(R381-R380))*R383)*((U365)-R380))*(K364*2))-(((R381/(R381-R380))*((U365)-R380))*K364),2),ROUND(IF((U365)&gt;R365,R365*K364,U365*K364),2)))</f>
        <v>0</v>
      </c>
      <c r="L365" s="64">
        <f>IF(B365=0,0,IF(AND(H356="ja",((U365-C365)&lt;R381)),ROUND(((R383*R380+((R381/(R381-R380))-(R380/(R381-R380))*R383)*((U365-C365)-R380))*(L364)),2),ROUND(IF((SUM(B365:F365))&gt;S365,S365*L364,(SUM(B365:F365)-C365)*L364),2)))</f>
        <v>0</v>
      </c>
      <c r="M365" s="64">
        <f>IF(B365=0,0,IF(AND(H356="ja",((U365-C365)&lt;R381)),ROUND(((R383*R380+((R381/(R381-R380))-(R380/(R381-R380))*R383)*((U365-C365)-R380))*(M364)),2),ROUND(IF((SUM(B365:F365))&gt;S365,S365*M364,(SUM(B365:F365)-C365)*M364),2)))</f>
        <v>0</v>
      </c>
      <c r="N365" s="64">
        <f>IF(B365=0,0,IF(AND(H356="ja",((U365)&lt;R381)),ROUND(((R383*R380+((R381/(R381-R380))-(R380/(R381-R380))*R383)*((U365)-R380))*(N364)),2),ROUND(IF((SUM(B365:F365))&gt;S365,S365*N364,SUM(B365:F365)*N364),2)))</f>
        <v>0</v>
      </c>
      <c r="O365" s="21">
        <f>ROUND(SUM(B365+C365+F365)*O364,2)</f>
        <v>0</v>
      </c>
      <c r="P365" s="25">
        <f>SUM(G365:O365)</f>
        <v>0</v>
      </c>
      <c r="Q365" s="456"/>
      <c r="R365" s="140">
        <f>ROUND(IF(M343="",R359,R359/M343*P342),2)</f>
        <v>5175</v>
      </c>
      <c r="S365" s="140">
        <f>ROUND(IF(M343="",R360,R360/M343*P342),2)</f>
        <v>7450</v>
      </c>
      <c r="U365" s="950">
        <f>SUM(B365:F365)</f>
        <v>0</v>
      </c>
      <c r="V365" s="950">
        <f>SUM(B365:F365)</f>
        <v>0</v>
      </c>
    </row>
    <row r="366" spans="1:22" x14ac:dyDescent="0.2">
      <c r="A366" s="76" t="str">
        <f>CONCATENATE("Feb ",O341)</f>
        <v>Feb 2025</v>
      </c>
      <c r="B366" s="22">
        <f>ROUND(IF(P343=0,0,IFERROR(((LOOKUP(2,1/(A350:A353=A366),G350:G353))*P343*4.348),B365/P342*P343)),2)</f>
        <v>0</v>
      </c>
      <c r="C366" s="21">
        <f>ROUND(IFERROR((LOOKUP(2,1/(A356=A366),E356)),0)+IFERROR((LOOKUP(2,1/(A357=A366),E357)),0),2)</f>
        <v>0</v>
      </c>
      <c r="D366" s="21">
        <f>ROUND(IF(B366=0,0,D364/M343*P343),2)</f>
        <v>0</v>
      </c>
      <c r="E366" s="21">
        <f>ROUND(IF(B366=0,0,E364/N339*P343),2)</f>
        <v>0</v>
      </c>
      <c r="F366" s="22">
        <f>ROUND(IF(P343=0,0,IFERROR(((LOOKUP(2,1/(A350:A353=A366),I350:I353))/N339*P343),F365/P342*P343)),2)</f>
        <v>0</v>
      </c>
      <c r="G366" s="25">
        <f t="shared" si="60"/>
        <v>0</v>
      </c>
      <c r="H366" s="64">
        <f>IF(B366=0,0,IF(AND(H356="ja",((U366)&lt;R381)),ROUND(((R383*R380+((R381/(R381-R380))-(R380/(R381-R380))*R383)*((U366)-R380))*(H364*2))-(((R381/(R381-R380))*((U366)-R380))*H364),2),ROUND(IF(U365&lt;(R365),IF((V366)&gt;(SUM(R365:R366)),(((SUM(R365:R366))-(V366-C365))*H364)+((U366-C365)*H364),U366*H364),IF(V366&gt;(SUM(R365:R366)),R366*H364,U366*H364)),2)))</f>
        <v>0</v>
      </c>
      <c r="I366" s="64">
        <f>IF(B366=0,0,IF(AND(H356="ja",((U366)&lt;R381)),ROUND(((R383*R380+((R381/(R381-R380))-(R380/(R381-R380))*R383)*((U366)-R380))*(I364*2))-(((R381/(R381-R380))*((U366)-R380))*I364),2),ROUND(IF(U365&lt;(S365),IF((V366)&gt;(SUM(S365:S366)),(((SUM(S365:S366))-(V366-C365))*I364)+((U366-C365)*I364),U366*I364),IF(V366&gt;(SUM(S365:S366)),S366*I364,U366*I364)),2)))</f>
        <v>0</v>
      </c>
      <c r="J366" s="64">
        <f>IF(B366=0,0,IF(AND(H356="ja",((U366)&lt;R381)),ROUND(((R383*R380+((R381/(R381-R380))-(R380/(R381-R380))*R383)*((U366)-R380))*(J364*2))-(((R381/(R381-R380))*((U366)-R380))*J364),2),ROUND(IF(U365&lt;(S365),IF((V366)&gt;(SUM(S365:S366)),(((SUM(S365:S366))-(V366-C365))*J364)+((U366-C365)*J364),U366*J364),IF(V366&gt;(SUM(S365:S366)),S366*J364,U366*J364)),2)))</f>
        <v>0</v>
      </c>
      <c r="K366" s="64">
        <f>IF(B366=0,0,IF(AND(H356="ja",((U366)&lt;R381)),ROUND(((R383*R380+((R381/(R381-R380))-(R380/(R381-R380))*R383)*((U366)-R380))*(K364*2))-(((R381/(R381-R380))*((U366)-R380))*K364),2),ROUND(IF(U365&lt;(R365),IF((V366)&gt;(SUM(R365:R366)),(((SUM(R365:R366))-(V366-C365))*K364)+((U366-C365)*K364),U366*K364),IF(V366&gt;(SUM(R365:R366)),R366*K364,U366*K364)),2)))</f>
        <v>0</v>
      </c>
      <c r="L366" s="64">
        <f>IF(B366=0,0,IF(AND(H356="ja",((U366-C366)&lt;R381)),ROUND(((R383*R380+((R381/(R381-R380))-(R380/(R381-R380))*R383)*((U366-C366)-R380))*(L364)),2),ROUND(IF(SUM(B365:F365)&lt;(S365),IF((SUM(B365:F366))&gt;(SUM(S365:S366)),(((SUM(S365:S366))-(SUM(B365:F366)-C366))*L364)+((SUM(B366:F366)-C366)*L364),(SUM(B366:F366)-C366)*L364),IF(SUM(B365:F366)&gt;(SUM(S365:S366)),S366*L364,SUM(B366:F366)*L364)),2)))</f>
        <v>0</v>
      </c>
      <c r="M366" s="64">
        <f>IF(B366=0,0,IF(AND(H356="ja",((U366-C366)&lt;R381)),ROUND(((R383*R380+((R381/(R381-R380))-(R380/(R381-R380))*R383)*((U366-C366)-R380))*(M364)),2),ROUND(IF(SUM(B365:F365)&lt;(S365),IF((SUM(B365:F366))&gt;(SUM(S365:S366)),(((SUM(S365:S366))-(SUM(B365:F366)-C366))*M364)+((SUM(B366:F366)-C366)*M364),(SUM(B366:F366)-C366)*M364),IF(SUM(B365:F366)&gt;(SUM(S365:S366)),S366*M364,SUM(B366:F366)*M364)),2)))</f>
        <v>0</v>
      </c>
      <c r="N366" s="64">
        <f>IF(B366=0,0,IF(AND(H356="ja",((U366)&lt;R381)),ROUND(((R383*R380+((R381/(R381-R380))-(R380/(R381-R380))*R383)*((U366)-R380))*(N364)),2),ROUND(IF(SUM(B365:F365)&lt;(S365),IF((SUM(B365:F366))&gt;(SUM(S365:S366)),(((SUM(S365:S366))-(SUM(B365:F366)-C365))*N364)+((SUM(B366:F366)-C365)*N364),SUM(B366:F366)*N364),IF(SUM(B365:F366)&gt;(SUM(S365:S366)),S366*N364,SUM(B366:F366)*N364)),2)))</f>
        <v>0</v>
      </c>
      <c r="O366" s="21">
        <f>ROUND(SUM(B366+C366+F366)*O364,2)</f>
        <v>0</v>
      </c>
      <c r="P366" s="25">
        <f t="shared" ref="P366:P376" si="61">SUM(G366:O366)</f>
        <v>0</v>
      </c>
      <c r="Q366" s="456"/>
      <c r="R366" s="140">
        <f>ROUND(IF(M343="",R359,R359/M343*P343),2)</f>
        <v>5175</v>
      </c>
      <c r="S366" s="140">
        <f>ROUND(IF(M343="",R360,R360/M343*P343),2)</f>
        <v>7450</v>
      </c>
      <c r="U366" s="950">
        <f t="shared" ref="U366:U376" si="62">SUM(B366:F366)</f>
        <v>0</v>
      </c>
      <c r="V366" s="950">
        <f>SUM(B365:F366)</f>
        <v>0</v>
      </c>
    </row>
    <row r="367" spans="1:22" x14ac:dyDescent="0.2">
      <c r="A367" s="76" t="str">
        <f>CONCATENATE("Mrz ",O341)</f>
        <v>Mrz 2025</v>
      </c>
      <c r="B367" s="22">
        <f>ROUND(IF(P344=0,0,IFERROR(((LOOKUP(2,1/(A350:A353=A367),G350:G353))*P344*4.348),B366/P343*P344)),2)</f>
        <v>0</v>
      </c>
      <c r="C367" s="21">
        <f>ROUND(IFERROR((LOOKUP(2,1/(A356=A367),E356)),0)+IFERROR((LOOKUP(2,1/(A357=A367),E357)),0),2)</f>
        <v>0</v>
      </c>
      <c r="D367" s="21">
        <f>ROUND(IF(B367=0,0,D364/M343*P344),2)</f>
        <v>0</v>
      </c>
      <c r="E367" s="21">
        <f>ROUND(IF(B367=0,0,E364/N339*P344),2)</f>
        <v>0</v>
      </c>
      <c r="F367" s="22">
        <f>ROUND(IF(P344=0,0,IFERROR(((LOOKUP(2,1/(A350:A353=A367),I350:I353))/N339*P344),F366/P343*P344)),2)</f>
        <v>0</v>
      </c>
      <c r="G367" s="25">
        <f t="shared" si="60"/>
        <v>0</v>
      </c>
      <c r="H367" s="64">
        <f>IF(B367=0,0,IF(AND(H356="ja",((U367)&lt;R381)),ROUND(((R383*R380+((R381/(R381-R380))-(R380/(R381-R380))*R383)*((U367)-R380))*(H364*2))-(((R381/(R381-R380))*((U367)-R380))*H364),2),ROUND(IF(V366&lt;(SUM(R365:R366)),IF((V367)&gt;(SUM(R365:R367)),(((SUM(R365:R367))-(V367-C366))*H364)+((U367-C366)*H364),U367*H364),IF(V367&gt;(SUM(R365:R367)),R367*H364,U367*H364)),2)))</f>
        <v>0</v>
      </c>
      <c r="I367" s="64">
        <f>IF(B367=0,0,IF(AND(H356="ja",((U367)&lt;R381)),ROUND(((R383*R380+((R381/(R381-R380))-(R380/(R381-R380))*R383)*((U367)-R380))*(I364*2))-(((R381/(R381-R380))*((U367)-R380))*I364),2),ROUND(IF(V366&lt;(SUM(S365:S366)),IF((V367)&gt;(SUM(S365:S367)),(((SUM(S365:S367))-(V367-C366))*I364)+((U367-C366)*I364),U367*I364),IF(V367&gt;(SUM(S365:S367)),S367*I364,U367*I364)),2)))</f>
        <v>0</v>
      </c>
      <c r="J367" s="64">
        <f>IF(B367=0,0,IF(AND(H356="ja",((U367)&lt;R381)),ROUND(((R383*R380+((R381/(R381-R380))-(R380/(R381-R380))*R383)*((U367)-R380))*(J364*2))-(((R381/(R381-R380))*((U367)-R380))*J364),2),ROUND(IF(V366&lt;(SUM(S365:S366)),IF((V367)&gt;(SUM(S365:S367)),(((SUM(S365:S367))-(V367-C366))*J364)+((U367-C366)*J364),U367*J364),IF(V367&gt;(SUM(S365:S367)),S367*J364,U367*J364)),2)))</f>
        <v>0</v>
      </c>
      <c r="K367" s="64">
        <f>IF(B367=0,0,IF(AND(H356="ja",((U367)&lt;R381)),ROUND(((R383*R380+((R381/(R381-R380))-(R380/(R381-R380))*R383)*((U367)-R380))*(K364*2))-(((R381/(R381-R380))*((U367)-R380))*K364),2),ROUND(IF(V366&lt;(SUM(R365:R366)),IF((V367)&gt;(SUM(R365:R367)),(((SUM(R365:R367))-(V367-C366))*K364)+((U367-C366)*K364),U367*K364),IF(V367&gt;(SUM(R365:R367)),R367*K364,U367*K364)),2)))</f>
        <v>0</v>
      </c>
      <c r="L367" s="64">
        <f>IF(B367=0,0,IF(AND(H356="ja",((U367-C367)&lt;R381)),ROUND(((R383*R380+((R381/(R381-R380))-(R380/(R381-R380))*R383)*((U367-C367)-R380))*(L364)),2),ROUND(IF(SUM(B365:F366)&lt;(SUM(S365:S366)),IF((SUM(B365:F367))&gt;(SUM(S365:S367)),(((SUM(S365:S367))-(SUM(B365:F367)-C367))*L364)+((SUM(B367:F367)-C367)*L364),(SUM(B367:F367)-C367)*L364),IF(SUM(B365:F367)&gt;(SUM(S365:S367)),S367*L364,SUM(B367:F367)*L364)),2)))</f>
        <v>0</v>
      </c>
      <c r="M367" s="64">
        <f>IF(B367=0,0,IF(AND(H356="ja",((U367-C367)&lt;R381)),ROUND(((R383*R380+((R381/(R381-R380))-(R380/(R381-R380))*R383)*((U367-C367)-R380))*(M364)),2),ROUND(IF(SUM(B365:F366)&lt;(SUM(S365:S366)),IF((SUM(B365:F367))&gt;(SUM(S365:S367)),(((SUM(S365:S367))-(SUM(B365:F367)-C367))*M364)+((SUM(B367:F367)-C367)*M364),(SUM(B367:F367)-C367)*M364),IF(SUM(B365:F367)&gt;(SUM(S365:S367)),S367*M364,SUM(B367:F367)*M364)),2)))</f>
        <v>0</v>
      </c>
      <c r="N367" s="64">
        <f>IF(B367=0,0,IF(AND(H356="ja",((U367)&lt;R381)),ROUND(((R383*R380+((R381/(R381-R380))-(R380/(R381-R380))*R383)*((U367)-R380))*(N364)),2),ROUND(IF(SUM(B365:F366)&lt;(SUM(S365:S366)),IF((SUM(B365:F367))&gt;(SUM(S365:S367)),(((SUM(S365:S367))-(SUM(B365:F367)-C366))*N364)+((SUM(B367:F367)-C366)*N364),SUM(B367:F367)*N364),IF(SUM(B365:F367)&gt;(SUM(S365:S367)),S367*N364,SUM(B367:F367)*N364)),2)))</f>
        <v>0</v>
      </c>
      <c r="O367" s="21">
        <f>ROUND(SUM(B367+C367+F367)*O364,2)</f>
        <v>0</v>
      </c>
      <c r="P367" s="25">
        <f t="shared" si="61"/>
        <v>0</v>
      </c>
      <c r="Q367" s="456"/>
      <c r="R367" s="140">
        <f>ROUND(IF(M343="",R359,R359/M343*P344),2)</f>
        <v>5175</v>
      </c>
      <c r="S367" s="140">
        <f>ROUND(IF(M343="",R360,R360/M343*P344),2)</f>
        <v>7450</v>
      </c>
      <c r="U367" s="950">
        <f t="shared" si="62"/>
        <v>0</v>
      </c>
      <c r="V367" s="950">
        <f>SUM(B365:F367)</f>
        <v>0</v>
      </c>
    </row>
    <row r="368" spans="1:22" x14ac:dyDescent="0.2">
      <c r="A368" s="76" t="str">
        <f>CONCATENATE("Apr ",O341)</f>
        <v>Apr 2025</v>
      </c>
      <c r="B368" s="22">
        <f>ROUND(IF(P345=0,0,IFERROR(((LOOKUP(2,1/(A350:A353=A368),G350:G353))*P345*4.348),B367/P344*P345)),2)</f>
        <v>0</v>
      </c>
      <c r="C368" s="21">
        <f>ROUND(IFERROR((LOOKUP(2,1/(A356=A368),E356)),0)+IFERROR((LOOKUP(2,1/(A357=A368),E357)),0),2)</f>
        <v>0</v>
      </c>
      <c r="D368" s="21">
        <f>ROUND(IF(B368=0,0,D364/M343*P345),2)</f>
        <v>0</v>
      </c>
      <c r="E368" s="21">
        <f>ROUND(IF(B368=0,0,E364/N339*P345),2)</f>
        <v>0</v>
      </c>
      <c r="F368" s="22">
        <f>ROUND(IF(P345=0,0,IFERROR(((LOOKUP(2,1/(A350:A353=A368),I350:I353))/N339*P345),F367/P344*P345)),2)</f>
        <v>0</v>
      </c>
      <c r="G368" s="25">
        <f t="shared" si="60"/>
        <v>0</v>
      </c>
      <c r="H368" s="64">
        <f>IF(B368=0,0,IF(AND(H356="ja",((U368)&lt;R381)),ROUND(((R383*R380+((R381/(R381-R380))-(R380/(R381-R380))*R383)*((U368)-R380))*(H364*2))-(((R381/(R381-R380))*((U368)-R380))*H364),2),ROUND(IF(V367&lt;(SUM(R365:R367)),IF((V368)&gt;(SUM(R365:R368)),(((SUM(R365:R368))-(V368-C367))*H364)+((U368-C367)*H364),U368*H364),IF(V368&gt;(SUM(R365:R368)),R368*H364,U368*H364)),2)))</f>
        <v>0</v>
      </c>
      <c r="I368" s="64">
        <f>IF(B368=0,0,IF(AND(H356="ja",((U368)&lt;R381)),ROUND(((R383*R380+((R381/(R381-R380))-(R380/(R381-R380))*R383)*((U368)-R380))*(I364*2))-(((R381/(R381-R380))*((U368)-R380))*I364),2),ROUND(IF(V367&lt;(SUM(S365:S367)),IF((V368)&gt;(SUM(S365:S368)),(((SUM(S365:S368))-(V368-C367))*I364)+((U368-C367)*I364),U368*I364),IF(V368&gt;(SUM(S365:S368)),S368*I364,U368*I364)),2)))</f>
        <v>0</v>
      </c>
      <c r="J368" s="64">
        <f>IF(B368=0,0,IF(AND(H356="ja",((U368)&lt;R381)),ROUND(((R383*R380+((R381/(R381-R380))-(R380/(R381-R380))*R383)*((U368)-R380))*(J364*2))-(((R381/(R381-R380))*((U368)-R380))*J364),2),ROUND(IF(U367&lt;(SUM(S365:S367)),IF((V368)&gt;(SUM(S365:S368)),(((SUM(S365:S368))-(V368-C367))*J364)+((U368-C367)*J364),U368*J364),IF(V368&gt;(SUM(S365:S368)),S368*J364,U368*J364)),2)))</f>
        <v>0</v>
      </c>
      <c r="K368" s="64">
        <f>IF(B368=0,0,IF(AND(H356="ja",((U368)&lt;R381)),ROUND(((R383*R380+((R381/(R381-R380))-(R380/(R381-R380))*R383)*((U368)-R380))*(K364*2))-(((R381/(R381-R380))*((U368)-R380))*K364),2),ROUND(IF(V367&lt;(SUM(R365:R367)),IF((V368)&gt;(SUM(R365:R368)),(((SUM(R365:R368))-(V368-C367))*K364)+((U368-C367)*K364),U368*K364),IF(V368&gt;(SUM(R365:R368)),R368*K364,U368*K364)),2)))</f>
        <v>0</v>
      </c>
      <c r="L368" s="64">
        <f>IF(B368=0,0,IF(AND(H356="ja",((U368-C368)&lt;R381)),ROUND(((R383*R380+((R381/(R381-R380))-(R380/(R381-R380))*R383)*((U368-C368)-R380))*(L364)),2),ROUND(IF(SUM(B365:F367)&lt;(SUM(S365:S367)),IF((SUM(B365:F368))&gt;(SUM(S365:S368)),(((SUM(S365:S368))-(SUM(B365:F368)-C368))*L364)+((SUM(B368:F368)-C368)*L364),(SUM(B368:F368)-C368)*L364),IF(SUM(B365:F368)&gt;(SUM(S365:S368)),S368*L364,SUM(B368:F368)*L364)),2)))</f>
        <v>0</v>
      </c>
      <c r="M368" s="64">
        <f>IF(B368=0,0,IF(AND(H356="ja",((U368-C368)&lt;R381)),ROUND(((R383*R380+((R381/(R381-R380))-(R380/(R381-R380))*R383)*((U368-C368)-R380))*(M364)),2),ROUND(IF(SUM(B365:F367)&lt;(SUM(S365:S367)),IF((SUM(B365:F368))&gt;(SUM(S365:S368)),(((SUM(S365:S368))-(SUM(B365:F368)-C368))*M364)+((SUM(B368:F368)-C368)*M364),(SUM(B368:F368)-C368)*M364),IF(SUM(B365:F368)&gt;(SUM(S365:S368)),S368*M364,SUM(B368:F368)*M364)),2)))</f>
        <v>0</v>
      </c>
      <c r="N368" s="64">
        <f>IF(B368=0,0,IF(AND(H356="ja",((U368)&lt;R381)),ROUND(((R383*R380+((R381/(R381-R380))-(R380/(R381-R380))*R383)*((U368)-R380))*(N364)),2),ROUND(IF(SUM(B365:F367)&lt;(SUM(S365:S367)),IF((SUM(B365:F368))&gt;(SUM(S365:S368)),(((SUM(S365:S368))-(SUM(B365:F368)-C367))*N364)+((SUM(B368:F368)-C367)*N364),SUM(B368:F368)*N364),IF(SUM(B365:F368)&gt;(SUM(S365:S368)),S368*N364,SUM(B368:F368)*N364)),2)))</f>
        <v>0</v>
      </c>
      <c r="O368" s="21">
        <f>ROUND(SUM(B368+C368+F368)*O364,2)</f>
        <v>0</v>
      </c>
      <c r="P368" s="25">
        <f t="shared" si="61"/>
        <v>0</v>
      </c>
      <c r="Q368" s="456"/>
      <c r="R368" s="140">
        <f>ROUND(IF(M343="",R359,R359/M343*P345),2)</f>
        <v>5175</v>
      </c>
      <c r="S368" s="140">
        <f>ROUND(IF(M343="",R360,R360/M343*P345),2)</f>
        <v>7450</v>
      </c>
      <c r="U368" s="950">
        <f t="shared" si="62"/>
        <v>0</v>
      </c>
      <c r="V368" s="950">
        <f>SUM(B365:F368)</f>
        <v>0</v>
      </c>
    </row>
    <row r="369" spans="1:24" x14ac:dyDescent="0.2">
      <c r="A369" s="76" t="str">
        <f>CONCATENATE("Mai ",O341)</f>
        <v>Mai 2025</v>
      </c>
      <c r="B369" s="22">
        <f>ROUND(IF(P346=0,0,IFERROR(((LOOKUP(2,1/(A350:A353=A369),G350:G353))*P346*4.348),B368/P345*P346)),2)</f>
        <v>0</v>
      </c>
      <c r="C369" s="21">
        <f>ROUND(IFERROR((LOOKUP(2,1/(A356=A369),E356)),0)+IFERROR((LOOKUP(2,1/(A357=A369),E357)),0),2)</f>
        <v>0</v>
      </c>
      <c r="D369" s="21">
        <f>ROUND(IF(B369=0,0,D364/M343*P346),2)</f>
        <v>0</v>
      </c>
      <c r="E369" s="21">
        <f>ROUND(IF(B369=0,0,E364/N339*P346),2)</f>
        <v>0</v>
      </c>
      <c r="F369" s="22">
        <f>ROUND(IF(P346=0,0,IFERROR(((LOOKUP(2,1/(A350:A353=A369),I350:I353))/N339*P346),F368/P345*P346)),2)</f>
        <v>0</v>
      </c>
      <c r="G369" s="25">
        <f t="shared" si="60"/>
        <v>0</v>
      </c>
      <c r="H369" s="64">
        <f>IF(B369=0,0,IF(AND(H356="ja",((U369)&lt;R381)),ROUND(((R383*R380+((R381/(R381-R380))-(R380/(R381-R380))*R383)*((U369)-R380))*(H364*2))-(((R381/(R381-R380))*((U369)-R380))*H364),2),ROUND(IF(V368&lt;(SUM(R365:R368)),IF((V369)&gt;(SUM(R365:R369)),(((SUM(R365:R369))-(V369-C368))*H364)+((U369-C368)*H364),U369*H364),IF(V369&gt;(SUM(R365:R369)),R369*H364,U369*H364)),2)))</f>
        <v>0</v>
      </c>
      <c r="I369" s="64">
        <f>IF(B369=0,0,IF(AND(H356="ja",((U369)&lt;R381)),ROUND(((R383*R380+((R381/(R381-R380))-(R380/(R381-R380))*R383)*((U369)-R380))*(I364*2))-(((R381/(R381-R380))*((U369)-R380))*I364),2),ROUND(IF(V368&lt;(SUM(S365:S368)),IF((V369)&gt;(SUM(S365:S369)),(((SUM(S365:S369))-(V369-C368))*I364)+((U369-C368)*I364),U369*I364),IF(V369&gt;(SUM(S365:S369)),S369*I364,U369*I364)),2)))</f>
        <v>0</v>
      </c>
      <c r="J369" s="64">
        <f>IF(B369=0,0,IF(AND(H356="ja",((U369)&lt;R381)),ROUND(((R383*R380+((R381/(R381-R380))-(R380/(R381-R380))*R383)*((U369)-R380))*(J364*2))-(((R381/(R381-R380))*((U369)-R380))*J364),2),ROUND(IF(V368&lt;(SUM(S365:S368)),IF((V369)&gt;(SUM(S365:S369)),(((SUM(S365:S369))-(V369-C368))*J364)+((U369-C368)*J364),U369*J364),IF(V369&gt;(SUM(S365:S369)),S369*J364,U369*J364)),2)))</f>
        <v>0</v>
      </c>
      <c r="K369" s="64">
        <f>IF(B369=0,0,IF(AND(H356="ja",((U369)&lt;R381)),ROUND(((R383*R380+((R381/(R381-R380))-(R380/(R381-R380))*R383)*((U369)-R380))*(K364*2))-(((R381/(R381-R380))*((U369)-R380))*K364),2),ROUND(IF(V368&lt;(SUM(R365:R368)),IF((V369)&gt;(SUM(R365:R369)),(((SUM(R365:R369))-(V369-C368))*K364)+((U369-C368)*K364),U369*K364),IF(V369&gt;(SUM(R365:R369)),R369*K364,U369*K364)),2)))</f>
        <v>0</v>
      </c>
      <c r="L369" s="64">
        <f>IF(B369=0,0,IF(AND(H356="ja",((U369-C369)&lt;R381)),ROUND(((R383*R380+((R381/(R381-R380))-(R380/(R381-R380))*R383)*((U369-C369)-R380))*(L364)),2),ROUND(IF(SUM(B365:F368)&lt;(SUM(S365:S368)),IF((SUM(B365:F369))&gt;(SUM(S365:S369)),(((SUM(S365:S369))-(SUM(B365:F369)-C369))*L364)+((SUM(B369:F369)-C369)*L364),(SUM(B369:F369)-C369)*L364),IF(SUM(B365:F369)&gt;(SUM(S365:S369)),S369*L364,SUM(B369:F369)*L364)),2)))</f>
        <v>0</v>
      </c>
      <c r="M369" s="64">
        <f>IF(B369=0,0,IF(AND(H356="ja",((U369-C369)&lt;R381)),ROUND(((R383*R380+((R381/(R381-R380))-(R380/(R381-R380))*R383)*((U369-C369)-R380))*(M364)),2),ROUND(IF(SUM(B365:F368)&lt;(SUM(S365:S368)),IF((SUM(B365:F369))&gt;(SUM(S365:S369)),(((SUM(S365:S369))-(SUM(B365:F369)-C369))*M364)+((SUM(B369:F369)-C369)*M364),(SUM(B369:F369)-C369)*M364),IF(SUM(B365:F369)&gt;(SUM(S365:S369)),S369*M364,SUM(B369:F369)*M364)),2)))</f>
        <v>0</v>
      </c>
      <c r="N369" s="64">
        <f>IF(B369=0,0,IF(AND(H356="ja",((U369)&lt;R381)),ROUND(((R383*R380+((R381/(R381-R380))-(R380/(R381-R380))*R383)*((U369)-R380))*(N364)),2),ROUND(IF(SUM(B365:F368)&lt;(SUM(S365:S368)),IF((SUM(B365:F369))&gt;(SUM(S365:S369)),(((SUM(S365:S369))-(SUM(B365:F369)-C368))*N364)+((SUM(B369:F369)-C368)*N364),SUM(B369:F369)*N364),IF(SUM(B365:F369)&gt;(SUM(S365:S369)),S369*N364,SUM(B369:F369)*N364)),2)))</f>
        <v>0</v>
      </c>
      <c r="O369" s="21">
        <f>ROUND(SUM(B369+C369+F369)*O364,2)</f>
        <v>0</v>
      </c>
      <c r="P369" s="25">
        <f t="shared" si="61"/>
        <v>0</v>
      </c>
      <c r="Q369" s="456"/>
      <c r="R369" s="140">
        <f>ROUND(IF(M343="",R359,R359/M343*P346),2)</f>
        <v>5175</v>
      </c>
      <c r="S369" s="140">
        <f>ROUND(IF(M343="",R360,R360/M343*P346),2)</f>
        <v>7450</v>
      </c>
      <c r="U369" s="950">
        <f t="shared" si="62"/>
        <v>0</v>
      </c>
      <c r="V369" s="950">
        <f>SUM(B365:F369)</f>
        <v>0</v>
      </c>
    </row>
    <row r="370" spans="1:24" x14ac:dyDescent="0.2">
      <c r="A370" s="76" t="str">
        <f>CONCATENATE("Jun ",O341)</f>
        <v>Jun 2025</v>
      </c>
      <c r="B370" s="22">
        <f>ROUND(IF(P347=0,0,IFERROR(((LOOKUP(2,1/(A350:A353=A370),G350:G353))*P347*4.348),B369/P346*P347)),2)</f>
        <v>0</v>
      </c>
      <c r="C370" s="21">
        <f>ROUND(IFERROR((LOOKUP(2,1/(A356=A370),E356)),0)+IFERROR((LOOKUP(2,1/(A357=A370),E357)),0),2)</f>
        <v>0</v>
      </c>
      <c r="D370" s="21">
        <f>ROUND(IF(B370=0,0,D364/M343*P347),2)</f>
        <v>0</v>
      </c>
      <c r="E370" s="21">
        <f>ROUND(IF(B370=0,0,E364/N339*P347),2)</f>
        <v>0</v>
      </c>
      <c r="F370" s="22">
        <f>ROUND(IF(P347=0,0,IFERROR(((LOOKUP(2,1/(A350:A353=A370),I350:I353))/N339*P347),F369/P346*P347)),2)</f>
        <v>0</v>
      </c>
      <c r="G370" s="25">
        <f t="shared" si="60"/>
        <v>0</v>
      </c>
      <c r="H370" s="64">
        <f>IF(B370=0,0,IF(AND(H356="ja",((U370)&lt;R381)),ROUND(((R383*R380+((R381/(R381-R380))-(R380/(R381-R380))*R383)*((U370)-R380))*(H364*2))-(((R381/(R381-R380))*((U370)-R380))*H364),2),ROUND(IF(V369&lt;(SUM(R365:R369)),IF((V370)&gt;(SUM(R365:R370)),(((SUM(R365:R370))-(V370-C369))*H364)+((U370-C369)*H364),U370*H364),IF(V370&gt;(SUM(R365:R370)),R370*H364,U370*H364)),2)))</f>
        <v>0</v>
      </c>
      <c r="I370" s="64">
        <f>IF(B370=0,0,IF(AND(H356="ja",((U370)&lt;R381)),ROUND(((R383*R380+((R381/(R381-R380))-(R380/(R381-R380))*R383)*((U370)-R380))*(I364*2))-(((R381/(R381-R380))*((U370)-R380))*I364),2),ROUND(IF(V369&lt;(SUM(S365:S369)),IF((V370)&gt;(SUM(S365:S370)),(((SUM(S365:S370))-(V370-C369))*I364)+((U370-C369)*I364),U370*I364),IF(V370&gt;(SUM(S365:S370)),S370*I364,U370*I364)),2)))</f>
        <v>0</v>
      </c>
      <c r="J370" s="64">
        <f>IF(B370=0,0,IF(AND(H356="ja",((U370)&lt;R381)),ROUND(((R383*R380+((R381/(R381-R380))-(R380/(R381-R380))*R383)*((U370)-R380))*(J364*2))-(((R381/(R381-R380))*((U370)-R380))*J364),2),ROUND(IF(V369&lt;(SUM(S365:S369)),IF((V370)&gt;(SUM(S365:S370)),(((SUM(S365:S370))-(V370-C369))*J364)+((U370-C369)*J364),U370*J364),IF(V370&gt;(SUM(S365:S370)),S370*J364,U370*J364)),2)))</f>
        <v>0</v>
      </c>
      <c r="K370" s="64">
        <f>IF(B370=0,0,IF(AND(H356="ja",((U370)&lt;R381)),ROUND(((R383*R380+((R381/(R381-R380))-(R380/(R381-R380))*R383)*((U370)-R380))*(K364*2))-(((R381/(R381-R380))*((U370)-R380))*K364),2),ROUND(IF(V369&lt;(SUM(R365:R369)),IF((V370)&gt;(SUM(R365:R370)),(((SUM(R365:R370))-(V370-C369))*K364)+((U370-C369)*K364),U370*K364),IF(V370&gt;(SUM(R365:R370)),R370*K364,U370*K364)),2)))</f>
        <v>0</v>
      </c>
      <c r="L370" s="64">
        <f>IF(B370=0,0,IF(AND(H356="ja",((U370-C370)&lt;R381)),ROUND(((R383*R380+((R381/(R381-R380))-(R380/(R381-R380))*R383)*((U370-C370)-R380))*(L364)),2),ROUND(IF(SUM(B365:F369)&lt;(SUM(S365:S369)),IF((SUM(B365:F370))&gt;(SUM(S365:S370)),(((SUM(S365:S370))-(SUM(B365:F370)-C370))*L364)+((SUM(B370:F370)-C370)*L364),(SUM(B370:F370)-C370)*L364),IF(SUM(B365:F370)&gt;(SUM(S365:S370)),S370*L364,SUM(B370:F370)*L364)),2)))</f>
        <v>0</v>
      </c>
      <c r="M370" s="64">
        <f>IF(B370=0,0,IF(AND(H356="ja",((U370-C370)&lt;R381)),ROUND(((R383*R380+((R381/(R381-R380))-(R380/(R381-R380))*R383)*((U370-C370)-R380))*(M364)),2),ROUND(IF(SUM(B365:F369)&lt;(SUM(S365:S369)),IF((SUM(B365:F370))&gt;(SUM(S365:S370)),(((SUM(S365:S370))-(SUM(B365:F370)-C370))*M364)+((SUM(B370:F370)-C370)*M364),(SUM(B370:F370)-C370)*M364),IF(SUM(B365:F370)&gt;(SUM(S365:S370)),S370*M364,SUM(B370:F370)*M364)),2)))</f>
        <v>0</v>
      </c>
      <c r="N370" s="64">
        <f>IF(B370=0,0,IF(AND(H356="ja",((U370)&lt;R381)),ROUND(((R383*R380+((R381/(R381-R380))-(R380/(R381-R380))*R383)*((U370)-R380))*(N364)),2),ROUND(IF(SUM(B365:F369)&lt;(SUM(S365:S369)),IF((SUM(B365:F370))&gt;(SUM(S365:S370)),(((SUM(S365:S370))-(SUM(B365:F370)-C369))*N364)+((SUM(B370:F370)-C369)*N364),SUM(B370:F370)*N364),IF(SUM(B365:F370)&gt;(SUM(S365:S370)),S370*N364,SUM(B370:F370)*N364)),2)))</f>
        <v>0</v>
      </c>
      <c r="O370" s="21">
        <f>ROUND(SUM(B370+C370+F370)*O364,2)</f>
        <v>0</v>
      </c>
      <c r="P370" s="25">
        <f t="shared" si="61"/>
        <v>0</v>
      </c>
      <c r="Q370" s="456"/>
      <c r="R370" s="140">
        <f>ROUND(IF(M343="",R359,R359/M343*P347),2)</f>
        <v>5175</v>
      </c>
      <c r="S370" s="140">
        <f>ROUND(IF(M343="",R360,R360/M343*P347),2)</f>
        <v>7450</v>
      </c>
      <c r="U370" s="950">
        <f t="shared" si="62"/>
        <v>0</v>
      </c>
      <c r="V370" s="950">
        <f>SUM(B365:F370)</f>
        <v>0</v>
      </c>
    </row>
    <row r="371" spans="1:24" x14ac:dyDescent="0.2">
      <c r="A371" s="76" t="str">
        <f>CONCATENATE("Jul ",O341)</f>
        <v>Jul 2025</v>
      </c>
      <c r="B371" s="22">
        <f>ROUND(IF(P348=0,0,IFERROR(((LOOKUP(2,1/(A350:A353=A371),G350:G353))*P348*4.348),B370/P347*P348)),2)</f>
        <v>0</v>
      </c>
      <c r="C371" s="21">
        <f>ROUND(IFERROR((LOOKUP(2,1/(A356=A371),E356)),0)+IFERROR((LOOKUP(2,1/(A357=A371),E357)),0),2)</f>
        <v>0</v>
      </c>
      <c r="D371" s="21">
        <f>ROUND(IF(B371=0,0,D364/M343*P348),2)</f>
        <v>0</v>
      </c>
      <c r="E371" s="21">
        <f>ROUND(IF(B371=0,0,E364/N339*P348),2)</f>
        <v>0</v>
      </c>
      <c r="F371" s="22">
        <f>ROUND(IF(P348=0,0,IFERROR(((LOOKUP(2,1/(A350:A353=A371),I350:I353))/N339*P348),F370/P347*P348)),2)</f>
        <v>0</v>
      </c>
      <c r="G371" s="25">
        <f t="shared" si="60"/>
        <v>0</v>
      </c>
      <c r="H371" s="64">
        <f>IF(B371=0,0,IF(AND(H356="ja",((U371)&lt;R381)),ROUND(((R383*R380+((R381/(R381-R380))-(R380/(R381-R380))*R383)*((U371)-R380))*(H364*2))-(((R381/(R381-R380))*((U371)-R380))*H364),2),ROUND(IF(V370&lt;(SUM(R365:R370)),IF((V371)&gt;(SUM(R365:R371)),(((SUM(R365:R371))-(V371-C370))*H364)+((U371-C370)*H364),U371*H364),IF(V371&gt;(SUM(R365:R371)),R371*H364,U371*H364)),2)))</f>
        <v>0</v>
      </c>
      <c r="I371" s="64">
        <f>IF(B371=0,0,IF(AND(H356="ja",((U371)&lt;R381)),ROUND(((R383*R380+((R381/(R381-R380))-(R380/(R381-R380))*R383)*((U371)-R380))*(I364*2))-(((R381/(R381-R380))*((U371)-R380))*I364),2),ROUND(IF(V370&lt;(SUM(S365:S370)),IF((V371)&gt;(SUM(S365:S371)),(((SUM(S365:S371))-(V371-C370))*I364)+((U371-C370)*I364),U371*I364),IF(V371&gt;(SUM(S365:S371)),S371*I364,U371*I364)),2)))</f>
        <v>0</v>
      </c>
      <c r="J371" s="64">
        <f>IF(B371=0,0,IF(AND(H356="ja",((U371)&lt;R381)),ROUND(((R383*R380+((R381/(R381-R380))-(R380/(R381-R380))*R383)*((U371)-R380))*(J364*2))-(((R381/(R381-R380))*((U371)-R380))*J364),2),ROUND(IF(V370&lt;(SUM(S365:S370)),IF((V371)&gt;(SUM(S365:S371)),(((SUM(S365:S371))-(V371-C370))*J364)+((U371-C370)*J364),U371*J364),IF(V371&gt;(SUM(S365:S371)),S371*J364,U371*J364)),2)))</f>
        <v>0</v>
      </c>
      <c r="K371" s="64">
        <f>IF(B371=0,0,IF(AND(H356="ja",((U371)&lt;R381)),ROUND(((R383*R380+((R381/(R381-R380))-(R380/(R381-R380))*R383)*((U371)-R380))*(K364*2))-(((R381/(R381-R380))*((U371)-R380))*K364),2),ROUND(IF(V370&lt;(SUM(R365:R370)),IF((V371)&gt;(SUM(R365:R371)),(((SUM(R365:R371))-(V371-C370))*K364)+((U371-C370)*K364),U371*K364),IF(V371&gt;(SUM(R365:R371)),R371*K364,U371*K364)),2)))</f>
        <v>0</v>
      </c>
      <c r="L371" s="64">
        <f>IF(B371=0,0,IF(AND(H356="ja",((U371-C371)&lt;R381)),ROUND(((R383*R380+((R381/(R381-R380))-(R380/(R381-R380))*R383)*((U371-C371)-R380))*(L364)),2),ROUND(IF(SUM(B365:F370)&lt;(SUM(S365:S370)),IF((SUM(B365:F371))&gt;(SUM(S365:S371)),(((SUM(S365:S371))-(SUM(B365:F371)-C371))*L364)+((SUM(B371:F371)-C371)*L364),(SUM(B371:F371)-C371)*L364),IF(SUM(B365:F371)&gt;(SUM(S365:S371)),S371*L364,SUM(B371:F371)*L364)),2)))</f>
        <v>0</v>
      </c>
      <c r="M371" s="64">
        <f>IF(B371=0,0,IF(AND(H356="ja",((U371-C371)&lt;R381)),ROUND(((R383*R380+((R381/(R381-R380))-(R380/(R381-R380))*R383)*((U371-C371)-R380))*(M364)),2),ROUND(IF(SUM(B365:F370)&lt;(SUM(S365:S370)),IF((SUM(B365:F371))&gt;(SUM(S365:S371)),(((SUM(S365:S371))-(SUM(B365:F371)-C371))*M364)+((SUM(B371:F371)-C371)*M364),(SUM(B371:F371)-C371)*M364),IF(SUM(B365:F371)&gt;(SUM(S365:S371)),S371*M364,SUM(B371:F371)*M364)),2)))</f>
        <v>0</v>
      </c>
      <c r="N371" s="64">
        <f>IF(B371=0,0,IF(AND(H356="ja",((U371)&lt;R381)),ROUND(((R383*R380+((R381/(R381-R380))-(R380/(R381-R380))*R383)*((U371)-R380))*(N364)),2),ROUND(IF(SUM(B365:F370)&lt;(SUM(S365:S370)),IF((SUM(B365:F371))&gt;(SUM(S365:S371)),(((SUM(S365:S371))-(SUM(B365:F371)-C370))*N364)+((SUM(B371:F371)-C370)*N364),SUM(B371:F371)*N364),IF(SUM(B365:F371)&gt;(SUM(S365:S371)),S371*N364,SUM(B371:F371)*N364)),2)))</f>
        <v>0</v>
      </c>
      <c r="O371" s="21">
        <f>ROUND(SUM(B371+C371+F371)*O364,2)</f>
        <v>0</v>
      </c>
      <c r="P371" s="25">
        <f t="shared" si="61"/>
        <v>0</v>
      </c>
      <c r="Q371" s="456"/>
      <c r="R371" s="140">
        <f>ROUND(IF(M343="",R359,R359/M343*P348),2)</f>
        <v>5175</v>
      </c>
      <c r="S371" s="140">
        <f>ROUND(IF(M343="",R360,R360/M343*P348),2)</f>
        <v>7450</v>
      </c>
      <c r="U371" s="950">
        <f t="shared" si="62"/>
        <v>0</v>
      </c>
      <c r="V371" s="950">
        <f>SUM(B365:F371)</f>
        <v>0</v>
      </c>
    </row>
    <row r="372" spans="1:24" x14ac:dyDescent="0.2">
      <c r="A372" s="76" t="str">
        <f>CONCATENATE("Aug ",O341)</f>
        <v>Aug 2025</v>
      </c>
      <c r="B372" s="22">
        <f>ROUND(IF(P349=0,0,IFERROR(((LOOKUP(2,1/(A350:A353=A372),G350:G353))*P349*4.348),B371/P348*P349)),2)</f>
        <v>0</v>
      </c>
      <c r="C372" s="21">
        <f>ROUND(IFERROR((LOOKUP(2,1/(A356=A372),E356)),0)+IFERROR((LOOKUP(2,1/(A357=A372),E357)),0),2)</f>
        <v>0</v>
      </c>
      <c r="D372" s="21">
        <f>ROUND(IF(B372=0,0,D364/M343*P349),2)</f>
        <v>0</v>
      </c>
      <c r="E372" s="21">
        <f>ROUND(IF(B372=0,0,E364/N339*P349),2)</f>
        <v>0</v>
      </c>
      <c r="F372" s="22">
        <f>ROUND(IF(P349=0,0,IFERROR(((LOOKUP(2,1/(A350:A353=A372),I350:I353))/N339*P349),F371/P348*P349)),2)</f>
        <v>0</v>
      </c>
      <c r="G372" s="25">
        <f t="shared" si="60"/>
        <v>0</v>
      </c>
      <c r="H372" s="64">
        <f>IF(B372=0,0,IF(AND(H356="ja",((U372)&lt;R381)),ROUND(((R383*R380+((R381/(R381-R380))-(R380/(R381-R380))*R383)*((U372)-R380))*(H364*2))-(((R381/(R381-R380))*((U372)-R380))*H364),2),ROUND(IF(V371&lt;(SUM(R365:R371)),IF((V372)&gt;(SUM(R365:R372)),(((SUM(R365:R372))-(V372-C371))*H364)+((U372-C371)*H364),U372*H364),IF(V372&gt;(SUM(R365:R372)),R372*H364,U372*H364)),2)))</f>
        <v>0</v>
      </c>
      <c r="I372" s="64">
        <f>IF(B372=0,0,IF(AND(H356="ja",((U372)&lt;R381)),ROUND(((R383*R380+((R381/(R381-R380))-(R380/(R381-R380))*R383)*((U372)-R380))*(I364*2))-(((R381/(R381-R380))*((U372)-R380))*I364),2),ROUND(IF(V371&lt;(SUM(S365:S371)),IF((V372)&gt;(SUM(S365:S372)),(((SUM(S365:S372))-(V372-C371))*I364)+((U372-C371)*I364),U372*I364),IF(V372&gt;(SUM(S365:S372)),S372*I364,U372*I364)),2)))</f>
        <v>0</v>
      </c>
      <c r="J372" s="64">
        <f>IF(B372=0,0,IF(AND(H356="ja",((U372)&lt;R381)),ROUND(((R383*R380+((R381/(R381-R380))-(R380/(R381-R380))*R383)*((U372)-R380))*(J364*2))-(((R381/(R381-R380))*((U372)-R380))*J364),2),ROUND(IF(V371&lt;(SUM(S365:S371)),IF((V372)&gt;(SUM(S365:S372)),(((SUM(S365:S372))-(V372-C371))*J364)+((U372-C371)*J364),U372*J364),IF(V372&gt;(SUM(S365:S372)),S372*J364,U372*J364)),2)))</f>
        <v>0</v>
      </c>
      <c r="K372" s="64">
        <f>IF(B372=0,0,IF(AND(H356="ja",((U372)&lt;R381)),ROUND(((R383*R380+((R381/(R381-R380))-(R380/(R381-R380))*R383)*((U372)-R380))*(K364*2))-(((R381/(R381-R380))*((U372)-R380))*K364),2),ROUND(IF(V371&lt;(SUM(R365:R371)),IF((V372)&gt;(SUM(R365:R372)),(((SUM(R365:R372))-(V372-C371))*K364)+((U372-C371)*K364),U372*K364),IF(V372&gt;(SUM(R365:R372)),R372*K364,U372*K364)),2)))</f>
        <v>0</v>
      </c>
      <c r="L372" s="64">
        <f>IF(B372=0,0,IF(AND(H356="ja",((U372-C372)&lt;R381)),ROUND(((R383*R380+((R381/(R381-R380))-(R380/(R381-R380))*R383)*((U372-C372)-R380))*(L364)),2),ROUND(IF(SUM(B365:F371)&lt;(SUM(S365:S371)),IF((SUM(B365:F372))&gt;(SUM(S365:S372)),(((SUM(S365:S372))-(SUM(B365:F372)-C372))*L364)+((SUM(B372:F372)-C372)*L364),(SUM(B372:F372)-C372)*L364),IF(SUM(B365:F372)&gt;(SUM(S365:S372)),S372*L364,SUM(B372:F372)*L364)),2)))</f>
        <v>0</v>
      </c>
      <c r="M372" s="64">
        <f>IF(B372=0,0,IF(AND(H356="ja",((U372-C372)&lt;R381)),ROUND(((R383*R380+((R381/(R381-R380))-(R380/(R381-R380))*R383)*((U372-C372)-R380))*(M364)),2),ROUND(IF(SUM(B365:F371)&lt;(SUM(S365:S371)),IF((SUM(B365:F372))&gt;(SUM(S365:S372)),(((SUM(S365:S372))-(SUM(B365:F372)-C372))*M364)+((SUM(B372:F372)-C372)*M364),(SUM(B372:F372)-C372)*M364),IF(SUM(B365:F372)&gt;(SUM(S365:S372)),S372*M364,SUM(B372:F372)*M364)),2)))</f>
        <v>0</v>
      </c>
      <c r="N372" s="64">
        <f>IF(B372=0,0,IF(AND(H356="ja",((U372)&lt;R381)),ROUND(((R383*R380+((R381/(R381-R380))-(R380/(R381-R380))*R383)*((U372)-R380))*(N364)),2),ROUND(IF(SUM(B365:F371)&lt;(SUM(S365:S371)),IF((SUM(B365:F372))&gt;(SUM(S365:S372)),(((SUM(S365:S372))-(SUM(B365:F372)-C371))*N364)+((SUM(B372:F372)-C371)*N364),SUM(B372:F372)*N364),IF(SUM(B365:F372)&gt;(SUM(S365:S372)),S372*N364,SUM(B372:F372)*N364)),2)))</f>
        <v>0</v>
      </c>
      <c r="O372" s="21">
        <f>ROUND(SUM(B372+C372+F372)*O364,2)</f>
        <v>0</v>
      </c>
      <c r="P372" s="25">
        <f t="shared" si="61"/>
        <v>0</v>
      </c>
      <c r="Q372" s="456"/>
      <c r="R372" s="140">
        <f>ROUND(IF(M343="",R359,R359/M343*P349),2)</f>
        <v>5175</v>
      </c>
      <c r="S372" s="140">
        <f>ROUND(IF(M343="",R360,R360/M343*P349),2)</f>
        <v>7450</v>
      </c>
      <c r="U372" s="950">
        <f t="shared" si="62"/>
        <v>0</v>
      </c>
      <c r="V372" s="950">
        <f>SUM(B365:F372)</f>
        <v>0</v>
      </c>
    </row>
    <row r="373" spans="1:24" x14ac:dyDescent="0.2">
      <c r="A373" s="76" t="str">
        <f>CONCATENATE("Sep ",O341)</f>
        <v>Sep 2025</v>
      </c>
      <c r="B373" s="22">
        <f>ROUND(IF(P350=0,0,IFERROR(((LOOKUP(2,1/(A350:A353=A373),G350:G353))*P350*4.348),B372/P349*P350)),2)</f>
        <v>0</v>
      </c>
      <c r="C373" s="21">
        <f>ROUND(IFERROR((LOOKUP(2,1/(A356=A373),E356)),0)+IFERROR((LOOKUP(2,1/(A357=A373),E357)),0),2)</f>
        <v>0</v>
      </c>
      <c r="D373" s="21">
        <f>ROUND(IF(B373=0,0,D364/M343*P350),2)</f>
        <v>0</v>
      </c>
      <c r="E373" s="21">
        <f>ROUND(IF(B373=0,0,E364/N339*P350),2)</f>
        <v>0</v>
      </c>
      <c r="F373" s="22">
        <f>ROUND(IF(P350=0,0,IFERROR(((LOOKUP(2,1/(A350:A353=A373),I350:I353))/N339*P350),F372/P349*P350)),2)</f>
        <v>0</v>
      </c>
      <c r="G373" s="25">
        <f t="shared" si="60"/>
        <v>0</v>
      </c>
      <c r="H373" s="64">
        <f>IF(B373=0,0,IF(AND(H356="ja",((U373)&lt;R381)),ROUND(((R383*R380+((R381/(R381-R380))-(R380/(R381-R380))*R383)*((U373)-R380))*(H364*2))-(((R381/(R381-R380))*((U373)-R380))*H364),2),ROUND(IF(V372&lt;(SUM(R365:R372)),IF((V373)&gt;(SUM(R365:R373)),(((SUM(R365:R373))-(V373-C372))*H364)+((U373-C372)*H364),U373*H364),IF(V373&gt;(SUM(R365:R373)),R373*H364,U373*H364)),2)))</f>
        <v>0</v>
      </c>
      <c r="I373" s="64">
        <f>IF(B373=0,0,IF(AND(H356="ja",((U373)&lt;R381)),ROUND(((R383*R380+((R381/(R381-R380))-(R380/(R381-R380))*R383)*((U373)-R380))*(I364*2))-(((R381/(R381-R380))*((U373)-R380))*I364),2),ROUND(IF(V372&lt;(SUM(S365:S372)),IF((V373)&gt;(SUM(S365:S373)),(((SUM(S365:S373))-(V373-C372))*I364)+((U373-C372)*I364),U373*I364),IF(V373&gt;(SUM(S365:S373)),S373*I364,U373*I364)),2)))</f>
        <v>0</v>
      </c>
      <c r="J373" s="64">
        <f>IF(B373=0,0,IF(AND(H356="ja",((U373)&lt;R381)),ROUND(((R383*R380+((R381/(R381-R380))-(R380/(R381-R380))*R383)*((U373)-R380))*(J364*2))-(((R381/(R381-R380))*((U373)-R380))*J364),2),ROUND(IF(V372&lt;(SUM(S365:S372)),IF((V373)&gt;(SUM(S365:S373)),(((SUM(S365:S373))-(V373-C372))*J364)+((U373-C372)*J364),U373*J364),IF(V373&gt;(SUM(S365:S373)),S373*J364,U373*J364)),2)))</f>
        <v>0</v>
      </c>
      <c r="K373" s="64">
        <f>IF(B373=0,0,IF(AND(H356="ja",((U373)&lt;R381)),ROUND(((R383*R380+((R381/(R381-R380))-(R380/(R381-R380))*R383)*((U373)-R380))*(K364*2))-(((R381/(R381-R380))*((U373)-R380))*K364),2),ROUND(IF(V372&lt;(SUM(R365:R372)),IF((V373)&gt;(SUM(R365:R373)),(((SUM(R365:R373))-(V373-C372))*K364)+((U373-C372)*K364),U373*K364),IF(V373&gt;(SUM(R365:R373)),R373*K364,U373*K364)),2)))</f>
        <v>0</v>
      </c>
      <c r="L373" s="64">
        <f>IF(B373=0,0,IF(AND(H356="ja",((U373-C373)&lt;R381)),ROUND(((R383*R380+((R381/(R381-R380))-(R380/(R381-R380))*R383)*((U373-C373)-R380))*(L364)),2),ROUND(IF(SUM(B365:F372)&lt;(SUM(S365:S372)),IF((SUM(B365:F373))&gt;(SUM(S365:S373)),(((SUM(S365:S373))-(SUM(B365:F373)-C373))*L364)+((SUM(B373:F373)-C373)*L364),(SUM(B373:F373)-C373)*L364),IF(SUM(B365:F373)&gt;(SUM(S365:S373)),S373*L364,SUM(B373:F373)*L364)),2)))</f>
        <v>0</v>
      </c>
      <c r="M373" s="64">
        <f>IF(B373=0,0,IF(AND(H356="ja",((U373-C373)&lt;R381)),ROUND(((R383*R380+((R381/(R381-R380))-(R380/(R381-R380))*R383)*((U373-C373)-R380))*(M364)),2),ROUND(IF(SUM(B365:F372)&lt;(SUM(S365:S372)),IF((SUM(B365:F373))&gt;(SUM(S365:S373)),(((SUM(S365:S373))-(SUM(B365:F373)-C373))*M364)+((SUM(B373:F373)-C373)*M364),(SUM(B373:F373)-C373)*M364),IF(SUM(B365:F373)&gt;(SUM(S365:S373)),S373*M364,SUM(B373:F373)*M364)),2)))</f>
        <v>0</v>
      </c>
      <c r="N373" s="64">
        <f>IF(B373=0,0,IF(AND(H356="ja",((U373)&lt;R381)),ROUND(((R383*R380+((R381/(R381-R380))-(R380/(R381-R380))*R383)*((U373)-R380))*(N364)),2),ROUND(IF(SUM(B365:F372)&lt;(SUM(S365:S372)),IF((SUM(B365:F373))&gt;(SUM(S365:S373)),(((SUM(S365:S373))-(SUM(B365:F373)-C372))*N364)+((SUM(B373:F373)-C372)*N364),SUM(B373:F373)*N364),IF(SUM(B365:F373)&gt;(SUM(S365:S373)),S373*N364,SUM(B373:F373)*N364)),2)))</f>
        <v>0</v>
      </c>
      <c r="O373" s="21">
        <f>ROUND(SUM(B373+C373+F373)*O364,2)</f>
        <v>0</v>
      </c>
      <c r="P373" s="25">
        <f t="shared" si="61"/>
        <v>0</v>
      </c>
      <c r="Q373" s="456"/>
      <c r="R373" s="140">
        <f>ROUND(IF(M343="",R359,R359/M343*P350),2)</f>
        <v>5175</v>
      </c>
      <c r="S373" s="140">
        <f>ROUND(IF(M343="",R360,R360/M343*P350),2)</f>
        <v>7450</v>
      </c>
      <c r="U373" s="950">
        <f t="shared" si="62"/>
        <v>0</v>
      </c>
      <c r="V373" s="950">
        <f>SUM(B365:F373)</f>
        <v>0</v>
      </c>
    </row>
    <row r="374" spans="1:24" s="12" customFormat="1" ht="15" x14ac:dyDescent="0.25">
      <c r="A374" s="76" t="str">
        <f>CONCATENATE("Okt ",O341)</f>
        <v>Okt 2025</v>
      </c>
      <c r="B374" s="22">
        <f>ROUND(IF(P351=0,0,IFERROR(((LOOKUP(2,1/(A350:A353=A374),G350:G353))*P351*4.348),B373/P350*P351)),2)</f>
        <v>0</v>
      </c>
      <c r="C374" s="21">
        <f>ROUND(IFERROR((LOOKUP(2,1/(A356=A374),E356)),0)+IFERROR((LOOKUP(2,1/(A357=A374),E357)),0),2)</f>
        <v>0</v>
      </c>
      <c r="D374" s="21">
        <f>ROUND(IF(B374=0,0,D364/M343*P351),2)</f>
        <v>0</v>
      </c>
      <c r="E374" s="21">
        <f>ROUND(IF(B374=0,0,E364/N339*P351),2)</f>
        <v>0</v>
      </c>
      <c r="F374" s="22">
        <f>ROUND(IF(P351=0,0,IFERROR(((LOOKUP(2,1/(A350:A353=A374),I350:I353))/N339*P351),F373/P350*P351)),2)</f>
        <v>0</v>
      </c>
      <c r="G374" s="25">
        <f t="shared" si="60"/>
        <v>0</v>
      </c>
      <c r="H374" s="64">
        <f>IF(B374=0,0,IF(AND(H356="ja",((U374)&lt;R381)),ROUND(((R383*R380+((R381/(R381-R380))-(R380/(R381-R380))*R383)*((U374)-R380))*(H364*2))-(((R381/(R381-R380))*((U374)-R380))*H364),2),ROUND(IF(V373&lt;(SUM(R365:R373)),IF((V374)&gt;(SUM(R365:R374)),(((SUM(R365:R374))-(V374-C373))*H364)+((U374-C373)*H364),U374*H364),IF(V374&gt;(SUM(R365:R374)),R374*H364,U374*H364)),2)))</f>
        <v>0</v>
      </c>
      <c r="I374" s="64">
        <f>IF(B374=0,0,IF(AND(H356="ja",((U374)&lt;R381)),ROUND(((R383*R380+((R381/(R381-R380))-(R380/(R381-R380))*R383)*((U374)-R380))*(I364*2))-(((R381/(R381-R380))*((U374)-R380))*I364),2),ROUND(IF(V373&lt;(SUM(S365:S373)),IF((V374)&gt;(SUM(S365:S374)),(((SUM(S365:S374))-(V374-C373))*I364)+((U374-C373)*I364),U374*I364),IF(V374&gt;(SUM(S365:S374)),S374*I364,U374*I364)),2)))</f>
        <v>0</v>
      </c>
      <c r="J374" s="64">
        <f>IF(B374=0,0,IF(AND(H356="ja",((U374)&lt;R381)),ROUND(((R383*R380+((R381/(R381-R380))-(R380/(R381-R380))*R383)*((U374)-R380))*(J364*2))-(((R381/(R381-R380))*((U374)-R380))*J364),2),ROUND(IF(V373&lt;(SUM(S365:S373)),IF((V374)&gt;(SUM(S365:S374)),(((SUM(S365:S374))-(V374-C373))*J364)+((U374-C373)*J364),U374*J364),IF(V374&gt;(SUM(S365:S374)),S374*J364,U374*J364)),2)))</f>
        <v>0</v>
      </c>
      <c r="K374" s="64">
        <f>IF(B374=0,0,IF(AND(H356="ja",((U374)&lt;R381)),ROUND(((R383*R380+((R381/(R381-R380))-(R380/(R381-R380))*R383)*((U374)-R380))*(K364*2))-(((R381/(R381-R380))*((U374)-R380))*K364),2),ROUND(IF(V373&lt;(SUM(R365:R373)),IF((V374)&gt;(SUM(R365:R374)),(((SUM(R365:R374))-(V374-C373))*K364)+((U374-C373)*K364),U374*K364),IF(V374&gt;(SUM(R365:R374)),R374*K364,U374*K364)),2)))</f>
        <v>0</v>
      </c>
      <c r="L374" s="64">
        <f>IF(B374=0,0,IF(AND(H356="ja",((U374-C374)&lt;R381)),ROUND(((R383*R380+((R381/(R381-R380))-(R380/(R381-R380))*R383)*((U374-C374)-R380))*(L364)),2),ROUND(IF(SUM(B365:F373)&lt;(SUM(S365:S373)),IF((SUM(B365:F374))&gt;(SUM(S365:S374)),(((SUM(S365:S374))-(SUM(B365:F374)-C374))*L364)+((SUM(B374:F374)-C374)*L364),(SUM(B374:F374)-C374)*L364),IF(SUM(B365:F374)&gt;(SUM(S365:S374)),S374*L364,SUM(B374:F374)*L364)),2)))</f>
        <v>0</v>
      </c>
      <c r="M374" s="64">
        <f>IF(B374=0,0,IF(AND(H356="ja",((U374-C374)&lt;R381)),ROUND(((R383*R380+((R381/(R381-R380))-(R380/(R381-R380))*R383)*((U374-C374)-R380))*(M364)),2),ROUND(IF(SUM(B365:F373)&lt;(SUM(S365:S373)),IF((SUM(B365:F374))&gt;(SUM(S365:S374)),(((SUM(S365:S374))-(SUM(B365:F374)-C374))*M364)+((SUM(B374:F374)-C374)*M364),(SUM(B374:F374)-C374)*M364),IF(SUM(B365:F374)&gt;(SUM(S365:S374)),S374*M364,SUM(B374:F374)*M364)),2)))</f>
        <v>0</v>
      </c>
      <c r="N374" s="64">
        <f>IF(B374=0,0,IF(AND(H356="ja",((U374)&lt;R381)),ROUND(((R383*R380+((R381/(R381-R380))-(R380/(R381-R380))*R383)*((U374)-R380))*(N364)),2),ROUND(IF(SUM(B365:F373)&lt;(SUM(S365:S373)),IF((SUM(B365:F374))&gt;(SUM(S365:S374)),(((SUM(S365:S374))-(SUM(B365:F374)-C373))*N364)+((SUM(B374:F374)-C373)*N364),SUM(B374:F374)*N364),IF(SUM(B365:F374)&gt;(SUM(S365:S374)),S374*N364,SUM(B374:F374)*N364)),2)))</f>
        <v>0</v>
      </c>
      <c r="O374" s="21">
        <f>ROUND(SUM(B374+C374+F374)*O364,2)</f>
        <v>0</v>
      </c>
      <c r="P374" s="25">
        <f t="shared" si="61"/>
        <v>0</v>
      </c>
      <c r="Q374" s="936"/>
      <c r="R374" s="140">
        <f>ROUND(IF(M343="",R359,R359/M343*P351),2)</f>
        <v>5175</v>
      </c>
      <c r="S374" s="140">
        <f>ROUND(IF(M343="",R360,R360/M343*P351),2)</f>
        <v>7450</v>
      </c>
      <c r="U374" s="950">
        <f t="shared" si="62"/>
        <v>0</v>
      </c>
      <c r="V374" s="950">
        <f>SUM(B365:F374)</f>
        <v>0</v>
      </c>
      <c r="X374" s="1"/>
    </row>
    <row r="375" spans="1:24" s="11" customFormat="1" x14ac:dyDescent="0.2">
      <c r="A375" s="76" t="str">
        <f>CONCATENATE("Nov ",O341)</f>
        <v>Nov 2025</v>
      </c>
      <c r="B375" s="22">
        <f>ROUND(IF(P352=0,0,IFERROR(((LOOKUP(2,1/(A350:A353=A375),G350:G353))*P352*4.348),B374/P351*P352)),2)</f>
        <v>0</v>
      </c>
      <c r="C375" s="21">
        <f>ROUND(IFERROR((LOOKUP(2,1/(A356=A375),E356)),0)+(IFERROR((LOOKUP(2,1/(A357=A375),E357)),0)),2)</f>
        <v>0</v>
      </c>
      <c r="D375" s="21">
        <f>ROUND(IF(B375=0,0,D364/M343*P352),2)</f>
        <v>0</v>
      </c>
      <c r="E375" s="21">
        <f>ROUND(IF(B375=0,0,E364/N339*P352),2)</f>
        <v>0</v>
      </c>
      <c r="F375" s="22">
        <f>ROUND(IF(P352=0,0,IFERROR(((LOOKUP(2,1/(A350:A353=A375),I350:I353))/N339*P352),F374/P351*P352)),2)</f>
        <v>0</v>
      </c>
      <c r="G375" s="25">
        <f t="shared" si="60"/>
        <v>0</v>
      </c>
      <c r="H375" s="64">
        <f>IF(B375=0,0,IF(AND(H356="ja",((U375)&lt;R381)),ROUND(((R383*R380+((R381/(R381-R380))-(R380/(R381-R380))*R383)*((U375)-R380))*(H364*2))-(((R381/(R381-R380))*((U375)-R380))*H364),2),ROUND(IF(V374&lt;(SUM(R365:R374)),IF((V375)&gt;(SUM(R365:R375)),(((SUM(R365:R375))-(V375-C374))*H364)+((U375-C374)*H364),U375*H364),IF(V375&gt;(SUM(R365:R375)),R375*H364,U375*H364)),2)))</f>
        <v>0</v>
      </c>
      <c r="I375" s="64">
        <f>IF(B375=0,0,IF(AND(H356="ja",((U375)&lt;R381)),ROUND(((R383*R380+((R381/(R381-R380))-(R380/(R381-R380))*R383)*((U375)-R380))*(I364*2))-(((R381/(R381-R380))*((U375)-R380))*I364),2),ROUND(IF(V374&lt;(SUM(S365:S374)),IF((V375)&gt;(SUM(S365:S375)),(((SUM(S365:S375))-(V375-C374))*I364)+((U375-C374)*I364),U375*I364),IF(V375&gt;(SUM(S365:S375)),S375*I364,U375*I364)),2)))</f>
        <v>0</v>
      </c>
      <c r="J375" s="64">
        <f>IF(B375=0,0,IF(AND(H356="ja",((U375)&lt;R381)),ROUND(((R383*R380+((R381/(R381-R380))-(R380/(R381-R380))*R383)*((U375)-R380))*(J364*2))-(((R381/(R381-R380))*((U375)-R380))*J364),2),ROUND(IF(V374&lt;(SUM(S365:S374)),IF((V375)&gt;(SUM(S365:S375)),(((SUM(S365:S375))-(V375-C374))*J364)+((U375-C374)*J364),U375*J364),IF(V375&gt;(SUM(S365:S375)),S375*J364,U375*J364)),2)))</f>
        <v>0</v>
      </c>
      <c r="K375" s="64">
        <f>IF(B375=0,0,IF(AND(H356="ja",((U375)&lt;R381)),ROUND(((R383*R380+((R381/(R381-R380))-(R380/(R381-R380))*R383)*((U375)-R380))*(K364*2))-(((R381/(R381-R380))*((U375)-R380))*K364),2),ROUND(IF(V374&lt;(SUM(R365:R374)),IF((V375)&gt;(SUM(R365:R375)),(((SUM(R365:R375))-(V375-C374))*K364)+((U375-C374)*K364),U375*K364),IF(V375&gt;(SUM(R365:R375)),R375*K364,U375*K364)),2)))</f>
        <v>0</v>
      </c>
      <c r="L375" s="64">
        <f>IF(B375=0,0,IF(AND(H356="ja",((U375-C375)&lt;R381)),ROUND(((R383*R380+((R381/(R381-R380))-(R380/(R381-R380))*R383)*((U375-C375)-R380))*(L364)),2),ROUND(IF(SUM(B365:F374)&lt;(SUM(S365:S374)),IF((SUM(B365:F375))&gt;(SUM(S365:S375)),(((SUM(S365:S375))-(SUM(B365:F375)-C375))*L364)+((SUM(B375:F375)-C375)*L364),(SUM(B375:F375)-C375)*L364),IF(SUM(B365:F375)&gt;(SUM(S365:S375)),S375*L364,SUM(B375:F375)*L364)),2)))</f>
        <v>0</v>
      </c>
      <c r="M375" s="64">
        <f>IF(B375=0,0,IF(AND(H356="ja",((U375-C375)&lt;R381)),ROUND(((R383*R380+((R381/(R381-R380))-(R380/(R381-R380))*R383)*((U375-C375)-R380))*(M364)),2),ROUND(IF(SUM(B365:F374)&lt;(SUM(S365:S374)),IF((SUM(B365:F375))&gt;(SUM(S365:S375)),(((SUM(S365:S375))-(SUM(B365:F375)-C375))*M364)+((SUM(B375:F375)-C375)*M364),(SUM(B375:F375)-C375)*M364),IF(SUM(B365:F375)&gt;(SUM(S365:S375)),S375*M364,SUM(B375:F375)*M364)),2)))</f>
        <v>0</v>
      </c>
      <c r="N375" s="64">
        <f>IF(B375=0,0,IF(AND(H356="ja",((U375)&lt;R381)),ROUND(((R383*R380+((R381/(R381-R380))-(R380/(R381-R380))*R383)*((U375)-R380))*(N364)),2),ROUND(IF(SUM(B365:F374)&lt;(SUM(S365:S374)),IF((SUM(B365:F375))&gt;(SUM(S365:S375)),(((SUM(S365:S375))-(SUM(B365:F375)-C374))*N364)+((SUM(B375:F375)-C374)*N364),SUM(B375:F375)*N364),IF(SUM(B365:F375)&gt;(SUM(S365:S375)),S375*N364,SUM(B375:F375)*N364)),2)))</f>
        <v>0</v>
      </c>
      <c r="O375" s="21">
        <f>ROUND(SUM(B375+C375+F375)*O364,2)</f>
        <v>0</v>
      </c>
      <c r="P375" s="25">
        <f t="shared" si="61"/>
        <v>0</v>
      </c>
      <c r="R375" s="140">
        <f>ROUND(IF(M343="",R359,R359/M343*P352),2)</f>
        <v>5175</v>
      </c>
      <c r="S375" s="140">
        <f>ROUND(IF(M343="",R360,R360/M343*P352),2)</f>
        <v>7450</v>
      </c>
      <c r="U375" s="950">
        <f t="shared" si="62"/>
        <v>0</v>
      </c>
      <c r="V375" s="950">
        <f>SUM(B365:F375)</f>
        <v>0</v>
      </c>
      <c r="X375" s="1"/>
    </row>
    <row r="376" spans="1:24" ht="14.25" customHeight="1" x14ac:dyDescent="0.2">
      <c r="A376" s="76" t="str">
        <f>CONCATENATE("Dez ",O341)</f>
        <v>Dez 2025</v>
      </c>
      <c r="B376" s="22">
        <f>ROUND(IF(P353=0,0,IFERROR(((LOOKUP(2,1/(A350:A353=A376),G350:G353))*P353*4.348),B375/P352*P353)),2)</f>
        <v>0</v>
      </c>
      <c r="C376" s="21">
        <f>ROUND(IFERROR((LOOKUP(2,1/(A356=A376),E356)),0)+IFERROR((LOOKUP(2,1/(A357=A376),E357)),0),2)</f>
        <v>0</v>
      </c>
      <c r="D376" s="21">
        <f>ROUND(IF(B376=0,0,D364/M343*P353),2)</f>
        <v>0</v>
      </c>
      <c r="E376" s="21">
        <f>ROUND(IF(B376=0,0,E364/N339*P353),2)</f>
        <v>0</v>
      </c>
      <c r="F376" s="22">
        <f>ROUND(IF(P353=0,0,IFERROR(((LOOKUP(2,1/(A350:A353=A376),I350:I353))/N339*P353),F375/P352*P353)),2)</f>
        <v>0</v>
      </c>
      <c r="G376" s="25">
        <f t="shared" si="60"/>
        <v>0</v>
      </c>
      <c r="H376" s="64">
        <f>IF(B376=0,0,IF(AND(H356="ja",((U376)&lt;R381)),ROUND(((R383*R380+((R381/(R381-R380))-(R380/(R381-R380))*R383)*((U376)-R380))*(H364*2))-(((R381/(R381-R380))*((U376)-R380))*H364),2),ROUND(IF(V375&lt;(SUM(R365:R375)),IF((V376)&gt;(SUM(R365:R376)),(((SUM(R365:R376))-(V376-C375))*H364)+((U376-C375)*H364),U376*H364),IF(V376&gt;(SUM(R365:R376)),R376*H364,U376*H364)),2)))</f>
        <v>0</v>
      </c>
      <c r="I376" s="64">
        <f>IF(B376=0,0,IF(AND(H356="ja",((U376)&lt;R381)),ROUND(((R383*R380+((R381/(R381-R380))-(R380/(R381-R380))*R383)*((U376)-R380))*(I364*2))-(((R381/(R381-R380))*((U376)-R380))*I364),2),ROUND(IF(V375&lt;(SUM(S365:S375)),IF((V376)&gt;(SUM(S365:S376)),(((SUM(S365:S376))-(V376-C375))*I364)+((U376-C375)*I364),U376*I364),IF(V376&gt;(SUM(S365:S376)),S376*I364,U376*I364)),2)))</f>
        <v>0</v>
      </c>
      <c r="J376" s="64">
        <f>IF(B376=0,0,IF(AND(H356="ja",((U376)&lt;R381)),ROUND(((R383*R380+((R381/(R381-R380))-(R380/(R381-R380))*R383)*((U376)-R380))*(J364*2))-(((R381/(R381-R380))*((U376)-R380))*J364),2),ROUND(IF(V375&lt;(SUM(S365:S375)),IF((V376)&gt;(SUM(S365:S376)),(((SUM(S365:S376))-(V376-C375))*J364)+((U376-C375)*J364),U376*J364),IF(V376&gt;(SUM(S365:S376)),S376*J364,U376*J364)),2)))</f>
        <v>0</v>
      </c>
      <c r="K376" s="64">
        <f>IF(B376=0,0,IF(AND(H356="ja",((U376)&lt;R381)),ROUND(((R383*R380+((R381/(R381-R380))-(R380/(R381-R380))*R383)*((U376)-R380))*(K364*2))-(((R381/(R381-R380))*((U376)-R380))*K364),2),ROUND(IF(V375&lt;(SUM(R365:R375)),IF((V376)&gt;(SUM(R365:R376)),(((SUM(R365:R376))-(V376-C375))*K364)+((U376-C375)*K364),U376*K364),IF(V376&gt;(SUM(R365:R376)),R376*K364,U376*K364)),2)))</f>
        <v>0</v>
      </c>
      <c r="L376" s="64">
        <f>IF(B376=0,0,IF(AND(H356="ja",((U376-C376)&lt;R381)),ROUND(((R383*R380+((R381/(R381-R380))-(R380/(R381-R380))*R383)*((U376-C376)-R380))*(L364)),2),ROUND(IF(SUM(B365:F375)&lt;(SUM(S365:S375)),IF((SUM(B365:F376))&gt;(SUM(S365:S376)),(((SUM(S365:S376))-(SUM(B365:F376)-C376))*L364)+((SUM(B376:F376)-C376)*L364),(SUM(B376:F376)-C376)*L364),IF(SUM(B365:F376)&gt;(SUM(S365:S376)),S376*L364,SUM(B376:F376)*L364)),2)))</f>
        <v>0</v>
      </c>
      <c r="M376" s="64">
        <f>IF(B376=0,0,IF(AND(H356="ja",((U376-C376)&lt;R381)),ROUND(((R383*R380+((R381/(R381-R380))-(R380/(R381-R380))*R383)*((U376-C376)-R380))*(M364)),2),ROUND(IF(SUM(B365:F375)&lt;(SUM(S365:S375)),IF((SUM(B365:F376))&gt;(SUM(S365:S376)),(((SUM(S365:S376))-(SUM(B365:F376)-C376))*M364)+((SUM(B376:F376)-C376)*M364),(SUM(B376:F376)-C376)*M364),IF(SUM(B365:F376)&gt;(SUM(S365:S376)),S376*M364,SUM(B376:F376)*M364)),2)))</f>
        <v>0</v>
      </c>
      <c r="N376" s="64">
        <f>IF(B376=0,0,IF(AND(H356="ja",((U376)&lt;R381)),ROUND(((R383*R380+((R381/(R381-R380))-(R380/(R381-R380))*R383)*((U376)-R380))*(N364)),2),ROUND(IF(SUM(B365:F375)&lt;(SUM(S365:S375)),IF((SUM(B365:F376))&gt;(SUM(S365:S376)),(((SUM(S365:S376))-(SUM(B365:F376)-C375))*N364)+((SUM(B376:F376)-C375)*N364),SUM(B376:F376)*N364),IF(SUM(B365:F376)&gt;(SUM(S365:S376)),S376*N364,SUM(B376:F376)*N364)),2)))</f>
        <v>0</v>
      </c>
      <c r="O376" s="21">
        <f>ROUND(SUM(B376+C376+F376)*O364,2)</f>
        <v>0</v>
      </c>
      <c r="P376" s="25">
        <f t="shared" si="61"/>
        <v>0</v>
      </c>
      <c r="Q376" s="11"/>
      <c r="R376" s="140">
        <f>ROUND(IF(M343="",R359,R359/M343*P353),2)</f>
        <v>5175</v>
      </c>
      <c r="S376" s="140">
        <f>ROUND(IF(M343="",R360,R360/M343*P353),2)</f>
        <v>7450</v>
      </c>
      <c r="U376" s="950">
        <f t="shared" si="62"/>
        <v>0</v>
      </c>
      <c r="V376" s="950">
        <f>SUM(B365:F376)</f>
        <v>0</v>
      </c>
    </row>
    <row r="377" spans="1:24" ht="15" customHeight="1" x14ac:dyDescent="0.2">
      <c r="A377" s="2" t="s">
        <v>1</v>
      </c>
      <c r="B377" s="25">
        <f>SUM(B365:B376)</f>
        <v>0</v>
      </c>
      <c r="C377" s="25">
        <f t="shared" ref="C377:G377" si="63">SUM(C365:C376)</f>
        <v>0</v>
      </c>
      <c r="D377" s="25">
        <f t="shared" si="63"/>
        <v>0</v>
      </c>
      <c r="E377" s="25">
        <f t="shared" si="63"/>
        <v>0</v>
      </c>
      <c r="F377" s="25">
        <f t="shared" si="63"/>
        <v>0</v>
      </c>
      <c r="G377" s="25">
        <f t="shared" si="63"/>
        <v>0</v>
      </c>
      <c r="H377" s="1309">
        <f>SUM(H365:N376)</f>
        <v>0</v>
      </c>
      <c r="I377" s="1310"/>
      <c r="J377" s="1310"/>
      <c r="K377" s="1310"/>
      <c r="L377" s="1310"/>
      <c r="M377" s="1310"/>
      <c r="N377" s="1311"/>
      <c r="O377" s="25">
        <f>SUM(O365:O376)</f>
        <v>0</v>
      </c>
      <c r="P377" s="25">
        <f>SUM(P365:P376)</f>
        <v>0</v>
      </c>
    </row>
    <row r="378" spans="1:24" ht="12" customHeight="1" x14ac:dyDescent="0.2"/>
    <row r="379" spans="1:24" ht="14.25" customHeight="1" x14ac:dyDescent="0.2">
      <c r="B379" s="906"/>
      <c r="H379" s="905"/>
      <c r="I379" s="62"/>
      <c r="J379" s="914" t="s">
        <v>123</v>
      </c>
      <c r="L379" s="900" t="s">
        <v>124</v>
      </c>
      <c r="M379" s="974" t="str">
        <f>IF(IF(G377=0,"",$M$43)=0,"",IF(G377=0,"",$M$43))</f>
        <v/>
      </c>
      <c r="N379" s="902" t="s">
        <v>125</v>
      </c>
      <c r="O379" s="963" t="str">
        <f>IF(IF(G377=0,"",$O$43)=0,"",IF(G377=0,"",$O$43))</f>
        <v/>
      </c>
      <c r="P379" s="25">
        <f>ROUND(IF(M379="",0,G377*M379*O379/1000),2)</f>
        <v>0</v>
      </c>
      <c r="Q379" s="937"/>
      <c r="R379" s="938">
        <v>2025</v>
      </c>
      <c r="S379" s="939"/>
    </row>
    <row r="380" spans="1:24" ht="14.25" customHeight="1" x14ac:dyDescent="0.2">
      <c r="H380" s="907"/>
      <c r="I380" s="42"/>
      <c r="M380" s="915" t="s">
        <v>129</v>
      </c>
      <c r="N380" s="80" t="s">
        <v>125</v>
      </c>
      <c r="O380" s="75" t="str">
        <f>IF(IF(G377=0,"",$O$44)=0,"",IF(G377=0,"",$O$44))</f>
        <v/>
      </c>
      <c r="P380" s="25">
        <f>ROUND(IF(O380="",0,G377*O380/1000),2)</f>
        <v>0</v>
      </c>
      <c r="Q380" s="942" t="s">
        <v>737</v>
      </c>
      <c r="R380" s="141">
        <f>'päd.Personal - Leitung'!$R$44</f>
        <v>556</v>
      </c>
      <c r="S380" s="955">
        <f>'päd.Personal - Leitung'!$S$44</f>
        <v>12.82</v>
      </c>
    </row>
    <row r="381" spans="1:24" ht="14.25" customHeight="1" x14ac:dyDescent="0.2">
      <c r="H381" s="912" t="s">
        <v>126</v>
      </c>
      <c r="I381" s="980" t="s">
        <v>127</v>
      </c>
      <c r="J381" s="975" t="str">
        <f>IF(IF(G377=0,"",$J$45)=0,"",IF(G377=0,"",$J$45))</f>
        <v/>
      </c>
      <c r="K381" s="902" t="s">
        <v>128</v>
      </c>
      <c r="L381" s="964" t="str">
        <f>IF(IF(G377=0,"",$L$45)=0,"",IF(G377=0,"",$L$45))</f>
        <v/>
      </c>
      <c r="M381" s="16"/>
      <c r="N381" s="900" t="s">
        <v>132</v>
      </c>
      <c r="O381" s="965" t="str">
        <f>IF(IF(G377=0,"",$O$45)=0,"",IF(G377=0,"",$O$45))</f>
        <v/>
      </c>
      <c r="P381" s="25">
        <f>ROUND(IF(J381="",0,(J381*L381/O381)/M345*M346),2)</f>
        <v>0</v>
      </c>
      <c r="Q381" s="942" t="s">
        <v>738</v>
      </c>
      <c r="R381" s="140">
        <f>'päd.Personal - Leitung'!$R$45</f>
        <v>2000</v>
      </c>
      <c r="S381" s="939"/>
    </row>
    <row r="382" spans="1:24" ht="14.25" customHeight="1" x14ac:dyDescent="0.2">
      <c r="D382" s="16"/>
      <c r="I382" s="16"/>
      <c r="J382" s="16"/>
      <c r="K382" s="63"/>
      <c r="L382" s="67"/>
      <c r="M382" s="915" t="s">
        <v>130</v>
      </c>
      <c r="N382" s="80" t="s">
        <v>131</v>
      </c>
      <c r="O382" s="904">
        <f>IF(IF(M347="",0,$O$46)=0,0,IF(M347="",0,$O$46))</f>
        <v>0</v>
      </c>
      <c r="P382" s="21">
        <f>ROUND(IF(G377=0,0,O382/M343*M344),2)</f>
        <v>0</v>
      </c>
      <c r="Q382" s="942" t="s">
        <v>740</v>
      </c>
      <c r="R382" s="956">
        <f>'päd.Personal - Leitung'!$R$46</f>
        <v>0.40900000000000003</v>
      </c>
    </row>
    <row r="383" spans="1:24" ht="14.25" customHeight="1" x14ac:dyDescent="0.2">
      <c r="A383" s="16"/>
      <c r="B383" s="16"/>
      <c r="I383" s="905"/>
      <c r="J383" s="961" t="s">
        <v>176</v>
      </c>
      <c r="K383" s="1312" t="str">
        <f>IF($K$47="","",$K$47)</f>
        <v/>
      </c>
      <c r="L383" s="1312"/>
      <c r="M383" s="1312"/>
      <c r="N383" s="80" t="s">
        <v>131</v>
      </c>
      <c r="O383" s="904">
        <f>IF(IF(M347="",0,$O$47)=0,0,IF(M347="",0,$O$47))</f>
        <v>0</v>
      </c>
      <c r="P383" s="21">
        <f>ROUND(IF(G377=0,0,O383/M343*M344),2)</f>
        <v>0</v>
      </c>
      <c r="Q383" s="942" t="s">
        <v>739</v>
      </c>
      <c r="R383" s="940">
        <f>'päd.Personal - Leitung'!$R$47</f>
        <v>0.68459999999999999</v>
      </c>
      <c r="S383" s="957">
        <f>'päd.Personal - Leitung'!$S$47</f>
        <v>0.28000000000000003</v>
      </c>
    </row>
    <row r="384" spans="1:24" ht="14.25" customHeight="1" x14ac:dyDescent="0.2">
      <c r="A384" s="908"/>
      <c r="B384" s="908"/>
      <c r="C384" s="980"/>
      <c r="D384" s="980"/>
      <c r="I384" s="913"/>
      <c r="J384" s="913"/>
      <c r="K384" s="916"/>
      <c r="L384" s="27"/>
      <c r="M384" s="27"/>
      <c r="N384" s="27"/>
      <c r="O384" s="26" t="s">
        <v>0</v>
      </c>
      <c r="P384" s="25">
        <f>P377+SUM(P379:P383)</f>
        <v>0</v>
      </c>
    </row>
    <row r="385" spans="1:19" s="10" customFormat="1" ht="13.5" hidden="1" customHeight="1" x14ac:dyDescent="0.2">
      <c r="A385" s="1321" t="s">
        <v>17</v>
      </c>
      <c r="B385" s="1321"/>
      <c r="C385" s="1321"/>
      <c r="D385" s="1320" t="str">
        <f>IF('päd.Personal - Leitung'!$D$1="","",'päd.Personal - Leitung'!$D$1)</f>
        <v/>
      </c>
      <c r="E385" s="1320"/>
      <c r="F385" s="1320"/>
      <c r="G385" s="1320"/>
      <c r="H385" s="1320"/>
      <c r="I385" s="1320"/>
      <c r="J385" s="1320"/>
      <c r="K385" s="1320"/>
      <c r="L385" s="1320"/>
      <c r="M385" s="1320"/>
      <c r="N385" s="1320"/>
    </row>
    <row r="386" spans="1:19" s="10" customFormat="1" ht="15" hidden="1" customHeight="1" x14ac:dyDescent="0.2">
      <c r="A386" s="1321" t="s">
        <v>16</v>
      </c>
      <c r="B386" s="1321"/>
      <c r="C386" s="1321" t="s">
        <v>14</v>
      </c>
      <c r="D386" s="1320" t="str">
        <f>IF('päd.Personal - Leitung'!$D$2="","",'päd.Personal - Leitung'!$D$2)</f>
        <v/>
      </c>
      <c r="E386" s="1320"/>
      <c r="F386" s="1320"/>
      <c r="G386" s="1320"/>
      <c r="H386" s="1320"/>
      <c r="I386" s="1320"/>
      <c r="J386" s="1320"/>
      <c r="K386" s="1320"/>
      <c r="L386" s="1320"/>
      <c r="M386" s="1320"/>
      <c r="N386" s="1320"/>
    </row>
    <row r="387" spans="1:19" s="10" customFormat="1" ht="15" hidden="1" customHeight="1" x14ac:dyDescent="0.2">
      <c r="A387" s="1321" t="s">
        <v>15</v>
      </c>
      <c r="B387" s="1321"/>
      <c r="C387" s="1321" t="s">
        <v>14</v>
      </c>
      <c r="D387" s="1320" t="str">
        <f>IF('päd.Personal - Leitung'!$D$3="","",'päd.Personal - Leitung'!$D$3)</f>
        <v/>
      </c>
      <c r="E387" s="1320"/>
      <c r="F387" s="1320"/>
      <c r="G387" s="1320"/>
      <c r="H387" s="1320"/>
      <c r="I387" s="1320"/>
      <c r="J387" s="1320"/>
      <c r="K387" s="1321" t="s">
        <v>100</v>
      </c>
      <c r="L387" s="1321"/>
      <c r="M387" s="1321"/>
      <c r="N387" s="38" t="str">
        <f>IF('päd.Personal - Leitung'!$N$3="","",'päd.Personal - Leitung'!$N$3)</f>
        <v/>
      </c>
    </row>
    <row r="388" spans="1:19" s="923" customFormat="1" ht="7.5" hidden="1" customHeight="1" x14ac:dyDescent="0.15">
      <c r="A388" s="1353"/>
      <c r="B388" s="1353"/>
      <c r="C388" s="1353"/>
      <c r="D388" s="1354"/>
      <c r="E388" s="1354"/>
      <c r="F388" s="1354"/>
      <c r="G388" s="1354"/>
      <c r="H388" s="1354"/>
      <c r="I388" s="1354"/>
      <c r="J388" s="1354"/>
      <c r="K388" s="922"/>
      <c r="L388" s="922"/>
      <c r="M388" s="922"/>
      <c r="N388" s="922"/>
      <c r="O388" s="922"/>
      <c r="P388" s="922"/>
    </row>
    <row r="389" spans="1:19" s="18" customFormat="1" hidden="1" x14ac:dyDescent="0.2">
      <c r="A389" s="1355" t="s">
        <v>197</v>
      </c>
      <c r="B389" s="1355"/>
      <c r="C389" s="1355"/>
      <c r="D389" s="1355"/>
      <c r="E389" s="1355"/>
      <c r="F389" s="1355"/>
      <c r="G389" s="1355"/>
      <c r="H389" s="1355"/>
      <c r="I389" s="1355"/>
      <c r="J389" s="1355"/>
      <c r="K389" s="1355"/>
      <c r="L389" s="1355"/>
      <c r="M389" s="1355"/>
      <c r="N389" s="52"/>
      <c r="O389" s="138">
        <f>'päd.Personal - Leitung'!$O$5</f>
        <v>2025</v>
      </c>
      <c r="P389" s="52" t="s">
        <v>140</v>
      </c>
    </row>
    <row r="390" spans="1:19" s="8" customFormat="1" ht="13.5" hidden="1" customHeight="1" x14ac:dyDescent="0.25">
      <c r="B390" s="29"/>
      <c r="C390" s="29"/>
      <c r="D390" s="3" t="s">
        <v>98</v>
      </c>
      <c r="E390" s="28"/>
      <c r="F390" s="28"/>
      <c r="G390" s="28"/>
      <c r="H390" s="28"/>
      <c r="I390" s="24"/>
      <c r="K390" s="1327" t="s">
        <v>13</v>
      </c>
      <c r="L390" s="1327"/>
      <c r="M390" s="131"/>
      <c r="O390" s="928" t="str">
        <f>A413</f>
        <v>Jan 2025</v>
      </c>
      <c r="P390" s="68">
        <f>IF(M392="","",M392)</f>
        <v>0</v>
      </c>
    </row>
    <row r="391" spans="1:19" s="5" customFormat="1" ht="13.5" hidden="1" customHeight="1" x14ac:dyDescent="0.25">
      <c r="A391" s="1328" t="s">
        <v>754</v>
      </c>
      <c r="B391" s="1328"/>
      <c r="C391" s="1328"/>
      <c r="D391" s="1329"/>
      <c r="E391" s="1329"/>
      <c r="F391" s="1329"/>
      <c r="G391" s="1329"/>
      <c r="H391" s="1329"/>
      <c r="I391" s="1329"/>
      <c r="K391" s="1327" t="s">
        <v>101</v>
      </c>
      <c r="L391" s="1327"/>
      <c r="M391" s="101"/>
      <c r="O391" s="928" t="str">
        <f t="shared" ref="O391:O401" si="64">A414</f>
        <v>Feb 2025</v>
      </c>
      <c r="P391" s="69">
        <f t="shared" ref="P391:P401" si="65">IF(P390="","",P390)</f>
        <v>0</v>
      </c>
    </row>
    <row r="392" spans="1:19" ht="13.5" hidden="1" customHeight="1" x14ac:dyDescent="0.2">
      <c r="A392" s="1328" t="s">
        <v>12</v>
      </c>
      <c r="B392" s="1328"/>
      <c r="C392" s="1328"/>
      <c r="D392" s="1345"/>
      <c r="E392" s="1345"/>
      <c r="F392" s="1345"/>
      <c r="G392" s="1345"/>
      <c r="H392" s="1345"/>
      <c r="I392" s="1345"/>
      <c r="K392" s="1327" t="s">
        <v>149</v>
      </c>
      <c r="L392" s="1327"/>
      <c r="M392" s="101">
        <f>IF((M393+M394)&gt;M391,0,M391-M393-M394)</f>
        <v>0</v>
      </c>
      <c r="O392" s="928" t="str">
        <f t="shared" si="64"/>
        <v>Mrz 2025</v>
      </c>
      <c r="P392" s="69">
        <f t="shared" si="65"/>
        <v>0</v>
      </c>
    </row>
    <row r="393" spans="1:19" ht="13.5" hidden="1" customHeight="1" x14ac:dyDescent="0.2">
      <c r="A393" s="1328" t="s">
        <v>11</v>
      </c>
      <c r="B393" s="1328"/>
      <c r="C393" s="1328"/>
      <c r="D393" s="1345"/>
      <c r="E393" s="1345"/>
      <c r="F393" s="1345"/>
      <c r="G393" s="1345"/>
      <c r="H393" s="1345"/>
      <c r="I393" s="1345"/>
      <c r="K393" s="1327" t="s">
        <v>150</v>
      </c>
      <c r="L393" s="1327"/>
      <c r="M393" s="101"/>
      <c r="O393" s="928" t="str">
        <f t="shared" si="64"/>
        <v>Apr 2025</v>
      </c>
      <c r="P393" s="69">
        <f t="shared" si="65"/>
        <v>0</v>
      </c>
    </row>
    <row r="394" spans="1:19" ht="13.5" hidden="1" customHeight="1" x14ac:dyDescent="0.2">
      <c r="A394" s="1328" t="s">
        <v>18</v>
      </c>
      <c r="B394" s="1328"/>
      <c r="C394" s="1328"/>
      <c r="D394" s="1345"/>
      <c r="E394" s="1345"/>
      <c r="F394" s="1345"/>
      <c r="G394" s="1345"/>
      <c r="H394" s="1345"/>
      <c r="I394" s="1345"/>
      <c r="K394" s="1327" t="s">
        <v>222</v>
      </c>
      <c r="L394" s="1327"/>
      <c r="M394" s="101"/>
      <c r="O394" s="928" t="str">
        <f t="shared" si="64"/>
        <v>Mai 2025</v>
      </c>
      <c r="P394" s="69">
        <f t="shared" si="65"/>
        <v>0</v>
      </c>
    </row>
    <row r="395" spans="1:19" ht="13.5" hidden="1" customHeight="1" x14ac:dyDescent="0.2">
      <c r="B395" s="6"/>
      <c r="C395" s="1012" t="s">
        <v>147</v>
      </c>
      <c r="D395" s="1324"/>
      <c r="E395" s="1324"/>
      <c r="F395" s="1359" t="s">
        <v>107</v>
      </c>
      <c r="G395" s="1359"/>
      <c r="H395" s="1361"/>
      <c r="I395" s="1361"/>
      <c r="K395" s="1327" t="s">
        <v>94</v>
      </c>
      <c r="L395" s="1327"/>
      <c r="M395" s="15" t="str">
        <f>IF(IF((COUNTIF(B413:B424,"&gt;0"))=0,0,(COUNTIF(B413:B424,"&gt;0")))&gt;Grundlagen!$C$26,Grundlagen!$C$26,IF((COUNTIF(B413:B424,"&gt;0"))=0,"",(COUNTIF(B413:B424,"&gt;0"))))</f>
        <v/>
      </c>
      <c r="O395" s="928" t="str">
        <f t="shared" si="64"/>
        <v>Jun 2025</v>
      </c>
      <c r="P395" s="69">
        <f t="shared" si="65"/>
        <v>0</v>
      </c>
    </row>
    <row r="396" spans="1:19" ht="13.5" hidden="1" customHeight="1" x14ac:dyDescent="0.2">
      <c r="F396" s="1359" t="s">
        <v>160</v>
      </c>
      <c r="G396" s="1359"/>
      <c r="H396" s="1361"/>
      <c r="I396" s="1361"/>
      <c r="M396" s="102" t="str">
        <f>IF((SUM(F398:F401))=0,"",IF(P402&gt;M392,M392,IF(M392="","",IF(M395="","",P402))))</f>
        <v/>
      </c>
      <c r="O396" s="928" t="str">
        <f t="shared" si="64"/>
        <v>Jul 2025</v>
      </c>
      <c r="P396" s="69">
        <f t="shared" si="65"/>
        <v>0</v>
      </c>
    </row>
    <row r="397" spans="1:19" s="46" customFormat="1" ht="13.5" hidden="1" customHeight="1" x14ac:dyDescent="0.2">
      <c r="A397" s="54" t="s">
        <v>134</v>
      </c>
      <c r="B397" s="1356" t="s">
        <v>135</v>
      </c>
      <c r="C397" s="1356"/>
      <c r="D397" s="55" t="s">
        <v>136</v>
      </c>
      <c r="E397" s="56" t="s">
        <v>137</v>
      </c>
      <c r="F397" s="57" t="str">
        <f>CONCATENATE("Entg. ",N387," h/Wo")</f>
        <v>Entg.  h/Wo</v>
      </c>
      <c r="G397" s="58" t="s">
        <v>138</v>
      </c>
      <c r="I397" s="58" t="s">
        <v>139</v>
      </c>
      <c r="K397" s="970"/>
      <c r="L397" s="970"/>
      <c r="M397" s="59"/>
      <c r="N397" s="968" t="str">
        <f>IF(A399="","",A399)</f>
        <v/>
      </c>
      <c r="O397" s="928" t="str">
        <f t="shared" si="64"/>
        <v>Aug 2025</v>
      </c>
      <c r="P397" s="69">
        <f t="shared" si="65"/>
        <v>0</v>
      </c>
      <c r="Q397" s="1027"/>
      <c r="R397" s="1025"/>
      <c r="S397" s="1025"/>
    </row>
    <row r="398" spans="1:19" s="46" customFormat="1" ht="13.5" hidden="1" customHeight="1" x14ac:dyDescent="0.25">
      <c r="A398" s="48" t="str">
        <f>A413</f>
        <v>Jan 2025</v>
      </c>
      <c r="B398" s="1357" t="str">
        <f>IF($D$3="","",$D$3)</f>
        <v/>
      </c>
      <c r="C398" s="1358"/>
      <c r="D398" s="132"/>
      <c r="E398" s="132"/>
      <c r="F398" s="71"/>
      <c r="G398" s="50">
        <f>IF(N387="",0,F398/N387/4.348)</f>
        <v>0</v>
      </c>
      <c r="I398" s="51">
        <f>SUM(J398:M398)</f>
        <v>0</v>
      </c>
      <c r="J398" s="70"/>
      <c r="K398" s="70"/>
      <c r="L398" s="70"/>
      <c r="M398" s="70"/>
      <c r="N398" s="983"/>
      <c r="O398" s="928" t="str">
        <f t="shared" si="64"/>
        <v>Sep 2025</v>
      </c>
      <c r="P398" s="69">
        <f t="shared" si="65"/>
        <v>0</v>
      </c>
      <c r="Q398" s="1026"/>
      <c r="R398" s="829"/>
      <c r="S398" s="1028"/>
    </row>
    <row r="399" spans="1:19" s="46" customFormat="1" ht="13.5" hidden="1" customHeight="1" x14ac:dyDescent="0.25">
      <c r="A399" s="49"/>
      <c r="B399" s="1322" t="str">
        <f>IF(A399="","",B398)</f>
        <v/>
      </c>
      <c r="C399" s="1323"/>
      <c r="D399" s="132"/>
      <c r="E399" s="132"/>
      <c r="F399" s="71"/>
      <c r="G399" s="50">
        <f>IF(N387="",0,F399/N387/4.348)</f>
        <v>0</v>
      </c>
      <c r="I399" s="51">
        <f t="shared" ref="I399:I401" si="66">SUM(J399:M399)</f>
        <v>0</v>
      </c>
      <c r="J399" s="70"/>
      <c r="K399" s="70"/>
      <c r="L399" s="70"/>
      <c r="M399" s="70"/>
      <c r="N399" s="983"/>
      <c r="O399" s="928" t="str">
        <f t="shared" si="64"/>
        <v>Okt 2025</v>
      </c>
      <c r="P399" s="69">
        <f t="shared" si="65"/>
        <v>0</v>
      </c>
      <c r="Q399" s="1026"/>
      <c r="R399" s="829"/>
      <c r="S399" s="1028"/>
    </row>
    <row r="400" spans="1:19" s="46" customFormat="1" ht="13.5" hidden="1" customHeight="1" x14ac:dyDescent="0.25">
      <c r="A400" s="49"/>
      <c r="B400" s="1322" t="str">
        <f>IF(A400="","",B399)</f>
        <v/>
      </c>
      <c r="C400" s="1323"/>
      <c r="D400" s="132"/>
      <c r="E400" s="132"/>
      <c r="F400" s="71"/>
      <c r="G400" s="50">
        <f>IF(N387="",0,F400/N387/4.348)</f>
        <v>0</v>
      </c>
      <c r="I400" s="51">
        <f t="shared" si="66"/>
        <v>0</v>
      </c>
      <c r="J400" s="70"/>
      <c r="K400" s="70"/>
      <c r="L400" s="70"/>
      <c r="M400" s="70"/>
      <c r="N400" s="983"/>
      <c r="O400" s="928" t="str">
        <f t="shared" si="64"/>
        <v>Nov 2025</v>
      </c>
      <c r="P400" s="69">
        <f t="shared" si="65"/>
        <v>0</v>
      </c>
      <c r="Q400" s="828"/>
      <c r="R400" s="829"/>
      <c r="S400" s="829"/>
    </row>
    <row r="401" spans="1:20" s="46" customFormat="1" ht="13.5" hidden="1" customHeight="1" x14ac:dyDescent="0.25">
      <c r="A401" s="49"/>
      <c r="B401" s="1322" t="str">
        <f>IF(A401="","",B400)</f>
        <v/>
      </c>
      <c r="C401" s="1323"/>
      <c r="D401" s="132"/>
      <c r="E401" s="132"/>
      <c r="F401" s="71"/>
      <c r="G401" s="50">
        <f>IF(N387="",0,F401/N387/4.348)</f>
        <v>0</v>
      </c>
      <c r="I401" s="51">
        <f t="shared" si="66"/>
        <v>0</v>
      </c>
      <c r="J401" s="70"/>
      <c r="K401" s="70"/>
      <c r="L401" s="70"/>
      <c r="M401" s="70"/>
      <c r="N401" s="983"/>
      <c r="O401" s="928" t="str">
        <f t="shared" si="64"/>
        <v>Dez 2025</v>
      </c>
      <c r="P401" s="69">
        <f t="shared" si="65"/>
        <v>0</v>
      </c>
      <c r="Q401" s="276"/>
      <c r="R401" s="827"/>
      <c r="S401" s="827"/>
    </row>
    <row r="402" spans="1:20" s="46" customFormat="1" ht="13.5" hidden="1" customHeight="1" x14ac:dyDescent="0.25">
      <c r="B402" s="972"/>
      <c r="C402" s="972"/>
      <c r="E402" s="972"/>
      <c r="F402" s="972"/>
      <c r="I402" s="930" t="s">
        <v>730</v>
      </c>
      <c r="J402" s="982"/>
      <c r="K402" s="982"/>
      <c r="L402" s="982"/>
      <c r="M402" s="982"/>
      <c r="N402" s="994"/>
      <c r="O402" s="126" t="s">
        <v>221</v>
      </c>
      <c r="P402" s="127">
        <f>IF(M395="",0,((IF(SUMIF(B413,"&gt;0"),P390,0))+(IF(SUMIF(B414,"&gt;0"),P391,0))+(IF(SUMIF(B415,"&gt;0"),P392,0))+(IF(SUMIF(B416,"&gt;0"),P393,0))+(IF(SUMIF(B417,"&gt;0"),P394,0))+(IF(SUMIF(B418,"&gt;0"),P395,0))+(IF(SUMIF(B419,"&gt;0"),P396,0))+(IF(SUMIF(B420,"&gt;0"),P397,0))+(IF(SUMIF(B421,"&gt;0"),P398,0))+(IF(SUMIF(B422,"&gt;0"),P399,0))+(IF(SUMIF(B423,"&gt;0"),P400,0))+(IF(SUMIF(B424,"&gt;0"),P401,0)))/Grundlagen!$C$26)</f>
        <v>0</v>
      </c>
      <c r="Q402" s="1009" t="str">
        <f>CONCATENATE("BBG"," anteilig ",O404)</f>
        <v>BBG anteilig 2025</v>
      </c>
      <c r="R402" s="931" t="s">
        <v>659</v>
      </c>
      <c r="S402" s="931" t="s">
        <v>398</v>
      </c>
      <c r="T402" s="107"/>
    </row>
    <row r="403" spans="1:20" s="46" customFormat="1" ht="13.5" hidden="1" customHeight="1" x14ac:dyDescent="0.2">
      <c r="A403" s="924" t="s">
        <v>732</v>
      </c>
      <c r="D403" s="55" t="s">
        <v>369</v>
      </c>
      <c r="E403" s="56" t="s">
        <v>368</v>
      </c>
      <c r="F403" s="58"/>
      <c r="J403" s="61"/>
      <c r="Q403" s="932" t="s">
        <v>144</v>
      </c>
      <c r="R403" s="140">
        <f>IF(M392=0,R407,IF(M391="",R407,(SUM(R413:R424)/M395)))</f>
        <v>5175</v>
      </c>
      <c r="S403" s="933">
        <f>IF(M392=0,S407,IF(M391="",S407,SUM(R413:R424)))</f>
        <v>0</v>
      </c>
      <c r="T403" s="107"/>
    </row>
    <row r="404" spans="1:20" s="46" customFormat="1" ht="13.5" hidden="1" customHeight="1" x14ac:dyDescent="0.25">
      <c r="A404" s="60"/>
      <c r="B404" s="1314" t="str">
        <f>IF($B$20="","",$B$20)</f>
        <v>Jahressonderzahlung (JSZ)</v>
      </c>
      <c r="C404" s="1315"/>
      <c r="D404" s="926"/>
      <c r="E404" s="929" t="str">
        <f>IF(A404="","",ROUND((((SUM(B419:B421)+SUM(F419:F421))/3)*D404)/Grundlagen!$C$26*M395,2))</f>
        <v/>
      </c>
      <c r="N404" s="917" t="s">
        <v>736</v>
      </c>
      <c r="O404" s="918">
        <f>P404+1</f>
        <v>2025</v>
      </c>
      <c r="P404" s="918" t="s">
        <v>721</v>
      </c>
      <c r="Q404" s="932" t="s">
        <v>145</v>
      </c>
      <c r="R404" s="140">
        <f>IF(M392=0,R408,IF(M391="",R408,(SUM(S413:S424)/M395)))</f>
        <v>7450</v>
      </c>
      <c r="S404" s="933">
        <f>IF(M392=0,S408,IF(M391="",S408,SUM(S413:S424)))</f>
        <v>0</v>
      </c>
      <c r="T404" s="109"/>
    </row>
    <row r="405" spans="1:20" s="18" customFormat="1" ht="14.25" hidden="1" customHeight="1" x14ac:dyDescent="0.2">
      <c r="A405" s="60"/>
      <c r="B405" s="1314" t="str">
        <f>IF($B$21="","",$B$21)</f>
        <v>Leistungsentgelt (LOB)</v>
      </c>
      <c r="C405" s="1315"/>
      <c r="D405" s="926"/>
      <c r="E405" s="929" t="str">
        <f>IF(A405="","",ROUND(((B425+F425)*D405)/Grundlagen!$C$26*M395,2))</f>
        <v/>
      </c>
      <c r="F405" s="1"/>
      <c r="N405" s="139" t="s">
        <v>144</v>
      </c>
      <c r="O405" s="141">
        <f>'päd.Personal - Leitung'!$O$21</f>
        <v>5175</v>
      </c>
      <c r="P405" s="141">
        <f>'päd.Personal - Leitung'!$P$21</f>
        <v>5175</v>
      </c>
      <c r="Q405" s="11"/>
      <c r="R405" s="11"/>
      <c r="S405" s="11"/>
      <c r="T405" s="109"/>
    </row>
    <row r="406" spans="1:20" s="18" customFormat="1" ht="14.25" hidden="1" customHeight="1" x14ac:dyDescent="0.2">
      <c r="A406" s="1"/>
      <c r="B406" s="1"/>
      <c r="C406" s="925" t="s">
        <v>731</v>
      </c>
      <c r="D406" s="1"/>
      <c r="E406" s="1"/>
      <c r="F406" s="1"/>
      <c r="N406" s="139" t="s">
        <v>145</v>
      </c>
      <c r="O406" s="899">
        <f>'päd.Personal - Leitung'!$O$22</f>
        <v>7450</v>
      </c>
      <c r="P406" s="899">
        <f>'päd.Personal - Leitung'!$P$22</f>
        <v>7450</v>
      </c>
      <c r="Q406" s="1009" t="str">
        <f>CONCATENATE("BBG"," ",O404)</f>
        <v>BBG 2025</v>
      </c>
      <c r="R406" s="11"/>
      <c r="S406" s="11"/>
      <c r="T406" s="109"/>
    </row>
    <row r="407" spans="1:20" s="18" customFormat="1" ht="14.25" hidden="1" customHeight="1" x14ac:dyDescent="0.2">
      <c r="A407" s="53" t="s">
        <v>141</v>
      </c>
      <c r="Q407" s="932" t="s">
        <v>144</v>
      </c>
      <c r="R407" s="141">
        <f>IF($O$21="",0,$O$21)</f>
        <v>5175</v>
      </c>
      <c r="S407" s="933">
        <f>R407*IF(M395="",0,M395)</f>
        <v>0</v>
      </c>
      <c r="T407" s="295"/>
    </row>
    <row r="408" spans="1:20" s="18" customFormat="1" ht="14.25" hidden="1" customHeight="1" x14ac:dyDescent="0.2">
      <c r="A408" s="1346"/>
      <c r="B408" s="1348" t="s">
        <v>8</v>
      </c>
      <c r="C408" s="1349"/>
      <c r="D408" s="1349"/>
      <c r="E408" s="1349"/>
      <c r="F408" s="1349"/>
      <c r="G408" s="1350"/>
      <c r="H408" s="1351" t="s">
        <v>113</v>
      </c>
      <c r="I408" s="1352"/>
      <c r="J408" s="1352"/>
      <c r="K408" s="1352"/>
      <c r="L408" s="1352"/>
      <c r="M408" s="1352"/>
      <c r="N408" s="1368" t="s">
        <v>658</v>
      </c>
      <c r="O408" s="30"/>
      <c r="P408" s="1330" t="s">
        <v>0</v>
      </c>
      <c r="Q408" s="932" t="s">
        <v>145</v>
      </c>
      <c r="R408" s="141">
        <f>IF($O$22="",0,$O$22)</f>
        <v>7450</v>
      </c>
      <c r="S408" s="933">
        <f>R408*IF(M395="",0,M395)</f>
        <v>0</v>
      </c>
      <c r="T408" s="830"/>
    </row>
    <row r="409" spans="1:20" s="18" customFormat="1" ht="14.25" hidden="1" customHeight="1" x14ac:dyDescent="0.2">
      <c r="A409" s="1347"/>
      <c r="B409" s="1333" t="s">
        <v>111</v>
      </c>
      <c r="C409" s="1335" t="s">
        <v>743</v>
      </c>
      <c r="D409" s="1337" t="s">
        <v>226</v>
      </c>
      <c r="E409" s="1339" t="s">
        <v>133</v>
      </c>
      <c r="F409" s="1014" t="s">
        <v>6</v>
      </c>
      <c r="G409" s="1340" t="s">
        <v>5</v>
      </c>
      <c r="H409" s="1339" t="s">
        <v>119</v>
      </c>
      <c r="I409" s="1339" t="s">
        <v>657</v>
      </c>
      <c r="J409" s="1339" t="s">
        <v>4</v>
      </c>
      <c r="K409" s="1339" t="s">
        <v>3</v>
      </c>
      <c r="L409" s="1339" t="s">
        <v>2</v>
      </c>
      <c r="M409" s="1339" t="s">
        <v>95</v>
      </c>
      <c r="N409" s="1369"/>
      <c r="O409" s="1338" t="s">
        <v>109</v>
      </c>
      <c r="P409" s="1331"/>
      <c r="Q409" s="456"/>
      <c r="R409" s="11"/>
      <c r="S409" s="11"/>
      <c r="T409" s="621"/>
    </row>
    <row r="410" spans="1:20" s="18" customFormat="1" ht="14.25" hidden="1" customHeight="1" x14ac:dyDescent="0.2">
      <c r="A410" s="1347"/>
      <c r="B410" s="1333"/>
      <c r="C410" s="1335"/>
      <c r="D410" s="1338"/>
      <c r="E410" s="1339"/>
      <c r="F410" s="1343" t="str">
        <f>I402</f>
        <v>Zuschläge / Zulagen / o.ä.:</v>
      </c>
      <c r="G410" s="1340"/>
      <c r="H410" s="1342" t="s">
        <v>117</v>
      </c>
      <c r="I410" s="1339"/>
      <c r="J410" s="1342"/>
      <c r="K410" s="1342"/>
      <c r="L410" s="1342"/>
      <c r="M410" s="1339"/>
      <c r="N410" s="1369"/>
      <c r="O410" s="1338"/>
      <c r="P410" s="1331"/>
      <c r="Q410" s="456"/>
      <c r="R410" s="1306" t="str">
        <f>Q402</f>
        <v>BBG anteilig 2025</v>
      </c>
      <c r="S410" s="1306"/>
      <c r="T410" s="829"/>
    </row>
    <row r="411" spans="1:20" s="18" customFormat="1" ht="14.25" hidden="1" customHeight="1" x14ac:dyDescent="0.2">
      <c r="A411" s="1347"/>
      <c r="B411" s="1333"/>
      <c r="C411" s="1335"/>
      <c r="D411" s="1338"/>
      <c r="E411" s="1339"/>
      <c r="F411" s="1343"/>
      <c r="G411" s="1340"/>
      <c r="H411" s="39" t="str">
        <f>'päd.Personal - Leitung'!$H$27</f>
        <v>(7,30% + Zusatz)</v>
      </c>
      <c r="I411" s="39" t="s">
        <v>722</v>
      </c>
      <c r="J411" s="39" t="str">
        <f>'päd.Personal - Leitung'!$I$27</f>
        <v xml:space="preserve"> (2024: 9,30%)</v>
      </c>
      <c r="K411" s="39" t="str">
        <f>'päd.Personal - Leitung'!$J$27</f>
        <v>(2024: 1,30%)</v>
      </c>
      <c r="L411" s="39" t="str">
        <f>'päd.Personal - Leitung'!$K$27</f>
        <v>(2024: 1,700%)</v>
      </c>
      <c r="M411" s="1339"/>
      <c r="N411" s="39" t="s">
        <v>747</v>
      </c>
      <c r="O411" s="1338"/>
      <c r="P411" s="1331"/>
      <c r="Q411" s="456"/>
      <c r="R411" s="1307" t="s">
        <v>659</v>
      </c>
      <c r="S411" s="1307"/>
      <c r="T411" s="829"/>
    </row>
    <row r="412" spans="1:20" s="18" customFormat="1" ht="14.25" hidden="1" customHeight="1" x14ac:dyDescent="0.2">
      <c r="A412" s="1347"/>
      <c r="B412" s="1334"/>
      <c r="C412" s="1336"/>
      <c r="D412" s="45"/>
      <c r="E412" s="45"/>
      <c r="F412" s="1344"/>
      <c r="G412" s="1341"/>
      <c r="H412" s="74"/>
      <c r="I412" s="19"/>
      <c r="J412" s="99">
        <f>'päd.Personal - Leitung'!$I$28</f>
        <v>0</v>
      </c>
      <c r="K412" s="99">
        <f>'päd.Personal - Leitung'!$J$28</f>
        <v>0</v>
      </c>
      <c r="L412" s="40">
        <f>'päd.Personal - Leitung'!$K$28</f>
        <v>0</v>
      </c>
      <c r="M412" s="19"/>
      <c r="N412" s="19"/>
      <c r="O412" s="19"/>
      <c r="P412" s="1332"/>
      <c r="Q412" s="456"/>
      <c r="R412" s="935" t="s">
        <v>144</v>
      </c>
      <c r="S412" s="935" t="s">
        <v>145</v>
      </c>
      <c r="T412" s="829"/>
    </row>
    <row r="413" spans="1:20" s="18" customFormat="1" hidden="1" x14ac:dyDescent="0.2">
      <c r="A413" s="76" t="str">
        <f>'päd.Personal - Leitung'!$A$29</f>
        <v>Jan 2025</v>
      </c>
      <c r="B413" s="22">
        <f>ROUND(IF(P390=0,0,(LOOKUP(2,1/(A398:A401=A413),G398:G401))*P390*4.348)*50%,2)</f>
        <v>0</v>
      </c>
      <c r="C413" s="21">
        <f>ROUND(IFERROR((LOOKUP(2,1/(A404=A413),E404)),0)+IFERROR((LOOKUP(2,1/(A405=A413),E405)),0),2)</f>
        <v>0</v>
      </c>
      <c r="D413" s="21">
        <f>ROUND(IF(B413=0,0,D412/M391*P390*50%),2)</f>
        <v>0</v>
      </c>
      <c r="E413" s="21">
        <f>ROUND(IF(B413=0,0,E412/N387*P390*50%),2)</f>
        <v>0</v>
      </c>
      <c r="F413" s="22">
        <f>ROUND(IF(P390=0,0,(LOOKUP(2,1/(A398:A401=A413),I398:I401))/N387*P390)*50%,2)</f>
        <v>0</v>
      </c>
      <c r="G413" s="25">
        <f>SUM(B413+C413+E413+F413)</f>
        <v>0</v>
      </c>
      <c r="H413" s="831">
        <f>ROUND(SUM(B413:F413)*H412,2)</f>
        <v>0</v>
      </c>
      <c r="I413" s="64">
        <f>ROUND(IF((SUM(B413:F413)*80%)&gt;((S413)*90%),((((S413)*90%)-((SUM(B413:F413)-C413))*I412)+((SUM(B413:F413)-C413)*I412)*80%),((SUM(B413:F413)-C413)*I412)*80%),2)</f>
        <v>0</v>
      </c>
      <c r="J413" s="831">
        <f>ROUND(SUM(B413:F413)*J412,2)</f>
        <v>0</v>
      </c>
      <c r="K413" s="831">
        <f>ROUND(SUM(B413:F413)*K412,2)</f>
        <v>0</v>
      </c>
      <c r="L413" s="831">
        <f>ROUND(SUM(B413:F413)*L412,2)</f>
        <v>0</v>
      </c>
      <c r="M413" s="831">
        <f>ROUND((SUM(B413:F413)-C413)*M412,2)</f>
        <v>0</v>
      </c>
      <c r="N413" s="21">
        <f>ROUND((B413+E413+F413)*N412,2)</f>
        <v>0</v>
      </c>
      <c r="O413" s="21">
        <f>ROUND(SUM(B413+C413+F413)*O412,2)</f>
        <v>0</v>
      </c>
      <c r="P413" s="25">
        <f>SUM(G413:O413)</f>
        <v>0</v>
      </c>
      <c r="Q413" s="456"/>
      <c r="R413" s="140">
        <f>ROUND(IF(M391="",R407,R407/M391*P390),2)</f>
        <v>5175</v>
      </c>
      <c r="S413" s="140">
        <f>ROUND(IF(M391="",R408,R408/M391*P390),2)</f>
        <v>7450</v>
      </c>
      <c r="T413" s="1"/>
    </row>
    <row r="414" spans="1:20" s="18" customFormat="1" hidden="1" x14ac:dyDescent="0.2">
      <c r="A414" s="76" t="str">
        <f>'päd.Personal - Leitung'!$A$30</f>
        <v>Feb 2025</v>
      </c>
      <c r="B414" s="22">
        <f>ROUND(IF(P391=0,0,IFERROR((((LOOKUP(2,1/(A398:A401=A414),G398:G401))*P391*4.348)*50%),B413/P390*P391)),2)</f>
        <v>0</v>
      </c>
      <c r="C414" s="21">
        <f>ROUND(IFERROR((LOOKUP(2,1/(A404=A414),E404)),0)+IFERROR((LOOKUP(2,1/(A405=A414),E405)),0),2)</f>
        <v>0</v>
      </c>
      <c r="D414" s="21">
        <f>ROUND(IF(B414=0,0,D412/M391*P391*50%),2)</f>
        <v>0</v>
      </c>
      <c r="E414" s="21">
        <f>ROUND(IF(B414=0,0,E412/N387*P391*50%),2)</f>
        <v>0</v>
      </c>
      <c r="F414" s="22">
        <f>ROUND(IF(P391=0,0,IFERROR((((LOOKUP(2,1/(A398:A401=A414),I398:I401))/N387*P391)*50%),F413/P390*P391)),2)</f>
        <v>0</v>
      </c>
      <c r="G414" s="25">
        <f t="shared" ref="G414:G424" si="67">SUM(B414+C414+E414+F414)</f>
        <v>0</v>
      </c>
      <c r="H414" s="831">
        <f>ROUND(SUM(B414:F414)*H412,2)</f>
        <v>0</v>
      </c>
      <c r="I414" s="64">
        <f>ROUND(IF((SUM(B414:F414)*80%)&gt;((SUM(S410:S414))*90%),((((SUM(S410:S414))*90%)-((SUM(B414:F414)-C414))*I412)+((SUM(B414:F414)-C414)*I412)*80%),((SUM(B414:F414)-C414)*I412)*80%),2)</f>
        <v>0</v>
      </c>
      <c r="J414" s="831">
        <f>ROUND(SUM(B414:F414)*J412,2)</f>
        <v>0</v>
      </c>
      <c r="K414" s="831">
        <f>ROUND(SUM(B414:F414)*K412,2)</f>
        <v>0</v>
      </c>
      <c r="L414" s="831">
        <f>ROUND(SUM(B414:F414)*L412,2)</f>
        <v>0</v>
      </c>
      <c r="M414" s="831">
        <f>ROUND((SUM(B414:F414)-C414)*M412,2)</f>
        <v>0</v>
      </c>
      <c r="N414" s="21">
        <f>ROUND((B414+E414+F414)*N412,2)</f>
        <v>0</v>
      </c>
      <c r="O414" s="21">
        <f>ROUND(SUM(B414+C414+F414)*O412,2)</f>
        <v>0</v>
      </c>
      <c r="P414" s="25">
        <f t="shared" ref="P414" si="68">SUM(G414:O414)</f>
        <v>0</v>
      </c>
      <c r="Q414" s="456"/>
      <c r="R414" s="140">
        <f>ROUND(IF(M391="",R407,R407/M391*P391),2)</f>
        <v>5175</v>
      </c>
      <c r="S414" s="140">
        <f>ROUND(IF(M391="",R408,R408/M391*P391),2)</f>
        <v>7450</v>
      </c>
      <c r="T414" s="1"/>
    </row>
    <row r="415" spans="1:20" s="18" customFormat="1" hidden="1" x14ac:dyDescent="0.2">
      <c r="A415" s="76" t="str">
        <f>'päd.Personal - Leitung'!$A$31</f>
        <v>Mrz 2025</v>
      </c>
      <c r="B415" s="22">
        <f>ROUND(IF(P392=0,0,IFERROR((((LOOKUP(2,1/(A398:A401=A415),G398:G401))*P392*4.348)*50%),B414/P391*P392)),2)</f>
        <v>0</v>
      </c>
      <c r="C415" s="21">
        <f>ROUND(IFERROR((LOOKUP(2,1/(A404=A415),E404)),0)+IFERROR((LOOKUP(2,1/(A405=A415),E405)),0),2)</f>
        <v>0</v>
      </c>
      <c r="D415" s="21">
        <f>ROUND(IF(B415=0,0,D412/M391*P392*50%),2)</f>
        <v>0</v>
      </c>
      <c r="E415" s="21">
        <f>ROUND(IF(B415=0,0,E412/N387*P392*50%),2)</f>
        <v>0</v>
      </c>
      <c r="F415" s="22">
        <f>ROUND(IF(P392=0,0,IFERROR((((LOOKUP(2,1/(A398:A401=A415),I398:I401))/N387*P392)*50%),F414/P391*P392)),2)</f>
        <v>0</v>
      </c>
      <c r="G415" s="25">
        <f t="shared" si="67"/>
        <v>0</v>
      </c>
      <c r="H415" s="831">
        <f>ROUND(SUM(B415:F415)*H412,2)</f>
        <v>0</v>
      </c>
      <c r="I415" s="64">
        <f>ROUND(IF((SUM(B414:F415)*80%)&gt;((SUM(S410:S415))*90%),((((SUM(S410:S415))*90%)-((SUM(B414:F415)-C415))*I412)+((SUM(B415:F415)-C415)*I412)*80%),((SUM(B415:F415)-C415)*I412)*80%),2)</f>
        <v>0</v>
      </c>
      <c r="J415" s="831">
        <f>ROUND(SUM(B415:F415)*J412,2)</f>
        <v>0</v>
      </c>
      <c r="K415" s="831">
        <f>ROUND(SUM(B415:F415)*K412,2)</f>
        <v>0</v>
      </c>
      <c r="L415" s="831">
        <f>ROUND(SUM(B415:F415)*L412,2)</f>
        <v>0</v>
      </c>
      <c r="M415" s="831">
        <f>ROUND((SUM(B415:F415)-C415)*M412,2)</f>
        <v>0</v>
      </c>
      <c r="N415" s="21">
        <f>ROUND((B415+E415+F415)*N412,2)</f>
        <v>0</v>
      </c>
      <c r="O415" s="21">
        <f>ROUND(SUM(B415+C415+F415)*O412,2)</f>
        <v>0</v>
      </c>
      <c r="P415" s="25">
        <f t="shared" ref="P415:P424" si="69">SUM(G415:O415)</f>
        <v>0</v>
      </c>
      <c r="Q415" s="456"/>
      <c r="R415" s="140">
        <f>ROUND(IF(M391="",R407,R407/M391*P392),2)</f>
        <v>5175</v>
      </c>
      <c r="S415" s="140">
        <f>ROUND(IF(M391="",R408,R408/M391*P392),2)</f>
        <v>7450</v>
      </c>
      <c r="T415" s="1"/>
    </row>
    <row r="416" spans="1:20" s="18" customFormat="1" hidden="1" x14ac:dyDescent="0.2">
      <c r="A416" s="76" t="str">
        <f>'päd.Personal - Leitung'!$A$32</f>
        <v>Apr 2025</v>
      </c>
      <c r="B416" s="22">
        <f>ROUND(IF(P393=0,0,IFERROR((((LOOKUP(2,1/(A398:A401=A416),G398:G401))*P393*4.348)*50%),B415/P392*P393)),2)</f>
        <v>0</v>
      </c>
      <c r="C416" s="21">
        <f>ROUND(IFERROR((LOOKUP(2,1/(A404=A416),E404)),0)+IFERROR((LOOKUP(2,1/(A405=A416),E405)),0),2)</f>
        <v>0</v>
      </c>
      <c r="D416" s="21">
        <f>ROUND(IF(B416=0,0,D412/M391*P393*50%),2)</f>
        <v>0</v>
      </c>
      <c r="E416" s="21">
        <f>ROUND(IF(B416=0,0,E412/N387*P393*50%),2)</f>
        <v>0</v>
      </c>
      <c r="F416" s="22">
        <f>ROUND(IF(P393=0,0,IFERROR((((LOOKUP(2,1/(A398:A401=A416),I398:I401))/N387*P393)*50%),F415/P392*P393)),2)</f>
        <v>0</v>
      </c>
      <c r="G416" s="25">
        <f t="shared" si="67"/>
        <v>0</v>
      </c>
      <c r="H416" s="831">
        <f>ROUND(SUM(B416:F416)*H412,2)</f>
        <v>0</v>
      </c>
      <c r="I416" s="64">
        <f>ROUND(IF((SUM(B414:F416)*80%)&gt;((SUM(S410:S416))*90%),((((SUM(S410:S416))*90%)-((SUM(B414:F416)-C416))*I412)+((SUM(B416:F416)-C416)*I412)*80%),((SUM(B416:F416)-C416)*I412)*80%),2)</f>
        <v>0</v>
      </c>
      <c r="J416" s="831">
        <f>ROUND(SUM(B416:F416)*J412,2)</f>
        <v>0</v>
      </c>
      <c r="K416" s="831">
        <f>ROUND(SUM(B416:F416)*K412,2)</f>
        <v>0</v>
      </c>
      <c r="L416" s="831">
        <f>ROUND(SUM(B416:F416)*L412,2)</f>
        <v>0</v>
      </c>
      <c r="M416" s="831">
        <f>ROUND((SUM(B416:F416)-C416)*M412,2)</f>
        <v>0</v>
      </c>
      <c r="N416" s="21">
        <f>ROUND((B416+E416+F416)*N412,2)</f>
        <v>0</v>
      </c>
      <c r="O416" s="21">
        <f>ROUND(SUM(B416+C416+F416)*O412,2)</f>
        <v>0</v>
      </c>
      <c r="P416" s="25">
        <f t="shared" si="69"/>
        <v>0</v>
      </c>
      <c r="Q416" s="456"/>
      <c r="R416" s="140">
        <f>ROUND(IF(M391="",R407,R407/M391*P393),2)</f>
        <v>5175</v>
      </c>
      <c r="S416" s="140">
        <f>ROUND(IF(M391="",R408,R408/M391*P393),2)</f>
        <v>7450</v>
      </c>
      <c r="T416" s="1"/>
    </row>
    <row r="417" spans="1:20" s="18" customFormat="1" hidden="1" x14ac:dyDescent="0.2">
      <c r="A417" s="76" t="str">
        <f>'päd.Personal - Leitung'!$A$33</f>
        <v>Mai 2025</v>
      </c>
      <c r="B417" s="22">
        <f>ROUND(IF(P394=0,0,IFERROR((((LOOKUP(2,1/(A398:A401=A417),G398:G401))*P394*4.348)*50%),B416/P393*P394)),2)</f>
        <v>0</v>
      </c>
      <c r="C417" s="21">
        <f>ROUND(IFERROR((LOOKUP(2,1/(A404=A417),E404)),0)+IFERROR((LOOKUP(2,1/(A405=A417),E405)),0),2)</f>
        <v>0</v>
      </c>
      <c r="D417" s="21">
        <f>ROUND(IF(B417=0,0,D412/M391*P394*50%),2)</f>
        <v>0</v>
      </c>
      <c r="E417" s="21">
        <f>ROUND(IF(B417=0,0,E412/N387*P394*50%),2)</f>
        <v>0</v>
      </c>
      <c r="F417" s="22">
        <f>ROUND(IF(P394=0,0,IFERROR((((LOOKUP(2,1/(A398:A401=A417),I398:I401))/N387*P394)*50%),F416/P393*P394)),2)</f>
        <v>0</v>
      </c>
      <c r="G417" s="25">
        <f t="shared" si="67"/>
        <v>0</v>
      </c>
      <c r="H417" s="831">
        <f>ROUND(SUM(B417:F417)*H412,2)</f>
        <v>0</v>
      </c>
      <c r="I417" s="64">
        <f>ROUND(IF((SUM(B414:F417)*80%)&gt;((SUM(S410:S417))*90%),((((SUM(S410:S417))*90%)-((SUM(B414:F417)-C417))*I412)+((SUM(B417:F417)-C417)*I412)*80%),((SUM(B417:F417)-C417)*I412)*80%),2)</f>
        <v>0</v>
      </c>
      <c r="J417" s="831">
        <f>ROUND(SUM(B417:F417)*J412,2)</f>
        <v>0</v>
      </c>
      <c r="K417" s="831">
        <f>ROUND(SUM(B417:F417)*K412,2)</f>
        <v>0</v>
      </c>
      <c r="L417" s="831">
        <f>ROUND(SUM(B417:F417)*L412,2)</f>
        <v>0</v>
      </c>
      <c r="M417" s="831">
        <f>ROUND((SUM(B417:F417)-C417)*M412,2)</f>
        <v>0</v>
      </c>
      <c r="N417" s="21">
        <f>ROUND((B417+E417+F417)*N412,2)</f>
        <v>0</v>
      </c>
      <c r="O417" s="21">
        <f>ROUND(SUM(B417+C417+F417)*O412,2)</f>
        <v>0</v>
      </c>
      <c r="P417" s="25">
        <f t="shared" si="69"/>
        <v>0</v>
      </c>
      <c r="Q417" s="456"/>
      <c r="R417" s="140">
        <f>ROUND(IF(M391="",R407,R407/M391*P394),2)</f>
        <v>5175</v>
      </c>
      <c r="S417" s="140">
        <f>ROUND(IF(M391="",R408,R408/M391*P394),2)</f>
        <v>7450</v>
      </c>
      <c r="T417" s="1"/>
    </row>
    <row r="418" spans="1:20" s="18" customFormat="1" hidden="1" x14ac:dyDescent="0.2">
      <c r="A418" s="76" t="str">
        <f>'päd.Personal - Leitung'!$A$34</f>
        <v>Jun 2025</v>
      </c>
      <c r="B418" s="22">
        <f>ROUND(IF(P395=0,0,IFERROR((((LOOKUP(2,1/(A398:A401=A418),G398:G401))*P395*4.348)*50%),B417/P394*P395)),2)</f>
        <v>0</v>
      </c>
      <c r="C418" s="21">
        <f>ROUND(IFERROR((LOOKUP(2,1/(A404=A418),E404)),0)+IFERROR((LOOKUP(2,1/(A405=A418),E405)),0),2)</f>
        <v>0</v>
      </c>
      <c r="D418" s="21">
        <f>ROUND(IF(B418=0,0,D412/M391*P395*50%),2)</f>
        <v>0</v>
      </c>
      <c r="E418" s="21">
        <f>ROUND(IF(B418=0,0,E412/N387*P395*50%),2)</f>
        <v>0</v>
      </c>
      <c r="F418" s="22">
        <f>ROUND(IF(P395=0,0,IFERROR((((LOOKUP(2,1/(A398:A401=A418),I398:I401))/N387*P395)*50%),F417/P394*P395)),2)</f>
        <v>0</v>
      </c>
      <c r="G418" s="25">
        <f t="shared" si="67"/>
        <v>0</v>
      </c>
      <c r="H418" s="831">
        <f>ROUND(SUM(B418:F418)*H412,2)</f>
        <v>0</v>
      </c>
      <c r="I418" s="64">
        <f>ROUND(IF((SUM(B414:F418)*80%)&gt;((SUM(S410:S418))*90%),((((SUM(S410:S418))*90%)-((SUM(B414:F418)-C418))*I412)+((SUM(B418:F418)-C418)*I412)*80%),((SUM(B418:F418)-C418)*I412)*80%),2)</f>
        <v>0</v>
      </c>
      <c r="J418" s="831">
        <f>ROUND(SUM(B418:F418)*J412,2)</f>
        <v>0</v>
      </c>
      <c r="K418" s="831">
        <f>ROUND(SUM(B418:F418)*K412,2)</f>
        <v>0</v>
      </c>
      <c r="L418" s="831">
        <f>ROUND(SUM(B418:F418)*L412,2)</f>
        <v>0</v>
      </c>
      <c r="M418" s="831">
        <f>ROUND((SUM(B418:F418)-C418)*M412,2)</f>
        <v>0</v>
      </c>
      <c r="N418" s="21">
        <f>ROUND((B418+E418+F418)*N412,2)</f>
        <v>0</v>
      </c>
      <c r="O418" s="21">
        <f>ROUND(SUM(B418+C418+F418)*O412,2)</f>
        <v>0</v>
      </c>
      <c r="P418" s="25">
        <f t="shared" si="69"/>
        <v>0</v>
      </c>
      <c r="Q418" s="456"/>
      <c r="R418" s="140">
        <f>ROUND(IF(M391="",R407,R407/M391*P395),2)</f>
        <v>5175</v>
      </c>
      <c r="S418" s="140">
        <f>ROUND(IF(M391="",R408,R408/M391*P395),2)</f>
        <v>7450</v>
      </c>
      <c r="T418" s="1"/>
    </row>
    <row r="419" spans="1:20" s="18" customFormat="1" hidden="1" x14ac:dyDescent="0.2">
      <c r="A419" s="76" t="str">
        <f>'päd.Personal - Leitung'!$A$35</f>
        <v>Jul 2025</v>
      </c>
      <c r="B419" s="22">
        <f>ROUND(IF(P396=0,0,IFERROR((((LOOKUP(2,1/(A398:A401=A419),G398:G401))*P396*4.348)*50%),B418/P395*P396)),2)</f>
        <v>0</v>
      </c>
      <c r="C419" s="21">
        <f>ROUND(IFERROR((LOOKUP(2,1/(A404=A419),E404)),0)+IFERROR((LOOKUP(2,1/(A405=A419),E405)),0),2)</f>
        <v>0</v>
      </c>
      <c r="D419" s="21">
        <f>ROUND(IF(B419=0,0,D412/M391*P396*50%),2)</f>
        <v>0</v>
      </c>
      <c r="E419" s="21">
        <f>ROUND(IF(B419=0,0,E412/N387*P396*50%),2)</f>
        <v>0</v>
      </c>
      <c r="F419" s="22">
        <f>ROUND(IF(P396=0,0,IFERROR((((LOOKUP(2,1/(A398:A401=A419),I398:I401))/N387*P396)*50%),F418/P395*P396)),2)</f>
        <v>0</v>
      </c>
      <c r="G419" s="25">
        <f t="shared" si="67"/>
        <v>0</v>
      </c>
      <c r="H419" s="831">
        <f>ROUND(SUM(B419:F419)*H412,2)</f>
        <v>0</v>
      </c>
      <c r="I419" s="64">
        <f>ROUND(IF((SUM(B414:F419)*80%)&gt;((SUM(S410:S419))*90%),((((SUM(S410:S419))*90%)-((SUM(B414:F419)-C419))*I412)+((SUM(B419:F419)-C419)*I412)*80%),((SUM(B419:F419)-C419)*I412)*80%),2)</f>
        <v>0</v>
      </c>
      <c r="J419" s="831">
        <f>ROUND(SUM(B419:F419)*J412,2)</f>
        <v>0</v>
      </c>
      <c r="K419" s="831">
        <f>ROUND(SUM(B419:F419)*K412,2)</f>
        <v>0</v>
      </c>
      <c r="L419" s="831">
        <f>ROUND(SUM(B419:F419)*L412,2)</f>
        <v>0</v>
      </c>
      <c r="M419" s="831">
        <f>ROUND((SUM(B419:F419)-C419)*M412,2)</f>
        <v>0</v>
      </c>
      <c r="N419" s="21">
        <f>ROUND((B419+E419+F419)*N412,2)</f>
        <v>0</v>
      </c>
      <c r="O419" s="21">
        <f>ROUND(SUM(B419+C419+F419)*O412,2)</f>
        <v>0</v>
      </c>
      <c r="P419" s="25">
        <f t="shared" si="69"/>
        <v>0</v>
      </c>
      <c r="Q419" s="456"/>
      <c r="R419" s="140">
        <f>ROUND(IF(M391="",R407,R407/M391*P396),2)</f>
        <v>5175</v>
      </c>
      <c r="S419" s="140">
        <f>ROUND(IF(M391="",R408,R408/M391*P396),2)</f>
        <v>7450</v>
      </c>
      <c r="T419" s="1"/>
    </row>
    <row r="420" spans="1:20" s="18" customFormat="1" hidden="1" x14ac:dyDescent="0.2">
      <c r="A420" s="76" t="str">
        <f>'päd.Personal - Leitung'!$A$36</f>
        <v>Aug 2025</v>
      </c>
      <c r="B420" s="22">
        <f>ROUND(IF(P397=0,0,IFERROR((((LOOKUP(2,1/(A398:A401=A420),G398:G401))*P397*4.348)*50%),B419/P396*P397)),2)</f>
        <v>0</v>
      </c>
      <c r="C420" s="21">
        <f>ROUND(IFERROR((LOOKUP(2,1/(A404=A420),E404)),0)+IFERROR((LOOKUP(2,1/(A405=A420),E405)),0),2)</f>
        <v>0</v>
      </c>
      <c r="D420" s="21">
        <f>ROUND(IF(B420=0,0,D412/M391*P397*50%),2)</f>
        <v>0</v>
      </c>
      <c r="E420" s="21">
        <f>ROUND(IF(B420=0,0,E412/N387*P397*50%),2)</f>
        <v>0</v>
      </c>
      <c r="F420" s="22">
        <f>ROUND(IF(P397=0,0,IFERROR((((LOOKUP(2,1/(A398:A401=A420),I398:I401))/N387*P397)*50%),F419/P396*P397)),2)</f>
        <v>0</v>
      </c>
      <c r="G420" s="25">
        <f t="shared" si="67"/>
        <v>0</v>
      </c>
      <c r="H420" s="831">
        <f>ROUND(SUM(B420:F420)*H412,2)</f>
        <v>0</v>
      </c>
      <c r="I420" s="64">
        <f>ROUND(IF((SUM(B414:F420)*80%)&gt;((SUM(S410:S420))*90%),((((SUM(S410:S420))*90%)-((SUM(B414:F420)-C420))*I412)+((SUM(B420:F420)-C420)*I412)*80%),((SUM(B420:F420)-C420)*I412)*80%),2)</f>
        <v>0</v>
      </c>
      <c r="J420" s="831">
        <f>ROUND(SUM(B420:F420)*J412,2)</f>
        <v>0</v>
      </c>
      <c r="K420" s="831">
        <f>ROUND(SUM(B420:F420)*K412,2)</f>
        <v>0</v>
      </c>
      <c r="L420" s="831">
        <f>ROUND(SUM(B420:F420)*L412,2)</f>
        <v>0</v>
      </c>
      <c r="M420" s="831">
        <f>ROUND((SUM(B420:F420)-C420)*M412,2)</f>
        <v>0</v>
      </c>
      <c r="N420" s="21">
        <f>ROUND((B420+E420+F420)*N412,2)</f>
        <v>0</v>
      </c>
      <c r="O420" s="21">
        <f>ROUND(SUM(B420+C420+F420)*O412,2)</f>
        <v>0</v>
      </c>
      <c r="P420" s="25">
        <f t="shared" si="69"/>
        <v>0</v>
      </c>
      <c r="Q420" s="456"/>
      <c r="R420" s="140">
        <f>ROUND(IF(M391="",R407,R407/M391*P397),2)</f>
        <v>5175</v>
      </c>
      <c r="S420" s="140">
        <f>ROUND(IF(M391="",R408,R408/M391*P397),2)</f>
        <v>7450</v>
      </c>
      <c r="T420" s="1"/>
    </row>
    <row r="421" spans="1:20" s="18" customFormat="1" hidden="1" x14ac:dyDescent="0.2">
      <c r="A421" s="76" t="str">
        <f>'päd.Personal - Leitung'!$A$37</f>
        <v>Sep 2025</v>
      </c>
      <c r="B421" s="22">
        <f>ROUND(IF(P398=0,0,IFERROR((((LOOKUP(2,1/(A398:A401=A421),G398:G401))*P398*4.348)*50%),B420/P397*P398)),2)</f>
        <v>0</v>
      </c>
      <c r="C421" s="21">
        <f>ROUND(IFERROR((LOOKUP(2,1/(A404=A421),E404)),0)+IFERROR((LOOKUP(2,1/(A405=A421),E405)),0),2)</f>
        <v>0</v>
      </c>
      <c r="D421" s="21">
        <f>ROUND(IF(B421=0,0,D412/M391*P398*50%),2)</f>
        <v>0</v>
      </c>
      <c r="E421" s="21">
        <f>ROUND(IF(B421=0,0,E412/N387*P398*50%),2)</f>
        <v>0</v>
      </c>
      <c r="F421" s="22">
        <f>ROUND(IF(P398=0,0,IFERROR((((LOOKUP(2,1/(A398:A401=A421),I398:I401))/N387*P398)*50%),F420/P397*P398)),2)</f>
        <v>0</v>
      </c>
      <c r="G421" s="25">
        <f t="shared" si="67"/>
        <v>0</v>
      </c>
      <c r="H421" s="831">
        <f>ROUND(SUM(B421:F421)*H412,2)</f>
        <v>0</v>
      </c>
      <c r="I421" s="64">
        <f>ROUND(IF((SUM(B414:F421)*80%)&gt;((SUM(S410:S421))*90%),((((SUM(S410:S421))*90%)-((SUM(B414:F421)-C421))*I412)+((SUM(B421:F421)-C421)*I412)*80%),((SUM(B421:F421)-C421)*I412)*80%),2)</f>
        <v>0</v>
      </c>
      <c r="J421" s="831">
        <f>ROUND(SUM(B421:F421)*J412,2)</f>
        <v>0</v>
      </c>
      <c r="K421" s="831">
        <f>ROUND(SUM(B421:F421)*K412,2)</f>
        <v>0</v>
      </c>
      <c r="L421" s="831">
        <f>ROUND(SUM(B421:F421)*L412,2)</f>
        <v>0</v>
      </c>
      <c r="M421" s="831">
        <f>ROUND((SUM(B421:F421)-C421)*M412,2)</f>
        <v>0</v>
      </c>
      <c r="N421" s="21">
        <f>ROUND((B421+E421+F421)*N412,2)</f>
        <v>0</v>
      </c>
      <c r="O421" s="21">
        <f>ROUND(SUM(B421+C421+F421)*O412,2)</f>
        <v>0</v>
      </c>
      <c r="P421" s="25">
        <f t="shared" si="69"/>
        <v>0</v>
      </c>
      <c r="Q421" s="456"/>
      <c r="R421" s="140">
        <f>ROUND(IF(M391="",R407,R407/M391*P398),2)</f>
        <v>5175</v>
      </c>
      <c r="S421" s="140">
        <f>ROUND(IF(M391="",R408,R408/M391*P398),2)</f>
        <v>7450</v>
      </c>
      <c r="T421" s="1"/>
    </row>
    <row r="422" spans="1:20" s="18" customFormat="1" ht="15" hidden="1" x14ac:dyDescent="0.25">
      <c r="A422" s="76" t="str">
        <f>'päd.Personal - Leitung'!$A$38</f>
        <v>Okt 2025</v>
      </c>
      <c r="B422" s="22">
        <f>ROUND(IF(P399=0,0,IFERROR((((LOOKUP(2,1/(A398:A401=A422),G398:G401))*P399*4.348)*50%),B421/P398*P399)),2)</f>
        <v>0</v>
      </c>
      <c r="C422" s="21">
        <f>ROUND(IFERROR((LOOKUP(2,1/(A404=A422),E404)),0)+IFERROR((LOOKUP(2,1/(A405=A422),E405)),0),2)</f>
        <v>0</v>
      </c>
      <c r="D422" s="21">
        <f>ROUND(IF(B422=0,0,D412/M391*P399*50%),2)</f>
        <v>0</v>
      </c>
      <c r="E422" s="21">
        <f>ROUND(IF(B422=0,0,E412/N387*P399*50%),2)</f>
        <v>0</v>
      </c>
      <c r="F422" s="22">
        <f>ROUND(IF(P399=0,0,IFERROR((((LOOKUP(2,1/(A398:A401=A422),I398:I401))/N387*P399)*50%),F421/P398*P399)),2)</f>
        <v>0</v>
      </c>
      <c r="G422" s="25">
        <f t="shared" si="67"/>
        <v>0</v>
      </c>
      <c r="H422" s="831">
        <f>ROUND(SUM(B422:F422)*H412,2)</f>
        <v>0</v>
      </c>
      <c r="I422" s="64">
        <f>ROUND(IF((SUM(B414:F422)*80%)&gt;((SUM(S410:S422))*90%),((((SUM(S410:S422))*90%)-((SUM(B414:F422)-C422))*I412)+((SUM(B422:F422)-C422)*I412)*80%),((SUM(B422:F422)-C422)*I412)*80%),2)</f>
        <v>0</v>
      </c>
      <c r="J422" s="831">
        <f>ROUND(SUM(B422:F422)*J412,2)</f>
        <v>0</v>
      </c>
      <c r="K422" s="831">
        <f>ROUND(SUM(B422:F422)*K412,2)</f>
        <v>0</v>
      </c>
      <c r="L422" s="831">
        <f>ROUND(SUM(B422:F422)*L412,2)</f>
        <v>0</v>
      </c>
      <c r="M422" s="831">
        <f>ROUND((SUM(B422:F422)-C422)*M412,2)</f>
        <v>0</v>
      </c>
      <c r="N422" s="21">
        <f>ROUND((B422+E422+F422)*N412,2)</f>
        <v>0</v>
      </c>
      <c r="O422" s="21">
        <f>ROUND(SUM(B422+C422+F422)*O412,2)</f>
        <v>0</v>
      </c>
      <c r="P422" s="25">
        <f t="shared" si="69"/>
        <v>0</v>
      </c>
      <c r="Q422" s="936"/>
      <c r="R422" s="140">
        <f>ROUND(IF(M391="",R407,R407/M391*P399),2)</f>
        <v>5175</v>
      </c>
      <c r="S422" s="140">
        <f>ROUND(IF(M391="",R408,R408/M391*P399),2)</f>
        <v>7450</v>
      </c>
      <c r="T422" s="12"/>
    </row>
    <row r="423" spans="1:20" s="18" customFormat="1" hidden="1" x14ac:dyDescent="0.2">
      <c r="A423" s="76" t="str">
        <f>'päd.Personal - Leitung'!$A$39</f>
        <v>Nov 2025</v>
      </c>
      <c r="B423" s="22">
        <f>ROUND(IF(P400=0,0,IFERROR((((LOOKUP(2,1/(A398:A401=A423),G398:G401))*P400*4.348)*50%),B422/P399*P400)),2)</f>
        <v>0</v>
      </c>
      <c r="C423" s="21">
        <f>ROUND(IFERROR((LOOKUP(2,1/(A404=A423),E404)),0)+(IFERROR((LOOKUP(2,1/(A405=A423),E405)),0)),2)</f>
        <v>0</v>
      </c>
      <c r="D423" s="21">
        <f>ROUND(IF(B423=0,0,D412/M391*P400*50%),2)</f>
        <v>0</v>
      </c>
      <c r="E423" s="21">
        <f>ROUND(IF(B423=0,0,E412/N387*P400*50%),2)</f>
        <v>0</v>
      </c>
      <c r="F423" s="22">
        <f>ROUND(IF(P400=0,0,IFERROR((((LOOKUP(2,1/(A398:A401=A423),I398:I401))/N387*P400)*50%),F422/P399*P400)),2)</f>
        <v>0</v>
      </c>
      <c r="G423" s="25">
        <f t="shared" si="67"/>
        <v>0</v>
      </c>
      <c r="H423" s="831">
        <f>ROUND(SUM(B423:F423)*H412,2)</f>
        <v>0</v>
      </c>
      <c r="I423" s="64">
        <f>ROUND(IF((SUM(B414:F423)*80%)&gt;((SUM(S410:S423))*90%),((((SUM(S410:S423))*90%)-((SUM(B414:F423)-C423))*I412)+((SUM(B423:F423)-C423)*I412)*80%),((SUM(B423:F423)-C423)*I412)*80%),2)</f>
        <v>0</v>
      </c>
      <c r="J423" s="831">
        <f>ROUND(SUM(B423:F423)*J412,2)</f>
        <v>0</v>
      </c>
      <c r="K423" s="831">
        <f>ROUND(SUM(B423:F423)*K412,2)</f>
        <v>0</v>
      </c>
      <c r="L423" s="831">
        <f>ROUND(SUM(B423:F423)*L412,2)</f>
        <v>0</v>
      </c>
      <c r="M423" s="831">
        <f>ROUND((SUM(B423:F423)-C423)*M412,2)</f>
        <v>0</v>
      </c>
      <c r="N423" s="21">
        <f>ROUND((B423+E423+F423)*N412,2)</f>
        <v>0</v>
      </c>
      <c r="O423" s="21">
        <f>ROUND(SUM(B423+C423+F423)*O412,2)</f>
        <v>0</v>
      </c>
      <c r="P423" s="25">
        <f t="shared" si="69"/>
        <v>0</v>
      </c>
      <c r="Q423" s="11"/>
      <c r="R423" s="140">
        <f>ROUND(IF(M391="",R407,R407/M391*P400),2)</f>
        <v>5175</v>
      </c>
      <c r="S423" s="140">
        <f>ROUND(IF(M391="",R408,R408/M391*P400),2)</f>
        <v>7450</v>
      </c>
      <c r="T423" s="11"/>
    </row>
    <row r="424" spans="1:20" s="18" customFormat="1" hidden="1" x14ac:dyDescent="0.2">
      <c r="A424" s="76" t="str">
        <f>'päd.Personal - Leitung'!$A$40</f>
        <v>Dez 2025</v>
      </c>
      <c r="B424" s="22">
        <f>ROUND(IF(P401=0,0,IFERROR((((LOOKUP(2,1/(A398:A401=A424),G398:G401))*P401*4.348)*50%),B423/P400*P401)),2)</f>
        <v>0</v>
      </c>
      <c r="C424" s="21">
        <f>ROUND(IFERROR((LOOKUP(2,1/(A404=A424),E404)),0)+IFERROR((LOOKUP(2,1/(A405=A424),E405)),0),2)</f>
        <v>0</v>
      </c>
      <c r="D424" s="21">
        <f>ROUND(IF(B424=0,0,D412/M391*P401*50%),2)</f>
        <v>0</v>
      </c>
      <c r="E424" s="21">
        <f>ROUND(IF(B424=0,0,E412/N387*P401*50%),2)</f>
        <v>0</v>
      </c>
      <c r="F424" s="22">
        <f>ROUND(IF(P401=0,0,IFERROR((((LOOKUP(2,1/(A398:A401=A424),I398:I401))/N387*P401)*50%),F423/P400*P401)),2)</f>
        <v>0</v>
      </c>
      <c r="G424" s="25">
        <f t="shared" si="67"/>
        <v>0</v>
      </c>
      <c r="H424" s="831">
        <f>ROUND(SUM(B424:F424)*H412,2)</f>
        <v>0</v>
      </c>
      <c r="I424" s="64">
        <f>ROUND(IF((SUM(B414:F424)*80%)&gt;((SUM(S410:S424))*90%),((((SUM(S410:S424))*90%)-((SUM(B414:F424)-C424))*I412)+((SUM(B424:F424)-C424)*I412)*80%),((SUM(B424:F424)-C424)*I412)*80%),2)</f>
        <v>0</v>
      </c>
      <c r="J424" s="831">
        <f>ROUND(SUM(B424:F424)*J412,2)</f>
        <v>0</v>
      </c>
      <c r="K424" s="831">
        <f>ROUND(SUM(B424:F424)*K412,2)</f>
        <v>0</v>
      </c>
      <c r="L424" s="831">
        <f>ROUND(SUM(B424:F424)*L412,2)</f>
        <v>0</v>
      </c>
      <c r="M424" s="831">
        <f>ROUND((SUM(B424:F424)-C424)*M412,2)</f>
        <v>0</v>
      </c>
      <c r="N424" s="21">
        <f>ROUND((B424+E424+F424)*N412,2)</f>
        <v>0</v>
      </c>
      <c r="O424" s="21">
        <f>ROUND(SUM(B424+C424+F424)*O412,2)</f>
        <v>0</v>
      </c>
      <c r="P424" s="25">
        <f t="shared" si="69"/>
        <v>0</v>
      </c>
      <c r="Q424" s="11"/>
      <c r="R424" s="140">
        <f>ROUND(IF(M391="",R407,R407/M391*P401),2)</f>
        <v>5175</v>
      </c>
      <c r="S424" s="140">
        <f>ROUND(IF(M391="",R408,R408/M391*P401),2)</f>
        <v>7450</v>
      </c>
      <c r="T424" s="1"/>
    </row>
    <row r="425" spans="1:20" s="18" customFormat="1" hidden="1" x14ac:dyDescent="0.2">
      <c r="A425" s="2" t="s">
        <v>1</v>
      </c>
      <c r="B425" s="25">
        <f t="shared" ref="B425:G425" si="70">SUM(B414:B424)</f>
        <v>0</v>
      </c>
      <c r="C425" s="25">
        <f t="shared" si="70"/>
        <v>0</v>
      </c>
      <c r="D425" s="25">
        <f t="shared" si="70"/>
        <v>0</v>
      </c>
      <c r="E425" s="25">
        <f t="shared" si="70"/>
        <v>0</v>
      </c>
      <c r="F425" s="25">
        <f t="shared" si="70"/>
        <v>0</v>
      </c>
      <c r="G425" s="25">
        <f t="shared" si="70"/>
        <v>0</v>
      </c>
      <c r="H425" s="1309">
        <f>SUM(H414:M424)</f>
        <v>0</v>
      </c>
      <c r="I425" s="1310"/>
      <c r="J425" s="1310"/>
      <c r="K425" s="1310"/>
      <c r="L425" s="1310"/>
      <c r="M425" s="1310"/>
      <c r="N425" s="25">
        <f>SUM(N414:N424)</f>
        <v>0</v>
      </c>
      <c r="O425" s="25">
        <f>SUM(O414:O424)</f>
        <v>0</v>
      </c>
      <c r="P425" s="25">
        <f>SUM(P414:P424)</f>
        <v>0</v>
      </c>
      <c r="Q425" s="1"/>
      <c r="R425" s="1"/>
      <c r="S425" s="1"/>
      <c r="T425" s="1"/>
    </row>
    <row r="426" spans="1:20" s="18" customFormat="1" hidden="1" x14ac:dyDescent="0.2">
      <c r="O426" s="14"/>
      <c r="Q426" s="1021"/>
      <c r="R426" s="1021"/>
      <c r="S426" s="1021"/>
    </row>
    <row r="427" spans="1:20" ht="14.25" hidden="1" customHeight="1" x14ac:dyDescent="0.2">
      <c r="B427" s="906"/>
      <c r="H427" s="905"/>
      <c r="I427" s="62"/>
      <c r="J427" s="914" t="s">
        <v>123</v>
      </c>
      <c r="L427" s="900" t="s">
        <v>124</v>
      </c>
      <c r="M427" s="1032"/>
      <c r="N427" s="902" t="s">
        <v>125</v>
      </c>
      <c r="O427" s="1033"/>
      <c r="P427" s="25">
        <f>ROUND(IF(M427="",0,G425*M427*O427/1000),2)</f>
        <v>0</v>
      </c>
      <c r="Q427" s="1015"/>
      <c r="R427" s="1022"/>
      <c r="S427" s="1016"/>
    </row>
    <row r="428" spans="1:20" ht="14.25" hidden="1" customHeight="1" x14ac:dyDescent="0.2">
      <c r="H428" s="907"/>
      <c r="I428" s="42"/>
      <c r="M428" s="915" t="s">
        <v>129</v>
      </c>
      <c r="N428" s="80" t="s">
        <v>125</v>
      </c>
      <c r="O428" s="1034"/>
      <c r="P428" s="25">
        <f>ROUND(IF(O428="",0,G425*O428/1000),2)</f>
        <v>0</v>
      </c>
      <c r="Q428" s="1023"/>
      <c r="R428" s="65"/>
      <c r="S428" s="1017"/>
    </row>
    <row r="429" spans="1:20" ht="14.25" hidden="1" customHeight="1" x14ac:dyDescent="0.2">
      <c r="H429" s="912" t="s">
        <v>126</v>
      </c>
      <c r="I429" s="1013" t="s">
        <v>127</v>
      </c>
      <c r="J429" s="1037"/>
      <c r="K429" s="902" t="s">
        <v>128</v>
      </c>
      <c r="L429" s="1036"/>
      <c r="M429" s="16"/>
      <c r="N429" s="900" t="s">
        <v>132</v>
      </c>
      <c r="O429" s="1035"/>
      <c r="P429" s="25">
        <f>ROUND(IF(J429="",0,(J429*L429/O429)/M393*M394),2)</f>
        <v>0</v>
      </c>
      <c r="Q429" s="1023"/>
      <c r="R429" s="66"/>
      <c r="S429" s="1016"/>
    </row>
    <row r="430" spans="1:20" ht="14.25" hidden="1" customHeight="1" x14ac:dyDescent="0.2">
      <c r="D430" s="16"/>
      <c r="I430" s="16"/>
      <c r="J430" s="16"/>
      <c r="K430" s="63"/>
      <c r="L430" s="67"/>
      <c r="M430" s="915" t="s">
        <v>130</v>
      </c>
      <c r="N430" s="80" t="s">
        <v>131</v>
      </c>
      <c r="O430" s="904"/>
      <c r="P430" s="21">
        <f>ROUND(IF(G425=0,0,O430/M391*M392),2)</f>
        <v>0</v>
      </c>
      <c r="Q430" s="1023"/>
      <c r="R430" s="1018"/>
      <c r="S430" s="1024"/>
    </row>
    <row r="431" spans="1:20" ht="14.25" hidden="1" customHeight="1" x14ac:dyDescent="0.2">
      <c r="A431" s="16"/>
      <c r="B431" s="16"/>
      <c r="I431" s="905"/>
      <c r="J431" s="961" t="s">
        <v>176</v>
      </c>
      <c r="K431" s="1312"/>
      <c r="L431" s="1312"/>
      <c r="M431" s="1312"/>
      <c r="N431" s="80" t="s">
        <v>131</v>
      </c>
      <c r="O431" s="904"/>
      <c r="P431" s="21">
        <f>ROUND(IF(G425=0,0,O431/M391*M392),2)</f>
        <v>0</v>
      </c>
      <c r="Q431" s="1023"/>
      <c r="R431" s="1019"/>
      <c r="S431" s="1020"/>
    </row>
    <row r="432" spans="1:20" ht="14.25" hidden="1" customHeight="1" x14ac:dyDescent="0.2">
      <c r="A432" s="908"/>
      <c r="B432" s="908"/>
      <c r="C432" s="1013"/>
      <c r="D432" s="1013"/>
      <c r="I432" s="913"/>
      <c r="J432" s="913"/>
      <c r="K432" s="916"/>
      <c r="L432" s="27"/>
      <c r="M432" s="27"/>
      <c r="N432" s="27"/>
      <c r="O432" s="26" t="s">
        <v>0</v>
      </c>
      <c r="P432" s="25">
        <f>P425+SUM(P427:P431)</f>
        <v>0</v>
      </c>
    </row>
    <row r="433" spans="1:19" s="10" customFormat="1" ht="13.5" hidden="1" customHeight="1" x14ac:dyDescent="0.2">
      <c r="A433" s="1321" t="s">
        <v>17</v>
      </c>
      <c r="B433" s="1321"/>
      <c r="C433" s="1321"/>
      <c r="D433" s="1320" t="str">
        <f>IF('päd.Personal - Leitung'!$D$1="","",'päd.Personal - Leitung'!$D$1)</f>
        <v/>
      </c>
      <c r="E433" s="1320"/>
      <c r="F433" s="1320"/>
      <c r="G433" s="1320"/>
      <c r="H433" s="1320"/>
      <c r="I433" s="1320"/>
      <c r="J433" s="1320"/>
      <c r="K433" s="1320"/>
      <c r="L433" s="1320"/>
      <c r="M433" s="1320"/>
      <c r="N433" s="1320"/>
    </row>
    <row r="434" spans="1:19" s="10" customFormat="1" ht="15" hidden="1" customHeight="1" x14ac:dyDescent="0.2">
      <c r="A434" s="1321" t="s">
        <v>16</v>
      </c>
      <c r="B434" s="1321"/>
      <c r="C434" s="1321" t="s">
        <v>14</v>
      </c>
      <c r="D434" s="1320" t="str">
        <f>IF('päd.Personal - Leitung'!$D$2="","",'päd.Personal - Leitung'!$D$2)</f>
        <v/>
      </c>
      <c r="E434" s="1320"/>
      <c r="F434" s="1320"/>
      <c r="G434" s="1320"/>
      <c r="H434" s="1320"/>
      <c r="I434" s="1320"/>
      <c r="J434" s="1320"/>
      <c r="K434" s="1320"/>
      <c r="L434" s="1320"/>
      <c r="M434" s="1320"/>
      <c r="N434" s="1320"/>
    </row>
    <row r="435" spans="1:19" s="10" customFormat="1" ht="15" hidden="1" customHeight="1" x14ac:dyDescent="0.2">
      <c r="A435" s="1321" t="s">
        <v>15</v>
      </c>
      <c r="B435" s="1321"/>
      <c r="C435" s="1321" t="s">
        <v>14</v>
      </c>
      <c r="D435" s="1320" t="str">
        <f>IF('päd.Personal - Leitung'!$D$3="","",'päd.Personal - Leitung'!$D$3)</f>
        <v/>
      </c>
      <c r="E435" s="1320"/>
      <c r="F435" s="1320"/>
      <c r="G435" s="1320"/>
      <c r="H435" s="1320"/>
      <c r="I435" s="1320"/>
      <c r="J435" s="1320"/>
      <c r="K435" s="1321" t="s">
        <v>100</v>
      </c>
      <c r="L435" s="1321"/>
      <c r="M435" s="1321"/>
      <c r="N435" s="38" t="str">
        <f>IF('päd.Personal - Leitung'!$N$3="","",'päd.Personal - Leitung'!$N$3)</f>
        <v/>
      </c>
    </row>
    <row r="436" spans="1:19" s="923" customFormat="1" ht="7.5" hidden="1" customHeight="1" x14ac:dyDescent="0.15">
      <c r="A436" s="1353"/>
      <c r="B436" s="1353"/>
      <c r="C436" s="1353"/>
      <c r="D436" s="1354"/>
      <c r="E436" s="1354"/>
      <c r="F436" s="1354"/>
      <c r="G436" s="1354"/>
      <c r="H436" s="1354"/>
      <c r="I436" s="1354"/>
      <c r="J436" s="1354"/>
      <c r="K436" s="922"/>
      <c r="L436" s="922"/>
      <c r="M436" s="922"/>
      <c r="N436" s="922"/>
      <c r="O436" s="922"/>
      <c r="P436" s="922"/>
    </row>
    <row r="437" spans="1:19" s="18" customFormat="1" hidden="1" x14ac:dyDescent="0.2">
      <c r="A437" s="1355" t="s">
        <v>197</v>
      </c>
      <c r="B437" s="1355"/>
      <c r="C437" s="1355"/>
      <c r="D437" s="1355"/>
      <c r="E437" s="1355"/>
      <c r="F437" s="1355"/>
      <c r="G437" s="1355"/>
      <c r="H437" s="1355"/>
      <c r="I437" s="1355"/>
      <c r="J437" s="1355"/>
      <c r="K437" s="1355"/>
      <c r="L437" s="1355"/>
      <c r="M437" s="1355"/>
      <c r="N437" s="52"/>
      <c r="O437" s="138">
        <f>'päd.Personal - Leitung'!$O$5</f>
        <v>2025</v>
      </c>
      <c r="P437" s="52" t="s">
        <v>140</v>
      </c>
    </row>
    <row r="438" spans="1:19" s="8" customFormat="1" ht="13.5" hidden="1" customHeight="1" x14ac:dyDescent="0.25">
      <c r="B438" s="29"/>
      <c r="C438" s="29"/>
      <c r="D438" s="3" t="s">
        <v>99</v>
      </c>
      <c r="E438" s="28"/>
      <c r="F438" s="28"/>
      <c r="G438" s="28"/>
      <c r="H438" s="28"/>
      <c r="I438" s="24"/>
      <c r="K438" s="1327" t="s">
        <v>13</v>
      </c>
      <c r="L438" s="1327"/>
      <c r="M438" s="131"/>
      <c r="O438" s="928" t="str">
        <f>A461</f>
        <v>Jan 2025</v>
      </c>
      <c r="P438" s="68">
        <f>IF(M440="","",M440)</f>
        <v>0</v>
      </c>
    </row>
    <row r="439" spans="1:19" s="5" customFormat="1" ht="13.5" hidden="1" customHeight="1" x14ac:dyDescent="0.25">
      <c r="A439" s="1328" t="s">
        <v>754</v>
      </c>
      <c r="B439" s="1328"/>
      <c r="C439" s="1328"/>
      <c r="D439" s="1329"/>
      <c r="E439" s="1329"/>
      <c r="F439" s="1329"/>
      <c r="G439" s="1329"/>
      <c r="H439" s="1329"/>
      <c r="I439" s="1329"/>
      <c r="K439" s="1327" t="s">
        <v>101</v>
      </c>
      <c r="L439" s="1327"/>
      <c r="M439" s="101"/>
      <c r="O439" s="928" t="str">
        <f t="shared" ref="O439:O449" si="71">A462</f>
        <v>Feb 2025</v>
      </c>
      <c r="P439" s="69">
        <f t="shared" ref="P439:P449" si="72">IF(P438="","",P438)</f>
        <v>0</v>
      </c>
    </row>
    <row r="440" spans="1:19" ht="13.5" hidden="1" customHeight="1" x14ac:dyDescent="0.2">
      <c r="A440" s="1328" t="s">
        <v>12</v>
      </c>
      <c r="B440" s="1328"/>
      <c r="C440" s="1328"/>
      <c r="D440" s="1345"/>
      <c r="E440" s="1345"/>
      <c r="F440" s="1345"/>
      <c r="G440" s="1345"/>
      <c r="H440" s="1345"/>
      <c r="I440" s="1345"/>
      <c r="K440" s="1327" t="s">
        <v>149</v>
      </c>
      <c r="L440" s="1327"/>
      <c r="M440" s="101">
        <f>IF((M441+M442)&gt;M439,0,M439-M441-M442)</f>
        <v>0</v>
      </c>
      <c r="O440" s="928" t="str">
        <f t="shared" si="71"/>
        <v>Mrz 2025</v>
      </c>
      <c r="P440" s="69">
        <f t="shared" si="72"/>
        <v>0</v>
      </c>
    </row>
    <row r="441" spans="1:19" ht="13.5" hidden="1" customHeight="1" x14ac:dyDescent="0.2">
      <c r="A441" s="1328" t="s">
        <v>11</v>
      </c>
      <c r="B441" s="1328"/>
      <c r="C441" s="1328"/>
      <c r="D441" s="1345"/>
      <c r="E441" s="1345"/>
      <c r="F441" s="1345"/>
      <c r="G441" s="1345"/>
      <c r="H441" s="1345"/>
      <c r="I441" s="1345"/>
      <c r="K441" s="1327" t="s">
        <v>150</v>
      </c>
      <c r="L441" s="1327"/>
      <c r="M441" s="101"/>
      <c r="O441" s="928" t="str">
        <f t="shared" si="71"/>
        <v>Apr 2025</v>
      </c>
      <c r="P441" s="69">
        <f t="shared" si="72"/>
        <v>0</v>
      </c>
    </row>
    <row r="442" spans="1:19" ht="13.5" hidden="1" customHeight="1" x14ac:dyDescent="0.2">
      <c r="A442" s="1328" t="s">
        <v>18</v>
      </c>
      <c r="B442" s="1328"/>
      <c r="C442" s="1328"/>
      <c r="D442" s="1345"/>
      <c r="E442" s="1345"/>
      <c r="F442" s="1345"/>
      <c r="G442" s="1345"/>
      <c r="H442" s="1345"/>
      <c r="I442" s="1345"/>
      <c r="K442" s="1327" t="s">
        <v>222</v>
      </c>
      <c r="L442" s="1327"/>
      <c r="M442" s="101"/>
      <c r="O442" s="928" t="str">
        <f t="shared" si="71"/>
        <v>Mai 2025</v>
      </c>
      <c r="P442" s="69">
        <f t="shared" si="72"/>
        <v>0</v>
      </c>
    </row>
    <row r="443" spans="1:19" ht="13.5" hidden="1" customHeight="1" x14ac:dyDescent="0.2">
      <c r="B443" s="6"/>
      <c r="C443" s="1012" t="s">
        <v>147</v>
      </c>
      <c r="D443" s="1324"/>
      <c r="E443" s="1324"/>
      <c r="F443" s="1359" t="s">
        <v>107</v>
      </c>
      <c r="G443" s="1359"/>
      <c r="H443" s="1361"/>
      <c r="I443" s="1361"/>
      <c r="K443" s="1327" t="s">
        <v>94</v>
      </c>
      <c r="L443" s="1327"/>
      <c r="M443" s="15" t="str">
        <f>IF(IF((COUNTIF(B461:B472,"&gt;0"))=0,0,(COUNTIF(B461:B472,"&gt;0")))&gt;Grundlagen!$C$26,Grundlagen!$C$26,IF((COUNTIF(B461:B472,"&gt;0"))=0,"",(COUNTIF(B461:B472,"&gt;0"))))</f>
        <v/>
      </c>
      <c r="O443" s="928" t="str">
        <f t="shared" si="71"/>
        <v>Jun 2025</v>
      </c>
      <c r="P443" s="69">
        <f t="shared" si="72"/>
        <v>0</v>
      </c>
    </row>
    <row r="444" spans="1:19" ht="13.5" hidden="1" customHeight="1" x14ac:dyDescent="0.2">
      <c r="F444" s="1359" t="s">
        <v>160</v>
      </c>
      <c r="G444" s="1359"/>
      <c r="H444" s="1361"/>
      <c r="I444" s="1361"/>
      <c r="M444" s="102" t="str">
        <f>IF((SUM(F446:F449))=0,"",IF(P450&gt;M440,M440,IF(M440="","",IF(M443="","",P450))))</f>
        <v/>
      </c>
      <c r="O444" s="928" t="str">
        <f t="shared" si="71"/>
        <v>Jul 2025</v>
      </c>
      <c r="P444" s="69">
        <f t="shared" si="72"/>
        <v>0</v>
      </c>
    </row>
    <row r="445" spans="1:19" s="46" customFormat="1" ht="13.5" hidden="1" customHeight="1" x14ac:dyDescent="0.2">
      <c r="A445" s="54" t="s">
        <v>134</v>
      </c>
      <c r="B445" s="1356" t="s">
        <v>135</v>
      </c>
      <c r="C445" s="1356"/>
      <c r="D445" s="55" t="s">
        <v>136</v>
      </c>
      <c r="E445" s="56" t="s">
        <v>137</v>
      </c>
      <c r="F445" s="57" t="str">
        <f>CONCATENATE("Entg. ",N435," h/Wo")</f>
        <v>Entg.  h/Wo</v>
      </c>
      <c r="G445" s="58" t="s">
        <v>138</v>
      </c>
      <c r="I445" s="58" t="s">
        <v>139</v>
      </c>
      <c r="K445" s="970"/>
      <c r="L445" s="970"/>
      <c r="M445" s="59"/>
      <c r="N445" s="968" t="str">
        <f>IF(A447="","",A447)</f>
        <v/>
      </c>
      <c r="O445" s="928" t="str">
        <f t="shared" si="71"/>
        <v>Aug 2025</v>
      </c>
      <c r="P445" s="69">
        <f t="shared" si="72"/>
        <v>0</v>
      </c>
      <c r="Q445" s="1027"/>
      <c r="R445" s="1025"/>
      <c r="S445" s="1025"/>
    </row>
    <row r="446" spans="1:19" s="46" customFormat="1" ht="13.5" hidden="1" customHeight="1" x14ac:dyDescent="0.25">
      <c r="A446" s="48" t="str">
        <f>A461</f>
        <v>Jan 2025</v>
      </c>
      <c r="B446" s="1357" t="str">
        <f>IF($D$3="","",$D$3)</f>
        <v/>
      </c>
      <c r="C446" s="1358"/>
      <c r="D446" s="132"/>
      <c r="E446" s="132"/>
      <c r="F446" s="71"/>
      <c r="G446" s="50">
        <f>IF(N435="",0,F446/N435/4.348)</f>
        <v>0</v>
      </c>
      <c r="I446" s="51">
        <f>SUM(J446:M446)</f>
        <v>0</v>
      </c>
      <c r="J446" s="70"/>
      <c r="K446" s="70"/>
      <c r="L446" s="70"/>
      <c r="M446" s="70"/>
      <c r="N446" s="983"/>
      <c r="O446" s="928" t="str">
        <f t="shared" si="71"/>
        <v>Sep 2025</v>
      </c>
      <c r="P446" s="69">
        <f t="shared" si="72"/>
        <v>0</v>
      </c>
      <c r="Q446" s="1026"/>
      <c r="R446" s="829"/>
      <c r="S446" s="1028"/>
    </row>
    <row r="447" spans="1:19" s="46" customFormat="1" ht="13.5" hidden="1" customHeight="1" x14ac:dyDescent="0.25">
      <c r="A447" s="49"/>
      <c r="B447" s="1322" t="str">
        <f>IF(A447="","",B446)</f>
        <v/>
      </c>
      <c r="C447" s="1323"/>
      <c r="D447" s="132"/>
      <c r="E447" s="132"/>
      <c r="F447" s="71"/>
      <c r="G447" s="50">
        <f>IF(N435="",0,F447/N435/4.348)</f>
        <v>0</v>
      </c>
      <c r="I447" s="51">
        <f t="shared" ref="I447:I449" si="73">SUM(J447:M447)</f>
        <v>0</v>
      </c>
      <c r="J447" s="70"/>
      <c r="K447" s="70"/>
      <c r="L447" s="70"/>
      <c r="M447" s="70"/>
      <c r="N447" s="983"/>
      <c r="O447" s="928" t="str">
        <f t="shared" si="71"/>
        <v>Okt 2025</v>
      </c>
      <c r="P447" s="69">
        <f t="shared" si="72"/>
        <v>0</v>
      </c>
      <c r="Q447" s="1026"/>
      <c r="R447" s="829"/>
      <c r="S447" s="1028"/>
    </row>
    <row r="448" spans="1:19" s="46" customFormat="1" ht="13.5" hidden="1" customHeight="1" x14ac:dyDescent="0.25">
      <c r="A448" s="49"/>
      <c r="B448" s="1322" t="str">
        <f>IF(A448="","",B447)</f>
        <v/>
      </c>
      <c r="C448" s="1323"/>
      <c r="D448" s="132"/>
      <c r="E448" s="132"/>
      <c r="F448" s="71"/>
      <c r="G448" s="50">
        <f>IF(N435="",0,F448/N435/4.348)</f>
        <v>0</v>
      </c>
      <c r="I448" s="51">
        <f t="shared" si="73"/>
        <v>0</v>
      </c>
      <c r="J448" s="70"/>
      <c r="K448" s="70"/>
      <c r="L448" s="70"/>
      <c r="M448" s="70"/>
      <c r="N448" s="983"/>
      <c r="O448" s="928" t="str">
        <f t="shared" si="71"/>
        <v>Nov 2025</v>
      </c>
      <c r="P448" s="69">
        <f t="shared" si="72"/>
        <v>0</v>
      </c>
      <c r="Q448" s="828"/>
      <c r="R448" s="829"/>
      <c r="S448" s="829"/>
    </row>
    <row r="449" spans="1:20" s="46" customFormat="1" ht="13.5" hidden="1" customHeight="1" x14ac:dyDescent="0.25">
      <c r="A449" s="49"/>
      <c r="B449" s="1322" t="str">
        <f>IF(A449="","",B448)</f>
        <v/>
      </c>
      <c r="C449" s="1323"/>
      <c r="D449" s="132"/>
      <c r="E449" s="132"/>
      <c r="F449" s="71"/>
      <c r="G449" s="50">
        <f>IF(N435="",0,F449/N435/4.348)</f>
        <v>0</v>
      </c>
      <c r="I449" s="51">
        <f t="shared" si="73"/>
        <v>0</v>
      </c>
      <c r="J449" s="70"/>
      <c r="K449" s="70"/>
      <c r="L449" s="70"/>
      <c r="M449" s="70"/>
      <c r="N449" s="983"/>
      <c r="O449" s="928" t="str">
        <f t="shared" si="71"/>
        <v>Dez 2025</v>
      </c>
      <c r="P449" s="69">
        <f t="shared" si="72"/>
        <v>0</v>
      </c>
      <c r="Q449" s="276"/>
      <c r="R449" s="827"/>
      <c r="S449" s="827"/>
    </row>
    <row r="450" spans="1:20" s="46" customFormat="1" ht="13.5" hidden="1" customHeight="1" x14ac:dyDescent="0.25">
      <c r="B450" s="972"/>
      <c r="C450" s="972"/>
      <c r="E450" s="972"/>
      <c r="F450" s="972"/>
      <c r="I450" s="930" t="s">
        <v>730</v>
      </c>
      <c r="J450" s="982"/>
      <c r="K450" s="982"/>
      <c r="L450" s="982"/>
      <c r="M450" s="982"/>
      <c r="N450" s="994"/>
      <c r="O450" s="126" t="s">
        <v>221</v>
      </c>
      <c r="P450" s="127">
        <f>IF(M443="",0,((IF(SUMIF(B461,"&gt;0"),P438,0))+(IF(SUMIF(B462,"&gt;0"),P439,0))+(IF(SUMIF(B463,"&gt;0"),P440,0))+(IF(SUMIF(B464,"&gt;0"),P441,0))+(IF(SUMIF(B465,"&gt;0"),P442,0))+(IF(SUMIF(B466,"&gt;0"),P443,0))+(IF(SUMIF(B467,"&gt;0"),P444,0))+(IF(SUMIF(B468,"&gt;0"),P445,0))+(IF(SUMIF(B469,"&gt;0"),P446,0))+(IF(SUMIF(B470,"&gt;0"),P447,0))+(IF(SUMIF(B471,"&gt;0"),P448,0))+(IF(SUMIF(B472,"&gt;0"),P449,0)))/Grundlagen!$C$26)</f>
        <v>0</v>
      </c>
      <c r="Q450" s="1009" t="str">
        <f>CONCATENATE("BBG"," anteilig ",O452)</f>
        <v>BBG anteilig 2025</v>
      </c>
      <c r="R450" s="931" t="s">
        <v>659</v>
      </c>
      <c r="S450" s="931" t="s">
        <v>398</v>
      </c>
      <c r="T450" s="107"/>
    </row>
    <row r="451" spans="1:20" s="46" customFormat="1" ht="13.5" hidden="1" customHeight="1" x14ac:dyDescent="0.2">
      <c r="A451" s="924" t="s">
        <v>732</v>
      </c>
      <c r="D451" s="55" t="s">
        <v>369</v>
      </c>
      <c r="E451" s="56" t="s">
        <v>368</v>
      </c>
      <c r="F451" s="58"/>
      <c r="J451" s="61"/>
      <c r="Q451" s="932" t="s">
        <v>144</v>
      </c>
      <c r="R451" s="140">
        <f>IF(M440=0,R455,IF(M439="",R455,(SUM(R461:R472)/M443)))</f>
        <v>5175</v>
      </c>
      <c r="S451" s="933">
        <f>IF(M440=0,S455,IF(M439="",S455,SUM(R461:R472)))</f>
        <v>0</v>
      </c>
      <c r="T451" s="107"/>
    </row>
    <row r="452" spans="1:20" s="46" customFormat="1" ht="13.5" hidden="1" customHeight="1" x14ac:dyDescent="0.25">
      <c r="A452" s="60"/>
      <c r="B452" s="1314" t="str">
        <f>IF($B$20="","",$B$20)</f>
        <v>Jahressonderzahlung (JSZ)</v>
      </c>
      <c r="C452" s="1315"/>
      <c r="D452" s="926"/>
      <c r="E452" s="929" t="str">
        <f>IF(A452="","",ROUND((((SUM(B467:B469)+SUM(F467:F469))/3)*D452)/Grundlagen!$C$26*M443,2))</f>
        <v/>
      </c>
      <c r="N452" s="917" t="s">
        <v>736</v>
      </c>
      <c r="O452" s="918">
        <f>P452+1</f>
        <v>2025</v>
      </c>
      <c r="P452" s="918" t="s">
        <v>721</v>
      </c>
      <c r="Q452" s="932" t="s">
        <v>145</v>
      </c>
      <c r="R452" s="140">
        <f>IF(M440=0,R456,IF(M439="",R456,(SUM(S461:S472)/M443)))</f>
        <v>7450</v>
      </c>
      <c r="S452" s="933">
        <f>IF(M440=0,S456,IF(M439="",S456,SUM(S461:S472)))</f>
        <v>0</v>
      </c>
      <c r="T452" s="109"/>
    </row>
    <row r="453" spans="1:20" s="18" customFormat="1" ht="14.25" hidden="1" customHeight="1" x14ac:dyDescent="0.2">
      <c r="A453" s="60"/>
      <c r="B453" s="1314" t="str">
        <f>IF($B$21="","",$B$21)</f>
        <v>Leistungsentgelt (LOB)</v>
      </c>
      <c r="C453" s="1315"/>
      <c r="D453" s="926"/>
      <c r="E453" s="929" t="str">
        <f>IF(A453="","",ROUND(((B473+F473)*D453)/Grundlagen!$C$26*M443,2))</f>
        <v/>
      </c>
      <c r="F453" s="1"/>
      <c r="N453" s="139" t="s">
        <v>144</v>
      </c>
      <c r="O453" s="141">
        <f>'päd.Personal - Leitung'!$O$21</f>
        <v>5175</v>
      </c>
      <c r="P453" s="141">
        <f>'päd.Personal - Leitung'!$P$21</f>
        <v>5175</v>
      </c>
      <c r="Q453" s="11"/>
      <c r="R453" s="11"/>
      <c r="S453" s="11"/>
      <c r="T453" s="109"/>
    </row>
    <row r="454" spans="1:20" s="18" customFormat="1" ht="14.25" hidden="1" customHeight="1" x14ac:dyDescent="0.2">
      <c r="A454" s="1"/>
      <c r="B454" s="1"/>
      <c r="C454" s="925" t="s">
        <v>731</v>
      </c>
      <c r="D454" s="1"/>
      <c r="E454" s="1"/>
      <c r="F454" s="1"/>
      <c r="N454" s="139" t="s">
        <v>145</v>
      </c>
      <c r="O454" s="899">
        <f>'päd.Personal - Leitung'!$O$22</f>
        <v>7450</v>
      </c>
      <c r="P454" s="899">
        <f>'päd.Personal - Leitung'!$P$22</f>
        <v>7450</v>
      </c>
      <c r="Q454" s="1009" t="str">
        <f>CONCATENATE("BBG"," ",O452)</f>
        <v>BBG 2025</v>
      </c>
      <c r="R454" s="11"/>
      <c r="S454" s="11"/>
      <c r="T454" s="109"/>
    </row>
    <row r="455" spans="1:20" s="18" customFormat="1" ht="14.25" hidden="1" customHeight="1" x14ac:dyDescent="0.2">
      <c r="A455" s="53" t="s">
        <v>141</v>
      </c>
      <c r="Q455" s="932" t="s">
        <v>144</v>
      </c>
      <c r="R455" s="141">
        <f>IF($O$21="",0,$O$21)</f>
        <v>5175</v>
      </c>
      <c r="S455" s="933">
        <f>R455*IF(M443="",0,M443)</f>
        <v>0</v>
      </c>
      <c r="T455" s="295"/>
    </row>
    <row r="456" spans="1:20" s="18" customFormat="1" ht="14.25" hidden="1" customHeight="1" x14ac:dyDescent="0.2">
      <c r="A456" s="1346"/>
      <c r="B456" s="1348" t="s">
        <v>8</v>
      </c>
      <c r="C456" s="1349"/>
      <c r="D456" s="1349"/>
      <c r="E456" s="1349"/>
      <c r="F456" s="1349"/>
      <c r="G456" s="1350"/>
      <c r="H456" s="1351" t="s">
        <v>113</v>
      </c>
      <c r="I456" s="1352"/>
      <c r="J456" s="1352"/>
      <c r="K456" s="1352"/>
      <c r="L456" s="1352"/>
      <c r="M456" s="1352"/>
      <c r="N456" s="1368" t="s">
        <v>658</v>
      </c>
      <c r="O456" s="30"/>
      <c r="P456" s="1330" t="s">
        <v>0</v>
      </c>
      <c r="Q456" s="932" t="s">
        <v>145</v>
      </c>
      <c r="R456" s="141">
        <f>IF($O$22="",0,$O$22)</f>
        <v>7450</v>
      </c>
      <c r="S456" s="933">
        <f>R456*IF(M443="",0,M443)</f>
        <v>0</v>
      </c>
      <c r="T456" s="830"/>
    </row>
    <row r="457" spans="1:20" s="18" customFormat="1" ht="14.25" hidden="1" customHeight="1" x14ac:dyDescent="0.2">
      <c r="A457" s="1347"/>
      <c r="B457" s="1333" t="s">
        <v>111</v>
      </c>
      <c r="C457" s="1335" t="s">
        <v>743</v>
      </c>
      <c r="D457" s="1337" t="s">
        <v>226</v>
      </c>
      <c r="E457" s="1339" t="s">
        <v>133</v>
      </c>
      <c r="F457" s="1014" t="s">
        <v>6</v>
      </c>
      <c r="G457" s="1340" t="s">
        <v>5</v>
      </c>
      <c r="H457" s="1339" t="s">
        <v>119</v>
      </c>
      <c r="I457" s="1339" t="s">
        <v>657</v>
      </c>
      <c r="J457" s="1339" t="s">
        <v>4</v>
      </c>
      <c r="K457" s="1339" t="s">
        <v>3</v>
      </c>
      <c r="L457" s="1339" t="s">
        <v>2</v>
      </c>
      <c r="M457" s="1339" t="s">
        <v>95</v>
      </c>
      <c r="N457" s="1369"/>
      <c r="O457" s="1338" t="s">
        <v>109</v>
      </c>
      <c r="P457" s="1331"/>
      <c r="Q457" s="456"/>
      <c r="R457" s="11"/>
      <c r="S457" s="11"/>
      <c r="T457" s="621"/>
    </row>
    <row r="458" spans="1:20" s="18" customFormat="1" ht="14.25" hidden="1" customHeight="1" x14ac:dyDescent="0.2">
      <c r="A458" s="1347"/>
      <c r="B458" s="1333"/>
      <c r="C458" s="1335"/>
      <c r="D458" s="1338"/>
      <c r="E458" s="1339"/>
      <c r="F458" s="1343" t="str">
        <f>I450</f>
        <v>Zuschläge / Zulagen / o.ä.:</v>
      </c>
      <c r="G458" s="1340"/>
      <c r="H458" s="1342" t="s">
        <v>117</v>
      </c>
      <c r="I458" s="1339"/>
      <c r="J458" s="1342"/>
      <c r="K458" s="1342"/>
      <c r="L458" s="1342"/>
      <c r="M458" s="1339"/>
      <c r="N458" s="1369"/>
      <c r="O458" s="1338"/>
      <c r="P458" s="1331"/>
      <c r="Q458" s="456"/>
      <c r="R458" s="1306" t="str">
        <f>Q450</f>
        <v>BBG anteilig 2025</v>
      </c>
      <c r="S458" s="1306"/>
      <c r="T458" s="829"/>
    </row>
    <row r="459" spans="1:20" s="18" customFormat="1" ht="14.25" hidden="1" customHeight="1" x14ac:dyDescent="0.2">
      <c r="A459" s="1347"/>
      <c r="B459" s="1333"/>
      <c r="C459" s="1335"/>
      <c r="D459" s="1338"/>
      <c r="E459" s="1339"/>
      <c r="F459" s="1343"/>
      <c r="G459" s="1340"/>
      <c r="H459" s="39" t="str">
        <f>'päd.Personal - Leitung'!$H$27</f>
        <v>(7,30% + Zusatz)</v>
      </c>
      <c r="I459" s="39" t="str">
        <f>$I$411</f>
        <v xml:space="preserve"> (2024: 18,60%)</v>
      </c>
      <c r="J459" s="39" t="str">
        <f>'päd.Personal - Leitung'!$I$27</f>
        <v xml:space="preserve"> (2024: 9,30%)</v>
      </c>
      <c r="K459" s="39" t="str">
        <f>'päd.Personal - Leitung'!$J$27</f>
        <v>(2024: 1,30%)</v>
      </c>
      <c r="L459" s="39" t="str">
        <f>'päd.Personal - Leitung'!$K$27</f>
        <v>(2024: 1,700%)</v>
      </c>
      <c r="M459" s="1339"/>
      <c r="N459" s="39" t="str">
        <f>$N$411</f>
        <v xml:space="preserve"> (2024: 20%)</v>
      </c>
      <c r="O459" s="1338"/>
      <c r="P459" s="1331"/>
      <c r="Q459" s="456"/>
      <c r="R459" s="1307" t="s">
        <v>659</v>
      </c>
      <c r="S459" s="1307"/>
      <c r="T459" s="829"/>
    </row>
    <row r="460" spans="1:20" s="18" customFormat="1" ht="14.25" hidden="1" customHeight="1" x14ac:dyDescent="0.2">
      <c r="A460" s="1347"/>
      <c r="B460" s="1334"/>
      <c r="C460" s="1336"/>
      <c r="D460" s="45"/>
      <c r="E460" s="45"/>
      <c r="F460" s="1344"/>
      <c r="G460" s="1341"/>
      <c r="H460" s="74"/>
      <c r="I460" s="19"/>
      <c r="J460" s="99">
        <f>'päd.Personal - Leitung'!$I$28</f>
        <v>0</v>
      </c>
      <c r="K460" s="99">
        <f>'päd.Personal - Leitung'!$J$28</f>
        <v>0</v>
      </c>
      <c r="L460" s="40">
        <f>'päd.Personal - Leitung'!$K$28</f>
        <v>0</v>
      </c>
      <c r="M460" s="19"/>
      <c r="N460" s="19"/>
      <c r="O460" s="19"/>
      <c r="P460" s="1332"/>
      <c r="Q460" s="456"/>
      <c r="R460" s="935" t="s">
        <v>144</v>
      </c>
      <c r="S460" s="935" t="s">
        <v>145</v>
      </c>
      <c r="T460" s="829"/>
    </row>
    <row r="461" spans="1:20" s="18" customFormat="1" hidden="1" x14ac:dyDescent="0.2">
      <c r="A461" s="76" t="str">
        <f>'päd.Personal - Leitung'!$A$29</f>
        <v>Jan 2025</v>
      </c>
      <c r="B461" s="22">
        <f>ROUND(IF(P438=0,0,(LOOKUP(2,1/(A446:A449=A461),G446:G449))*P438*4.348)*50%,2)</f>
        <v>0</v>
      </c>
      <c r="C461" s="21">
        <f>ROUND(IFERROR((LOOKUP(2,1/(A452=A461),E452)),0)+IFERROR((LOOKUP(2,1/(A453=A461),E453)),0),2)</f>
        <v>0</v>
      </c>
      <c r="D461" s="21">
        <f>ROUND(IF(B461=0,0,D460/M439*P438*50%),2)</f>
        <v>0</v>
      </c>
      <c r="E461" s="21">
        <f>ROUND(IF(B461=0,0,E460/N435*P438*50%),2)</f>
        <v>0</v>
      </c>
      <c r="F461" s="22">
        <f>ROUND(IF(P438=0,0,(LOOKUP(2,1/(A446:A449=A461),I446:I449))/N435*P438)*50%,2)</f>
        <v>0</v>
      </c>
      <c r="G461" s="25">
        <f>SUM(B461+C461+E461+F461)</f>
        <v>0</v>
      </c>
      <c r="H461" s="831">
        <f>ROUND(SUM(B461:F461)*H460,2)</f>
        <v>0</v>
      </c>
      <c r="I461" s="64">
        <f>ROUND(IF((SUM(B461:F461)*80%)&gt;((S461)*90%),((((S461)*90%)-((SUM(B461:F461)-C461))*I460)+((SUM(B461:F461)-C461)*I460)*80%),((SUM(B461:F461)-C461)*I460)*80%),2)</f>
        <v>0</v>
      </c>
      <c r="J461" s="831">
        <f>ROUND(SUM(B461:F461)*J460,2)</f>
        <v>0</v>
      </c>
      <c r="K461" s="831">
        <f>ROUND(SUM(B461:F461)*K460,2)</f>
        <v>0</v>
      </c>
      <c r="L461" s="831">
        <f>ROUND(SUM(B461:F461)*L460,2)</f>
        <v>0</v>
      </c>
      <c r="M461" s="831">
        <f>ROUND((SUM(B461:F461)-C461)*M460,2)</f>
        <v>0</v>
      </c>
      <c r="N461" s="21">
        <f>ROUND((B461+E461+F461)*N460,2)</f>
        <v>0</v>
      </c>
      <c r="O461" s="21">
        <f>ROUND(SUM(B461+C461+F461)*O460,2)</f>
        <v>0</v>
      </c>
      <c r="P461" s="25">
        <f>SUM(G461:O461)</f>
        <v>0</v>
      </c>
      <c r="Q461" s="456"/>
      <c r="R461" s="140">
        <f>ROUND(IF(M439="",R455,R455/M439*P438),2)</f>
        <v>5175</v>
      </c>
      <c r="S461" s="140">
        <f>ROUND(IF(M439="",R456,R456/M439*P438),2)</f>
        <v>7450</v>
      </c>
      <c r="T461" s="1"/>
    </row>
    <row r="462" spans="1:20" s="18" customFormat="1" hidden="1" x14ac:dyDescent="0.2">
      <c r="A462" s="76" t="str">
        <f>'päd.Personal - Leitung'!$A$30</f>
        <v>Feb 2025</v>
      </c>
      <c r="B462" s="22">
        <f>ROUND(IF(P439=0,0,IFERROR((((LOOKUP(2,1/(A446:A449=A462),G446:G449))*P439*4.348)*50%),B461/P438*P439)),2)</f>
        <v>0</v>
      </c>
      <c r="C462" s="21">
        <f>ROUND(IFERROR((LOOKUP(2,1/(A452=A462),E452)),0)+IFERROR((LOOKUP(2,1/(A453=A462),E453)),0),2)</f>
        <v>0</v>
      </c>
      <c r="D462" s="21">
        <f>ROUND(IF(B462=0,0,D460/M439*P439*50%),2)</f>
        <v>0</v>
      </c>
      <c r="E462" s="21">
        <f>ROUND(IF(B462=0,0,E460/N435*P439*50%),2)</f>
        <v>0</v>
      </c>
      <c r="F462" s="22">
        <f>ROUND(IF(P439=0,0,IFERROR((((LOOKUP(2,1/(A446:A449=A462),I446:I449))/N435*P439)*50%),F461/P438*P439)),2)</f>
        <v>0</v>
      </c>
      <c r="G462" s="25">
        <f t="shared" ref="G462:G472" si="74">SUM(B462+C462+E462+F462)</f>
        <v>0</v>
      </c>
      <c r="H462" s="831">
        <f>ROUND(SUM(B462:F462)*H460,2)</f>
        <v>0</v>
      </c>
      <c r="I462" s="64">
        <f>ROUND(IF((SUM(B462:F462)*80%)&gt;((SUM(S458:S462))*90%),((((SUM(S458:S462))*90%)-((SUM(B462:F462)-C462))*I460)+((SUM(B462:F462)-C462)*I460)*80%),((SUM(B462:F462)-C462)*I460)*80%),2)</f>
        <v>0</v>
      </c>
      <c r="J462" s="831">
        <f>ROUND(SUM(B462:F462)*J460,2)</f>
        <v>0</v>
      </c>
      <c r="K462" s="831">
        <f>ROUND(SUM(B462:F462)*K460,2)</f>
        <v>0</v>
      </c>
      <c r="L462" s="831">
        <f>ROUND(SUM(B462:F462)*L460,2)</f>
        <v>0</v>
      </c>
      <c r="M462" s="831">
        <f>ROUND((SUM(B462:F462)-C462)*M460,2)</f>
        <v>0</v>
      </c>
      <c r="N462" s="21">
        <f>ROUND((B462+E462+F462)*N460,2)</f>
        <v>0</v>
      </c>
      <c r="O462" s="21">
        <f>ROUND(SUM(B462+C462+F462)*O460,2)</f>
        <v>0</v>
      </c>
      <c r="P462" s="25">
        <f t="shared" ref="P462" si="75">SUM(G462:O462)</f>
        <v>0</v>
      </c>
      <c r="Q462" s="456"/>
      <c r="R462" s="140">
        <f>ROUND(IF(M439="",R455,R455/M439*P439),2)</f>
        <v>5175</v>
      </c>
      <c r="S462" s="140">
        <f>ROUND(IF(M439="",R456,R456/M439*P439),2)</f>
        <v>7450</v>
      </c>
      <c r="T462" s="1"/>
    </row>
    <row r="463" spans="1:20" s="18" customFormat="1" hidden="1" x14ac:dyDescent="0.2">
      <c r="A463" s="76" t="str">
        <f>'päd.Personal - Leitung'!$A$31</f>
        <v>Mrz 2025</v>
      </c>
      <c r="B463" s="22">
        <f>ROUND(IF(P440=0,0,IFERROR((((LOOKUP(2,1/(A446:A449=A463),G446:G449))*P440*4.348)*50%),B462/P439*P440)),2)</f>
        <v>0</v>
      </c>
      <c r="C463" s="21">
        <f>ROUND(IFERROR((LOOKUP(2,1/(A452=A463),E452)),0)+IFERROR((LOOKUP(2,1/(A453=A463),E453)),0),2)</f>
        <v>0</v>
      </c>
      <c r="D463" s="21">
        <f>ROUND(IF(B463=0,0,D460/M439*P440*50%),2)</f>
        <v>0</v>
      </c>
      <c r="E463" s="21">
        <f>ROUND(IF(B463=0,0,E460/N435*P440*50%),2)</f>
        <v>0</v>
      </c>
      <c r="F463" s="22">
        <f>ROUND(IF(P440=0,0,IFERROR((((LOOKUP(2,1/(A446:A449=A463),I446:I449))/N435*P440)*50%),F462/P439*P440)),2)</f>
        <v>0</v>
      </c>
      <c r="G463" s="25">
        <f t="shared" si="74"/>
        <v>0</v>
      </c>
      <c r="H463" s="831">
        <f>ROUND(SUM(B463:F463)*H460,2)</f>
        <v>0</v>
      </c>
      <c r="I463" s="64">
        <f>ROUND(IF((SUM(B462:F463)*80%)&gt;((SUM(S458:S463))*90%),((((SUM(S458:S463))*90%)-((SUM(B462:F463)-C463))*I460)+((SUM(B463:F463)-C463)*I460)*80%),((SUM(B463:F463)-C463)*I460)*80%),2)</f>
        <v>0</v>
      </c>
      <c r="J463" s="831">
        <f>ROUND(SUM(B463:F463)*J460,2)</f>
        <v>0</v>
      </c>
      <c r="K463" s="831">
        <f>ROUND(SUM(B463:F463)*K460,2)</f>
        <v>0</v>
      </c>
      <c r="L463" s="831">
        <f>ROUND(SUM(B463:F463)*L460,2)</f>
        <v>0</v>
      </c>
      <c r="M463" s="831">
        <f>ROUND((SUM(B463:F463)-C463)*M460,2)</f>
        <v>0</v>
      </c>
      <c r="N463" s="21">
        <f>ROUND((B463+E463+F463)*N460,2)</f>
        <v>0</v>
      </c>
      <c r="O463" s="21">
        <f>ROUND(SUM(B463+C463+F463)*O460,2)</f>
        <v>0</v>
      </c>
      <c r="P463" s="25">
        <f t="shared" ref="P463:P472" si="76">SUM(G463:O463)</f>
        <v>0</v>
      </c>
      <c r="Q463" s="456"/>
      <c r="R463" s="140">
        <f>ROUND(IF(M439="",R455,R455/M439*P440),2)</f>
        <v>5175</v>
      </c>
      <c r="S463" s="140">
        <f>ROUND(IF(M439="",R456,R456/M439*P440),2)</f>
        <v>7450</v>
      </c>
      <c r="T463" s="1"/>
    </row>
    <row r="464" spans="1:20" s="18" customFormat="1" hidden="1" x14ac:dyDescent="0.2">
      <c r="A464" s="76" t="str">
        <f>'päd.Personal - Leitung'!$A$32</f>
        <v>Apr 2025</v>
      </c>
      <c r="B464" s="22">
        <f>ROUND(IF(P441=0,0,IFERROR((((LOOKUP(2,1/(A446:A449=A464),G446:G449))*P441*4.348)*50%),B463/P440*P441)),2)</f>
        <v>0</v>
      </c>
      <c r="C464" s="21">
        <f>ROUND(IFERROR((LOOKUP(2,1/(A452=A464),E452)),0)+IFERROR((LOOKUP(2,1/(A453=A464),E453)),0),2)</f>
        <v>0</v>
      </c>
      <c r="D464" s="21">
        <f>ROUND(IF(B464=0,0,D460/M439*P441*50%),2)</f>
        <v>0</v>
      </c>
      <c r="E464" s="21">
        <f>ROUND(IF(B464=0,0,E460/N435*P441*50%),2)</f>
        <v>0</v>
      </c>
      <c r="F464" s="22">
        <f>ROUND(IF(P441=0,0,IFERROR((((LOOKUP(2,1/(A446:A449=A464),I446:I449))/N435*P441)*50%),F463/P440*P441)),2)</f>
        <v>0</v>
      </c>
      <c r="G464" s="25">
        <f t="shared" si="74"/>
        <v>0</v>
      </c>
      <c r="H464" s="831">
        <f>ROUND(SUM(B464:F464)*H460,2)</f>
        <v>0</v>
      </c>
      <c r="I464" s="64">
        <f>ROUND(IF((SUM(B462:F464)*80%)&gt;((SUM(S458:S464))*90%),((((SUM(S458:S464))*90%)-((SUM(B462:F464)-C464))*I460)+((SUM(B464:F464)-C464)*I460)*80%),((SUM(B464:F464)-C464)*I460)*80%),2)</f>
        <v>0</v>
      </c>
      <c r="J464" s="831">
        <f>ROUND(SUM(B464:F464)*J460,2)</f>
        <v>0</v>
      </c>
      <c r="K464" s="831">
        <f>ROUND(SUM(B464:F464)*K460,2)</f>
        <v>0</v>
      </c>
      <c r="L464" s="831">
        <f>ROUND(SUM(B464:F464)*L460,2)</f>
        <v>0</v>
      </c>
      <c r="M464" s="831">
        <f>ROUND((SUM(B464:F464)-C464)*M460,2)</f>
        <v>0</v>
      </c>
      <c r="N464" s="21">
        <f>ROUND((B464+E464+F464)*N460,2)</f>
        <v>0</v>
      </c>
      <c r="O464" s="21">
        <f>ROUND(SUM(B464+C464+F464)*O460,2)</f>
        <v>0</v>
      </c>
      <c r="P464" s="25">
        <f t="shared" si="76"/>
        <v>0</v>
      </c>
      <c r="Q464" s="456"/>
      <c r="R464" s="140">
        <f>ROUND(IF(M439="",R455,R455/M439*P441),2)</f>
        <v>5175</v>
      </c>
      <c r="S464" s="140">
        <f>ROUND(IF(M439="",R456,R456/M439*P441),2)</f>
        <v>7450</v>
      </c>
      <c r="T464" s="1"/>
    </row>
    <row r="465" spans="1:20" s="18" customFormat="1" hidden="1" x14ac:dyDescent="0.2">
      <c r="A465" s="76" t="str">
        <f>'päd.Personal - Leitung'!$A$33</f>
        <v>Mai 2025</v>
      </c>
      <c r="B465" s="22">
        <f>ROUND(IF(P442=0,0,IFERROR((((LOOKUP(2,1/(A446:A449=A465),G446:G449))*P442*4.348)*50%),B464/P441*P442)),2)</f>
        <v>0</v>
      </c>
      <c r="C465" s="21">
        <f>ROUND(IFERROR((LOOKUP(2,1/(A452=A465),E452)),0)+IFERROR((LOOKUP(2,1/(A453=A465),E453)),0),2)</f>
        <v>0</v>
      </c>
      <c r="D465" s="21">
        <f>ROUND(IF(B465=0,0,D460/M439*P442*50%),2)</f>
        <v>0</v>
      </c>
      <c r="E465" s="21">
        <f>ROUND(IF(B465=0,0,E460/N435*P442*50%),2)</f>
        <v>0</v>
      </c>
      <c r="F465" s="22">
        <f>ROUND(IF(P442=0,0,IFERROR((((LOOKUP(2,1/(A446:A449=A465),I446:I449))/N435*P442)*50%),F464/P441*P442)),2)</f>
        <v>0</v>
      </c>
      <c r="G465" s="25">
        <f t="shared" si="74"/>
        <v>0</v>
      </c>
      <c r="H465" s="831">
        <f>ROUND(SUM(B465:F465)*H460,2)</f>
        <v>0</v>
      </c>
      <c r="I465" s="64">
        <f>ROUND(IF((SUM(B462:F465)*80%)&gt;((SUM(S458:S465))*90%),((((SUM(S458:S465))*90%)-((SUM(B462:F465)-C465))*I460)+((SUM(B465:F465)-C465)*I460)*80%),((SUM(B465:F465)-C465)*I460)*80%),2)</f>
        <v>0</v>
      </c>
      <c r="J465" s="831">
        <f>ROUND(SUM(B465:F465)*J460,2)</f>
        <v>0</v>
      </c>
      <c r="K465" s="831">
        <f>ROUND(SUM(B465:F465)*K460,2)</f>
        <v>0</v>
      </c>
      <c r="L465" s="831">
        <f>ROUND(SUM(B465:F465)*L460,2)</f>
        <v>0</v>
      </c>
      <c r="M465" s="831">
        <f>ROUND((SUM(B465:F465)-C465)*M460,2)</f>
        <v>0</v>
      </c>
      <c r="N465" s="21">
        <f>ROUND((B465+E465+F465)*N460,2)</f>
        <v>0</v>
      </c>
      <c r="O465" s="21">
        <f>ROUND(SUM(B465+C465+F465)*O460,2)</f>
        <v>0</v>
      </c>
      <c r="P465" s="25">
        <f t="shared" si="76"/>
        <v>0</v>
      </c>
      <c r="Q465" s="456"/>
      <c r="R465" s="140">
        <f>ROUND(IF(M439="",R455,R455/M439*P442),2)</f>
        <v>5175</v>
      </c>
      <c r="S465" s="140">
        <f>ROUND(IF(M439="",R456,R456/M439*P442),2)</f>
        <v>7450</v>
      </c>
      <c r="T465" s="1"/>
    </row>
    <row r="466" spans="1:20" s="18" customFormat="1" hidden="1" x14ac:dyDescent="0.2">
      <c r="A466" s="76" t="str">
        <f>'päd.Personal - Leitung'!$A$34</f>
        <v>Jun 2025</v>
      </c>
      <c r="B466" s="22">
        <f>ROUND(IF(P443=0,0,IFERROR((((LOOKUP(2,1/(A446:A449=A466),G446:G449))*P443*4.348)*50%),B465/P442*P443)),2)</f>
        <v>0</v>
      </c>
      <c r="C466" s="21">
        <f>ROUND(IFERROR((LOOKUP(2,1/(A452=A466),E452)),0)+IFERROR((LOOKUP(2,1/(A453=A466),E453)),0),2)</f>
        <v>0</v>
      </c>
      <c r="D466" s="21">
        <f>ROUND(IF(B466=0,0,D460/M439*P443*50%),2)</f>
        <v>0</v>
      </c>
      <c r="E466" s="21">
        <f>ROUND(IF(B466=0,0,E460/N435*P443*50%),2)</f>
        <v>0</v>
      </c>
      <c r="F466" s="22">
        <f>ROUND(IF(P443=0,0,IFERROR((((LOOKUP(2,1/(A446:A449=A466),I446:I449))/N435*P443)*50%),F465/P442*P443)),2)</f>
        <v>0</v>
      </c>
      <c r="G466" s="25">
        <f t="shared" si="74"/>
        <v>0</v>
      </c>
      <c r="H466" s="831">
        <f>ROUND(SUM(B466:F466)*H460,2)</f>
        <v>0</v>
      </c>
      <c r="I466" s="64">
        <f>ROUND(IF((SUM(B462:F466)*80%)&gt;((SUM(S458:S466))*90%),((((SUM(S458:S466))*90%)-((SUM(B462:F466)-C466))*I460)+((SUM(B466:F466)-C466)*I460)*80%),((SUM(B466:F466)-C466)*I460)*80%),2)</f>
        <v>0</v>
      </c>
      <c r="J466" s="831">
        <f>ROUND(SUM(B466:F466)*J460,2)</f>
        <v>0</v>
      </c>
      <c r="K466" s="831">
        <f>ROUND(SUM(B466:F466)*K460,2)</f>
        <v>0</v>
      </c>
      <c r="L466" s="831">
        <f>ROUND(SUM(B466:F466)*L460,2)</f>
        <v>0</v>
      </c>
      <c r="M466" s="831">
        <f>ROUND((SUM(B466:F466)-C466)*M460,2)</f>
        <v>0</v>
      </c>
      <c r="N466" s="21">
        <f>ROUND((B466+E466+F466)*N460,2)</f>
        <v>0</v>
      </c>
      <c r="O466" s="21">
        <f>ROUND(SUM(B466+C466+F466)*O460,2)</f>
        <v>0</v>
      </c>
      <c r="P466" s="25">
        <f t="shared" si="76"/>
        <v>0</v>
      </c>
      <c r="Q466" s="456"/>
      <c r="R466" s="140">
        <f>ROUND(IF(M439="",R455,R455/M439*P443),2)</f>
        <v>5175</v>
      </c>
      <c r="S466" s="140">
        <f>ROUND(IF(M439="",R456,R456/M439*P443),2)</f>
        <v>7450</v>
      </c>
      <c r="T466" s="1"/>
    </row>
    <row r="467" spans="1:20" s="18" customFormat="1" hidden="1" x14ac:dyDescent="0.2">
      <c r="A467" s="76" t="str">
        <f>'päd.Personal - Leitung'!$A$35</f>
        <v>Jul 2025</v>
      </c>
      <c r="B467" s="22">
        <f>ROUND(IF(P444=0,0,IFERROR((((LOOKUP(2,1/(A446:A449=A467),G446:G449))*P444*4.348)*50%),B466/P443*P444)),2)</f>
        <v>0</v>
      </c>
      <c r="C467" s="21">
        <f>ROUND(IFERROR((LOOKUP(2,1/(A452=A467),E452)),0)+IFERROR((LOOKUP(2,1/(A453=A467),E453)),0),2)</f>
        <v>0</v>
      </c>
      <c r="D467" s="21">
        <f>ROUND(IF(B467=0,0,D460/M439*P444*50%),2)</f>
        <v>0</v>
      </c>
      <c r="E467" s="21">
        <f>ROUND(IF(B467=0,0,E460/N435*P444*50%),2)</f>
        <v>0</v>
      </c>
      <c r="F467" s="22">
        <f>ROUND(IF(P444=0,0,IFERROR((((LOOKUP(2,1/(A446:A449=A467),I446:I449))/N435*P444)*50%),F466/P443*P444)),2)</f>
        <v>0</v>
      </c>
      <c r="G467" s="25">
        <f t="shared" si="74"/>
        <v>0</v>
      </c>
      <c r="H467" s="831">
        <f>ROUND(SUM(B467:F467)*H460,2)</f>
        <v>0</v>
      </c>
      <c r="I467" s="64">
        <f>ROUND(IF((SUM(B462:F467)*80%)&gt;((SUM(S458:S467))*90%),((((SUM(S458:S467))*90%)-((SUM(B462:F467)-C467))*I460)+((SUM(B467:F467)-C467)*I460)*80%),((SUM(B467:F467)-C467)*I460)*80%),2)</f>
        <v>0</v>
      </c>
      <c r="J467" s="831">
        <f>ROUND(SUM(B467:F467)*J460,2)</f>
        <v>0</v>
      </c>
      <c r="K467" s="831">
        <f>ROUND(SUM(B467:F467)*K460,2)</f>
        <v>0</v>
      </c>
      <c r="L467" s="831">
        <f>ROUND(SUM(B467:F467)*L460,2)</f>
        <v>0</v>
      </c>
      <c r="M467" s="831">
        <f>ROUND((SUM(B467:F467)-C467)*M460,2)</f>
        <v>0</v>
      </c>
      <c r="N467" s="21">
        <f>ROUND((B467+E467+F467)*N460,2)</f>
        <v>0</v>
      </c>
      <c r="O467" s="21">
        <f>ROUND(SUM(B467+C467+F467)*O460,2)</f>
        <v>0</v>
      </c>
      <c r="P467" s="25">
        <f t="shared" si="76"/>
        <v>0</v>
      </c>
      <c r="Q467" s="456"/>
      <c r="R467" s="140">
        <f>ROUND(IF(M439="",R455,R455/M439*P444),2)</f>
        <v>5175</v>
      </c>
      <c r="S467" s="140">
        <f>ROUND(IF(M439="",R456,R456/M439*P444),2)</f>
        <v>7450</v>
      </c>
      <c r="T467" s="1"/>
    </row>
    <row r="468" spans="1:20" s="18" customFormat="1" hidden="1" x14ac:dyDescent="0.2">
      <c r="A468" s="76" t="str">
        <f>'päd.Personal - Leitung'!$A$36</f>
        <v>Aug 2025</v>
      </c>
      <c r="B468" s="22">
        <f>ROUND(IF(P445=0,0,IFERROR((((LOOKUP(2,1/(A446:A449=A468),G446:G449))*P445*4.348)*50%),B467/P444*P445)),2)</f>
        <v>0</v>
      </c>
      <c r="C468" s="21">
        <f>ROUND(IFERROR((LOOKUP(2,1/(A452=A468),E452)),0)+IFERROR((LOOKUP(2,1/(A453=A468),E453)),0),2)</f>
        <v>0</v>
      </c>
      <c r="D468" s="21">
        <f>ROUND(IF(B468=0,0,D460/M439*P445*50%),2)</f>
        <v>0</v>
      </c>
      <c r="E468" s="21">
        <f>ROUND(IF(B468=0,0,E460/N435*P445*50%),2)</f>
        <v>0</v>
      </c>
      <c r="F468" s="22">
        <f>ROUND(IF(P445=0,0,IFERROR((((LOOKUP(2,1/(A446:A449=A468),I446:I449))/N435*P445)*50%),F467/P444*P445)),2)</f>
        <v>0</v>
      </c>
      <c r="G468" s="25">
        <f t="shared" si="74"/>
        <v>0</v>
      </c>
      <c r="H468" s="831">
        <f>ROUND(SUM(B468:F468)*H460,2)</f>
        <v>0</v>
      </c>
      <c r="I468" s="64">
        <f>ROUND(IF((SUM(B462:F468)*80%)&gt;((SUM(S458:S468))*90%),((((SUM(S458:S468))*90%)-((SUM(B462:F468)-C468))*I460)+((SUM(B468:F468)-C468)*I460)*80%),((SUM(B468:F468)-C468)*I460)*80%),2)</f>
        <v>0</v>
      </c>
      <c r="J468" s="831">
        <f>ROUND(SUM(B468:F468)*J460,2)</f>
        <v>0</v>
      </c>
      <c r="K468" s="831">
        <f>ROUND(SUM(B468:F468)*K460,2)</f>
        <v>0</v>
      </c>
      <c r="L468" s="831">
        <f>ROUND(SUM(B468:F468)*L460,2)</f>
        <v>0</v>
      </c>
      <c r="M468" s="831">
        <f>ROUND((SUM(B468:F468)-C468)*M460,2)</f>
        <v>0</v>
      </c>
      <c r="N468" s="21">
        <f>ROUND((B468+E468+F468)*N460,2)</f>
        <v>0</v>
      </c>
      <c r="O468" s="21">
        <f>ROUND(SUM(B468+C468+F468)*O460,2)</f>
        <v>0</v>
      </c>
      <c r="P468" s="25">
        <f t="shared" si="76"/>
        <v>0</v>
      </c>
      <c r="Q468" s="456"/>
      <c r="R468" s="140">
        <f>ROUND(IF(M439="",R455,R455/M439*P445),2)</f>
        <v>5175</v>
      </c>
      <c r="S468" s="140">
        <f>ROUND(IF(M439="",R456,R456/M439*P445),2)</f>
        <v>7450</v>
      </c>
      <c r="T468" s="1"/>
    </row>
    <row r="469" spans="1:20" s="18" customFormat="1" hidden="1" x14ac:dyDescent="0.2">
      <c r="A469" s="76" t="str">
        <f>'päd.Personal - Leitung'!$A$37</f>
        <v>Sep 2025</v>
      </c>
      <c r="B469" s="22">
        <f>ROUND(IF(P446=0,0,IFERROR((((LOOKUP(2,1/(A446:A449=A469),G446:G449))*P446*4.348)*50%),B468/P445*P446)),2)</f>
        <v>0</v>
      </c>
      <c r="C469" s="21">
        <f>ROUND(IFERROR((LOOKUP(2,1/(A452=A469),E452)),0)+IFERROR((LOOKUP(2,1/(A453=A469),E453)),0),2)</f>
        <v>0</v>
      </c>
      <c r="D469" s="21">
        <f>ROUND(IF(B469=0,0,D460/M439*P446*50%),2)</f>
        <v>0</v>
      </c>
      <c r="E469" s="21">
        <f>ROUND(IF(B469=0,0,E460/N435*P446*50%),2)</f>
        <v>0</v>
      </c>
      <c r="F469" s="22">
        <f>ROUND(IF(P446=0,0,IFERROR((((LOOKUP(2,1/(A446:A449=A469),I446:I449))/N435*P446)*50%),F468/P445*P446)),2)</f>
        <v>0</v>
      </c>
      <c r="G469" s="25">
        <f t="shared" si="74"/>
        <v>0</v>
      </c>
      <c r="H469" s="831">
        <f>ROUND(SUM(B469:F469)*H460,2)</f>
        <v>0</v>
      </c>
      <c r="I469" s="64">
        <f>ROUND(IF((SUM(B462:F469)*80%)&gt;((SUM(S458:S469))*90%),((((SUM(S458:S469))*90%)-((SUM(B462:F469)-C469))*I460)+((SUM(B469:F469)-C469)*I460)*80%),((SUM(B469:F469)-C469)*I460)*80%),2)</f>
        <v>0</v>
      </c>
      <c r="J469" s="831">
        <f>ROUND(SUM(B469:F469)*J460,2)</f>
        <v>0</v>
      </c>
      <c r="K469" s="831">
        <f>ROUND(SUM(B469:F469)*K460,2)</f>
        <v>0</v>
      </c>
      <c r="L469" s="831">
        <f>ROUND(SUM(B469:F469)*L460,2)</f>
        <v>0</v>
      </c>
      <c r="M469" s="831">
        <f>ROUND((SUM(B469:F469)-C469)*M460,2)</f>
        <v>0</v>
      </c>
      <c r="N469" s="21">
        <f>ROUND((B469+E469+F469)*N460,2)</f>
        <v>0</v>
      </c>
      <c r="O469" s="21">
        <f>ROUND(SUM(B469+C469+F469)*O460,2)</f>
        <v>0</v>
      </c>
      <c r="P469" s="25">
        <f t="shared" si="76"/>
        <v>0</v>
      </c>
      <c r="Q469" s="456"/>
      <c r="R469" s="140">
        <f>ROUND(IF(M439="",R455,R455/M439*P446),2)</f>
        <v>5175</v>
      </c>
      <c r="S469" s="140">
        <f>ROUND(IF(M439="",R456,R456/M439*P446),2)</f>
        <v>7450</v>
      </c>
      <c r="T469" s="1"/>
    </row>
    <row r="470" spans="1:20" s="18" customFormat="1" ht="15" hidden="1" x14ac:dyDescent="0.25">
      <c r="A470" s="76" t="str">
        <f>'päd.Personal - Leitung'!$A$38</f>
        <v>Okt 2025</v>
      </c>
      <c r="B470" s="22">
        <f>ROUND(IF(P447=0,0,IFERROR((((LOOKUP(2,1/(A446:A449=A470),G446:G449))*P447*4.348)*50%),B469/P446*P447)),2)</f>
        <v>0</v>
      </c>
      <c r="C470" s="21">
        <f>ROUND(IFERROR((LOOKUP(2,1/(A452=A470),E452)),0)+IFERROR((LOOKUP(2,1/(A453=A470),E453)),0),2)</f>
        <v>0</v>
      </c>
      <c r="D470" s="21">
        <f>ROUND(IF(B470=0,0,D460/M439*P447*50%),2)</f>
        <v>0</v>
      </c>
      <c r="E470" s="21">
        <f>ROUND(IF(B470=0,0,E460/N435*P447*50%),2)</f>
        <v>0</v>
      </c>
      <c r="F470" s="22">
        <f>ROUND(IF(P447=0,0,IFERROR((((LOOKUP(2,1/(A446:A449=A470),I446:I449))/N435*P447)*50%),F469/P446*P447)),2)</f>
        <v>0</v>
      </c>
      <c r="G470" s="25">
        <f t="shared" si="74"/>
        <v>0</v>
      </c>
      <c r="H470" s="831">
        <f>ROUND(SUM(B470:F470)*H460,2)</f>
        <v>0</v>
      </c>
      <c r="I470" s="64">
        <f>ROUND(IF((SUM(B462:F470)*80%)&gt;((SUM(S458:S470))*90%),((((SUM(S458:S470))*90%)-((SUM(B462:F470)-C470))*I460)+((SUM(B470:F470)-C470)*I460)*80%),((SUM(B470:F470)-C470)*I460)*80%),2)</f>
        <v>0</v>
      </c>
      <c r="J470" s="831">
        <f>ROUND(SUM(B470:F470)*J460,2)</f>
        <v>0</v>
      </c>
      <c r="K470" s="831">
        <f>ROUND(SUM(B470:F470)*K460,2)</f>
        <v>0</v>
      </c>
      <c r="L470" s="831">
        <f>ROUND(SUM(B470:F470)*L460,2)</f>
        <v>0</v>
      </c>
      <c r="M470" s="831">
        <f>ROUND((SUM(B470:F470)-C470)*M460,2)</f>
        <v>0</v>
      </c>
      <c r="N470" s="21">
        <f>ROUND((B470+E470+F470)*N460,2)</f>
        <v>0</v>
      </c>
      <c r="O470" s="21">
        <f>ROUND(SUM(B470+C470+F470)*O460,2)</f>
        <v>0</v>
      </c>
      <c r="P470" s="25">
        <f t="shared" si="76"/>
        <v>0</v>
      </c>
      <c r="Q470" s="936"/>
      <c r="R470" s="140">
        <f>ROUND(IF(M439="",R455,R455/M439*P447),2)</f>
        <v>5175</v>
      </c>
      <c r="S470" s="140">
        <f>ROUND(IF(M439="",R456,R456/M439*P447),2)</f>
        <v>7450</v>
      </c>
      <c r="T470" s="12"/>
    </row>
    <row r="471" spans="1:20" s="18" customFormat="1" hidden="1" x14ac:dyDescent="0.2">
      <c r="A471" s="76" t="str">
        <f>'päd.Personal - Leitung'!$A$39</f>
        <v>Nov 2025</v>
      </c>
      <c r="B471" s="22">
        <f>ROUND(IF(P448=0,0,IFERROR((((LOOKUP(2,1/(A446:A449=A471),G446:G449))*P448*4.348)*50%),B470/P447*P448)),2)</f>
        <v>0</v>
      </c>
      <c r="C471" s="21">
        <f>ROUND(IFERROR((LOOKUP(2,1/(A452=A471),E452)),0)+(IFERROR((LOOKUP(2,1/(A453=A471),E453)),0)),2)</f>
        <v>0</v>
      </c>
      <c r="D471" s="21">
        <f>ROUND(IF(B471=0,0,D460/M439*P448*50%),2)</f>
        <v>0</v>
      </c>
      <c r="E471" s="21">
        <f>ROUND(IF(B471=0,0,E460/N435*P448*50%),2)</f>
        <v>0</v>
      </c>
      <c r="F471" s="22">
        <f>ROUND(IF(P448=0,0,IFERROR((((LOOKUP(2,1/(A446:A449=A471),I446:I449))/N435*P448)*50%),F470/P447*P448)),2)</f>
        <v>0</v>
      </c>
      <c r="G471" s="25">
        <f t="shared" si="74"/>
        <v>0</v>
      </c>
      <c r="H471" s="831">
        <f>ROUND(SUM(B471:F471)*H460,2)</f>
        <v>0</v>
      </c>
      <c r="I471" s="64">
        <f>ROUND(IF((SUM(B462:F471)*80%)&gt;((SUM(S458:S471))*90%),((((SUM(S458:S471))*90%)-((SUM(B462:F471)-C471))*I460)+((SUM(B471:F471)-C471)*I460)*80%),((SUM(B471:F471)-C471)*I460)*80%),2)</f>
        <v>0</v>
      </c>
      <c r="J471" s="831">
        <f>ROUND(SUM(B471:F471)*J460,2)</f>
        <v>0</v>
      </c>
      <c r="K471" s="831">
        <f>ROUND(SUM(B471:F471)*K460,2)</f>
        <v>0</v>
      </c>
      <c r="L471" s="831">
        <f>ROUND(SUM(B471:F471)*L460,2)</f>
        <v>0</v>
      </c>
      <c r="M471" s="831">
        <f>ROUND((SUM(B471:F471)-C471)*M460,2)</f>
        <v>0</v>
      </c>
      <c r="N471" s="21">
        <f>ROUND((B471+E471+F471)*N460,2)</f>
        <v>0</v>
      </c>
      <c r="O471" s="21">
        <f>ROUND(SUM(B471+C471+F471)*O460,2)</f>
        <v>0</v>
      </c>
      <c r="P471" s="25">
        <f t="shared" si="76"/>
        <v>0</v>
      </c>
      <c r="Q471" s="11"/>
      <c r="R471" s="140">
        <f>ROUND(IF(M439="",R455,R455/M439*P448),2)</f>
        <v>5175</v>
      </c>
      <c r="S471" s="140">
        <f>ROUND(IF(M439="",R456,R456/M439*P448),2)</f>
        <v>7450</v>
      </c>
      <c r="T471" s="11"/>
    </row>
    <row r="472" spans="1:20" s="18" customFormat="1" hidden="1" x14ac:dyDescent="0.2">
      <c r="A472" s="76" t="str">
        <f>'päd.Personal - Leitung'!$A$40</f>
        <v>Dez 2025</v>
      </c>
      <c r="B472" s="22">
        <f>ROUND(IF(P449=0,0,IFERROR((((LOOKUP(2,1/(A446:A449=A472),G446:G449))*P449*4.348)*50%),B471/P448*P449)),2)</f>
        <v>0</v>
      </c>
      <c r="C472" s="21">
        <f>ROUND(IFERROR((LOOKUP(2,1/(A452=A472),E452)),0)+IFERROR((LOOKUP(2,1/(A453=A472),E453)),0),2)</f>
        <v>0</v>
      </c>
      <c r="D472" s="21">
        <f>ROUND(IF(B472=0,0,D460/M439*P449*50%),2)</f>
        <v>0</v>
      </c>
      <c r="E472" s="21">
        <f>ROUND(IF(B472=0,0,E460/N435*P449*50%),2)</f>
        <v>0</v>
      </c>
      <c r="F472" s="22">
        <f>ROUND(IF(P449=0,0,IFERROR((((LOOKUP(2,1/(A446:A449=A472),I446:I449))/N435*P449)*50%),F471/P448*P449)),2)</f>
        <v>0</v>
      </c>
      <c r="G472" s="25">
        <f t="shared" si="74"/>
        <v>0</v>
      </c>
      <c r="H472" s="831">
        <f>ROUND(SUM(B472:F472)*H460,2)</f>
        <v>0</v>
      </c>
      <c r="I472" s="64">
        <f>ROUND(IF((SUM(B462:F472)*80%)&gt;((SUM(S458:S472))*90%),((((SUM(S458:S472))*90%)-((SUM(B462:F472)-C472))*I460)+((SUM(B472:F472)-C472)*I460)*80%),((SUM(B472:F472)-C472)*I460)*80%),2)</f>
        <v>0</v>
      </c>
      <c r="J472" s="831">
        <f>ROUND(SUM(B472:F472)*J460,2)</f>
        <v>0</v>
      </c>
      <c r="K472" s="831">
        <f>ROUND(SUM(B472:F472)*K460,2)</f>
        <v>0</v>
      </c>
      <c r="L472" s="831">
        <f>ROUND(SUM(B472:F472)*L460,2)</f>
        <v>0</v>
      </c>
      <c r="M472" s="831">
        <f>ROUND((SUM(B472:F472)-C472)*M460,2)</f>
        <v>0</v>
      </c>
      <c r="N472" s="21">
        <f>ROUND((B472+E472+F472)*N460,2)</f>
        <v>0</v>
      </c>
      <c r="O472" s="21">
        <f>ROUND(SUM(B472+C472+F472)*O460,2)</f>
        <v>0</v>
      </c>
      <c r="P472" s="25">
        <f t="shared" si="76"/>
        <v>0</v>
      </c>
      <c r="Q472" s="11"/>
      <c r="R472" s="140">
        <f>ROUND(IF(M439="",R455,R455/M439*P449),2)</f>
        <v>5175</v>
      </c>
      <c r="S472" s="140">
        <f>ROUND(IF(M439="",R456,R456/M439*P449),2)</f>
        <v>7450</v>
      </c>
      <c r="T472" s="1"/>
    </row>
    <row r="473" spans="1:20" s="18" customFormat="1" hidden="1" x14ac:dyDescent="0.2">
      <c r="A473" s="2" t="s">
        <v>1</v>
      </c>
      <c r="B473" s="25">
        <f t="shared" ref="B473" si="77">SUM(B462:B472)</f>
        <v>0</v>
      </c>
      <c r="C473" s="25">
        <f t="shared" ref="C473" si="78">SUM(C462:C472)</f>
        <v>0</v>
      </c>
      <c r="D473" s="25">
        <f t="shared" ref="D473" si="79">SUM(D462:D472)</f>
        <v>0</v>
      </c>
      <c r="E473" s="25">
        <f t="shared" ref="E473" si="80">SUM(E462:E472)</f>
        <v>0</v>
      </c>
      <c r="F473" s="25">
        <f t="shared" ref="F473" si="81">SUM(F462:F472)</f>
        <v>0</v>
      </c>
      <c r="G473" s="25">
        <f t="shared" ref="G473" si="82">SUM(G462:G472)</f>
        <v>0</v>
      </c>
      <c r="H473" s="1309">
        <f>SUM(H462:M472)</f>
        <v>0</v>
      </c>
      <c r="I473" s="1310"/>
      <c r="J473" s="1310"/>
      <c r="K473" s="1310"/>
      <c r="L473" s="1310"/>
      <c r="M473" s="1310"/>
      <c r="N473" s="25">
        <f>SUM(N462:N472)</f>
        <v>0</v>
      </c>
      <c r="O473" s="25">
        <f>SUM(O462:O472)</f>
        <v>0</v>
      </c>
      <c r="P473" s="25">
        <f>SUM(P462:P472)</f>
        <v>0</v>
      </c>
      <c r="Q473" s="1"/>
      <c r="R473" s="1"/>
      <c r="S473" s="1"/>
      <c r="T473" s="1"/>
    </row>
    <row r="474" spans="1:20" s="18" customFormat="1" hidden="1" x14ac:dyDescent="0.2">
      <c r="O474" s="14"/>
      <c r="Q474" s="1021"/>
      <c r="R474" s="1021"/>
      <c r="S474" s="1021"/>
    </row>
    <row r="475" spans="1:20" ht="14.25" hidden="1" customHeight="1" x14ac:dyDescent="0.2">
      <c r="B475" s="906"/>
      <c r="H475" s="905"/>
      <c r="I475" s="62"/>
      <c r="J475" s="914" t="s">
        <v>123</v>
      </c>
      <c r="L475" s="900" t="s">
        <v>124</v>
      </c>
      <c r="M475" s="1032"/>
      <c r="N475" s="902" t="s">
        <v>125</v>
      </c>
      <c r="O475" s="1033"/>
      <c r="P475" s="25">
        <f>ROUND(IF(M475="",0,G473*M475*O475/1000),2)</f>
        <v>0</v>
      </c>
      <c r="Q475" s="1015"/>
      <c r="R475" s="1022"/>
      <c r="S475" s="1016"/>
    </row>
    <row r="476" spans="1:20" ht="14.25" hidden="1" customHeight="1" x14ac:dyDescent="0.2">
      <c r="H476" s="907"/>
      <c r="I476" s="42"/>
      <c r="M476" s="915" t="s">
        <v>129</v>
      </c>
      <c r="N476" s="80" t="s">
        <v>125</v>
      </c>
      <c r="O476" s="1034"/>
      <c r="P476" s="25">
        <f>ROUND(IF(O476="",0,G473*O476/1000),2)</f>
        <v>0</v>
      </c>
      <c r="Q476" s="1023"/>
      <c r="R476" s="65"/>
      <c r="S476" s="1017"/>
    </row>
    <row r="477" spans="1:20" ht="14.25" hidden="1" customHeight="1" x14ac:dyDescent="0.2">
      <c r="H477" s="912" t="s">
        <v>126</v>
      </c>
      <c r="I477" s="1013" t="s">
        <v>127</v>
      </c>
      <c r="J477" s="1037"/>
      <c r="K477" s="902" t="s">
        <v>128</v>
      </c>
      <c r="L477" s="1036"/>
      <c r="M477" s="16"/>
      <c r="N477" s="900" t="s">
        <v>132</v>
      </c>
      <c r="O477" s="1035"/>
      <c r="P477" s="25">
        <f>ROUND(IF(J477="",0,(J477*L477/O477)/M441*M442),2)</f>
        <v>0</v>
      </c>
      <c r="Q477" s="1023"/>
      <c r="R477" s="66"/>
      <c r="S477" s="1016"/>
    </row>
    <row r="478" spans="1:20" ht="14.25" hidden="1" customHeight="1" x14ac:dyDescent="0.2">
      <c r="D478" s="16"/>
      <c r="I478" s="16"/>
      <c r="J478" s="16"/>
      <c r="K478" s="63"/>
      <c r="L478" s="67"/>
      <c r="M478" s="915" t="s">
        <v>130</v>
      </c>
      <c r="N478" s="80" t="s">
        <v>131</v>
      </c>
      <c r="O478" s="904"/>
      <c r="P478" s="21">
        <f>ROUND(IF(G473=0,0,O478/M439*M440),2)</f>
        <v>0</v>
      </c>
      <c r="Q478" s="1023"/>
      <c r="R478" s="1018"/>
      <c r="S478" s="1024"/>
    </row>
    <row r="479" spans="1:20" ht="14.25" hidden="1" customHeight="1" x14ac:dyDescent="0.2">
      <c r="A479" s="16"/>
      <c r="B479" s="16"/>
      <c r="I479" s="905"/>
      <c r="J479" s="961" t="s">
        <v>176</v>
      </c>
      <c r="K479" s="1312"/>
      <c r="L479" s="1312"/>
      <c r="M479" s="1312"/>
      <c r="N479" s="80" t="s">
        <v>131</v>
      </c>
      <c r="O479" s="904"/>
      <c r="P479" s="21">
        <f>ROUND(IF(G473=0,0,O479/M439*M440),2)</f>
        <v>0</v>
      </c>
      <c r="Q479" s="1023"/>
      <c r="R479" s="1019"/>
      <c r="S479" s="1020"/>
    </row>
    <row r="480" spans="1:20" ht="14.25" hidden="1" customHeight="1" x14ac:dyDescent="0.2">
      <c r="A480" s="908"/>
      <c r="B480" s="908"/>
      <c r="C480" s="1013"/>
      <c r="D480" s="1013"/>
      <c r="I480" s="913"/>
      <c r="J480" s="913"/>
      <c r="K480" s="916"/>
      <c r="L480" s="27"/>
      <c r="M480" s="27"/>
      <c r="N480" s="27"/>
      <c r="O480" s="26" t="s">
        <v>0</v>
      </c>
      <c r="P480" s="25">
        <f>P473+SUM(P475:P479)</f>
        <v>0</v>
      </c>
    </row>
    <row r="481" spans="1:19" s="10" customFormat="1" ht="13.5" hidden="1" customHeight="1" x14ac:dyDescent="0.2">
      <c r="A481" s="1321" t="s">
        <v>17</v>
      </c>
      <c r="B481" s="1321"/>
      <c r="C481" s="1321"/>
      <c r="D481" s="1320" t="str">
        <f>IF('päd.Personal - Leitung'!$D$1="","",'päd.Personal - Leitung'!$D$1)</f>
        <v/>
      </c>
      <c r="E481" s="1320"/>
      <c r="F481" s="1320"/>
      <c r="G481" s="1320"/>
      <c r="H481" s="1320"/>
      <c r="I481" s="1320"/>
      <c r="J481" s="1320"/>
      <c r="K481" s="1320"/>
      <c r="L481" s="1320"/>
      <c r="M481" s="1320"/>
      <c r="N481" s="1320"/>
    </row>
    <row r="482" spans="1:19" s="10" customFormat="1" ht="15" hidden="1" customHeight="1" x14ac:dyDescent="0.2">
      <c r="A482" s="1321" t="s">
        <v>16</v>
      </c>
      <c r="B482" s="1321"/>
      <c r="C482" s="1321" t="s">
        <v>14</v>
      </c>
      <c r="D482" s="1320" t="str">
        <f>IF('päd.Personal - Leitung'!$D$2="","",'päd.Personal - Leitung'!$D$2)</f>
        <v/>
      </c>
      <c r="E482" s="1320"/>
      <c r="F482" s="1320"/>
      <c r="G482" s="1320"/>
      <c r="H482" s="1320"/>
      <c r="I482" s="1320"/>
      <c r="J482" s="1320"/>
      <c r="K482" s="1320"/>
      <c r="L482" s="1320"/>
      <c r="M482" s="1320"/>
      <c r="N482" s="1320"/>
    </row>
    <row r="483" spans="1:19" s="10" customFormat="1" ht="15" hidden="1" customHeight="1" x14ac:dyDescent="0.2">
      <c r="A483" s="1321" t="s">
        <v>15</v>
      </c>
      <c r="B483" s="1321"/>
      <c r="C483" s="1321" t="s">
        <v>14</v>
      </c>
      <c r="D483" s="1320" t="str">
        <f>IF('päd.Personal - Leitung'!$D$3="","",'päd.Personal - Leitung'!$D$3)</f>
        <v/>
      </c>
      <c r="E483" s="1320"/>
      <c r="F483" s="1320"/>
      <c r="G483" s="1320"/>
      <c r="H483" s="1320"/>
      <c r="I483" s="1320"/>
      <c r="J483" s="1320"/>
      <c r="K483" s="1321" t="s">
        <v>100</v>
      </c>
      <c r="L483" s="1321"/>
      <c r="M483" s="1321"/>
      <c r="N483" s="38" t="str">
        <f>IF('päd.Personal - Leitung'!$N$3="","",'päd.Personal - Leitung'!$N$3)</f>
        <v/>
      </c>
    </row>
    <row r="484" spans="1:19" s="923" customFormat="1" ht="7.5" hidden="1" customHeight="1" x14ac:dyDescent="0.15">
      <c r="A484" s="1353"/>
      <c r="B484" s="1353"/>
      <c r="C484" s="1353"/>
      <c r="D484" s="1354"/>
      <c r="E484" s="1354"/>
      <c r="F484" s="1354"/>
      <c r="G484" s="1354"/>
      <c r="H484" s="1354"/>
      <c r="I484" s="1354"/>
      <c r="J484" s="1354"/>
      <c r="K484" s="922"/>
      <c r="L484" s="922"/>
      <c r="M484" s="922"/>
      <c r="N484" s="922"/>
      <c r="O484" s="922"/>
      <c r="P484" s="922"/>
    </row>
    <row r="485" spans="1:19" s="18" customFormat="1" hidden="1" x14ac:dyDescent="0.2">
      <c r="A485" s="1355" t="s">
        <v>198</v>
      </c>
      <c r="B485" s="1355"/>
      <c r="C485" s="1355"/>
      <c r="D485" s="1355"/>
      <c r="E485" s="1355"/>
      <c r="F485" s="1355"/>
      <c r="G485" s="1355"/>
      <c r="H485" s="1355"/>
      <c r="I485" s="1355"/>
      <c r="J485" s="1355"/>
      <c r="K485" s="1355"/>
      <c r="L485" s="1355"/>
      <c r="M485" s="1355"/>
      <c r="N485" s="52"/>
      <c r="O485" s="138">
        <f>'päd.Personal - Leitung'!$O$5</f>
        <v>2025</v>
      </c>
      <c r="P485" s="52" t="s">
        <v>140</v>
      </c>
    </row>
    <row r="486" spans="1:19" s="8" customFormat="1" ht="13.5" hidden="1" customHeight="1" x14ac:dyDescent="0.25">
      <c r="B486" s="29"/>
      <c r="C486" s="29"/>
      <c r="D486" s="3" t="s">
        <v>67</v>
      </c>
      <c r="E486" s="28"/>
      <c r="F486" s="28"/>
      <c r="G486" s="28"/>
      <c r="H486" s="28"/>
      <c r="I486" s="24"/>
      <c r="K486" s="1327" t="s">
        <v>13</v>
      </c>
      <c r="L486" s="1327"/>
      <c r="M486" s="131"/>
      <c r="O486" s="928" t="str">
        <f>A509</f>
        <v>Jan 2025</v>
      </c>
      <c r="P486" s="68">
        <f>IF(M488="","",M488)</f>
        <v>0</v>
      </c>
    </row>
    <row r="487" spans="1:19" s="5" customFormat="1" ht="13.5" hidden="1" customHeight="1" x14ac:dyDescent="0.25">
      <c r="A487" s="1328" t="s">
        <v>754</v>
      </c>
      <c r="B487" s="1328"/>
      <c r="C487" s="1328"/>
      <c r="D487" s="1329"/>
      <c r="E487" s="1329"/>
      <c r="F487" s="1329"/>
      <c r="G487" s="1329"/>
      <c r="H487" s="1329"/>
      <c r="I487" s="1329"/>
      <c r="K487" s="1327" t="s">
        <v>101</v>
      </c>
      <c r="L487" s="1327"/>
      <c r="M487" s="101"/>
      <c r="O487" s="928" t="str">
        <f t="shared" ref="O487:O497" si="83">A510</f>
        <v>Feb 2025</v>
      </c>
      <c r="P487" s="69">
        <f t="shared" ref="P487:P497" si="84">IF(P486="","",P486)</f>
        <v>0</v>
      </c>
    </row>
    <row r="488" spans="1:19" ht="13.5" hidden="1" customHeight="1" x14ac:dyDescent="0.2">
      <c r="A488" s="1328" t="s">
        <v>12</v>
      </c>
      <c r="B488" s="1328"/>
      <c r="C488" s="1328"/>
      <c r="D488" s="1345"/>
      <c r="E488" s="1345"/>
      <c r="F488" s="1345"/>
      <c r="G488" s="1345"/>
      <c r="H488" s="1345"/>
      <c r="I488" s="1345"/>
      <c r="K488" s="1327" t="s">
        <v>149</v>
      </c>
      <c r="L488" s="1327"/>
      <c r="M488" s="101">
        <f>IF((M489+M490)&gt;M487,0,M487-M489-M490)</f>
        <v>0</v>
      </c>
      <c r="O488" s="928" t="str">
        <f t="shared" si="83"/>
        <v>Mrz 2025</v>
      </c>
      <c r="P488" s="69">
        <f t="shared" si="84"/>
        <v>0</v>
      </c>
    </row>
    <row r="489" spans="1:19" ht="13.5" hidden="1" customHeight="1" x14ac:dyDescent="0.2">
      <c r="A489" s="1328" t="s">
        <v>11</v>
      </c>
      <c r="B489" s="1328"/>
      <c r="C489" s="1328"/>
      <c r="D489" s="1345"/>
      <c r="E489" s="1345"/>
      <c r="F489" s="1345"/>
      <c r="G489" s="1345"/>
      <c r="H489" s="1345"/>
      <c r="I489" s="1345"/>
      <c r="K489" s="1327" t="s">
        <v>150</v>
      </c>
      <c r="L489" s="1327"/>
      <c r="M489" s="101"/>
      <c r="O489" s="928" t="str">
        <f t="shared" si="83"/>
        <v>Apr 2025</v>
      </c>
      <c r="P489" s="69">
        <f t="shared" si="84"/>
        <v>0</v>
      </c>
    </row>
    <row r="490" spans="1:19" ht="13.5" hidden="1" customHeight="1" x14ac:dyDescent="0.2">
      <c r="A490" s="1328" t="s">
        <v>18</v>
      </c>
      <c r="B490" s="1328"/>
      <c r="C490" s="1328"/>
      <c r="D490" s="1345"/>
      <c r="E490" s="1345"/>
      <c r="F490" s="1345"/>
      <c r="G490" s="1345"/>
      <c r="H490" s="1345"/>
      <c r="I490" s="1345"/>
      <c r="K490" s="1327" t="s">
        <v>222</v>
      </c>
      <c r="L490" s="1327"/>
      <c r="M490" s="101"/>
      <c r="O490" s="928" t="str">
        <f t="shared" si="83"/>
        <v>Mai 2025</v>
      </c>
      <c r="P490" s="69">
        <f t="shared" si="84"/>
        <v>0</v>
      </c>
    </row>
    <row r="491" spans="1:19" ht="13.5" hidden="1" customHeight="1" x14ac:dyDescent="0.2">
      <c r="B491" s="6"/>
      <c r="C491" s="1012" t="s">
        <v>147</v>
      </c>
      <c r="D491" s="1324"/>
      <c r="E491" s="1324"/>
      <c r="F491" s="1359" t="s">
        <v>108</v>
      </c>
      <c r="G491" s="1359"/>
      <c r="H491" s="1361"/>
      <c r="I491" s="1361"/>
      <c r="K491" s="1327" t="s">
        <v>94</v>
      </c>
      <c r="L491" s="1327"/>
      <c r="M491" s="15" t="str">
        <f>IF(IF((COUNTIF(B509:B520,"&gt;0"))=0,0,(COUNTIF(B509:B520,"&gt;0")))&gt;Grundlagen!$C$26,Grundlagen!$C$26,IF((COUNTIF(B509:B520,"&gt;0"))=0,"",(COUNTIF(B509:B520,"&gt;0"))))</f>
        <v/>
      </c>
      <c r="O491" s="928" t="str">
        <f t="shared" si="83"/>
        <v>Jun 2025</v>
      </c>
      <c r="P491" s="69">
        <f t="shared" si="84"/>
        <v>0</v>
      </c>
    </row>
    <row r="492" spans="1:19" ht="13.5" hidden="1" customHeight="1" x14ac:dyDescent="0.2">
      <c r="F492" s="1359" t="s">
        <v>213</v>
      </c>
      <c r="G492" s="1359"/>
      <c r="H492" s="1361"/>
      <c r="I492" s="1361"/>
      <c r="M492" s="102" t="str">
        <f>IF((SUM(F494:F497))=0,"",IF(P498&gt;M488,M488,IF(M488="","",IF(M491="","",P498))))</f>
        <v/>
      </c>
      <c r="O492" s="928" t="str">
        <f t="shared" si="83"/>
        <v>Jul 2025</v>
      </c>
      <c r="P492" s="69">
        <f t="shared" si="84"/>
        <v>0</v>
      </c>
    </row>
    <row r="493" spans="1:19" s="46" customFormat="1" ht="13.5" hidden="1" customHeight="1" x14ac:dyDescent="0.2">
      <c r="A493" s="54" t="s">
        <v>134</v>
      </c>
      <c r="B493" s="1356" t="s">
        <v>135</v>
      </c>
      <c r="C493" s="1356"/>
      <c r="D493" s="55" t="s">
        <v>136</v>
      </c>
      <c r="E493" s="56" t="s">
        <v>137</v>
      </c>
      <c r="F493" s="57" t="str">
        <f>CONCATENATE("Entg. ",N483," h/Wo")</f>
        <v>Entg.  h/Wo</v>
      </c>
      <c r="G493" s="58" t="s">
        <v>138</v>
      </c>
      <c r="I493" s="58" t="s">
        <v>139</v>
      </c>
      <c r="K493" s="970"/>
      <c r="L493" s="970"/>
      <c r="M493" s="59"/>
      <c r="N493" s="968" t="str">
        <f>IF(A495="","",A495)</f>
        <v/>
      </c>
      <c r="O493" s="928" t="str">
        <f t="shared" si="83"/>
        <v>Aug 2025</v>
      </c>
      <c r="P493" s="69">
        <f t="shared" si="84"/>
        <v>0</v>
      </c>
      <c r="Q493" s="1027"/>
      <c r="R493" s="1025"/>
      <c r="S493" s="1025"/>
    </row>
    <row r="494" spans="1:19" s="46" customFormat="1" ht="13.5" hidden="1" customHeight="1" x14ac:dyDescent="0.25">
      <c r="A494" s="48" t="str">
        <f>A509</f>
        <v>Jan 2025</v>
      </c>
      <c r="B494" s="1357" t="str">
        <f>IF($D$3="","",$D$3)</f>
        <v/>
      </c>
      <c r="C494" s="1358"/>
      <c r="D494" s="132"/>
      <c r="E494" s="132"/>
      <c r="F494" s="71"/>
      <c r="G494" s="50">
        <f>IF(N483="",0,F494/N483/4.348)</f>
        <v>0</v>
      </c>
      <c r="I494" s="51">
        <f>SUM(J494:M494)</f>
        <v>0</v>
      </c>
      <c r="J494" s="70"/>
      <c r="K494" s="70"/>
      <c r="L494" s="70"/>
      <c r="M494" s="70"/>
      <c r="N494" s="983"/>
      <c r="O494" s="928" t="str">
        <f t="shared" si="83"/>
        <v>Sep 2025</v>
      </c>
      <c r="P494" s="69">
        <f t="shared" si="84"/>
        <v>0</v>
      </c>
      <c r="Q494" s="1026"/>
      <c r="R494" s="829"/>
      <c r="S494" s="1028"/>
    </row>
    <row r="495" spans="1:19" s="46" customFormat="1" ht="13.5" hidden="1" customHeight="1" x14ac:dyDescent="0.25">
      <c r="A495" s="49"/>
      <c r="B495" s="1322" t="str">
        <f>IF(A495="","",B494)</f>
        <v/>
      </c>
      <c r="C495" s="1323"/>
      <c r="D495" s="132"/>
      <c r="E495" s="132"/>
      <c r="F495" s="71"/>
      <c r="G495" s="50">
        <f>IF(N483="",0,F495/N483/4.348)</f>
        <v>0</v>
      </c>
      <c r="I495" s="51">
        <f t="shared" ref="I495:I497" si="85">SUM(J495:M495)</f>
        <v>0</v>
      </c>
      <c r="J495" s="70"/>
      <c r="K495" s="70"/>
      <c r="L495" s="70"/>
      <c r="M495" s="70"/>
      <c r="N495" s="983"/>
      <c r="O495" s="928" t="str">
        <f t="shared" si="83"/>
        <v>Okt 2025</v>
      </c>
      <c r="P495" s="69">
        <f t="shared" si="84"/>
        <v>0</v>
      </c>
      <c r="Q495" s="1026"/>
      <c r="R495" s="829"/>
      <c r="S495" s="1028"/>
    </row>
    <row r="496" spans="1:19" s="46" customFormat="1" ht="13.5" hidden="1" customHeight="1" x14ac:dyDescent="0.25">
      <c r="A496" s="49"/>
      <c r="B496" s="1322" t="str">
        <f>IF(A496="","",B495)</f>
        <v/>
      </c>
      <c r="C496" s="1323"/>
      <c r="D496" s="132"/>
      <c r="E496" s="132"/>
      <c r="F496" s="71"/>
      <c r="G496" s="50">
        <f>IF(N483="",0,F496/N483/4.348)</f>
        <v>0</v>
      </c>
      <c r="I496" s="51">
        <f t="shared" si="85"/>
        <v>0</v>
      </c>
      <c r="J496" s="70"/>
      <c r="K496" s="70"/>
      <c r="L496" s="70"/>
      <c r="M496" s="70"/>
      <c r="N496" s="983"/>
      <c r="O496" s="928" t="str">
        <f t="shared" si="83"/>
        <v>Nov 2025</v>
      </c>
      <c r="P496" s="69">
        <f t="shared" si="84"/>
        <v>0</v>
      </c>
      <c r="Q496" s="828"/>
      <c r="R496" s="829"/>
      <c r="S496" s="829"/>
    </row>
    <row r="497" spans="1:20" s="46" customFormat="1" ht="13.5" hidden="1" customHeight="1" x14ac:dyDescent="0.25">
      <c r="A497" s="49"/>
      <c r="B497" s="1322" t="str">
        <f>IF(A497="","",B496)</f>
        <v/>
      </c>
      <c r="C497" s="1323"/>
      <c r="D497" s="132"/>
      <c r="E497" s="132"/>
      <c r="F497" s="71"/>
      <c r="G497" s="50">
        <f>IF(N483="",0,F497/N483/4.348)</f>
        <v>0</v>
      </c>
      <c r="I497" s="51">
        <f t="shared" si="85"/>
        <v>0</v>
      </c>
      <c r="J497" s="70"/>
      <c r="K497" s="70"/>
      <c r="L497" s="70"/>
      <c r="M497" s="70"/>
      <c r="N497" s="983"/>
      <c r="O497" s="928" t="str">
        <f t="shared" si="83"/>
        <v>Dez 2025</v>
      </c>
      <c r="P497" s="69">
        <f t="shared" si="84"/>
        <v>0</v>
      </c>
      <c r="Q497" s="276"/>
      <c r="R497" s="827"/>
      <c r="S497" s="827"/>
    </row>
    <row r="498" spans="1:20" s="46" customFormat="1" ht="13.5" hidden="1" customHeight="1" x14ac:dyDescent="0.25">
      <c r="B498" s="972"/>
      <c r="C498" s="972"/>
      <c r="E498" s="972"/>
      <c r="F498" s="972"/>
      <c r="I498" s="930" t="s">
        <v>730</v>
      </c>
      <c r="J498" s="982"/>
      <c r="K498" s="982"/>
      <c r="L498" s="982"/>
      <c r="M498" s="982"/>
      <c r="N498" s="994"/>
      <c r="O498" s="126" t="s">
        <v>221</v>
      </c>
      <c r="P498" s="127">
        <f>IF(M491="",0,((IF(SUMIF(B509,"&gt;0"),P486,0))+(IF(SUMIF(B510,"&gt;0"),P487,0))+(IF(SUMIF(B511,"&gt;0"),P488,0))+(IF(SUMIF(B512,"&gt;0"),P489,0))+(IF(SUMIF(B513,"&gt;0"),P490,0))+(IF(SUMIF(B514,"&gt;0"),P491,0))+(IF(SUMIF(B515,"&gt;0"),P492,0))+(IF(SUMIF(B516,"&gt;0"),P493,0))+(IF(SUMIF(B517,"&gt;0"),P494,0))+(IF(SUMIF(B518,"&gt;0"),P495,0))+(IF(SUMIF(B519,"&gt;0"),P496,0))+(IF(SUMIF(B520,"&gt;0"),P497,0)))/Grundlagen!$C$26)</f>
        <v>0</v>
      </c>
      <c r="Q498" s="1009" t="str">
        <f>CONCATENATE("BBG"," anteilig ",O500)</f>
        <v>BBG anteilig 2025</v>
      </c>
      <c r="R498" s="931" t="s">
        <v>659</v>
      </c>
      <c r="S498" s="931" t="s">
        <v>398</v>
      </c>
      <c r="T498" s="107"/>
    </row>
    <row r="499" spans="1:20" s="46" customFormat="1" ht="13.5" hidden="1" customHeight="1" x14ac:dyDescent="0.2">
      <c r="A499" s="924" t="s">
        <v>732</v>
      </c>
      <c r="D499" s="55" t="s">
        <v>369</v>
      </c>
      <c r="E499" s="56" t="s">
        <v>368</v>
      </c>
      <c r="F499" s="58"/>
      <c r="J499" s="61"/>
      <c r="Q499" s="932" t="s">
        <v>144</v>
      </c>
      <c r="R499" s="140">
        <f>IF(M488=0,R503,IF(M487="",R503,(SUM(R509:R520)/M491)))</f>
        <v>5175</v>
      </c>
      <c r="S499" s="933">
        <f>IF(M488=0,S503,IF(M487="",S503,SUM(R509:R520)))</f>
        <v>0</v>
      </c>
      <c r="T499" s="107"/>
    </row>
    <row r="500" spans="1:20" s="46" customFormat="1" ht="13.5" hidden="1" customHeight="1" x14ac:dyDescent="0.25">
      <c r="A500" s="60"/>
      <c r="B500" s="1314" t="str">
        <f>IF($B$20="","",$B$20)</f>
        <v>Jahressonderzahlung (JSZ)</v>
      </c>
      <c r="C500" s="1315"/>
      <c r="D500" s="926"/>
      <c r="E500" s="929" t="str">
        <f>IF(A500="","",ROUND((((SUM(B515:B517)+SUM(F515:F517))/3)*D500)/Grundlagen!$C$26*M491,2))</f>
        <v/>
      </c>
      <c r="N500" s="917" t="s">
        <v>736</v>
      </c>
      <c r="O500" s="918">
        <f>P500+1</f>
        <v>2025</v>
      </c>
      <c r="P500" s="918" t="s">
        <v>721</v>
      </c>
      <c r="Q500" s="932" t="s">
        <v>145</v>
      </c>
      <c r="R500" s="140">
        <f>IF(M488=0,R504,IF(M487="",R504,(SUM(S509:S520)/M491)))</f>
        <v>7450</v>
      </c>
      <c r="S500" s="933">
        <f>IF(M488=0,S504,IF(M487="",S504,SUM(S509:S520)))</f>
        <v>0</v>
      </c>
      <c r="T500" s="109"/>
    </row>
    <row r="501" spans="1:20" s="18" customFormat="1" ht="14.25" hidden="1" customHeight="1" x14ac:dyDescent="0.2">
      <c r="A501" s="60"/>
      <c r="B501" s="1314" t="str">
        <f>IF($B$21="","",$B$21)</f>
        <v>Leistungsentgelt (LOB)</v>
      </c>
      <c r="C501" s="1315"/>
      <c r="D501" s="926"/>
      <c r="E501" s="929" t="str">
        <f>IF(A501="","",ROUND(((B521+F521)*D501)/Grundlagen!$C$26*M491,2))</f>
        <v/>
      </c>
      <c r="F501" s="1"/>
      <c r="N501" s="139" t="s">
        <v>144</v>
      </c>
      <c r="O501" s="141">
        <f>'päd.Personal - Leitung'!$O$21</f>
        <v>5175</v>
      </c>
      <c r="P501" s="141">
        <f>'päd.Personal - Leitung'!$P$21</f>
        <v>5175</v>
      </c>
      <c r="Q501" s="11"/>
      <c r="R501" s="11"/>
      <c r="S501" s="11"/>
      <c r="T501" s="109"/>
    </row>
    <row r="502" spans="1:20" s="18" customFormat="1" ht="14.25" hidden="1" customHeight="1" x14ac:dyDescent="0.2">
      <c r="A502" s="1"/>
      <c r="B502" s="1"/>
      <c r="C502" s="925" t="s">
        <v>731</v>
      </c>
      <c r="D502" s="1"/>
      <c r="E502" s="1"/>
      <c r="F502" s="1"/>
      <c r="N502" s="139" t="s">
        <v>145</v>
      </c>
      <c r="O502" s="899">
        <f>'päd.Personal - Leitung'!$O$22</f>
        <v>7450</v>
      </c>
      <c r="P502" s="899">
        <f>'päd.Personal - Leitung'!$P$22</f>
        <v>7450</v>
      </c>
      <c r="Q502" s="1009" t="str">
        <f>CONCATENATE("BBG"," ",O500)</f>
        <v>BBG 2025</v>
      </c>
      <c r="R502" s="11"/>
      <c r="S502" s="11"/>
      <c r="T502" s="109"/>
    </row>
    <row r="503" spans="1:20" s="18" customFormat="1" ht="14.25" hidden="1" customHeight="1" x14ac:dyDescent="0.2">
      <c r="A503" s="53" t="s">
        <v>141</v>
      </c>
      <c r="Q503" s="932" t="s">
        <v>144</v>
      </c>
      <c r="R503" s="141">
        <f>IF($O$21="",0,$O$21)</f>
        <v>5175</v>
      </c>
      <c r="S503" s="933">
        <f>R503*IF(M491="",0,M491)</f>
        <v>0</v>
      </c>
    </row>
    <row r="504" spans="1:20" s="18" customFormat="1" ht="14.25" hidden="1" customHeight="1" x14ac:dyDescent="0.2">
      <c r="A504" s="1346"/>
      <c r="B504" s="1348" t="s">
        <v>8</v>
      </c>
      <c r="C504" s="1349"/>
      <c r="D504" s="1349"/>
      <c r="E504" s="1349"/>
      <c r="F504" s="1349"/>
      <c r="G504" s="1350"/>
      <c r="H504" s="1351" t="s">
        <v>113</v>
      </c>
      <c r="I504" s="1352"/>
      <c r="J504" s="1352"/>
      <c r="K504" s="1352"/>
      <c r="L504" s="1352"/>
      <c r="M504" s="1352"/>
      <c r="N504" s="1368" t="s">
        <v>658</v>
      </c>
      <c r="O504" s="30"/>
      <c r="P504" s="1330" t="s">
        <v>0</v>
      </c>
      <c r="Q504" s="932" t="s">
        <v>145</v>
      </c>
      <c r="R504" s="141">
        <f>IF($O$22="",0,$O$22)</f>
        <v>7450</v>
      </c>
      <c r="S504" s="933">
        <f>R504*IF(M491="",0,M491)</f>
        <v>0</v>
      </c>
    </row>
    <row r="505" spans="1:20" s="18" customFormat="1" ht="14.25" hidden="1" customHeight="1" x14ac:dyDescent="0.2">
      <c r="A505" s="1347"/>
      <c r="B505" s="1333" t="s">
        <v>111</v>
      </c>
      <c r="C505" s="1335" t="s">
        <v>743</v>
      </c>
      <c r="D505" s="1337" t="s">
        <v>226</v>
      </c>
      <c r="E505" s="1339" t="s">
        <v>133</v>
      </c>
      <c r="F505" s="1014" t="s">
        <v>6</v>
      </c>
      <c r="G505" s="1340" t="s">
        <v>5</v>
      </c>
      <c r="H505" s="1339" t="s">
        <v>119</v>
      </c>
      <c r="I505" s="1339" t="s">
        <v>657</v>
      </c>
      <c r="J505" s="1339" t="s">
        <v>4</v>
      </c>
      <c r="K505" s="1339" t="s">
        <v>3</v>
      </c>
      <c r="L505" s="1339" t="s">
        <v>2</v>
      </c>
      <c r="M505" s="1339" t="s">
        <v>95</v>
      </c>
      <c r="N505" s="1369"/>
      <c r="O505" s="1338" t="s">
        <v>109</v>
      </c>
      <c r="P505" s="1331"/>
      <c r="Q505" s="456"/>
      <c r="R505" s="11"/>
      <c r="S505" s="11"/>
    </row>
    <row r="506" spans="1:20" s="18" customFormat="1" ht="14.25" hidden="1" customHeight="1" x14ac:dyDescent="0.2">
      <c r="A506" s="1347"/>
      <c r="B506" s="1333"/>
      <c r="C506" s="1335"/>
      <c r="D506" s="1338"/>
      <c r="E506" s="1339"/>
      <c r="F506" s="1343" t="str">
        <f>I498</f>
        <v>Zuschläge / Zulagen / o.ä.:</v>
      </c>
      <c r="G506" s="1340"/>
      <c r="H506" s="1342" t="s">
        <v>117</v>
      </c>
      <c r="I506" s="1339"/>
      <c r="J506" s="1342"/>
      <c r="K506" s="1342"/>
      <c r="L506" s="1342"/>
      <c r="M506" s="1339"/>
      <c r="N506" s="1369"/>
      <c r="O506" s="1338"/>
      <c r="P506" s="1331"/>
      <c r="Q506" s="456"/>
      <c r="R506" s="1306" t="str">
        <f>Q498</f>
        <v>BBG anteilig 2025</v>
      </c>
      <c r="S506" s="1306"/>
    </row>
    <row r="507" spans="1:20" s="18" customFormat="1" hidden="1" x14ac:dyDescent="0.2">
      <c r="A507" s="1347"/>
      <c r="B507" s="1333"/>
      <c r="C507" s="1335"/>
      <c r="D507" s="1338"/>
      <c r="E507" s="1339"/>
      <c r="F507" s="1343"/>
      <c r="G507" s="1340"/>
      <c r="H507" s="39" t="str">
        <f>'päd.Personal - Leitung'!$H$27</f>
        <v>(7,30% + Zusatz)</v>
      </c>
      <c r="I507" s="39" t="str">
        <f>$I$411</f>
        <v xml:space="preserve"> (2024: 18,60%)</v>
      </c>
      <c r="J507" s="39" t="str">
        <f>'päd.Personal - Leitung'!$I$27</f>
        <v xml:space="preserve"> (2024: 9,30%)</v>
      </c>
      <c r="K507" s="39" t="str">
        <f>'päd.Personal - Leitung'!$J$27</f>
        <v>(2024: 1,30%)</v>
      </c>
      <c r="L507" s="39" t="str">
        <f>'päd.Personal - Leitung'!$K$27</f>
        <v>(2024: 1,700%)</v>
      </c>
      <c r="M507" s="1339"/>
      <c r="N507" s="39" t="str">
        <f>$N$411</f>
        <v xml:space="preserve"> (2024: 20%)</v>
      </c>
      <c r="O507" s="1338"/>
      <c r="P507" s="1331"/>
      <c r="Q507" s="456"/>
      <c r="R507" s="1307" t="s">
        <v>659</v>
      </c>
      <c r="S507" s="1307"/>
    </row>
    <row r="508" spans="1:20" s="18" customFormat="1" hidden="1" x14ac:dyDescent="0.2">
      <c r="A508" s="1347"/>
      <c r="B508" s="1334"/>
      <c r="C508" s="1336"/>
      <c r="D508" s="45"/>
      <c r="E508" s="45"/>
      <c r="F508" s="1344"/>
      <c r="G508" s="1341"/>
      <c r="H508" s="74"/>
      <c r="I508" s="19"/>
      <c r="J508" s="99">
        <f>'päd.Personal - Leitung'!$I$28</f>
        <v>0</v>
      </c>
      <c r="K508" s="99">
        <f>'päd.Personal - Leitung'!$J$28</f>
        <v>0</v>
      </c>
      <c r="L508" s="40">
        <f>'päd.Personal - Leitung'!$K$28</f>
        <v>0</v>
      </c>
      <c r="M508" s="19"/>
      <c r="N508" s="19"/>
      <c r="O508" s="19"/>
      <c r="P508" s="1332"/>
      <c r="Q508" s="456"/>
      <c r="R508" s="935" t="s">
        <v>144</v>
      </c>
      <c r="S508" s="935" t="s">
        <v>145</v>
      </c>
    </row>
    <row r="509" spans="1:20" s="18" customFormat="1" hidden="1" x14ac:dyDescent="0.2">
      <c r="A509" s="76" t="str">
        <f>'päd.Personal - Leitung'!$A$29</f>
        <v>Jan 2025</v>
      </c>
      <c r="B509" s="22">
        <f>ROUND(IF(P486=0,0,(LOOKUP(2,1/(A494:A497=A509),G494:G497))*P486*4.348)*50%,2)</f>
        <v>0</v>
      </c>
      <c r="C509" s="21">
        <f>ROUND(IFERROR((LOOKUP(2,1/(A500=A509),E500)),0)+IFERROR((LOOKUP(2,1/(A501=A509),E501)),0),2)</f>
        <v>0</v>
      </c>
      <c r="D509" s="21">
        <f>ROUND(IF(B509=0,0,D508/M487*P486*50%),2)</f>
        <v>0</v>
      </c>
      <c r="E509" s="21">
        <f>ROUND(IF(B509=0,0,E508/N483*P486*50%),2)</f>
        <v>0</v>
      </c>
      <c r="F509" s="22">
        <f>ROUND(IF(P486=0,0,(LOOKUP(2,1/(A494:A497=A509),I494:I497))/N483*P486)*50%,2)</f>
        <v>0</v>
      </c>
      <c r="G509" s="25">
        <f>SUM(B509+C509+E509+F509)</f>
        <v>0</v>
      </c>
      <c r="H509" s="831">
        <f>ROUND(SUM(B509:F509)*H508,2)</f>
        <v>0</v>
      </c>
      <c r="I509" s="64">
        <f>ROUND(IF((SUM(B509:F509)*80%)&gt;((S509)*90%),((((S509)*90%)-((SUM(B509:F509)-C509))*I508)+((SUM(B509:F509)-C509)*I508)*80%),((SUM(B509:F509)-C509)*I508)*80%),2)</f>
        <v>0</v>
      </c>
      <c r="J509" s="831">
        <f>ROUND(SUM(B509:F509)*J508,2)</f>
        <v>0</v>
      </c>
      <c r="K509" s="831">
        <f>ROUND(SUM(B509:F509)*K508,2)</f>
        <v>0</v>
      </c>
      <c r="L509" s="831">
        <f>ROUND(SUM(B509:F509)*L508,2)</f>
        <v>0</v>
      </c>
      <c r="M509" s="831">
        <f>ROUND((SUM(B509:F509)-C509)*M508,2)</f>
        <v>0</v>
      </c>
      <c r="N509" s="21">
        <f>ROUND((B509+E509+F509)*N508,2)</f>
        <v>0</v>
      </c>
      <c r="O509" s="21">
        <f>ROUND(SUM(B509+C509+F509)*O508,2)</f>
        <v>0</v>
      </c>
      <c r="P509" s="25">
        <f>SUM(G509:O509)</f>
        <v>0</v>
      </c>
      <c r="Q509" s="456"/>
      <c r="R509" s="140">
        <f>ROUND(IF(M487="",R503,R503/M487*P486),2)</f>
        <v>5175</v>
      </c>
      <c r="S509" s="140">
        <f>ROUND(IF(M487="",R504,R504/M487*P486),2)</f>
        <v>7450</v>
      </c>
    </row>
    <row r="510" spans="1:20" s="18" customFormat="1" hidden="1" x14ac:dyDescent="0.2">
      <c r="A510" s="76" t="str">
        <f>'päd.Personal - Leitung'!$A$30</f>
        <v>Feb 2025</v>
      </c>
      <c r="B510" s="22">
        <f>ROUND(IF(P487=0,0,IFERROR((((LOOKUP(2,1/(A494:A497=A510),G494:G497))*P487*4.348)*50%),B509/P486*P487)),2)</f>
        <v>0</v>
      </c>
      <c r="C510" s="21">
        <f>ROUND(IFERROR((LOOKUP(2,1/(A500=A510),E500)),0)+IFERROR((LOOKUP(2,1/(A501=A510),E501)),0),2)</f>
        <v>0</v>
      </c>
      <c r="D510" s="21">
        <f>ROUND(IF(B510=0,0,D508/M487*P487*50%),2)</f>
        <v>0</v>
      </c>
      <c r="E510" s="21">
        <f>ROUND(IF(B510=0,0,E508/N483*P487*50%),2)</f>
        <v>0</v>
      </c>
      <c r="F510" s="22">
        <f>ROUND(IF(P487=0,0,IFERROR((((LOOKUP(2,1/(A494:A497=A510),I494:I497))/N483*P487)*50%),F509/P486*P487)),2)</f>
        <v>0</v>
      </c>
      <c r="G510" s="25">
        <f t="shared" ref="G510:G520" si="86">SUM(B510+C510+E510+F510)</f>
        <v>0</v>
      </c>
      <c r="H510" s="831">
        <f>ROUND(SUM(B510:F510)*H508,2)</f>
        <v>0</v>
      </c>
      <c r="I510" s="64">
        <f>ROUND(IF((SUM(B510:F510)*80%)&gt;((SUM(S506:S510))*90%),((((SUM(S506:S510))*90%)-((SUM(B510:F510)-C510))*I508)+((SUM(B510:F510)-C510)*I508)*80%),((SUM(B510:F510)-C510)*I508)*80%),2)</f>
        <v>0</v>
      </c>
      <c r="J510" s="831">
        <f>ROUND(SUM(B510:F510)*J508,2)</f>
        <v>0</v>
      </c>
      <c r="K510" s="831">
        <f>ROUND(SUM(B510:F510)*K508,2)</f>
        <v>0</v>
      </c>
      <c r="L510" s="831">
        <f>ROUND(SUM(B510:F510)*L508,2)</f>
        <v>0</v>
      </c>
      <c r="M510" s="831">
        <f>ROUND((SUM(B510:F510)-C510)*M508,2)</f>
        <v>0</v>
      </c>
      <c r="N510" s="21">
        <f>ROUND((B510+E510+F510)*N508,2)</f>
        <v>0</v>
      </c>
      <c r="O510" s="21">
        <f>ROUND(SUM(B510+C510+F510)*O508,2)</f>
        <v>0</v>
      </c>
      <c r="P510" s="25">
        <f t="shared" ref="P510:P512" si="87">SUM(G510:O510)</f>
        <v>0</v>
      </c>
      <c r="Q510" s="456"/>
      <c r="R510" s="140">
        <f>ROUND(IF(M487="",R503,R503/M487*P487),2)</f>
        <v>5175</v>
      </c>
      <c r="S510" s="140">
        <f>ROUND(IF(M487="",R504,R504/M487*P487),2)</f>
        <v>7450</v>
      </c>
    </row>
    <row r="511" spans="1:20" s="18" customFormat="1" hidden="1" x14ac:dyDescent="0.2">
      <c r="A511" s="76" t="str">
        <f>'päd.Personal - Leitung'!$A$31</f>
        <v>Mrz 2025</v>
      </c>
      <c r="B511" s="22">
        <f>ROUND(IF(P488=0,0,IFERROR((((LOOKUP(2,1/(A494:A497=A511),G494:G497))*P488*4.348)*50%),B510/P487*P488)),2)</f>
        <v>0</v>
      </c>
      <c r="C511" s="21">
        <f>ROUND(IFERROR((LOOKUP(2,1/(A500=A511),E500)),0)+IFERROR((LOOKUP(2,1/(A501=A511),E501)),0),2)</f>
        <v>0</v>
      </c>
      <c r="D511" s="21">
        <f>ROUND(IF(B511=0,0,D508/M487*P488*50%),2)</f>
        <v>0</v>
      </c>
      <c r="E511" s="21">
        <f>ROUND(IF(B511=0,0,E508/N483*P488*50%),2)</f>
        <v>0</v>
      </c>
      <c r="F511" s="22">
        <f>ROUND(IF(P488=0,0,IFERROR((((LOOKUP(2,1/(A494:A497=A511),I494:I497))/N483*P488)*50%),F510/P487*P488)),2)</f>
        <v>0</v>
      </c>
      <c r="G511" s="25">
        <f t="shared" si="86"/>
        <v>0</v>
      </c>
      <c r="H511" s="831">
        <f>ROUND(SUM(B511:F511)*H508,2)</f>
        <v>0</v>
      </c>
      <c r="I511" s="64">
        <f>ROUND(IF((SUM(B510:F511)*80%)&gt;((SUM(S506:S511))*90%),((((SUM(S506:S511))*90%)-((SUM(B510:F511)-C511))*I508)+((SUM(B511:F511)-C511)*I508)*80%),((SUM(B511:F511)-C511)*I508)*80%),2)</f>
        <v>0</v>
      </c>
      <c r="J511" s="831">
        <f>ROUND(SUM(B511:F511)*J508,2)</f>
        <v>0</v>
      </c>
      <c r="K511" s="831">
        <f>ROUND(SUM(B511:F511)*K508,2)</f>
        <v>0</v>
      </c>
      <c r="L511" s="831">
        <f>ROUND(SUM(B511:F511)*L508,2)</f>
        <v>0</v>
      </c>
      <c r="M511" s="831">
        <f>ROUND((SUM(B511:F511)-C511)*M508,2)</f>
        <v>0</v>
      </c>
      <c r="N511" s="21">
        <f>ROUND((B511+E511+F511)*N508,2)</f>
        <v>0</v>
      </c>
      <c r="O511" s="21">
        <f>ROUND(SUM(B511+C511+F511)*O508,2)</f>
        <v>0</v>
      </c>
      <c r="P511" s="25">
        <f t="shared" si="87"/>
        <v>0</v>
      </c>
      <c r="Q511" s="456"/>
      <c r="R511" s="140">
        <f>ROUND(IF(M487="",R503,R503/M487*P488),2)</f>
        <v>5175</v>
      </c>
      <c r="S511" s="140">
        <f>ROUND(IF(M487="",R504,R504/M487*P488),2)</f>
        <v>7450</v>
      </c>
    </row>
    <row r="512" spans="1:20" s="18" customFormat="1" hidden="1" x14ac:dyDescent="0.2">
      <c r="A512" s="76" t="str">
        <f>'päd.Personal - Leitung'!$A$32</f>
        <v>Apr 2025</v>
      </c>
      <c r="B512" s="22">
        <f>ROUND(IF(P489=0,0,IFERROR((((LOOKUP(2,1/(A494:A497=A512),G494:G497))*P489*4.348)*50%),B511/P488*P489)),2)</f>
        <v>0</v>
      </c>
      <c r="C512" s="21">
        <f>ROUND(IFERROR((LOOKUP(2,1/(A500=A512),E500)),0)+IFERROR((LOOKUP(2,1/(A501=A512),E501)),0),2)</f>
        <v>0</v>
      </c>
      <c r="D512" s="21">
        <f>ROUND(IF(B512=0,0,D508/M487*P489*50%),2)</f>
        <v>0</v>
      </c>
      <c r="E512" s="21">
        <f>ROUND(IF(B512=0,0,E508/N483*P489*50%),2)</f>
        <v>0</v>
      </c>
      <c r="F512" s="22">
        <f>ROUND(IF(P489=0,0,IFERROR((((LOOKUP(2,1/(A494:A497=A512),I494:I497))/N483*P489)*50%),F511/P488*P489)),2)</f>
        <v>0</v>
      </c>
      <c r="G512" s="25">
        <f t="shared" si="86"/>
        <v>0</v>
      </c>
      <c r="H512" s="831">
        <f>ROUND(SUM(B512:F512)*H508,2)</f>
        <v>0</v>
      </c>
      <c r="I512" s="64">
        <f>ROUND(IF((SUM(B510:F512)*80%)&gt;((SUM(S506:S512))*90%),((((SUM(S506:S512))*90%)-((SUM(B510:F512)-C512))*I508)+((SUM(B512:F512)-C512)*I508)*80%),((SUM(B512:F512)-C512)*I508)*80%),2)</f>
        <v>0</v>
      </c>
      <c r="J512" s="831">
        <f>ROUND(SUM(B512:F512)*J508,2)</f>
        <v>0</v>
      </c>
      <c r="K512" s="831">
        <f>ROUND(SUM(B512:F512)*K508,2)</f>
        <v>0</v>
      </c>
      <c r="L512" s="831">
        <f>ROUND(SUM(B512:F512)*L508,2)</f>
        <v>0</v>
      </c>
      <c r="M512" s="831">
        <f>ROUND((SUM(B512:F512)-C512)*M508,2)</f>
        <v>0</v>
      </c>
      <c r="N512" s="21">
        <f>ROUND((B512+E512+F512)*N508,2)</f>
        <v>0</v>
      </c>
      <c r="O512" s="21">
        <f>ROUND(SUM(B512+C512+F512)*O508,2)</f>
        <v>0</v>
      </c>
      <c r="P512" s="25">
        <f t="shared" si="87"/>
        <v>0</v>
      </c>
      <c r="Q512" s="456"/>
      <c r="R512" s="140">
        <f>ROUND(IF(M487="",R503,R503/M487*P489),2)</f>
        <v>5175</v>
      </c>
      <c r="S512" s="140">
        <f>ROUND(IF(M487="",R504,R504/M487*P489),2)</f>
        <v>7450</v>
      </c>
    </row>
    <row r="513" spans="1:19" s="18" customFormat="1" hidden="1" x14ac:dyDescent="0.2">
      <c r="A513" s="76" t="str">
        <f>'päd.Personal - Leitung'!$A$33</f>
        <v>Mai 2025</v>
      </c>
      <c r="B513" s="22">
        <f>ROUND(IF(P490=0,0,IFERROR((((LOOKUP(2,1/(A494:A497=A513),G494:G497))*P490*4.348)*50%),B512/P489*P490)),2)</f>
        <v>0</v>
      </c>
      <c r="C513" s="21">
        <f>ROUND(IFERROR((LOOKUP(2,1/(A500=A513),E500)),0)+IFERROR((LOOKUP(2,1/(A501=A513),E501)),0),2)</f>
        <v>0</v>
      </c>
      <c r="D513" s="21">
        <f>ROUND(IF(B513=0,0,D508/M487*P490*50%),2)</f>
        <v>0</v>
      </c>
      <c r="E513" s="21">
        <f>ROUND(IF(B513=0,0,E508/N483*P490*50%),2)</f>
        <v>0</v>
      </c>
      <c r="F513" s="22">
        <f>ROUND(IF(P490=0,0,IFERROR((((LOOKUP(2,1/(A494:A497=A513),I494:I497))/N483*P490)*50%),F512/P489*P490)),2)</f>
        <v>0</v>
      </c>
      <c r="G513" s="25">
        <f t="shared" si="86"/>
        <v>0</v>
      </c>
      <c r="H513" s="831">
        <f>ROUND(SUM(B513:F513)*H508,2)</f>
        <v>0</v>
      </c>
      <c r="I513" s="64">
        <f>ROUND(IF((SUM(B510:F513)*80%)&gt;((SUM(S506:S513))*90%),((((SUM(S506:S513))*90%)-((SUM(B510:F513)-C513))*I508)+((SUM(B513:F513)-C513)*I508)*80%),((SUM(B513:F513)-C513)*I508)*80%),2)</f>
        <v>0</v>
      </c>
      <c r="J513" s="831">
        <f>ROUND(SUM(B513:F513)*J508,2)</f>
        <v>0</v>
      </c>
      <c r="K513" s="831">
        <f>ROUND(SUM(B513:F513)*K508,2)</f>
        <v>0</v>
      </c>
      <c r="L513" s="831">
        <f>ROUND(SUM(B513:F513)*L508,2)</f>
        <v>0</v>
      </c>
      <c r="M513" s="831">
        <f>ROUND((SUM(B513:F513)-C513)*M508,2)</f>
        <v>0</v>
      </c>
      <c r="N513" s="21">
        <f>ROUND((B513+E513+F513)*N508,2)</f>
        <v>0</v>
      </c>
      <c r="O513" s="21">
        <f>ROUND(SUM(B513+C513+F513)*O508,2)</f>
        <v>0</v>
      </c>
      <c r="P513" s="25">
        <f t="shared" ref="P513:P520" si="88">SUM(G513:O513)</f>
        <v>0</v>
      </c>
      <c r="Q513" s="456"/>
      <c r="R513" s="140">
        <f>ROUND(IF(M487="",R503,R503/M487*P490),2)</f>
        <v>5175</v>
      </c>
      <c r="S513" s="140">
        <f>ROUND(IF(M487="",R504,R504/M487*P490),2)</f>
        <v>7450</v>
      </c>
    </row>
    <row r="514" spans="1:19" s="18" customFormat="1" hidden="1" x14ac:dyDescent="0.2">
      <c r="A514" s="76" t="str">
        <f>'päd.Personal - Leitung'!$A$34</f>
        <v>Jun 2025</v>
      </c>
      <c r="B514" s="22">
        <f>ROUND(IF(P491=0,0,IFERROR((((LOOKUP(2,1/(A494:A497=A514),G494:G497))*P491*4.348)*50%),B513/P490*P491)),2)</f>
        <v>0</v>
      </c>
      <c r="C514" s="21">
        <f>ROUND(IFERROR((LOOKUP(2,1/(A500=A514),E500)),0)+IFERROR((LOOKUP(2,1/(A501=A514),E501)),0),2)</f>
        <v>0</v>
      </c>
      <c r="D514" s="21">
        <f>ROUND(IF(B514=0,0,D508/M487*P491*50%),2)</f>
        <v>0</v>
      </c>
      <c r="E514" s="21">
        <f>ROUND(IF(B514=0,0,E508/N483*P491*50%),2)</f>
        <v>0</v>
      </c>
      <c r="F514" s="22">
        <f>ROUND(IF(P491=0,0,IFERROR((((LOOKUP(2,1/(A494:A497=A514),I494:I497))/N483*P491)*50%),F513/P490*P491)),2)</f>
        <v>0</v>
      </c>
      <c r="G514" s="25">
        <f t="shared" si="86"/>
        <v>0</v>
      </c>
      <c r="H514" s="831">
        <f>ROUND(SUM(B514:F514)*H508,2)</f>
        <v>0</v>
      </c>
      <c r="I514" s="64">
        <f>ROUND(IF((SUM(B510:F514)*80%)&gt;((SUM(S506:S514))*90%),((((SUM(S506:S514))*90%)-((SUM(B510:F514)-C514))*I508)+((SUM(B514:F514)-C514)*I508)*80%),((SUM(B514:F514)-C514)*I508)*80%),2)</f>
        <v>0</v>
      </c>
      <c r="J514" s="831">
        <f>ROUND(SUM(B514:F514)*J508,2)</f>
        <v>0</v>
      </c>
      <c r="K514" s="831">
        <f>ROUND(SUM(B514:F514)*K508,2)</f>
        <v>0</v>
      </c>
      <c r="L514" s="831">
        <f>ROUND(SUM(B514:F514)*L508,2)</f>
        <v>0</v>
      </c>
      <c r="M514" s="831">
        <f>ROUND((SUM(B514:F514)-C514)*M508,2)</f>
        <v>0</v>
      </c>
      <c r="N514" s="21">
        <f>ROUND((B514+E514+F514)*N508,2)</f>
        <v>0</v>
      </c>
      <c r="O514" s="21">
        <f>ROUND(SUM(B514+C514+F514)*O508,2)</f>
        <v>0</v>
      </c>
      <c r="P514" s="25">
        <f t="shared" si="88"/>
        <v>0</v>
      </c>
      <c r="Q514" s="456"/>
      <c r="R514" s="140">
        <f>ROUND(IF(M487="",R503,R503/M487*P491),2)</f>
        <v>5175</v>
      </c>
      <c r="S514" s="140">
        <f>ROUND(IF(M487="",R504,R504/M487*P491),2)</f>
        <v>7450</v>
      </c>
    </row>
    <row r="515" spans="1:19" s="18" customFormat="1" hidden="1" x14ac:dyDescent="0.2">
      <c r="A515" s="76" t="str">
        <f>'päd.Personal - Leitung'!$A$35</f>
        <v>Jul 2025</v>
      </c>
      <c r="B515" s="22">
        <f>ROUND(IF(P492=0,0,IFERROR((((LOOKUP(2,1/(A494:A497=A515),G494:G497))*P492*4.348)*50%),B514/P491*P492)),2)</f>
        <v>0</v>
      </c>
      <c r="C515" s="21">
        <f>ROUND(IFERROR((LOOKUP(2,1/(A500=A515),E500)),0)+IFERROR((LOOKUP(2,1/(A501=A515),E501)),0),2)</f>
        <v>0</v>
      </c>
      <c r="D515" s="21">
        <f>ROUND(IF(B515=0,0,D508/M487*P492*50%),2)</f>
        <v>0</v>
      </c>
      <c r="E515" s="21">
        <f>ROUND(IF(B515=0,0,E508/N483*P492*50%),2)</f>
        <v>0</v>
      </c>
      <c r="F515" s="22">
        <f>ROUND(IF(P492=0,0,IFERROR((((LOOKUP(2,1/(A494:A497=A515),I494:I497))/N483*P492)*50%),F514/P491*P492)),2)</f>
        <v>0</v>
      </c>
      <c r="G515" s="25">
        <f t="shared" si="86"/>
        <v>0</v>
      </c>
      <c r="H515" s="831">
        <f>ROUND(SUM(B515:F515)*H508,2)</f>
        <v>0</v>
      </c>
      <c r="I515" s="64">
        <f>ROUND(IF((SUM(B510:F515)*80%)&gt;((SUM(S506:S515))*90%),((((SUM(S506:S515))*90%)-((SUM(B510:F515)-C515))*I508)+((SUM(B515:F515)-C515)*I508)*80%),((SUM(B515:F515)-C515)*I508)*80%),2)</f>
        <v>0</v>
      </c>
      <c r="J515" s="831">
        <f>ROUND(SUM(B515:F515)*J508,2)</f>
        <v>0</v>
      </c>
      <c r="K515" s="831">
        <f>ROUND(SUM(B515:F515)*K508,2)</f>
        <v>0</v>
      </c>
      <c r="L515" s="831">
        <f>ROUND(SUM(B515:F515)*L508,2)</f>
        <v>0</v>
      </c>
      <c r="M515" s="831">
        <f>ROUND((SUM(B515:F515)-C515)*M508,2)</f>
        <v>0</v>
      </c>
      <c r="N515" s="21">
        <f>ROUND((B515+E515+F515)*N508,2)</f>
        <v>0</v>
      </c>
      <c r="O515" s="21">
        <f>ROUND(SUM(B515+C515+F515)*O508,2)</f>
        <v>0</v>
      </c>
      <c r="P515" s="25">
        <f t="shared" si="88"/>
        <v>0</v>
      </c>
      <c r="Q515" s="456"/>
      <c r="R515" s="140">
        <f>ROUND(IF(M487="",R503,R503/M487*P492),2)</f>
        <v>5175</v>
      </c>
      <c r="S515" s="140">
        <f>ROUND(IF(M487="",R504,R504/M487*P492),2)</f>
        <v>7450</v>
      </c>
    </row>
    <row r="516" spans="1:19" s="18" customFormat="1" hidden="1" x14ac:dyDescent="0.2">
      <c r="A516" s="76" t="str">
        <f>'päd.Personal - Leitung'!$A$36</f>
        <v>Aug 2025</v>
      </c>
      <c r="B516" s="22">
        <f>ROUND(IF(P493=0,0,IFERROR((((LOOKUP(2,1/(A494:A497=A516),G494:G497))*P493*4.348)*50%),B515/P492*P493)),2)</f>
        <v>0</v>
      </c>
      <c r="C516" s="21">
        <f>ROUND(IFERROR((LOOKUP(2,1/(A500=A516),E500)),0)+IFERROR((LOOKUP(2,1/(A501=A516),E501)),0),2)</f>
        <v>0</v>
      </c>
      <c r="D516" s="21">
        <f>ROUND(IF(B516=0,0,D508/M487*P493*50%),2)</f>
        <v>0</v>
      </c>
      <c r="E516" s="21">
        <f>ROUND(IF(B516=0,0,E508/N483*P493*50%),2)</f>
        <v>0</v>
      </c>
      <c r="F516" s="22">
        <f>ROUND(IF(P493=0,0,IFERROR((((LOOKUP(2,1/(A494:A497=A516),I494:I497))/N483*P493)*50%),F515/P492*P493)),2)</f>
        <v>0</v>
      </c>
      <c r="G516" s="25">
        <f t="shared" si="86"/>
        <v>0</v>
      </c>
      <c r="H516" s="831">
        <f>ROUND(SUM(B516:F516)*H508,2)</f>
        <v>0</v>
      </c>
      <c r="I516" s="64">
        <f>ROUND(IF((SUM(B510:F516)*80%)&gt;((SUM(S506:S516))*90%),((((SUM(S506:S516))*90%)-((SUM(B510:F516)-C516))*I508)+((SUM(B516:F516)-C516)*I508)*80%),((SUM(B516:F516)-C516)*I508)*80%),2)</f>
        <v>0</v>
      </c>
      <c r="J516" s="831">
        <f>ROUND(SUM(B516:F516)*J508,2)</f>
        <v>0</v>
      </c>
      <c r="K516" s="831">
        <f>ROUND(SUM(B516:F516)*K508,2)</f>
        <v>0</v>
      </c>
      <c r="L516" s="831">
        <f>ROUND(SUM(B516:F516)*L508,2)</f>
        <v>0</v>
      </c>
      <c r="M516" s="831">
        <f>ROUND((SUM(B516:F516)-C516)*M508,2)</f>
        <v>0</v>
      </c>
      <c r="N516" s="21">
        <f>ROUND((B516+E516+F516)*N508,2)</f>
        <v>0</v>
      </c>
      <c r="O516" s="21">
        <f>ROUND(SUM(B516+C516+F516)*O508,2)</f>
        <v>0</v>
      </c>
      <c r="P516" s="25">
        <f t="shared" si="88"/>
        <v>0</v>
      </c>
      <c r="Q516" s="456"/>
      <c r="R516" s="140">
        <f>ROUND(IF(M487="",R503,R503/M487*P493),2)</f>
        <v>5175</v>
      </c>
      <c r="S516" s="140">
        <f>ROUND(IF(M487="",R504,R504/M487*P493),2)</f>
        <v>7450</v>
      </c>
    </row>
    <row r="517" spans="1:19" s="18" customFormat="1" hidden="1" x14ac:dyDescent="0.2">
      <c r="A517" s="76" t="str">
        <f>'päd.Personal - Leitung'!$A$37</f>
        <v>Sep 2025</v>
      </c>
      <c r="B517" s="22">
        <f>ROUND(IF(P494=0,0,IFERROR((((LOOKUP(2,1/(A494:A497=A517),G494:G497))*P494*4.348)*50%),B516/P493*P494)),2)</f>
        <v>0</v>
      </c>
      <c r="C517" s="21">
        <f>ROUND(IFERROR((LOOKUP(2,1/(A500=A517),E500)),0)+IFERROR((LOOKUP(2,1/(A501=A517),E501)),0),2)</f>
        <v>0</v>
      </c>
      <c r="D517" s="21">
        <f>ROUND(IF(B517=0,0,D508/M487*P494*50%),2)</f>
        <v>0</v>
      </c>
      <c r="E517" s="21">
        <f>ROUND(IF(B517=0,0,E508/N483*P494*50%),2)</f>
        <v>0</v>
      </c>
      <c r="F517" s="22">
        <f>ROUND(IF(P494=0,0,IFERROR((((LOOKUP(2,1/(A494:A497=A517),I494:I497))/N483*P494)*50%),F516/P493*P494)),2)</f>
        <v>0</v>
      </c>
      <c r="G517" s="25">
        <f t="shared" si="86"/>
        <v>0</v>
      </c>
      <c r="H517" s="831">
        <f>ROUND(SUM(B517:F517)*H508,2)</f>
        <v>0</v>
      </c>
      <c r="I517" s="64">
        <f>ROUND(IF((SUM(B510:F517)*80%)&gt;((SUM(S506:S517))*90%),((((SUM(S506:S517))*90%)-((SUM(B510:F517)-C517))*I508)+((SUM(B517:F517)-C517)*I508)*80%),((SUM(B517:F517)-C517)*I508)*80%),2)</f>
        <v>0</v>
      </c>
      <c r="J517" s="831">
        <f>ROUND(SUM(B517:F517)*J508,2)</f>
        <v>0</v>
      </c>
      <c r="K517" s="831">
        <f>ROUND(SUM(B517:F517)*K508,2)</f>
        <v>0</v>
      </c>
      <c r="L517" s="831">
        <f>ROUND(SUM(B517:F517)*L508,2)</f>
        <v>0</v>
      </c>
      <c r="M517" s="831">
        <f>ROUND((SUM(B517:F517)-C517)*M508,2)</f>
        <v>0</v>
      </c>
      <c r="N517" s="21">
        <f>ROUND((B517+E517+F517)*N508,2)</f>
        <v>0</v>
      </c>
      <c r="O517" s="21">
        <f>ROUND(SUM(B517+C517+F517)*O508,2)</f>
        <v>0</v>
      </c>
      <c r="P517" s="25">
        <f t="shared" si="88"/>
        <v>0</v>
      </c>
      <c r="Q517" s="456"/>
      <c r="R517" s="140">
        <f>ROUND(IF(M487="",R503,R503/M487*P494),2)</f>
        <v>5175</v>
      </c>
      <c r="S517" s="140">
        <f>ROUND(IF(M487="",R504,R504/M487*P494),2)</f>
        <v>7450</v>
      </c>
    </row>
    <row r="518" spans="1:19" s="18" customFormat="1" hidden="1" x14ac:dyDescent="0.2">
      <c r="A518" s="76" t="str">
        <f>'päd.Personal - Leitung'!$A$38</f>
        <v>Okt 2025</v>
      </c>
      <c r="B518" s="22">
        <f>ROUND(IF(P495=0,0,IFERROR((((LOOKUP(2,1/(A494:A497=A518),G494:G497))*P495*4.348)*50%),B517/P494*P495)),2)</f>
        <v>0</v>
      </c>
      <c r="C518" s="21">
        <f>ROUND(IFERROR((LOOKUP(2,1/(A500=A518),E500)),0)+IFERROR((LOOKUP(2,1/(A501=A518),E501)),0),2)</f>
        <v>0</v>
      </c>
      <c r="D518" s="21">
        <f>ROUND(IF(B518=0,0,D508/M487*P495*50%),2)</f>
        <v>0</v>
      </c>
      <c r="E518" s="21">
        <f>ROUND(IF(B518=0,0,E508/N483*P495*50%),2)</f>
        <v>0</v>
      </c>
      <c r="F518" s="22">
        <f>ROUND(IF(P495=0,0,IFERROR((((LOOKUP(2,1/(A494:A497=A518),I494:I497))/N483*P495)*50%),F517/P494*P495)),2)</f>
        <v>0</v>
      </c>
      <c r="G518" s="25">
        <f t="shared" si="86"/>
        <v>0</v>
      </c>
      <c r="H518" s="831">
        <f>ROUND(SUM(B518:F518)*H508,2)</f>
        <v>0</v>
      </c>
      <c r="I518" s="64">
        <f>ROUND(IF((SUM(B510:F518)*80%)&gt;((SUM(S506:S518))*90%),((((SUM(S506:S518))*90%)-((SUM(B510:F518)-C518))*I508)+((SUM(B518:F518)-C518)*I508)*80%),((SUM(B518:F518)-C518)*I508)*80%),2)</f>
        <v>0</v>
      </c>
      <c r="J518" s="831">
        <f>ROUND(SUM(B518:F518)*J508,2)</f>
        <v>0</v>
      </c>
      <c r="K518" s="831">
        <f>ROUND(SUM(B518:F518)*K508,2)</f>
        <v>0</v>
      </c>
      <c r="L518" s="831">
        <f>ROUND(SUM(B518:F518)*L508,2)</f>
        <v>0</v>
      </c>
      <c r="M518" s="831">
        <f>ROUND((SUM(B518:F518)-C518)*M508,2)</f>
        <v>0</v>
      </c>
      <c r="N518" s="21">
        <f>ROUND((B518+E518+F518)*N508,2)</f>
        <v>0</v>
      </c>
      <c r="O518" s="21">
        <f>ROUND(SUM(B518+C518+F518)*O508,2)</f>
        <v>0</v>
      </c>
      <c r="P518" s="25">
        <f t="shared" si="88"/>
        <v>0</v>
      </c>
      <c r="Q518" s="936"/>
      <c r="R518" s="140">
        <f>ROUND(IF(M487="",R503,R503/M487*P495),2)</f>
        <v>5175</v>
      </c>
      <c r="S518" s="140">
        <f>ROUND(IF(M487="",R504,R504/M487*P495),2)</f>
        <v>7450</v>
      </c>
    </row>
    <row r="519" spans="1:19" s="18" customFormat="1" hidden="1" x14ac:dyDescent="0.2">
      <c r="A519" s="76" t="str">
        <f>'päd.Personal - Leitung'!$A$39</f>
        <v>Nov 2025</v>
      </c>
      <c r="B519" s="22">
        <f>ROUND(IF(P496=0,0,IFERROR((((LOOKUP(2,1/(A494:A497=A519),G494:G497))*P496*4.348)*50%),B518/P495*P496)),2)</f>
        <v>0</v>
      </c>
      <c r="C519" s="21">
        <f>ROUND(IFERROR((LOOKUP(2,1/(A500=A519),E500)),0)+(IFERROR((LOOKUP(2,1/(A501=A519),E501)),0)),2)</f>
        <v>0</v>
      </c>
      <c r="D519" s="21">
        <f>ROUND(IF(B519=0,0,D508/M487*P496*50%),2)</f>
        <v>0</v>
      </c>
      <c r="E519" s="21">
        <f>ROUND(IF(B519=0,0,E508/N483*P496*50%),2)</f>
        <v>0</v>
      </c>
      <c r="F519" s="22">
        <f>ROUND(IF(P496=0,0,IFERROR((((LOOKUP(2,1/(A494:A497=A519),I494:I497))/N483*P496)*50%),F518/P495*P496)),2)</f>
        <v>0</v>
      </c>
      <c r="G519" s="25">
        <f t="shared" si="86"/>
        <v>0</v>
      </c>
      <c r="H519" s="831">
        <f>ROUND(SUM(B519:F519)*H508,2)</f>
        <v>0</v>
      </c>
      <c r="I519" s="64">
        <f>ROUND(IF((SUM(B510:F519)*80%)&gt;((SUM(S506:S519))*90%),((((SUM(S506:S519))*90%)-((SUM(B510:F519)-C519))*I508)+((SUM(B519:F519)-C519)*I508)*80%),((SUM(B519:F519)-C519)*I508)*80%),2)</f>
        <v>0</v>
      </c>
      <c r="J519" s="831">
        <f>ROUND(SUM(B519:F519)*J508,2)</f>
        <v>0</v>
      </c>
      <c r="K519" s="831">
        <f>ROUND(SUM(B519:F519)*K508,2)</f>
        <v>0</v>
      </c>
      <c r="L519" s="831">
        <f>ROUND(SUM(B519:F519)*L508,2)</f>
        <v>0</v>
      </c>
      <c r="M519" s="831">
        <f>ROUND((SUM(B519:F519)-C519)*M508,2)</f>
        <v>0</v>
      </c>
      <c r="N519" s="21">
        <f>ROUND((B519+E519+F519)*N508,2)</f>
        <v>0</v>
      </c>
      <c r="O519" s="21">
        <f>ROUND(SUM(B519+C519+F519)*O508,2)</f>
        <v>0</v>
      </c>
      <c r="P519" s="25">
        <f t="shared" si="88"/>
        <v>0</v>
      </c>
      <c r="Q519" s="11"/>
      <c r="R519" s="140">
        <f>ROUND(IF(M487="",R503,R503/M487*P496),2)</f>
        <v>5175</v>
      </c>
      <c r="S519" s="140">
        <f>ROUND(IF(M487="",R504,R504/M487*P496),2)</f>
        <v>7450</v>
      </c>
    </row>
    <row r="520" spans="1:19" s="18" customFormat="1" hidden="1" x14ac:dyDescent="0.2">
      <c r="A520" s="76" t="str">
        <f>'päd.Personal - Leitung'!$A$40</f>
        <v>Dez 2025</v>
      </c>
      <c r="B520" s="22">
        <f>ROUND(IF(P497=0,0,IFERROR((((LOOKUP(2,1/(A494:A497=A520),G494:G497))*P497*4.348)*50%),B519/P496*P497)),2)</f>
        <v>0</v>
      </c>
      <c r="C520" s="21">
        <f>ROUND(IFERROR((LOOKUP(2,1/(A500=A520),E500)),0)+IFERROR((LOOKUP(2,1/(A501=A520),E501)),0),2)</f>
        <v>0</v>
      </c>
      <c r="D520" s="21">
        <f>ROUND(IF(B520=0,0,D508/M487*P497*50%),2)</f>
        <v>0</v>
      </c>
      <c r="E520" s="21">
        <f>ROUND(IF(B520=0,0,E508/N483*P497*50%),2)</f>
        <v>0</v>
      </c>
      <c r="F520" s="22">
        <f>ROUND(IF(P497=0,0,IFERROR((((LOOKUP(2,1/(A494:A497=A520),I494:I497))/N483*P497)*50%),F519/P496*P497)),2)</f>
        <v>0</v>
      </c>
      <c r="G520" s="25">
        <f t="shared" si="86"/>
        <v>0</v>
      </c>
      <c r="H520" s="831">
        <f>ROUND(SUM(B520:F520)*H508,2)</f>
        <v>0</v>
      </c>
      <c r="I520" s="64">
        <f>ROUND(IF((SUM(B510:F520)*80%)&gt;((SUM(S506:S520))*90%),((((SUM(S506:S520))*90%)-((SUM(B510:F520)-C520))*I508)+((SUM(B520:F520)-C520)*I508)*80%),((SUM(B520:F520)-C520)*I508)*80%),2)</f>
        <v>0</v>
      </c>
      <c r="J520" s="831">
        <f>ROUND(SUM(B520:F520)*J508,2)</f>
        <v>0</v>
      </c>
      <c r="K520" s="831">
        <f>ROUND(SUM(B520:F520)*K508,2)</f>
        <v>0</v>
      </c>
      <c r="L520" s="831">
        <f>ROUND(SUM(B520:F520)*L508,2)</f>
        <v>0</v>
      </c>
      <c r="M520" s="831">
        <f>ROUND((SUM(B520:F520)-C520)*M508,2)</f>
        <v>0</v>
      </c>
      <c r="N520" s="21">
        <f>ROUND((B520+E520+F520)*N508,2)</f>
        <v>0</v>
      </c>
      <c r="O520" s="21">
        <f>ROUND(SUM(B520+C520+F520)*O508,2)</f>
        <v>0</v>
      </c>
      <c r="P520" s="25">
        <f t="shared" si="88"/>
        <v>0</v>
      </c>
      <c r="Q520" s="11"/>
      <c r="R520" s="140">
        <f>ROUND(IF(M487="",R503,R503/M487*P497),2)</f>
        <v>5175</v>
      </c>
      <c r="S520" s="140">
        <f>ROUND(IF(M487="",R504,R504/M487*P497),2)</f>
        <v>7450</v>
      </c>
    </row>
    <row r="521" spans="1:19" s="18" customFormat="1" hidden="1" x14ac:dyDescent="0.2">
      <c r="A521" s="2" t="s">
        <v>1</v>
      </c>
      <c r="B521" s="25">
        <f t="shared" ref="B521:G521" si="89">SUM(B509:B520)</f>
        <v>0</v>
      </c>
      <c r="C521" s="25">
        <f t="shared" si="89"/>
        <v>0</v>
      </c>
      <c r="D521" s="25">
        <f t="shared" si="89"/>
        <v>0</v>
      </c>
      <c r="E521" s="25">
        <f t="shared" si="89"/>
        <v>0</v>
      </c>
      <c r="F521" s="25">
        <f t="shared" si="89"/>
        <v>0</v>
      </c>
      <c r="G521" s="25">
        <f t="shared" si="89"/>
        <v>0</v>
      </c>
      <c r="H521" s="1309">
        <f>SUM(H509:M520)</f>
        <v>0</v>
      </c>
      <c r="I521" s="1310"/>
      <c r="J521" s="1310"/>
      <c r="K521" s="1310"/>
      <c r="L521" s="1310"/>
      <c r="M521" s="1310"/>
      <c r="N521" s="25">
        <f>SUM(N509:N520)</f>
        <v>0</v>
      </c>
      <c r="O521" s="25">
        <f>SUM(O509:O520)</f>
        <v>0</v>
      </c>
      <c r="P521" s="25">
        <f>SUM(P509:P520)</f>
        <v>0</v>
      </c>
    </row>
    <row r="522" spans="1:19" s="18" customFormat="1" hidden="1" x14ac:dyDescent="0.2">
      <c r="O522" s="14"/>
      <c r="Q522" s="1021"/>
      <c r="R522" s="1021"/>
      <c r="S522" s="1021"/>
    </row>
    <row r="523" spans="1:19" ht="14.25" hidden="1" customHeight="1" x14ac:dyDescent="0.2">
      <c r="B523" s="906"/>
      <c r="H523" s="905"/>
      <c r="I523" s="62"/>
      <c r="J523" s="914" t="s">
        <v>123</v>
      </c>
      <c r="L523" s="900" t="s">
        <v>124</v>
      </c>
      <c r="M523" s="1032"/>
      <c r="N523" s="902" t="s">
        <v>125</v>
      </c>
      <c r="O523" s="1033"/>
      <c r="P523" s="25">
        <f>ROUND(IF(M523="",0,G521*M523*O523/1000),2)</f>
        <v>0</v>
      </c>
      <c r="Q523" s="1015"/>
      <c r="R523" s="1022"/>
      <c r="S523" s="1016"/>
    </row>
    <row r="524" spans="1:19" ht="14.25" hidden="1" customHeight="1" x14ac:dyDescent="0.2">
      <c r="H524" s="907"/>
      <c r="I524" s="42"/>
      <c r="M524" s="915" t="s">
        <v>129</v>
      </c>
      <c r="N524" s="80" t="s">
        <v>125</v>
      </c>
      <c r="O524" s="1034"/>
      <c r="P524" s="25">
        <f>ROUND(IF(O524="",0,G521*O524/1000),2)</f>
        <v>0</v>
      </c>
      <c r="Q524" s="1023"/>
      <c r="R524" s="65"/>
      <c r="S524" s="1017"/>
    </row>
    <row r="525" spans="1:19" ht="14.25" hidden="1" customHeight="1" x14ac:dyDescent="0.2">
      <c r="H525" s="912" t="s">
        <v>126</v>
      </c>
      <c r="I525" s="1013" t="s">
        <v>127</v>
      </c>
      <c r="J525" s="1037"/>
      <c r="K525" s="902" t="s">
        <v>128</v>
      </c>
      <c r="L525" s="1036"/>
      <c r="M525" s="16"/>
      <c r="N525" s="900" t="s">
        <v>132</v>
      </c>
      <c r="O525" s="1035"/>
      <c r="P525" s="25">
        <f>ROUND(IF(J525="",0,(J525*L525/O525)/M489*M490),2)</f>
        <v>0</v>
      </c>
      <c r="Q525" s="1023"/>
      <c r="R525" s="66"/>
      <c r="S525" s="1016"/>
    </row>
    <row r="526" spans="1:19" ht="14.25" hidden="1" customHeight="1" x14ac:dyDescent="0.2">
      <c r="D526" s="16"/>
      <c r="I526" s="16"/>
      <c r="J526" s="16"/>
      <c r="K526" s="63"/>
      <c r="L526" s="67"/>
      <c r="M526" s="915" t="s">
        <v>130</v>
      </c>
      <c r="N526" s="80" t="s">
        <v>131</v>
      </c>
      <c r="O526" s="904"/>
      <c r="P526" s="21">
        <f>ROUND(IF(G521=0,0,O526/M487*M488),2)</f>
        <v>0</v>
      </c>
      <c r="Q526" s="1023"/>
      <c r="R526" s="1018"/>
      <c r="S526" s="1024"/>
    </row>
    <row r="527" spans="1:19" ht="14.25" hidden="1" customHeight="1" x14ac:dyDescent="0.2">
      <c r="A527" s="16"/>
      <c r="B527" s="16"/>
      <c r="I527" s="905"/>
      <c r="J527" s="961" t="s">
        <v>176</v>
      </c>
      <c r="K527" s="1312"/>
      <c r="L527" s="1312"/>
      <c r="M527" s="1312"/>
      <c r="N527" s="80" t="s">
        <v>131</v>
      </c>
      <c r="O527" s="904"/>
      <c r="P527" s="21">
        <f>ROUND(IF(G521=0,0,O527/M487*M488),2)</f>
        <v>0</v>
      </c>
      <c r="Q527" s="1023"/>
      <c r="R527" s="1019"/>
      <c r="S527" s="1020"/>
    </row>
    <row r="528" spans="1:19" ht="14.25" hidden="1" customHeight="1" x14ac:dyDescent="0.2">
      <c r="A528" s="908"/>
      <c r="B528" s="908"/>
      <c r="C528" s="1013"/>
      <c r="D528" s="1013"/>
      <c r="I528" s="913"/>
      <c r="J528" s="913"/>
      <c r="K528" s="916"/>
      <c r="L528" s="27"/>
      <c r="M528" s="27"/>
      <c r="N528" s="27"/>
      <c r="O528" s="26" t="s">
        <v>0</v>
      </c>
      <c r="P528" s="25">
        <f>P521+SUM(P523:P527)</f>
        <v>0</v>
      </c>
    </row>
    <row r="529" spans="1:19" s="10" customFormat="1" ht="13.5" hidden="1" customHeight="1" x14ac:dyDescent="0.2">
      <c r="A529" s="1321" t="s">
        <v>17</v>
      </c>
      <c r="B529" s="1321"/>
      <c r="C529" s="1321"/>
      <c r="D529" s="1320" t="str">
        <f>IF('päd.Personal - Leitung'!$D$1="","",'päd.Personal - Leitung'!$D$1)</f>
        <v/>
      </c>
      <c r="E529" s="1320"/>
      <c r="F529" s="1320"/>
      <c r="G529" s="1320"/>
      <c r="H529" s="1320"/>
      <c r="I529" s="1320"/>
      <c r="J529" s="1320"/>
      <c r="K529" s="1320"/>
      <c r="L529" s="1320"/>
      <c r="M529" s="1320"/>
      <c r="N529" s="1320"/>
    </row>
    <row r="530" spans="1:19" s="10" customFormat="1" ht="15" hidden="1" customHeight="1" x14ac:dyDescent="0.2">
      <c r="A530" s="1321" t="s">
        <v>16</v>
      </c>
      <c r="B530" s="1321"/>
      <c r="C530" s="1321" t="s">
        <v>14</v>
      </c>
      <c r="D530" s="1320" t="str">
        <f>IF('päd.Personal - Leitung'!$D$2="","",'päd.Personal - Leitung'!$D$2)</f>
        <v/>
      </c>
      <c r="E530" s="1320"/>
      <c r="F530" s="1320"/>
      <c r="G530" s="1320"/>
      <c r="H530" s="1320"/>
      <c r="I530" s="1320"/>
      <c r="J530" s="1320"/>
      <c r="K530" s="1320"/>
      <c r="L530" s="1320"/>
      <c r="M530" s="1320"/>
      <c r="N530" s="1320"/>
    </row>
    <row r="531" spans="1:19" s="10" customFormat="1" ht="15" hidden="1" customHeight="1" x14ac:dyDescent="0.2">
      <c r="A531" s="1321" t="s">
        <v>15</v>
      </c>
      <c r="B531" s="1321"/>
      <c r="C531" s="1321" t="s">
        <v>14</v>
      </c>
      <c r="D531" s="1320" t="str">
        <f>IF('päd.Personal - Leitung'!$D$3="","",'päd.Personal - Leitung'!$D$3)</f>
        <v/>
      </c>
      <c r="E531" s="1320"/>
      <c r="F531" s="1320"/>
      <c r="G531" s="1320"/>
      <c r="H531" s="1320"/>
      <c r="I531" s="1320"/>
      <c r="J531" s="1320"/>
      <c r="K531" s="1321" t="s">
        <v>100</v>
      </c>
      <c r="L531" s="1321"/>
      <c r="M531" s="1321"/>
      <c r="N531" s="38" t="str">
        <f>IF('päd.Personal - Leitung'!$N$3="","",'päd.Personal - Leitung'!$N$3)</f>
        <v/>
      </c>
    </row>
    <row r="532" spans="1:19" s="923" customFormat="1" ht="7.5" hidden="1" customHeight="1" x14ac:dyDescent="0.15">
      <c r="A532" s="1353"/>
      <c r="B532" s="1353"/>
      <c r="C532" s="1353"/>
      <c r="D532" s="1354"/>
      <c r="E532" s="1354"/>
      <c r="F532" s="1354"/>
      <c r="G532" s="1354"/>
      <c r="H532" s="1354"/>
      <c r="I532" s="1354"/>
      <c r="J532" s="1354"/>
      <c r="K532" s="922"/>
      <c r="L532" s="922"/>
      <c r="M532" s="922"/>
      <c r="N532" s="922"/>
      <c r="O532" s="922"/>
      <c r="P532" s="922"/>
    </row>
    <row r="533" spans="1:19" s="18" customFormat="1" hidden="1" x14ac:dyDescent="0.2">
      <c r="A533" s="1355" t="s">
        <v>198</v>
      </c>
      <c r="B533" s="1355"/>
      <c r="C533" s="1355"/>
      <c r="D533" s="1355"/>
      <c r="E533" s="1355"/>
      <c r="F533" s="1355"/>
      <c r="G533" s="1355"/>
      <c r="H533" s="1355"/>
      <c r="I533" s="1355"/>
      <c r="J533" s="1355"/>
      <c r="K533" s="1355"/>
      <c r="L533" s="1355"/>
      <c r="M533" s="1355"/>
      <c r="N533" s="52"/>
      <c r="O533" s="138">
        <f>'päd.Personal - Leitung'!$O$5</f>
        <v>2025</v>
      </c>
      <c r="P533" s="52" t="s">
        <v>140</v>
      </c>
    </row>
    <row r="534" spans="1:19" s="8" customFormat="1" ht="13.5" hidden="1" customHeight="1" x14ac:dyDescent="0.25">
      <c r="B534" s="29"/>
      <c r="C534" s="29"/>
      <c r="D534" s="3" t="s">
        <v>68</v>
      </c>
      <c r="E534" s="28"/>
      <c r="F534" s="28"/>
      <c r="G534" s="28"/>
      <c r="H534" s="28"/>
      <c r="I534" s="24"/>
      <c r="K534" s="1327" t="s">
        <v>13</v>
      </c>
      <c r="L534" s="1327"/>
      <c r="M534" s="131"/>
      <c r="O534" s="928" t="str">
        <f>A557</f>
        <v>Jan 2025</v>
      </c>
      <c r="P534" s="68">
        <f>IF(M536="","",M536)</f>
        <v>0</v>
      </c>
    </row>
    <row r="535" spans="1:19" s="5" customFormat="1" ht="13.5" hidden="1" customHeight="1" x14ac:dyDescent="0.25">
      <c r="A535" s="1328" t="s">
        <v>754</v>
      </c>
      <c r="B535" s="1328"/>
      <c r="C535" s="1328"/>
      <c r="D535" s="1329"/>
      <c r="E535" s="1329"/>
      <c r="F535" s="1329"/>
      <c r="G535" s="1329"/>
      <c r="H535" s="1329"/>
      <c r="I535" s="1329"/>
      <c r="K535" s="1327" t="s">
        <v>101</v>
      </c>
      <c r="L535" s="1327"/>
      <c r="M535" s="101"/>
      <c r="O535" s="928" t="str">
        <f t="shared" ref="O535:O545" si="90">A558</f>
        <v>Feb 2025</v>
      </c>
      <c r="P535" s="69">
        <f t="shared" ref="P535:P545" si="91">IF(P534="","",P534)</f>
        <v>0</v>
      </c>
    </row>
    <row r="536" spans="1:19" ht="13.5" hidden="1" customHeight="1" x14ac:dyDescent="0.2">
      <c r="A536" s="1328" t="s">
        <v>12</v>
      </c>
      <c r="B536" s="1328"/>
      <c r="C536" s="1328"/>
      <c r="D536" s="1345"/>
      <c r="E536" s="1345"/>
      <c r="F536" s="1345"/>
      <c r="G536" s="1345"/>
      <c r="H536" s="1345"/>
      <c r="I536" s="1345"/>
      <c r="K536" s="1327" t="s">
        <v>149</v>
      </c>
      <c r="L536" s="1327"/>
      <c r="M536" s="101">
        <f>IF((M537+M538)&gt;M535,0,M535-M537-M538)</f>
        <v>0</v>
      </c>
      <c r="O536" s="928" t="str">
        <f t="shared" si="90"/>
        <v>Mrz 2025</v>
      </c>
      <c r="P536" s="69">
        <f t="shared" si="91"/>
        <v>0</v>
      </c>
    </row>
    <row r="537" spans="1:19" ht="13.5" hidden="1" customHeight="1" x14ac:dyDescent="0.2">
      <c r="A537" s="1328" t="s">
        <v>11</v>
      </c>
      <c r="B537" s="1328"/>
      <c r="C537" s="1328"/>
      <c r="D537" s="1345"/>
      <c r="E537" s="1345"/>
      <c r="F537" s="1345"/>
      <c r="G537" s="1345"/>
      <c r="H537" s="1345"/>
      <c r="I537" s="1345"/>
      <c r="K537" s="1327" t="s">
        <v>150</v>
      </c>
      <c r="L537" s="1327"/>
      <c r="M537" s="101"/>
      <c r="O537" s="928" t="str">
        <f t="shared" si="90"/>
        <v>Apr 2025</v>
      </c>
      <c r="P537" s="69">
        <f t="shared" si="91"/>
        <v>0</v>
      </c>
    </row>
    <row r="538" spans="1:19" ht="13.5" hidden="1" customHeight="1" x14ac:dyDescent="0.2">
      <c r="A538" s="1328" t="s">
        <v>18</v>
      </c>
      <c r="B538" s="1328"/>
      <c r="C538" s="1328"/>
      <c r="D538" s="1345"/>
      <c r="E538" s="1345"/>
      <c r="F538" s="1345"/>
      <c r="G538" s="1345"/>
      <c r="H538" s="1345"/>
      <c r="I538" s="1345"/>
      <c r="K538" s="1327" t="s">
        <v>222</v>
      </c>
      <c r="L538" s="1327"/>
      <c r="M538" s="101"/>
      <c r="O538" s="928" t="str">
        <f t="shared" si="90"/>
        <v>Mai 2025</v>
      </c>
      <c r="P538" s="69">
        <f t="shared" si="91"/>
        <v>0</v>
      </c>
    </row>
    <row r="539" spans="1:19" ht="13.5" hidden="1" customHeight="1" x14ac:dyDescent="0.2">
      <c r="B539" s="6"/>
      <c r="C539" s="1012" t="s">
        <v>147</v>
      </c>
      <c r="D539" s="1324"/>
      <c r="E539" s="1324"/>
      <c r="F539" s="1359" t="s">
        <v>108</v>
      </c>
      <c r="G539" s="1359"/>
      <c r="H539" s="1361"/>
      <c r="I539" s="1361"/>
      <c r="K539" s="1327" t="s">
        <v>94</v>
      </c>
      <c r="L539" s="1327"/>
      <c r="M539" s="15" t="str">
        <f>IF(IF((COUNTIF(B557:B568,"&gt;0"))=0,0,(COUNTIF(B557:B568,"&gt;0")))&gt;Grundlagen!$C$26,Grundlagen!$C$26,IF((COUNTIF(B557:B568,"&gt;0"))=0,"",(COUNTIF(B557:B568,"&gt;0"))))</f>
        <v/>
      </c>
      <c r="O539" s="928" t="str">
        <f t="shared" si="90"/>
        <v>Jun 2025</v>
      </c>
      <c r="P539" s="69">
        <f t="shared" si="91"/>
        <v>0</v>
      </c>
    </row>
    <row r="540" spans="1:19" ht="13.5" hidden="1" customHeight="1" x14ac:dyDescent="0.2">
      <c r="F540" s="1359" t="s">
        <v>213</v>
      </c>
      <c r="G540" s="1359"/>
      <c r="H540" s="1361"/>
      <c r="I540" s="1361"/>
      <c r="M540" s="102" t="str">
        <f>IF((SUM(F542:F545))=0,"",IF(P546&gt;M536,M536,IF(M536="","",IF(M539="","",P546))))</f>
        <v/>
      </c>
      <c r="O540" s="928" t="str">
        <f t="shared" si="90"/>
        <v>Jul 2025</v>
      </c>
      <c r="P540" s="69">
        <f t="shared" si="91"/>
        <v>0</v>
      </c>
    </row>
    <row r="541" spans="1:19" s="46" customFormat="1" ht="13.5" hidden="1" customHeight="1" x14ac:dyDescent="0.2">
      <c r="A541" s="54" t="s">
        <v>134</v>
      </c>
      <c r="B541" s="1356" t="s">
        <v>135</v>
      </c>
      <c r="C541" s="1356"/>
      <c r="D541" s="55" t="s">
        <v>136</v>
      </c>
      <c r="E541" s="56" t="s">
        <v>137</v>
      </c>
      <c r="F541" s="57" t="str">
        <f>CONCATENATE("Entg. ",N531," h/Wo")</f>
        <v>Entg.  h/Wo</v>
      </c>
      <c r="G541" s="58" t="s">
        <v>138</v>
      </c>
      <c r="I541" s="58" t="s">
        <v>139</v>
      </c>
      <c r="K541" s="970"/>
      <c r="L541" s="970"/>
      <c r="M541" s="59"/>
      <c r="N541" s="968" t="str">
        <f>IF(A543="","",A543)</f>
        <v/>
      </c>
      <c r="O541" s="928" t="str">
        <f t="shared" si="90"/>
        <v>Aug 2025</v>
      </c>
      <c r="P541" s="69">
        <f t="shared" si="91"/>
        <v>0</v>
      </c>
      <c r="Q541" s="1027"/>
      <c r="R541" s="1025"/>
      <c r="S541" s="1025"/>
    </row>
    <row r="542" spans="1:19" s="46" customFormat="1" ht="13.5" hidden="1" customHeight="1" x14ac:dyDescent="0.25">
      <c r="A542" s="48" t="str">
        <f>A557</f>
        <v>Jan 2025</v>
      </c>
      <c r="B542" s="1357" t="str">
        <f>IF($D$3="","",$D$3)</f>
        <v/>
      </c>
      <c r="C542" s="1358"/>
      <c r="D542" s="132"/>
      <c r="E542" s="132"/>
      <c r="F542" s="71"/>
      <c r="G542" s="50">
        <f>IF(N531="",0,F542/N531/4.348)</f>
        <v>0</v>
      </c>
      <c r="I542" s="51">
        <f>SUM(J542:M542)</f>
        <v>0</v>
      </c>
      <c r="J542" s="70"/>
      <c r="K542" s="70"/>
      <c r="L542" s="70"/>
      <c r="M542" s="70"/>
      <c r="N542" s="983"/>
      <c r="O542" s="928" t="str">
        <f t="shared" si="90"/>
        <v>Sep 2025</v>
      </c>
      <c r="P542" s="69">
        <f t="shared" si="91"/>
        <v>0</v>
      </c>
      <c r="Q542" s="1026"/>
      <c r="R542" s="829"/>
      <c r="S542" s="1028"/>
    </row>
    <row r="543" spans="1:19" s="46" customFormat="1" ht="13.5" hidden="1" customHeight="1" x14ac:dyDescent="0.25">
      <c r="A543" s="49"/>
      <c r="B543" s="1322" t="str">
        <f>IF(A543="","",B542)</f>
        <v/>
      </c>
      <c r="C543" s="1323"/>
      <c r="D543" s="132"/>
      <c r="E543" s="132"/>
      <c r="F543" s="71"/>
      <c r="G543" s="50">
        <f>IF(N531="",0,F543/N531/4.348)</f>
        <v>0</v>
      </c>
      <c r="I543" s="51">
        <f t="shared" ref="I543:I545" si="92">SUM(J543:M543)</f>
        <v>0</v>
      </c>
      <c r="J543" s="70"/>
      <c r="K543" s="70"/>
      <c r="L543" s="70"/>
      <c r="M543" s="70"/>
      <c r="N543" s="983"/>
      <c r="O543" s="928" t="str">
        <f t="shared" si="90"/>
        <v>Okt 2025</v>
      </c>
      <c r="P543" s="69">
        <f t="shared" si="91"/>
        <v>0</v>
      </c>
      <c r="Q543" s="1026"/>
      <c r="R543" s="829"/>
      <c r="S543" s="1028"/>
    </row>
    <row r="544" spans="1:19" s="46" customFormat="1" ht="13.5" hidden="1" customHeight="1" x14ac:dyDescent="0.25">
      <c r="A544" s="49"/>
      <c r="B544" s="1322" t="str">
        <f>IF(A544="","",B543)</f>
        <v/>
      </c>
      <c r="C544" s="1323"/>
      <c r="D544" s="132"/>
      <c r="E544" s="132"/>
      <c r="F544" s="71"/>
      <c r="G544" s="50">
        <f>IF(N531="",0,F544/N531/4.348)</f>
        <v>0</v>
      </c>
      <c r="I544" s="51">
        <f t="shared" si="92"/>
        <v>0</v>
      </c>
      <c r="J544" s="70"/>
      <c r="K544" s="70"/>
      <c r="L544" s="70"/>
      <c r="M544" s="70"/>
      <c r="N544" s="983"/>
      <c r="O544" s="928" t="str">
        <f t="shared" si="90"/>
        <v>Nov 2025</v>
      </c>
      <c r="P544" s="69">
        <f t="shared" si="91"/>
        <v>0</v>
      </c>
      <c r="Q544" s="828"/>
      <c r="R544" s="829"/>
      <c r="S544" s="829"/>
    </row>
    <row r="545" spans="1:20" s="46" customFormat="1" ht="13.5" hidden="1" customHeight="1" x14ac:dyDescent="0.25">
      <c r="A545" s="49"/>
      <c r="B545" s="1322" t="str">
        <f>IF(A545="","",B544)</f>
        <v/>
      </c>
      <c r="C545" s="1323"/>
      <c r="D545" s="132"/>
      <c r="E545" s="132"/>
      <c r="F545" s="71"/>
      <c r="G545" s="50">
        <f>IF(N531="",0,F545/N531/4.348)</f>
        <v>0</v>
      </c>
      <c r="I545" s="51">
        <f t="shared" si="92"/>
        <v>0</v>
      </c>
      <c r="J545" s="70"/>
      <c r="K545" s="70"/>
      <c r="L545" s="70"/>
      <c r="M545" s="70"/>
      <c r="N545" s="983"/>
      <c r="O545" s="928" t="str">
        <f t="shared" si="90"/>
        <v>Dez 2025</v>
      </c>
      <c r="P545" s="69">
        <f t="shared" si="91"/>
        <v>0</v>
      </c>
      <c r="Q545" s="276"/>
      <c r="R545" s="827"/>
      <c r="S545" s="827"/>
    </row>
    <row r="546" spans="1:20" s="46" customFormat="1" ht="13.5" hidden="1" customHeight="1" x14ac:dyDescent="0.25">
      <c r="B546" s="972"/>
      <c r="C546" s="972"/>
      <c r="E546" s="972"/>
      <c r="F546" s="972"/>
      <c r="I546" s="930" t="s">
        <v>730</v>
      </c>
      <c r="J546" s="982"/>
      <c r="K546" s="982"/>
      <c r="L546" s="982"/>
      <c r="M546" s="982"/>
      <c r="N546" s="994"/>
      <c r="O546" s="126" t="s">
        <v>221</v>
      </c>
      <c r="P546" s="127">
        <f>IF(M539="",0,((IF(SUMIF(B557,"&gt;0"),P534,0))+(IF(SUMIF(B558,"&gt;0"),P535,0))+(IF(SUMIF(B559,"&gt;0"),P536,0))+(IF(SUMIF(B560,"&gt;0"),P537,0))+(IF(SUMIF(B561,"&gt;0"),P538,0))+(IF(SUMIF(B562,"&gt;0"),P539,0))+(IF(SUMIF(B563,"&gt;0"),P540,0))+(IF(SUMIF(B564,"&gt;0"),P541,0))+(IF(SUMIF(B565,"&gt;0"),P542,0))+(IF(SUMIF(B566,"&gt;0"),P543,0))+(IF(SUMIF(B567,"&gt;0"),P544,0))+(IF(SUMIF(B568,"&gt;0"),P545,0)))/Grundlagen!$C$26)</f>
        <v>0</v>
      </c>
      <c r="Q546" s="1009" t="str">
        <f>CONCATENATE("BBG"," anteilig ",O548)</f>
        <v>BBG anteilig 2025</v>
      </c>
      <c r="R546" s="931" t="s">
        <v>659</v>
      </c>
      <c r="S546" s="931" t="s">
        <v>398</v>
      </c>
      <c r="T546" s="107"/>
    </row>
    <row r="547" spans="1:20" s="46" customFormat="1" ht="13.5" hidden="1" customHeight="1" x14ac:dyDescent="0.2">
      <c r="A547" s="924" t="s">
        <v>732</v>
      </c>
      <c r="D547" s="55" t="s">
        <v>369</v>
      </c>
      <c r="E547" s="56" t="s">
        <v>368</v>
      </c>
      <c r="F547" s="58"/>
      <c r="J547" s="61"/>
      <c r="Q547" s="932" t="s">
        <v>144</v>
      </c>
      <c r="R547" s="140">
        <f>IF(M536=0,R551,IF(M535="",R551,(SUM(R557:R568)/M539)))</f>
        <v>5175</v>
      </c>
      <c r="S547" s="933">
        <f>IF(M536=0,S551,IF(M535="",S551,SUM(R557:R568)))</f>
        <v>0</v>
      </c>
      <c r="T547" s="107"/>
    </row>
    <row r="548" spans="1:20" s="46" customFormat="1" ht="13.5" hidden="1" customHeight="1" x14ac:dyDescent="0.25">
      <c r="A548" s="60"/>
      <c r="B548" s="1314" t="str">
        <f>IF($B$20="","",$B$20)</f>
        <v>Jahressonderzahlung (JSZ)</v>
      </c>
      <c r="C548" s="1315"/>
      <c r="D548" s="926"/>
      <c r="E548" s="929" t="str">
        <f>IF(A548="","",ROUND((((SUM(B563:B565)+SUM(F563:F565))/3)*D548)/Grundlagen!$C$26*M539,2))</f>
        <v/>
      </c>
      <c r="N548" s="917" t="s">
        <v>736</v>
      </c>
      <c r="O548" s="918">
        <f>P548+1</f>
        <v>2025</v>
      </c>
      <c r="P548" s="918" t="s">
        <v>721</v>
      </c>
      <c r="Q548" s="932" t="s">
        <v>145</v>
      </c>
      <c r="R548" s="140">
        <f>IF(M536=0,R552,IF(M535="",R552,(SUM(S557:S568)/M539)))</f>
        <v>7450</v>
      </c>
      <c r="S548" s="933">
        <f>IF(M536=0,S552,IF(M535="",S552,SUM(S557:S568)))</f>
        <v>0</v>
      </c>
      <c r="T548" s="109"/>
    </row>
    <row r="549" spans="1:20" s="18" customFormat="1" ht="14.25" hidden="1" customHeight="1" x14ac:dyDescent="0.2">
      <c r="A549" s="60"/>
      <c r="B549" s="1314" t="str">
        <f>IF($B$21="","",$B$21)</f>
        <v>Leistungsentgelt (LOB)</v>
      </c>
      <c r="C549" s="1315"/>
      <c r="D549" s="926"/>
      <c r="E549" s="929" t="str">
        <f>IF(A549="","",ROUND(((B569+F569)*D549)/Grundlagen!$C$26*M539,2))</f>
        <v/>
      </c>
      <c r="F549" s="1"/>
      <c r="N549" s="139" t="s">
        <v>144</v>
      </c>
      <c r="O549" s="141">
        <f>'päd.Personal - Leitung'!$O$21</f>
        <v>5175</v>
      </c>
      <c r="P549" s="141">
        <f>'päd.Personal - Leitung'!$P$21</f>
        <v>5175</v>
      </c>
      <c r="Q549" s="11"/>
      <c r="R549" s="11"/>
      <c r="S549" s="11"/>
      <c r="T549" s="109"/>
    </row>
    <row r="550" spans="1:20" s="18" customFormat="1" ht="14.25" hidden="1" customHeight="1" x14ac:dyDescent="0.2">
      <c r="A550" s="1"/>
      <c r="B550" s="1"/>
      <c r="C550" s="925" t="s">
        <v>731</v>
      </c>
      <c r="D550" s="1"/>
      <c r="E550" s="1"/>
      <c r="F550" s="1"/>
      <c r="N550" s="139" t="s">
        <v>145</v>
      </c>
      <c r="O550" s="899">
        <f>'päd.Personal - Leitung'!$O$22</f>
        <v>7450</v>
      </c>
      <c r="P550" s="899">
        <f>'päd.Personal - Leitung'!$P$22</f>
        <v>7450</v>
      </c>
      <c r="Q550" s="1009" t="str">
        <f>CONCATENATE("BBG"," ",O548)</f>
        <v>BBG 2025</v>
      </c>
      <c r="R550" s="11"/>
      <c r="S550" s="11"/>
      <c r="T550" s="109"/>
    </row>
    <row r="551" spans="1:20" s="18" customFormat="1" ht="14.25" hidden="1" customHeight="1" x14ac:dyDescent="0.2">
      <c r="A551" s="53" t="s">
        <v>141</v>
      </c>
      <c r="Q551" s="932" t="s">
        <v>144</v>
      </c>
      <c r="R551" s="141">
        <f>IF($O$21="",0,$O$21)</f>
        <v>5175</v>
      </c>
      <c r="S551" s="933">
        <f>R551*IF(M539="",0,M539)</f>
        <v>0</v>
      </c>
    </row>
    <row r="552" spans="1:20" s="18" customFormat="1" ht="14.25" hidden="1" customHeight="1" x14ac:dyDescent="0.2">
      <c r="A552" s="1346"/>
      <c r="B552" s="1348" t="s">
        <v>8</v>
      </c>
      <c r="C552" s="1349"/>
      <c r="D552" s="1349"/>
      <c r="E552" s="1349"/>
      <c r="F552" s="1349"/>
      <c r="G552" s="1350"/>
      <c r="H552" s="1351" t="s">
        <v>113</v>
      </c>
      <c r="I552" s="1352"/>
      <c r="J552" s="1352"/>
      <c r="K552" s="1352"/>
      <c r="L552" s="1352"/>
      <c r="M552" s="1352"/>
      <c r="N552" s="1368" t="s">
        <v>658</v>
      </c>
      <c r="O552" s="30"/>
      <c r="P552" s="1330" t="s">
        <v>0</v>
      </c>
      <c r="Q552" s="932" t="s">
        <v>145</v>
      </c>
      <c r="R552" s="141">
        <f>IF($O$22="",0,$O$22)</f>
        <v>7450</v>
      </c>
      <c r="S552" s="933">
        <f>R552*IF(M539="",0,M539)</f>
        <v>0</v>
      </c>
    </row>
    <row r="553" spans="1:20" s="18" customFormat="1" ht="14.25" hidden="1" customHeight="1" x14ac:dyDescent="0.2">
      <c r="A553" s="1347"/>
      <c r="B553" s="1333" t="s">
        <v>111</v>
      </c>
      <c r="C553" s="1335" t="s">
        <v>743</v>
      </c>
      <c r="D553" s="1337" t="s">
        <v>226</v>
      </c>
      <c r="E553" s="1339" t="s">
        <v>133</v>
      </c>
      <c r="F553" s="1014" t="s">
        <v>6</v>
      </c>
      <c r="G553" s="1340" t="s">
        <v>5</v>
      </c>
      <c r="H553" s="1339" t="s">
        <v>119</v>
      </c>
      <c r="I553" s="1339" t="s">
        <v>657</v>
      </c>
      <c r="J553" s="1339" t="s">
        <v>4</v>
      </c>
      <c r="K553" s="1339" t="s">
        <v>3</v>
      </c>
      <c r="L553" s="1339" t="s">
        <v>2</v>
      </c>
      <c r="M553" s="1339" t="s">
        <v>95</v>
      </c>
      <c r="N553" s="1369"/>
      <c r="O553" s="1338" t="s">
        <v>109</v>
      </c>
      <c r="P553" s="1331"/>
      <c r="Q553" s="456"/>
      <c r="R553" s="11"/>
      <c r="S553" s="11"/>
    </row>
    <row r="554" spans="1:20" s="18" customFormat="1" ht="14.25" hidden="1" customHeight="1" x14ac:dyDescent="0.2">
      <c r="A554" s="1347"/>
      <c r="B554" s="1333"/>
      <c r="C554" s="1335"/>
      <c r="D554" s="1338"/>
      <c r="E554" s="1339"/>
      <c r="F554" s="1343" t="str">
        <f>I546</f>
        <v>Zuschläge / Zulagen / o.ä.:</v>
      </c>
      <c r="G554" s="1340"/>
      <c r="H554" s="1342" t="s">
        <v>117</v>
      </c>
      <c r="I554" s="1339"/>
      <c r="J554" s="1342"/>
      <c r="K554" s="1342"/>
      <c r="L554" s="1342"/>
      <c r="M554" s="1339"/>
      <c r="N554" s="1369"/>
      <c r="O554" s="1338"/>
      <c r="P554" s="1331"/>
      <c r="Q554" s="456"/>
      <c r="R554" s="1306" t="str">
        <f>Q546</f>
        <v>BBG anteilig 2025</v>
      </c>
      <c r="S554" s="1306"/>
    </row>
    <row r="555" spans="1:20" s="18" customFormat="1" hidden="1" x14ac:dyDescent="0.2">
      <c r="A555" s="1347"/>
      <c r="B555" s="1333"/>
      <c r="C555" s="1335"/>
      <c r="D555" s="1338"/>
      <c r="E555" s="1339"/>
      <c r="F555" s="1343"/>
      <c r="G555" s="1340"/>
      <c r="H555" s="39" t="str">
        <f>'päd.Personal - Leitung'!$H$27</f>
        <v>(7,30% + Zusatz)</v>
      </c>
      <c r="I555" s="39" t="str">
        <f>$I$411</f>
        <v xml:space="preserve"> (2024: 18,60%)</v>
      </c>
      <c r="J555" s="39" t="str">
        <f>'päd.Personal - Leitung'!$I$27</f>
        <v xml:space="preserve"> (2024: 9,30%)</v>
      </c>
      <c r="K555" s="39" t="str">
        <f>'päd.Personal - Leitung'!$J$27</f>
        <v>(2024: 1,30%)</v>
      </c>
      <c r="L555" s="39" t="str">
        <f>'päd.Personal - Leitung'!$K$27</f>
        <v>(2024: 1,700%)</v>
      </c>
      <c r="M555" s="1339"/>
      <c r="N555" s="39" t="str">
        <f>$N$411</f>
        <v xml:space="preserve"> (2024: 20%)</v>
      </c>
      <c r="O555" s="1338"/>
      <c r="P555" s="1331"/>
      <c r="Q555" s="456"/>
      <c r="R555" s="1307" t="s">
        <v>659</v>
      </c>
      <c r="S555" s="1307"/>
    </row>
    <row r="556" spans="1:20" s="18" customFormat="1" hidden="1" x14ac:dyDescent="0.2">
      <c r="A556" s="1347"/>
      <c r="B556" s="1334"/>
      <c r="C556" s="1336"/>
      <c r="D556" s="45"/>
      <c r="E556" s="45"/>
      <c r="F556" s="1344"/>
      <c r="G556" s="1341"/>
      <c r="H556" s="74"/>
      <c r="I556" s="19"/>
      <c r="J556" s="99">
        <f>'päd.Personal - Leitung'!$I$28</f>
        <v>0</v>
      </c>
      <c r="K556" s="99">
        <f>'päd.Personal - Leitung'!$J$28</f>
        <v>0</v>
      </c>
      <c r="L556" s="40">
        <f>'päd.Personal - Leitung'!$K$28</f>
        <v>0</v>
      </c>
      <c r="M556" s="19"/>
      <c r="N556" s="19"/>
      <c r="O556" s="19"/>
      <c r="P556" s="1332"/>
      <c r="Q556" s="456"/>
      <c r="R556" s="935" t="s">
        <v>144</v>
      </c>
      <c r="S556" s="935" t="s">
        <v>145</v>
      </c>
    </row>
    <row r="557" spans="1:20" s="18" customFormat="1" hidden="1" x14ac:dyDescent="0.2">
      <c r="A557" s="76" t="str">
        <f>'päd.Personal - Leitung'!$A$29</f>
        <v>Jan 2025</v>
      </c>
      <c r="B557" s="22">
        <f>ROUND(IF(P534=0,0,(LOOKUP(2,1/(A542:A545=A557),G542:G545))*P534*4.348)*50%,2)</f>
        <v>0</v>
      </c>
      <c r="C557" s="21">
        <f>ROUND(IFERROR((LOOKUP(2,1/(A548=A557),E548)),0)+IFERROR((LOOKUP(2,1/(A549=A557),E549)),0),2)</f>
        <v>0</v>
      </c>
      <c r="D557" s="21">
        <f>ROUND(IF(B557=0,0,D556/M535*P534*50%),2)</f>
        <v>0</v>
      </c>
      <c r="E557" s="21">
        <f>ROUND(IF(B557=0,0,E556/N531*P534*50%),2)</f>
        <v>0</v>
      </c>
      <c r="F557" s="22">
        <f>ROUND(IF(P534=0,0,(LOOKUP(2,1/(A542:A545=A557),I542:I545))/N531*P534)*50%,2)</f>
        <v>0</v>
      </c>
      <c r="G557" s="25">
        <f>SUM(B557+C557+E557+F557)</f>
        <v>0</v>
      </c>
      <c r="H557" s="831">
        <f>ROUND(SUM(B557:F557)*H556,2)</f>
        <v>0</v>
      </c>
      <c r="I557" s="64">
        <f>ROUND(IF((SUM(B557:F557)*80%)&gt;((S557)*90%),((((S557)*90%)-((SUM(B557:F557)-C557))*I556)+((SUM(B557:F557)-C557)*I556)*80%),((SUM(B557:F557)-C557)*I556)*80%),2)</f>
        <v>0</v>
      </c>
      <c r="J557" s="831">
        <f>ROUND(SUM(B557:F557)*J556,2)</f>
        <v>0</v>
      </c>
      <c r="K557" s="831">
        <f>ROUND(SUM(B557:F557)*K556,2)</f>
        <v>0</v>
      </c>
      <c r="L557" s="831">
        <f>ROUND(SUM(B557:F557)*L556,2)</f>
        <v>0</v>
      </c>
      <c r="M557" s="831">
        <f>ROUND((SUM(B557:F557)-C557)*M556,2)</f>
        <v>0</v>
      </c>
      <c r="N557" s="21">
        <f>ROUND((B557+E557+F557)*N556,2)</f>
        <v>0</v>
      </c>
      <c r="O557" s="21">
        <f>ROUND(SUM(B557+C557+F557)*O556,2)</f>
        <v>0</v>
      </c>
      <c r="P557" s="25">
        <f>SUM(G557:O557)</f>
        <v>0</v>
      </c>
      <c r="Q557" s="456"/>
      <c r="R557" s="140">
        <f>ROUND(IF(M535="",R551,R551/M535*P534),2)</f>
        <v>5175</v>
      </c>
      <c r="S557" s="140">
        <f>ROUND(IF(M535="",R552,R552/M535*P534),2)</f>
        <v>7450</v>
      </c>
    </row>
    <row r="558" spans="1:20" s="18" customFormat="1" hidden="1" x14ac:dyDescent="0.2">
      <c r="A558" s="76" t="str">
        <f>'päd.Personal - Leitung'!$A$30</f>
        <v>Feb 2025</v>
      </c>
      <c r="B558" s="22">
        <f>ROUND(IF(P535=0,0,IFERROR((((LOOKUP(2,1/(A542:A545=A558),G542:G545))*P535*4.348)*50%),B557/P534*P535)),2)</f>
        <v>0</v>
      </c>
      <c r="C558" s="21">
        <f>ROUND(IFERROR((LOOKUP(2,1/(A548=A558),E548)),0)+IFERROR((LOOKUP(2,1/(A549=A558),E549)),0),2)</f>
        <v>0</v>
      </c>
      <c r="D558" s="21">
        <f>ROUND(IF(B558=0,0,D556/M535*P535*50%),2)</f>
        <v>0</v>
      </c>
      <c r="E558" s="21">
        <f>ROUND(IF(B558=0,0,E556/N531*P535*50%),2)</f>
        <v>0</v>
      </c>
      <c r="F558" s="22">
        <f>ROUND(IF(P535=0,0,IFERROR((((LOOKUP(2,1/(A542:A545=A558),I542:I545))/N531*P535)*50%),F557/P534*P535)),2)</f>
        <v>0</v>
      </c>
      <c r="G558" s="25">
        <f t="shared" ref="G558:G568" si="93">SUM(B558+C558+E558+F558)</f>
        <v>0</v>
      </c>
      <c r="H558" s="831">
        <f>ROUND(SUM(B558:F558)*H556,2)</f>
        <v>0</v>
      </c>
      <c r="I558" s="64">
        <f>ROUND(IF((SUM(B558:F558)*80%)&gt;((SUM(S554:S558))*90%),((((SUM(S554:S558))*90%)-((SUM(B558:F558)-C558))*I556)+((SUM(B558:F558)-C558)*I556)*80%),((SUM(B558:F558)-C558)*I556)*80%),2)</f>
        <v>0</v>
      </c>
      <c r="J558" s="831">
        <f>ROUND(SUM(B558:F558)*J556,2)</f>
        <v>0</v>
      </c>
      <c r="K558" s="831">
        <f>ROUND(SUM(B558:F558)*K556,2)</f>
        <v>0</v>
      </c>
      <c r="L558" s="831">
        <f>ROUND(SUM(B558:F558)*L556,2)</f>
        <v>0</v>
      </c>
      <c r="M558" s="831">
        <f>ROUND((SUM(B558:F558)-C558)*M556,2)</f>
        <v>0</v>
      </c>
      <c r="N558" s="21">
        <f>ROUND((B558+E558+F558)*N556,2)</f>
        <v>0</v>
      </c>
      <c r="O558" s="21">
        <f>ROUND(SUM(B558+C558+F558)*O556,2)</f>
        <v>0</v>
      </c>
      <c r="P558" s="25">
        <f t="shared" ref="P558:P560" si="94">SUM(G558:O558)</f>
        <v>0</v>
      </c>
      <c r="Q558" s="456"/>
      <c r="R558" s="140">
        <f>ROUND(IF(M535="",R551,R551/M535*P535),2)</f>
        <v>5175</v>
      </c>
      <c r="S558" s="140">
        <f>ROUND(IF(M535="",R552,R552/M535*P535),2)</f>
        <v>7450</v>
      </c>
    </row>
    <row r="559" spans="1:20" s="18" customFormat="1" hidden="1" x14ac:dyDescent="0.2">
      <c r="A559" s="76" t="str">
        <f>'päd.Personal - Leitung'!$A$31</f>
        <v>Mrz 2025</v>
      </c>
      <c r="B559" s="22">
        <f>ROUND(IF(P536=0,0,IFERROR((((LOOKUP(2,1/(A542:A545=A559),G542:G545))*P536*4.348)*50%),B558/P535*P536)),2)</f>
        <v>0</v>
      </c>
      <c r="C559" s="21">
        <f>ROUND(IFERROR((LOOKUP(2,1/(A548=A559),E548)),0)+IFERROR((LOOKUP(2,1/(A549=A559),E549)),0),2)</f>
        <v>0</v>
      </c>
      <c r="D559" s="21">
        <f>ROUND(IF(B559=0,0,D556/M535*P536*50%),2)</f>
        <v>0</v>
      </c>
      <c r="E559" s="21">
        <f>ROUND(IF(B559=0,0,E556/N531*P536*50%),2)</f>
        <v>0</v>
      </c>
      <c r="F559" s="22">
        <f>ROUND(IF(P536=0,0,IFERROR((((LOOKUP(2,1/(A542:A545=A559),I542:I545))/N531*P536)*50%),F558/P535*P536)),2)</f>
        <v>0</v>
      </c>
      <c r="G559" s="25">
        <f t="shared" si="93"/>
        <v>0</v>
      </c>
      <c r="H559" s="831">
        <f>ROUND(SUM(B559:F559)*H556,2)</f>
        <v>0</v>
      </c>
      <c r="I559" s="64">
        <f>ROUND(IF((SUM(B558:F559)*80%)&gt;((SUM(S554:S559))*90%),((((SUM(S554:S559))*90%)-((SUM(B558:F559)-C559))*I556)+((SUM(B559:F559)-C559)*I556)*80%),((SUM(B559:F559)-C559)*I556)*80%),2)</f>
        <v>0</v>
      </c>
      <c r="J559" s="831">
        <f>ROUND(SUM(B559:F559)*J556,2)</f>
        <v>0</v>
      </c>
      <c r="K559" s="831">
        <f>ROUND(SUM(B559:F559)*K556,2)</f>
        <v>0</v>
      </c>
      <c r="L559" s="831">
        <f>ROUND(SUM(B559:F559)*L556,2)</f>
        <v>0</v>
      </c>
      <c r="M559" s="831">
        <f>ROUND((SUM(B559:F559)-C559)*M556,2)</f>
        <v>0</v>
      </c>
      <c r="N559" s="21">
        <f>ROUND((B559+E559+F559)*N556,2)</f>
        <v>0</v>
      </c>
      <c r="O559" s="21">
        <f>ROUND(SUM(B559+C559+F559)*O556,2)</f>
        <v>0</v>
      </c>
      <c r="P559" s="25">
        <f t="shared" si="94"/>
        <v>0</v>
      </c>
      <c r="Q559" s="456"/>
      <c r="R559" s="140">
        <f>ROUND(IF(M535="",R551,R551/M535*P536),2)</f>
        <v>5175</v>
      </c>
      <c r="S559" s="140">
        <f>ROUND(IF(M535="",R552,R552/M535*P536),2)</f>
        <v>7450</v>
      </c>
    </row>
    <row r="560" spans="1:20" s="18" customFormat="1" hidden="1" x14ac:dyDescent="0.2">
      <c r="A560" s="76" t="str">
        <f>'päd.Personal - Leitung'!$A$32</f>
        <v>Apr 2025</v>
      </c>
      <c r="B560" s="22">
        <f>ROUND(IF(P537=0,0,IFERROR((((LOOKUP(2,1/(A542:A545=A560),G542:G545))*P537*4.348)*50%),B559/P536*P537)),2)</f>
        <v>0</v>
      </c>
      <c r="C560" s="21">
        <f>ROUND(IFERROR((LOOKUP(2,1/(A548=A560),E548)),0)+IFERROR((LOOKUP(2,1/(A549=A560),E549)),0),2)</f>
        <v>0</v>
      </c>
      <c r="D560" s="21">
        <f>ROUND(IF(B560=0,0,D556/M535*P537*50%),2)</f>
        <v>0</v>
      </c>
      <c r="E560" s="21">
        <f>ROUND(IF(B560=0,0,E556/N531*P537*50%),2)</f>
        <v>0</v>
      </c>
      <c r="F560" s="22">
        <f>ROUND(IF(P537=0,0,IFERROR((((LOOKUP(2,1/(A542:A545=A560),I542:I545))/N531*P537)*50%),F559/P536*P537)),2)</f>
        <v>0</v>
      </c>
      <c r="G560" s="25">
        <f t="shared" si="93"/>
        <v>0</v>
      </c>
      <c r="H560" s="831">
        <f>ROUND(SUM(B560:F560)*H556,2)</f>
        <v>0</v>
      </c>
      <c r="I560" s="64">
        <f>ROUND(IF((SUM(B558:F560)*80%)&gt;((SUM(S554:S560))*90%),((((SUM(S554:S560))*90%)-((SUM(B558:F560)-C560))*I556)+((SUM(B560:F560)-C560)*I556)*80%),((SUM(B560:F560)-C560)*I556)*80%),2)</f>
        <v>0</v>
      </c>
      <c r="J560" s="831">
        <f>ROUND(SUM(B560:F560)*J556,2)</f>
        <v>0</v>
      </c>
      <c r="K560" s="831">
        <f>ROUND(SUM(B560:F560)*K556,2)</f>
        <v>0</v>
      </c>
      <c r="L560" s="831">
        <f>ROUND(SUM(B560:F560)*L556,2)</f>
        <v>0</v>
      </c>
      <c r="M560" s="831">
        <f>ROUND((SUM(B560:F560)-C560)*M556,2)</f>
        <v>0</v>
      </c>
      <c r="N560" s="21">
        <f>ROUND((B560+E560+F560)*N556,2)</f>
        <v>0</v>
      </c>
      <c r="O560" s="21">
        <f>ROUND(SUM(B560+C560+F560)*O556,2)</f>
        <v>0</v>
      </c>
      <c r="P560" s="25">
        <f t="shared" si="94"/>
        <v>0</v>
      </c>
      <c r="Q560" s="456"/>
      <c r="R560" s="140">
        <f>ROUND(IF(M535="",R551,R551/M535*P537),2)</f>
        <v>5175</v>
      </c>
      <c r="S560" s="140">
        <f>ROUND(IF(M535="",R552,R552/M535*P537),2)</f>
        <v>7450</v>
      </c>
    </row>
    <row r="561" spans="1:19" s="18" customFormat="1" hidden="1" x14ac:dyDescent="0.2">
      <c r="A561" s="76" t="str">
        <f>'päd.Personal - Leitung'!$A$33</f>
        <v>Mai 2025</v>
      </c>
      <c r="B561" s="22">
        <f>ROUND(IF(P538=0,0,IFERROR((((LOOKUP(2,1/(A542:A545=A561),G542:G545))*P538*4.348)*50%),B560/P537*P538)),2)</f>
        <v>0</v>
      </c>
      <c r="C561" s="21">
        <f>ROUND(IFERROR((LOOKUP(2,1/(A548=A561),E548)),0)+IFERROR((LOOKUP(2,1/(A549=A561),E549)),0),2)</f>
        <v>0</v>
      </c>
      <c r="D561" s="21">
        <f>ROUND(IF(B561=0,0,D556/M535*P538*50%),2)</f>
        <v>0</v>
      </c>
      <c r="E561" s="21">
        <f>ROUND(IF(B561=0,0,E556/N531*P538*50%),2)</f>
        <v>0</v>
      </c>
      <c r="F561" s="22">
        <f>ROUND(IF(P538=0,0,IFERROR((((LOOKUP(2,1/(A542:A545=A561),I542:I545))/N531*P538)*50%),F560/P537*P538)),2)</f>
        <v>0</v>
      </c>
      <c r="G561" s="25">
        <f t="shared" si="93"/>
        <v>0</v>
      </c>
      <c r="H561" s="831">
        <f>ROUND(SUM(B561:F561)*H556,2)</f>
        <v>0</v>
      </c>
      <c r="I561" s="64">
        <f>ROUND(IF((SUM(B558:F561)*80%)&gt;((SUM(S554:S561))*90%),((((SUM(S554:S561))*90%)-((SUM(B558:F561)-C561))*I556)+((SUM(B561:F561)-C561)*I556)*80%),((SUM(B561:F561)-C561)*I556)*80%),2)</f>
        <v>0</v>
      </c>
      <c r="J561" s="831">
        <f>ROUND(SUM(B561:F561)*J556,2)</f>
        <v>0</v>
      </c>
      <c r="K561" s="831">
        <f>ROUND(SUM(B561:F561)*K556,2)</f>
        <v>0</v>
      </c>
      <c r="L561" s="831">
        <f>ROUND(SUM(B561:F561)*L556,2)</f>
        <v>0</v>
      </c>
      <c r="M561" s="831">
        <f>ROUND((SUM(B561:F561)-C561)*M556,2)</f>
        <v>0</v>
      </c>
      <c r="N561" s="21">
        <f>ROUND((B561+E561+F561)*N556,2)</f>
        <v>0</v>
      </c>
      <c r="O561" s="21">
        <f>ROUND(SUM(B561+C561+F561)*O556,2)</f>
        <v>0</v>
      </c>
      <c r="P561" s="25">
        <f t="shared" ref="P561:P568" si="95">SUM(G561:O561)</f>
        <v>0</v>
      </c>
      <c r="Q561" s="456"/>
      <c r="R561" s="140">
        <f>ROUND(IF(M535="",R551,R551/M535*P538),2)</f>
        <v>5175</v>
      </c>
      <c r="S561" s="140">
        <f>ROUND(IF(M535="",R552,R552/M535*P538),2)</f>
        <v>7450</v>
      </c>
    </row>
    <row r="562" spans="1:19" s="18" customFormat="1" hidden="1" x14ac:dyDescent="0.2">
      <c r="A562" s="76" t="str">
        <f>'päd.Personal - Leitung'!$A$34</f>
        <v>Jun 2025</v>
      </c>
      <c r="B562" s="22">
        <f>ROUND(IF(P539=0,0,IFERROR((((LOOKUP(2,1/(A542:A545=A562),G542:G545))*P539*4.348)*50%),B561/P538*P539)),2)</f>
        <v>0</v>
      </c>
      <c r="C562" s="21">
        <f>ROUND(IFERROR((LOOKUP(2,1/(A548=A562),E548)),0)+IFERROR((LOOKUP(2,1/(A549=A562),E549)),0),2)</f>
        <v>0</v>
      </c>
      <c r="D562" s="21">
        <f>ROUND(IF(B562=0,0,D556/M535*P539*50%),2)</f>
        <v>0</v>
      </c>
      <c r="E562" s="21">
        <f>ROUND(IF(B562=0,0,E556/N531*P539*50%),2)</f>
        <v>0</v>
      </c>
      <c r="F562" s="22">
        <f>ROUND(IF(P539=0,0,IFERROR((((LOOKUP(2,1/(A542:A545=A562),I542:I545))/N531*P539)*50%),F561/P538*P539)),2)</f>
        <v>0</v>
      </c>
      <c r="G562" s="25">
        <f t="shared" si="93"/>
        <v>0</v>
      </c>
      <c r="H562" s="831">
        <f>ROUND(SUM(B562:F562)*H556,2)</f>
        <v>0</v>
      </c>
      <c r="I562" s="64">
        <f>ROUND(IF((SUM(B558:F562)*80%)&gt;((SUM(S554:S562))*90%),((((SUM(S554:S562))*90%)-((SUM(B558:F562)-C562))*I556)+((SUM(B562:F562)-C562)*I556)*80%),((SUM(B562:F562)-C562)*I556)*80%),2)</f>
        <v>0</v>
      </c>
      <c r="J562" s="831">
        <f>ROUND(SUM(B562:F562)*J556,2)</f>
        <v>0</v>
      </c>
      <c r="K562" s="831">
        <f>ROUND(SUM(B562:F562)*K556,2)</f>
        <v>0</v>
      </c>
      <c r="L562" s="831">
        <f>ROUND(SUM(B562:F562)*L556,2)</f>
        <v>0</v>
      </c>
      <c r="M562" s="831">
        <f>ROUND((SUM(B562:F562)-C562)*M556,2)</f>
        <v>0</v>
      </c>
      <c r="N562" s="21">
        <f>ROUND((B562+E562+F562)*N556,2)</f>
        <v>0</v>
      </c>
      <c r="O562" s="21">
        <f>ROUND(SUM(B562+C562+F562)*O556,2)</f>
        <v>0</v>
      </c>
      <c r="P562" s="25">
        <f t="shared" si="95"/>
        <v>0</v>
      </c>
      <c r="Q562" s="456"/>
      <c r="R562" s="140">
        <f>ROUND(IF(M535="",R551,R551/M535*P539),2)</f>
        <v>5175</v>
      </c>
      <c r="S562" s="140">
        <f>ROUND(IF(M535="",R552,R552/M535*P539),2)</f>
        <v>7450</v>
      </c>
    </row>
    <row r="563" spans="1:19" s="18" customFormat="1" hidden="1" x14ac:dyDescent="0.2">
      <c r="A563" s="76" t="str">
        <f>'päd.Personal - Leitung'!$A$35</f>
        <v>Jul 2025</v>
      </c>
      <c r="B563" s="22">
        <f>ROUND(IF(P540=0,0,IFERROR((((LOOKUP(2,1/(A542:A545=A563),G542:G545))*P540*4.348)*50%),B562/P539*P540)),2)</f>
        <v>0</v>
      </c>
      <c r="C563" s="21">
        <f>ROUND(IFERROR((LOOKUP(2,1/(A548=A563),E548)),0)+IFERROR((LOOKUP(2,1/(A549=A563),E549)),0),2)</f>
        <v>0</v>
      </c>
      <c r="D563" s="21">
        <f>ROUND(IF(B563=0,0,D556/M535*P540*50%),2)</f>
        <v>0</v>
      </c>
      <c r="E563" s="21">
        <f>ROUND(IF(B563=0,0,E556/N531*P540*50%),2)</f>
        <v>0</v>
      </c>
      <c r="F563" s="22">
        <f>ROUND(IF(P540=0,0,IFERROR((((LOOKUP(2,1/(A542:A545=A563),I542:I545))/N531*P540)*50%),F562/P539*P540)),2)</f>
        <v>0</v>
      </c>
      <c r="G563" s="25">
        <f t="shared" si="93"/>
        <v>0</v>
      </c>
      <c r="H563" s="831">
        <f>ROUND(SUM(B563:F563)*H556,2)</f>
        <v>0</v>
      </c>
      <c r="I563" s="64">
        <f>ROUND(IF((SUM(B558:F563)*80%)&gt;((SUM(S554:S563))*90%),((((SUM(S554:S563))*90%)-((SUM(B558:F563)-C563))*I556)+((SUM(B563:F563)-C563)*I556)*80%),((SUM(B563:F563)-C563)*I556)*80%),2)</f>
        <v>0</v>
      </c>
      <c r="J563" s="831">
        <f>ROUND(SUM(B563:F563)*J556,2)</f>
        <v>0</v>
      </c>
      <c r="K563" s="831">
        <f>ROUND(SUM(B563:F563)*K556,2)</f>
        <v>0</v>
      </c>
      <c r="L563" s="831">
        <f>ROUND(SUM(B563:F563)*L556,2)</f>
        <v>0</v>
      </c>
      <c r="M563" s="831">
        <f>ROUND((SUM(B563:F563)-C563)*M556,2)</f>
        <v>0</v>
      </c>
      <c r="N563" s="21">
        <f>ROUND((B563+E563+F563)*N556,2)</f>
        <v>0</v>
      </c>
      <c r="O563" s="21">
        <f>ROUND(SUM(B563+C563+F563)*O556,2)</f>
        <v>0</v>
      </c>
      <c r="P563" s="25">
        <f t="shared" si="95"/>
        <v>0</v>
      </c>
      <c r="Q563" s="456"/>
      <c r="R563" s="140">
        <f>ROUND(IF(M535="",R551,R551/M535*P540),2)</f>
        <v>5175</v>
      </c>
      <c r="S563" s="140">
        <f>ROUND(IF(M535="",R552,R552/M535*P540),2)</f>
        <v>7450</v>
      </c>
    </row>
    <row r="564" spans="1:19" s="18" customFormat="1" hidden="1" x14ac:dyDescent="0.2">
      <c r="A564" s="76" t="str">
        <f>'päd.Personal - Leitung'!$A$36</f>
        <v>Aug 2025</v>
      </c>
      <c r="B564" s="22">
        <f>ROUND(IF(P541=0,0,IFERROR((((LOOKUP(2,1/(A542:A545=A564),G542:G545))*P541*4.348)*50%),B563/P540*P541)),2)</f>
        <v>0</v>
      </c>
      <c r="C564" s="21">
        <f>ROUND(IFERROR((LOOKUP(2,1/(A548=A564),E548)),0)+IFERROR((LOOKUP(2,1/(A549=A564),E549)),0),2)</f>
        <v>0</v>
      </c>
      <c r="D564" s="21">
        <f>ROUND(IF(B564=0,0,D556/M535*P541*50%),2)</f>
        <v>0</v>
      </c>
      <c r="E564" s="21">
        <f>ROUND(IF(B564=0,0,E556/N531*P541*50%),2)</f>
        <v>0</v>
      </c>
      <c r="F564" s="22">
        <f>ROUND(IF(P541=0,0,IFERROR((((LOOKUP(2,1/(A542:A545=A564),I542:I545))/N531*P541)*50%),F563/P540*P541)),2)</f>
        <v>0</v>
      </c>
      <c r="G564" s="25">
        <f t="shared" si="93"/>
        <v>0</v>
      </c>
      <c r="H564" s="831">
        <f>ROUND(SUM(B564:F564)*H556,2)</f>
        <v>0</v>
      </c>
      <c r="I564" s="64">
        <f>ROUND(IF((SUM(B558:F564)*80%)&gt;((SUM(S554:S564))*90%),((((SUM(S554:S564))*90%)-((SUM(B558:F564)-C564))*I556)+((SUM(B564:F564)-C564)*I556)*80%),((SUM(B564:F564)-C564)*I556)*80%),2)</f>
        <v>0</v>
      </c>
      <c r="J564" s="831">
        <f>ROUND(SUM(B564:F564)*J556,2)</f>
        <v>0</v>
      </c>
      <c r="K564" s="831">
        <f>ROUND(SUM(B564:F564)*K556,2)</f>
        <v>0</v>
      </c>
      <c r="L564" s="831">
        <f>ROUND(SUM(B564:F564)*L556,2)</f>
        <v>0</v>
      </c>
      <c r="M564" s="831">
        <f>ROUND((SUM(B564:F564)-C564)*M556,2)</f>
        <v>0</v>
      </c>
      <c r="N564" s="21">
        <f>ROUND((B564+E564+F564)*N556,2)</f>
        <v>0</v>
      </c>
      <c r="O564" s="21">
        <f>ROUND(SUM(B564+C564+F564)*O556,2)</f>
        <v>0</v>
      </c>
      <c r="P564" s="25">
        <f t="shared" si="95"/>
        <v>0</v>
      </c>
      <c r="Q564" s="456"/>
      <c r="R564" s="140">
        <f>ROUND(IF(M535="",R551,R551/M535*P541),2)</f>
        <v>5175</v>
      </c>
      <c r="S564" s="140">
        <f>ROUND(IF(M535="",R552,R552/M535*P541),2)</f>
        <v>7450</v>
      </c>
    </row>
    <row r="565" spans="1:19" s="18" customFormat="1" hidden="1" x14ac:dyDescent="0.2">
      <c r="A565" s="76" t="str">
        <f>'päd.Personal - Leitung'!$A$37</f>
        <v>Sep 2025</v>
      </c>
      <c r="B565" s="22">
        <f>ROUND(IF(P542=0,0,IFERROR((((LOOKUP(2,1/(A542:A545=A565),G542:G545))*P542*4.348)*50%),B564/P541*P542)),2)</f>
        <v>0</v>
      </c>
      <c r="C565" s="21">
        <f>ROUND(IFERROR((LOOKUP(2,1/(A548=A565),E548)),0)+IFERROR((LOOKUP(2,1/(A549=A565),E549)),0),2)</f>
        <v>0</v>
      </c>
      <c r="D565" s="21">
        <f>ROUND(IF(B565=0,0,D556/M535*P542*50%),2)</f>
        <v>0</v>
      </c>
      <c r="E565" s="21">
        <f>ROUND(IF(B565=0,0,E556/N531*P542*50%),2)</f>
        <v>0</v>
      </c>
      <c r="F565" s="22">
        <f>ROUND(IF(P542=0,0,IFERROR((((LOOKUP(2,1/(A542:A545=A565),I542:I545))/N531*P542)*50%),F564/P541*P542)),2)</f>
        <v>0</v>
      </c>
      <c r="G565" s="25">
        <f t="shared" si="93"/>
        <v>0</v>
      </c>
      <c r="H565" s="831">
        <f>ROUND(SUM(B565:F565)*H556,2)</f>
        <v>0</v>
      </c>
      <c r="I565" s="64">
        <f>ROUND(IF((SUM(B558:F565)*80%)&gt;((SUM(S554:S565))*90%),((((SUM(S554:S565))*90%)-((SUM(B558:F565)-C565))*I556)+((SUM(B565:F565)-C565)*I556)*80%),((SUM(B565:F565)-C565)*I556)*80%),2)</f>
        <v>0</v>
      </c>
      <c r="J565" s="831">
        <f>ROUND(SUM(B565:F565)*J556,2)</f>
        <v>0</v>
      </c>
      <c r="K565" s="831">
        <f>ROUND(SUM(B565:F565)*K556,2)</f>
        <v>0</v>
      </c>
      <c r="L565" s="831">
        <f>ROUND(SUM(B565:F565)*L556,2)</f>
        <v>0</v>
      </c>
      <c r="M565" s="831">
        <f>ROUND((SUM(B565:F565)-C565)*M556,2)</f>
        <v>0</v>
      </c>
      <c r="N565" s="21">
        <f>ROUND((B565+E565+F565)*N556,2)</f>
        <v>0</v>
      </c>
      <c r="O565" s="21">
        <f>ROUND(SUM(B565+C565+F565)*O556,2)</f>
        <v>0</v>
      </c>
      <c r="P565" s="25">
        <f t="shared" si="95"/>
        <v>0</v>
      </c>
      <c r="Q565" s="456"/>
      <c r="R565" s="140">
        <f>ROUND(IF(M535="",R551,R551/M535*P542),2)</f>
        <v>5175</v>
      </c>
      <c r="S565" s="140">
        <f>ROUND(IF(M535="",R552,R552/M535*P542),2)</f>
        <v>7450</v>
      </c>
    </row>
    <row r="566" spans="1:19" s="18" customFormat="1" hidden="1" x14ac:dyDescent="0.2">
      <c r="A566" s="76" t="str">
        <f>'päd.Personal - Leitung'!$A$38</f>
        <v>Okt 2025</v>
      </c>
      <c r="B566" s="22">
        <f>ROUND(IF(P543=0,0,IFERROR((((LOOKUP(2,1/(A542:A545=A566),G542:G545))*P543*4.348)*50%),B565/P542*P543)),2)</f>
        <v>0</v>
      </c>
      <c r="C566" s="21">
        <f>ROUND(IFERROR((LOOKUP(2,1/(A548=A566),E548)),0)+IFERROR((LOOKUP(2,1/(A549=A566),E549)),0),2)</f>
        <v>0</v>
      </c>
      <c r="D566" s="21">
        <f>ROUND(IF(B566=0,0,D556/M535*P543*50%),2)</f>
        <v>0</v>
      </c>
      <c r="E566" s="21">
        <f>ROUND(IF(B566=0,0,E556/N531*P543*50%),2)</f>
        <v>0</v>
      </c>
      <c r="F566" s="22">
        <f>ROUND(IF(P543=0,0,IFERROR((((LOOKUP(2,1/(A542:A545=A566),I542:I545))/N531*P543)*50%),F565/P542*P543)),2)</f>
        <v>0</v>
      </c>
      <c r="G566" s="25">
        <f t="shared" si="93"/>
        <v>0</v>
      </c>
      <c r="H566" s="831">
        <f>ROUND(SUM(B566:F566)*H556,2)</f>
        <v>0</v>
      </c>
      <c r="I566" s="64">
        <f>ROUND(IF((SUM(B558:F566)*80%)&gt;((SUM(S554:S566))*90%),((((SUM(S554:S566))*90%)-((SUM(B558:F566)-C566))*I556)+((SUM(B566:F566)-C566)*I556)*80%),((SUM(B566:F566)-C566)*I556)*80%),2)</f>
        <v>0</v>
      </c>
      <c r="J566" s="831">
        <f>ROUND(SUM(B566:F566)*J556,2)</f>
        <v>0</v>
      </c>
      <c r="K566" s="831">
        <f>ROUND(SUM(B566:F566)*K556,2)</f>
        <v>0</v>
      </c>
      <c r="L566" s="831">
        <f>ROUND(SUM(B566:F566)*L556,2)</f>
        <v>0</v>
      </c>
      <c r="M566" s="831">
        <f>ROUND((SUM(B566:F566)-C566)*M556,2)</f>
        <v>0</v>
      </c>
      <c r="N566" s="21">
        <f>ROUND((B566+E566+F566)*N556,2)</f>
        <v>0</v>
      </c>
      <c r="O566" s="21">
        <f>ROUND(SUM(B566+C566+F566)*O556,2)</f>
        <v>0</v>
      </c>
      <c r="P566" s="25">
        <f t="shared" si="95"/>
        <v>0</v>
      </c>
      <c r="Q566" s="936"/>
      <c r="R566" s="140">
        <f>ROUND(IF(M535="",R551,R551/M535*P543),2)</f>
        <v>5175</v>
      </c>
      <c r="S566" s="140">
        <f>ROUND(IF(M535="",R552,R552/M535*P543),2)</f>
        <v>7450</v>
      </c>
    </row>
    <row r="567" spans="1:19" s="18" customFormat="1" hidden="1" x14ac:dyDescent="0.2">
      <c r="A567" s="76" t="str">
        <f>'päd.Personal - Leitung'!$A$39</f>
        <v>Nov 2025</v>
      </c>
      <c r="B567" s="22">
        <f>ROUND(IF(P544=0,0,IFERROR((((LOOKUP(2,1/(A542:A545=A567),G542:G545))*P544*4.348)*50%),B566/P543*P544)),2)</f>
        <v>0</v>
      </c>
      <c r="C567" s="21">
        <f>ROUND(IFERROR((LOOKUP(2,1/(A548=A567),E548)),0)+(IFERROR((LOOKUP(2,1/(A549=A567),E549)),0)),2)</f>
        <v>0</v>
      </c>
      <c r="D567" s="21">
        <f>ROUND(IF(B567=0,0,D556/M535*P544*50%),2)</f>
        <v>0</v>
      </c>
      <c r="E567" s="21">
        <f>ROUND(IF(B567=0,0,E556/N531*P544*50%),2)</f>
        <v>0</v>
      </c>
      <c r="F567" s="22">
        <f>ROUND(IF(P544=0,0,IFERROR((((LOOKUP(2,1/(A542:A545=A567),I542:I545))/N531*P544)*50%),F566/P543*P544)),2)</f>
        <v>0</v>
      </c>
      <c r="G567" s="25">
        <f t="shared" si="93"/>
        <v>0</v>
      </c>
      <c r="H567" s="831">
        <f>ROUND(SUM(B567:F567)*H556,2)</f>
        <v>0</v>
      </c>
      <c r="I567" s="64">
        <f>ROUND(IF((SUM(B558:F567)*80%)&gt;((SUM(S554:S567))*90%),((((SUM(S554:S567))*90%)-((SUM(B558:F567)-C567))*I556)+((SUM(B567:F567)-C567)*I556)*80%),((SUM(B567:F567)-C567)*I556)*80%),2)</f>
        <v>0</v>
      </c>
      <c r="J567" s="831">
        <f>ROUND(SUM(B567:F567)*J556,2)</f>
        <v>0</v>
      </c>
      <c r="K567" s="831">
        <f>ROUND(SUM(B567:F567)*K556,2)</f>
        <v>0</v>
      </c>
      <c r="L567" s="831">
        <f>ROUND(SUM(B567:F567)*L556,2)</f>
        <v>0</v>
      </c>
      <c r="M567" s="831">
        <f>ROUND((SUM(B567:F567)-C567)*M556,2)</f>
        <v>0</v>
      </c>
      <c r="N567" s="21">
        <f>ROUND((B567+E567+F567)*N556,2)</f>
        <v>0</v>
      </c>
      <c r="O567" s="21">
        <f>ROUND(SUM(B567+C567+F567)*O556,2)</f>
        <v>0</v>
      </c>
      <c r="P567" s="25">
        <f t="shared" si="95"/>
        <v>0</v>
      </c>
      <c r="Q567" s="11"/>
      <c r="R567" s="140">
        <f>ROUND(IF(M535="",R551,R551/M535*P544),2)</f>
        <v>5175</v>
      </c>
      <c r="S567" s="140">
        <f>ROUND(IF(M535="",R552,R552/M535*P544),2)</f>
        <v>7450</v>
      </c>
    </row>
    <row r="568" spans="1:19" s="18" customFormat="1" hidden="1" x14ac:dyDescent="0.2">
      <c r="A568" s="76" t="str">
        <f>'päd.Personal - Leitung'!$A$40</f>
        <v>Dez 2025</v>
      </c>
      <c r="B568" s="22">
        <f>ROUND(IF(P545=0,0,IFERROR((((LOOKUP(2,1/(A542:A545=A568),G542:G545))*P545*4.348)*50%),B567/P544*P545)),2)</f>
        <v>0</v>
      </c>
      <c r="C568" s="21">
        <f>ROUND(IFERROR((LOOKUP(2,1/(A548=A568),E548)),0)+IFERROR((LOOKUP(2,1/(A549=A568),E549)),0),2)</f>
        <v>0</v>
      </c>
      <c r="D568" s="21">
        <f>ROUND(IF(B568=0,0,D556/M535*P545*50%),2)</f>
        <v>0</v>
      </c>
      <c r="E568" s="21">
        <f>ROUND(IF(B568=0,0,E556/N531*P545*50%),2)</f>
        <v>0</v>
      </c>
      <c r="F568" s="22">
        <f>ROUND(IF(P545=0,0,IFERROR((((LOOKUP(2,1/(A542:A545=A568),I542:I545))/N531*P545)*50%),F567/P544*P545)),2)</f>
        <v>0</v>
      </c>
      <c r="G568" s="25">
        <f t="shared" si="93"/>
        <v>0</v>
      </c>
      <c r="H568" s="831">
        <f>ROUND(SUM(B568:F568)*H556,2)</f>
        <v>0</v>
      </c>
      <c r="I568" s="64">
        <f>ROUND(IF((SUM(B558:F568)*80%)&gt;((SUM(S554:S568))*90%),((((SUM(S554:S568))*90%)-((SUM(B558:F568)-C568))*I556)+((SUM(B568:F568)-C568)*I556)*80%),((SUM(B568:F568)-C568)*I556)*80%),2)</f>
        <v>0</v>
      </c>
      <c r="J568" s="831">
        <f>ROUND(SUM(B568:F568)*J556,2)</f>
        <v>0</v>
      </c>
      <c r="K568" s="831">
        <f>ROUND(SUM(B568:F568)*K556,2)</f>
        <v>0</v>
      </c>
      <c r="L568" s="831">
        <f>ROUND(SUM(B568:F568)*L556,2)</f>
        <v>0</v>
      </c>
      <c r="M568" s="831">
        <f>ROUND((SUM(B568:F568)-C568)*M556,2)</f>
        <v>0</v>
      </c>
      <c r="N568" s="21">
        <f>ROUND((B568+E568+F568)*N556,2)</f>
        <v>0</v>
      </c>
      <c r="O568" s="21">
        <f>ROUND(SUM(B568+C568+F568)*O556,2)</f>
        <v>0</v>
      </c>
      <c r="P568" s="25">
        <f t="shared" si="95"/>
        <v>0</v>
      </c>
      <c r="Q568" s="11"/>
      <c r="R568" s="140">
        <f>ROUND(IF(M535="",R551,R551/M535*P545),2)</f>
        <v>5175</v>
      </c>
      <c r="S568" s="140">
        <f>ROUND(IF(M535="",R552,R552/M535*P545),2)</f>
        <v>7450</v>
      </c>
    </row>
    <row r="569" spans="1:19" s="18" customFormat="1" hidden="1" x14ac:dyDescent="0.2">
      <c r="A569" s="2" t="s">
        <v>1</v>
      </c>
      <c r="B569" s="25">
        <f t="shared" ref="B569" si="96">SUM(B557:B568)</f>
        <v>0</v>
      </c>
      <c r="C569" s="25">
        <f t="shared" ref="C569" si="97">SUM(C557:C568)</f>
        <v>0</v>
      </c>
      <c r="D569" s="25">
        <f t="shared" ref="D569" si="98">SUM(D557:D568)</f>
        <v>0</v>
      </c>
      <c r="E569" s="25">
        <f t="shared" ref="E569" si="99">SUM(E557:E568)</f>
        <v>0</v>
      </c>
      <c r="F569" s="25">
        <f t="shared" ref="F569" si="100">SUM(F557:F568)</f>
        <v>0</v>
      </c>
      <c r="G569" s="25">
        <f t="shared" ref="G569" si="101">SUM(G557:G568)</f>
        <v>0</v>
      </c>
      <c r="H569" s="1309">
        <f>SUM(H557:M568)</f>
        <v>0</v>
      </c>
      <c r="I569" s="1310"/>
      <c r="J569" s="1310"/>
      <c r="K569" s="1310"/>
      <c r="L569" s="1310"/>
      <c r="M569" s="1310"/>
      <c r="N569" s="25">
        <f>SUM(N557:N568)</f>
        <v>0</v>
      </c>
      <c r="O569" s="25">
        <f>SUM(O557:O568)</f>
        <v>0</v>
      </c>
      <c r="P569" s="25">
        <f>SUM(P557:P568)</f>
        <v>0</v>
      </c>
    </row>
    <row r="570" spans="1:19" s="18" customFormat="1" hidden="1" x14ac:dyDescent="0.2">
      <c r="O570" s="14"/>
      <c r="Q570" s="1021"/>
      <c r="R570" s="1021"/>
      <c r="S570" s="1021"/>
    </row>
    <row r="571" spans="1:19" ht="14.25" hidden="1" customHeight="1" x14ac:dyDescent="0.2">
      <c r="B571" s="906"/>
      <c r="H571" s="905"/>
      <c r="I571" s="62"/>
      <c r="J571" s="914" t="s">
        <v>123</v>
      </c>
      <c r="L571" s="900" t="s">
        <v>124</v>
      </c>
      <c r="M571" s="1032"/>
      <c r="N571" s="902" t="s">
        <v>125</v>
      </c>
      <c r="O571" s="1033"/>
      <c r="P571" s="25">
        <f>ROUND(IF(M571="",0,G569*M571*O571/1000),2)</f>
        <v>0</v>
      </c>
      <c r="Q571" s="1015"/>
      <c r="R571" s="1022"/>
      <c r="S571" s="1016"/>
    </row>
    <row r="572" spans="1:19" ht="14.25" hidden="1" customHeight="1" x14ac:dyDescent="0.2">
      <c r="H572" s="907"/>
      <c r="I572" s="42"/>
      <c r="M572" s="915" t="s">
        <v>129</v>
      </c>
      <c r="N572" s="80" t="s">
        <v>125</v>
      </c>
      <c r="O572" s="1034"/>
      <c r="P572" s="25">
        <f>ROUND(IF(O572="",0,G569*O572/1000),2)</f>
        <v>0</v>
      </c>
      <c r="Q572" s="1023"/>
      <c r="R572" s="65"/>
      <c r="S572" s="1017"/>
    </row>
    <row r="573" spans="1:19" ht="14.25" hidden="1" customHeight="1" x14ac:dyDescent="0.2">
      <c r="H573" s="912" t="s">
        <v>126</v>
      </c>
      <c r="I573" s="1013" t="s">
        <v>127</v>
      </c>
      <c r="J573" s="1037"/>
      <c r="K573" s="902" t="s">
        <v>128</v>
      </c>
      <c r="L573" s="1036"/>
      <c r="M573" s="16"/>
      <c r="N573" s="900" t="s">
        <v>132</v>
      </c>
      <c r="O573" s="1035"/>
      <c r="P573" s="25">
        <f>ROUND(IF(J573="",0,(J573*L573/O573)/M537*M538),2)</f>
        <v>0</v>
      </c>
      <c r="Q573" s="1023"/>
      <c r="R573" s="66"/>
      <c r="S573" s="1016"/>
    </row>
    <row r="574" spans="1:19" ht="14.25" hidden="1" customHeight="1" x14ac:dyDescent="0.2">
      <c r="D574" s="16"/>
      <c r="I574" s="16"/>
      <c r="J574" s="16"/>
      <c r="K574" s="63"/>
      <c r="L574" s="67"/>
      <c r="M574" s="915" t="s">
        <v>130</v>
      </c>
      <c r="N574" s="80" t="s">
        <v>131</v>
      </c>
      <c r="O574" s="904"/>
      <c r="P574" s="21">
        <f>ROUND(IF(G569=0,0,O574/M535*M536),2)</f>
        <v>0</v>
      </c>
      <c r="Q574" s="1023"/>
      <c r="R574" s="1018"/>
      <c r="S574" s="1024"/>
    </row>
    <row r="575" spans="1:19" ht="14.25" hidden="1" customHeight="1" x14ac:dyDescent="0.2">
      <c r="A575" s="16"/>
      <c r="B575" s="16"/>
      <c r="I575" s="905"/>
      <c r="J575" s="961" t="s">
        <v>176</v>
      </c>
      <c r="K575" s="1312"/>
      <c r="L575" s="1312"/>
      <c r="M575" s="1312"/>
      <c r="N575" s="80" t="s">
        <v>131</v>
      </c>
      <c r="O575" s="904"/>
      <c r="P575" s="21">
        <f>ROUND(IF(G569=0,0,O575/M535*M536),2)</f>
        <v>0</v>
      </c>
      <c r="Q575" s="1023"/>
      <c r="R575" s="1019"/>
      <c r="S575" s="1020"/>
    </row>
    <row r="576" spans="1:19" ht="14.25" hidden="1" customHeight="1" x14ac:dyDescent="0.2">
      <c r="A576" s="908"/>
      <c r="B576" s="908"/>
      <c r="C576" s="1013"/>
      <c r="D576" s="1013"/>
      <c r="I576" s="913"/>
      <c r="J576" s="913"/>
      <c r="K576" s="916"/>
      <c r="L576" s="27"/>
      <c r="M576" s="27"/>
      <c r="N576" s="27"/>
      <c r="O576" s="26" t="s">
        <v>0</v>
      </c>
      <c r="P576" s="25">
        <f>P569+SUM(P571:P575)</f>
        <v>0</v>
      </c>
    </row>
  </sheetData>
  <sheetProtection algorithmName="SHA-512" hashValue="/gUlKlP3OgSqsOAcKWaCpMnK5/Y7fEofOgHn5x0QNyH8P7m62fqmQgKoFDGnF0ksf6RKCwaScV5pDf9tBJus+A==" saltValue="WlaQ56zi5TpmND3CjnnUMA==" spinCount="100000" sheet="1" objects="1" scenarios="1"/>
  <mergeCells count="704">
    <mergeCell ref="R554:S554"/>
    <mergeCell ref="R555:S555"/>
    <mergeCell ref="H569:M569"/>
    <mergeCell ref="K575:M575"/>
    <mergeCell ref="A552:A556"/>
    <mergeCell ref="B552:G552"/>
    <mergeCell ref="H552:M552"/>
    <mergeCell ref="N552:N554"/>
    <mergeCell ref="P552:P556"/>
    <mergeCell ref="B553:B556"/>
    <mergeCell ref="C553:C556"/>
    <mergeCell ref="D553:D555"/>
    <mergeCell ref="E553:E555"/>
    <mergeCell ref="G553:G556"/>
    <mergeCell ref="H553:H554"/>
    <mergeCell ref="I553:I554"/>
    <mergeCell ref="J553:J554"/>
    <mergeCell ref="K553:K554"/>
    <mergeCell ref="L553:L554"/>
    <mergeCell ref="M553:M555"/>
    <mergeCell ref="O553:O555"/>
    <mergeCell ref="F554:F556"/>
    <mergeCell ref="B500:C500"/>
    <mergeCell ref="B501:C501"/>
    <mergeCell ref="A504:A508"/>
    <mergeCell ref="B504:G504"/>
    <mergeCell ref="H504:M504"/>
    <mergeCell ref="N504:N506"/>
    <mergeCell ref="P504:P508"/>
    <mergeCell ref="B505:B508"/>
    <mergeCell ref="C505:C508"/>
    <mergeCell ref="D505:D507"/>
    <mergeCell ref="E505:E507"/>
    <mergeCell ref="G505:G508"/>
    <mergeCell ref="H505:H506"/>
    <mergeCell ref="I505:I506"/>
    <mergeCell ref="J505:J506"/>
    <mergeCell ref="K505:K506"/>
    <mergeCell ref="L505:L506"/>
    <mergeCell ref="M505:M507"/>
    <mergeCell ref="O505:O507"/>
    <mergeCell ref="F506:F508"/>
    <mergeCell ref="H473:M473"/>
    <mergeCell ref="K479:M479"/>
    <mergeCell ref="K486:L486"/>
    <mergeCell ref="K487:L487"/>
    <mergeCell ref="A485:M485"/>
    <mergeCell ref="A487:C487"/>
    <mergeCell ref="D487:I487"/>
    <mergeCell ref="C457:C460"/>
    <mergeCell ref="D457:D459"/>
    <mergeCell ref="E457:E459"/>
    <mergeCell ref="G457:G460"/>
    <mergeCell ref="H457:H458"/>
    <mergeCell ref="I457:I458"/>
    <mergeCell ref="J457:J458"/>
    <mergeCell ref="K457:K458"/>
    <mergeCell ref="L457:L458"/>
    <mergeCell ref="B457:B460"/>
    <mergeCell ref="A483:C483"/>
    <mergeCell ref="D483:J483"/>
    <mergeCell ref="K483:M483"/>
    <mergeCell ref="A456:A460"/>
    <mergeCell ref="K441:L441"/>
    <mergeCell ref="K442:L442"/>
    <mergeCell ref="K443:L443"/>
    <mergeCell ref="B452:C452"/>
    <mergeCell ref="M457:M459"/>
    <mergeCell ref="O457:O459"/>
    <mergeCell ref="F458:F460"/>
    <mergeCell ref="R458:S458"/>
    <mergeCell ref="R459:S459"/>
    <mergeCell ref="P456:P460"/>
    <mergeCell ref="N456:N458"/>
    <mergeCell ref="B449:C449"/>
    <mergeCell ref="B453:C453"/>
    <mergeCell ref="B456:G456"/>
    <mergeCell ref="H456:M456"/>
    <mergeCell ref="B397:C397"/>
    <mergeCell ref="B404:C404"/>
    <mergeCell ref="B405:C405"/>
    <mergeCell ref="A408:A412"/>
    <mergeCell ref="B408:G408"/>
    <mergeCell ref="H408:M408"/>
    <mergeCell ref="N408:N410"/>
    <mergeCell ref="P408:P412"/>
    <mergeCell ref="B409:B412"/>
    <mergeCell ref="C409:C412"/>
    <mergeCell ref="D409:D411"/>
    <mergeCell ref="E409:E411"/>
    <mergeCell ref="G409:G412"/>
    <mergeCell ref="H409:H410"/>
    <mergeCell ref="I409:I410"/>
    <mergeCell ref="J409:J410"/>
    <mergeCell ref="K409:K410"/>
    <mergeCell ref="L409:L410"/>
    <mergeCell ref="M409:M411"/>
    <mergeCell ref="O409:O411"/>
    <mergeCell ref="F410:F412"/>
    <mergeCell ref="K392:L392"/>
    <mergeCell ref="K393:L393"/>
    <mergeCell ref="K394:L394"/>
    <mergeCell ref="D395:E395"/>
    <mergeCell ref="F395:G395"/>
    <mergeCell ref="H395:I395"/>
    <mergeCell ref="K395:L395"/>
    <mergeCell ref="A393:C393"/>
    <mergeCell ref="D393:I393"/>
    <mergeCell ref="A394:C394"/>
    <mergeCell ref="D394:I394"/>
    <mergeCell ref="D392:I392"/>
    <mergeCell ref="A392:C392"/>
    <mergeCell ref="U363:U364"/>
    <mergeCell ref="V363:V364"/>
    <mergeCell ref="H377:N377"/>
    <mergeCell ref="U315:U316"/>
    <mergeCell ref="V315:V316"/>
    <mergeCell ref="H329:N329"/>
    <mergeCell ref="K335:M335"/>
    <mergeCell ref="K342:L342"/>
    <mergeCell ref="K343:L343"/>
    <mergeCell ref="K344:L344"/>
    <mergeCell ref="K345:L345"/>
    <mergeCell ref="K346:L346"/>
    <mergeCell ref="P360:P364"/>
    <mergeCell ref="O361:O363"/>
    <mergeCell ref="P312:P316"/>
    <mergeCell ref="L313:L314"/>
    <mergeCell ref="M313:M314"/>
    <mergeCell ref="N313:N314"/>
    <mergeCell ref="O313:O315"/>
    <mergeCell ref="U267:U268"/>
    <mergeCell ref="V267:V268"/>
    <mergeCell ref="H281:N281"/>
    <mergeCell ref="K287:M287"/>
    <mergeCell ref="K294:L294"/>
    <mergeCell ref="K295:L295"/>
    <mergeCell ref="K296:L296"/>
    <mergeCell ref="K297:L297"/>
    <mergeCell ref="K298:L298"/>
    <mergeCell ref="D289:N289"/>
    <mergeCell ref="P264:P268"/>
    <mergeCell ref="L265:L266"/>
    <mergeCell ref="M265:M266"/>
    <mergeCell ref="N265:N266"/>
    <mergeCell ref="O265:O267"/>
    <mergeCell ref="D292:J292"/>
    <mergeCell ref="A293:J293"/>
    <mergeCell ref="A295:C295"/>
    <mergeCell ref="D295:I295"/>
    <mergeCell ref="D296:I296"/>
    <mergeCell ref="K248:L248"/>
    <mergeCell ref="K249:L249"/>
    <mergeCell ref="K250:L250"/>
    <mergeCell ref="P216:P220"/>
    <mergeCell ref="L217:L218"/>
    <mergeCell ref="M217:M218"/>
    <mergeCell ref="N217:N218"/>
    <mergeCell ref="O217:O219"/>
    <mergeCell ref="A245:J245"/>
    <mergeCell ref="D247:I247"/>
    <mergeCell ref="A248:C248"/>
    <mergeCell ref="D248:I248"/>
    <mergeCell ref="D249:I249"/>
    <mergeCell ref="D250:I250"/>
    <mergeCell ref="A243:C243"/>
    <mergeCell ref="A241:C241"/>
    <mergeCell ref="D241:N241"/>
    <mergeCell ref="A242:C242"/>
    <mergeCell ref="J217:J218"/>
    <mergeCell ref="K217:K218"/>
    <mergeCell ref="F218:F220"/>
    <mergeCell ref="A249:C249"/>
    <mergeCell ref="A250:C250"/>
    <mergeCell ref="D244:J244"/>
    <mergeCell ref="U219:U220"/>
    <mergeCell ref="V219:V220"/>
    <mergeCell ref="H233:N233"/>
    <mergeCell ref="K239:M239"/>
    <mergeCell ref="K246:L246"/>
    <mergeCell ref="K247:L247"/>
    <mergeCell ref="J169:J170"/>
    <mergeCell ref="K169:K170"/>
    <mergeCell ref="F170:F172"/>
    <mergeCell ref="U171:U172"/>
    <mergeCell ref="V171:V172"/>
    <mergeCell ref="H185:N185"/>
    <mergeCell ref="K191:M191"/>
    <mergeCell ref="K198:L198"/>
    <mergeCell ref="K199:L199"/>
    <mergeCell ref="K195:M195"/>
    <mergeCell ref="P168:P172"/>
    <mergeCell ref="L169:L170"/>
    <mergeCell ref="M169:M170"/>
    <mergeCell ref="N169:N170"/>
    <mergeCell ref="O169:O171"/>
    <mergeCell ref="D242:N242"/>
    <mergeCell ref="D243:J243"/>
    <mergeCell ref="K243:M243"/>
    <mergeCell ref="U123:U124"/>
    <mergeCell ref="V123:V124"/>
    <mergeCell ref="H137:N137"/>
    <mergeCell ref="K143:M143"/>
    <mergeCell ref="K150:L150"/>
    <mergeCell ref="K151:L151"/>
    <mergeCell ref="K152:L152"/>
    <mergeCell ref="K153:L153"/>
    <mergeCell ref="K154:L154"/>
    <mergeCell ref="P120:P124"/>
    <mergeCell ref="L121:L122"/>
    <mergeCell ref="M121:M122"/>
    <mergeCell ref="N121:N122"/>
    <mergeCell ref="O121:O123"/>
    <mergeCell ref="A149:J149"/>
    <mergeCell ref="A151:C151"/>
    <mergeCell ref="D151:I151"/>
    <mergeCell ref="A152:C152"/>
    <mergeCell ref="D152:I152"/>
    <mergeCell ref="A153:C153"/>
    <mergeCell ref="D153:I153"/>
    <mergeCell ref="A154:C154"/>
    <mergeCell ref="D154:I154"/>
    <mergeCell ref="A146:C146"/>
    <mergeCell ref="U75:U76"/>
    <mergeCell ref="V75:V76"/>
    <mergeCell ref="H89:N89"/>
    <mergeCell ref="K95:M95"/>
    <mergeCell ref="K102:L102"/>
    <mergeCell ref="K103:L103"/>
    <mergeCell ref="K104:L104"/>
    <mergeCell ref="K105:L105"/>
    <mergeCell ref="K106:L106"/>
    <mergeCell ref="P72:P76"/>
    <mergeCell ref="O73:O75"/>
    <mergeCell ref="A101:J101"/>
    <mergeCell ref="A103:C103"/>
    <mergeCell ref="D103:I103"/>
    <mergeCell ref="A104:C104"/>
    <mergeCell ref="D104:I104"/>
    <mergeCell ref="A105:C105"/>
    <mergeCell ref="D105:I105"/>
    <mergeCell ref="A106:C106"/>
    <mergeCell ref="D106:I106"/>
    <mergeCell ref="A97:C97"/>
    <mergeCell ref="D97:N97"/>
    <mergeCell ref="A98:C98"/>
    <mergeCell ref="D98:N98"/>
    <mergeCell ref="U27:U28"/>
    <mergeCell ref="V27:V28"/>
    <mergeCell ref="H41:N41"/>
    <mergeCell ref="K47:M47"/>
    <mergeCell ref="K54:L54"/>
    <mergeCell ref="K55:L55"/>
    <mergeCell ref="K56:L56"/>
    <mergeCell ref="K57:L57"/>
    <mergeCell ref="K58:L58"/>
    <mergeCell ref="A9:C9"/>
    <mergeCell ref="A24:A28"/>
    <mergeCell ref="B24:G24"/>
    <mergeCell ref="H24:N24"/>
    <mergeCell ref="P24:P28"/>
    <mergeCell ref="B25:B28"/>
    <mergeCell ref="C25:C28"/>
    <mergeCell ref="D25:D27"/>
    <mergeCell ref="E25:E27"/>
    <mergeCell ref="G25:G28"/>
    <mergeCell ref="H25:H26"/>
    <mergeCell ref="I25:I26"/>
    <mergeCell ref="J25:J26"/>
    <mergeCell ref="K25:K26"/>
    <mergeCell ref="L25:L26"/>
    <mergeCell ref="M25:M26"/>
    <mergeCell ref="N25:N26"/>
    <mergeCell ref="O25:O27"/>
    <mergeCell ref="F26:F28"/>
    <mergeCell ref="A1:C1"/>
    <mergeCell ref="A2:C2"/>
    <mergeCell ref="A3:C3"/>
    <mergeCell ref="A8:C8"/>
    <mergeCell ref="D1:N1"/>
    <mergeCell ref="D2:N2"/>
    <mergeCell ref="D3:J3"/>
    <mergeCell ref="K3:M3"/>
    <mergeCell ref="K51:M51"/>
    <mergeCell ref="A4:C4"/>
    <mergeCell ref="A7:C7"/>
    <mergeCell ref="A10:C10"/>
    <mergeCell ref="D4:J4"/>
    <mergeCell ref="A5:J5"/>
    <mergeCell ref="D7:I7"/>
    <mergeCell ref="D8:I8"/>
    <mergeCell ref="D9:I9"/>
    <mergeCell ref="D10:I10"/>
    <mergeCell ref="K6:L6"/>
    <mergeCell ref="K7:L7"/>
    <mergeCell ref="K8:L8"/>
    <mergeCell ref="K9:L9"/>
    <mergeCell ref="K10:L10"/>
    <mergeCell ref="B20:C20"/>
    <mergeCell ref="A49:C49"/>
    <mergeCell ref="A50:C50"/>
    <mergeCell ref="A51:C51"/>
    <mergeCell ref="D11:E11"/>
    <mergeCell ref="F11:G11"/>
    <mergeCell ref="H11:I11"/>
    <mergeCell ref="B13:C13"/>
    <mergeCell ref="B14:C14"/>
    <mergeCell ref="B15:C15"/>
    <mergeCell ref="B16:C16"/>
    <mergeCell ref="B17:C17"/>
    <mergeCell ref="D49:N49"/>
    <mergeCell ref="D50:N50"/>
    <mergeCell ref="D51:J51"/>
    <mergeCell ref="I20:K20"/>
    <mergeCell ref="B21:C21"/>
    <mergeCell ref="I21:K21"/>
    <mergeCell ref="D251:E251"/>
    <mergeCell ref="F251:G251"/>
    <mergeCell ref="B209:C209"/>
    <mergeCell ref="A202:C202"/>
    <mergeCell ref="A196:C196"/>
    <mergeCell ref="A200:C200"/>
    <mergeCell ref="D200:I200"/>
    <mergeCell ref="A201:C201"/>
    <mergeCell ref="D201:I201"/>
    <mergeCell ref="D202:I202"/>
    <mergeCell ref="D203:E203"/>
    <mergeCell ref="F203:G203"/>
    <mergeCell ref="H203:I203"/>
    <mergeCell ref="B205:C205"/>
    <mergeCell ref="D196:J196"/>
    <mergeCell ref="A197:J197"/>
    <mergeCell ref="A199:C199"/>
    <mergeCell ref="D199:I199"/>
    <mergeCell ref="B212:C212"/>
    <mergeCell ref="I212:K212"/>
    <mergeCell ref="B213:C213"/>
    <mergeCell ref="I213:K213"/>
    <mergeCell ref="A216:A220"/>
    <mergeCell ref="A247:C247"/>
    <mergeCell ref="B261:C261"/>
    <mergeCell ref="I261:K261"/>
    <mergeCell ref="A264:A268"/>
    <mergeCell ref="B264:G264"/>
    <mergeCell ref="H264:N264"/>
    <mergeCell ref="B265:B268"/>
    <mergeCell ref="C265:C268"/>
    <mergeCell ref="D265:D267"/>
    <mergeCell ref="E265:E267"/>
    <mergeCell ref="G265:G268"/>
    <mergeCell ref="H265:H266"/>
    <mergeCell ref="I265:I266"/>
    <mergeCell ref="J265:J266"/>
    <mergeCell ref="K265:K266"/>
    <mergeCell ref="F266:F268"/>
    <mergeCell ref="C313:C316"/>
    <mergeCell ref="D313:D315"/>
    <mergeCell ref="E313:E315"/>
    <mergeCell ref="G313:G316"/>
    <mergeCell ref="H313:H314"/>
    <mergeCell ref="I313:I314"/>
    <mergeCell ref="J313:J314"/>
    <mergeCell ref="K313:K314"/>
    <mergeCell ref="F314:F316"/>
    <mergeCell ref="D386:N386"/>
    <mergeCell ref="A387:C387"/>
    <mergeCell ref="D387:J387"/>
    <mergeCell ref="K387:M387"/>
    <mergeCell ref="A388:C388"/>
    <mergeCell ref="D388:J388"/>
    <mergeCell ref="A389:M389"/>
    <mergeCell ref="K390:L390"/>
    <mergeCell ref="A391:C391"/>
    <mergeCell ref="D391:I391"/>
    <mergeCell ref="K391:L391"/>
    <mergeCell ref="K440:L440"/>
    <mergeCell ref="A484:C484"/>
    <mergeCell ref="D484:J484"/>
    <mergeCell ref="A481:C481"/>
    <mergeCell ref="A440:C440"/>
    <mergeCell ref="A385:C385"/>
    <mergeCell ref="D385:N385"/>
    <mergeCell ref="A386:C386"/>
    <mergeCell ref="F396:G396"/>
    <mergeCell ref="H396:I396"/>
    <mergeCell ref="B398:C398"/>
    <mergeCell ref="A482:C482"/>
    <mergeCell ref="D482:N482"/>
    <mergeCell ref="B401:C401"/>
    <mergeCell ref="A434:C434"/>
    <mergeCell ref="D434:N434"/>
    <mergeCell ref="A435:C435"/>
    <mergeCell ref="D435:J435"/>
    <mergeCell ref="K435:M435"/>
    <mergeCell ref="B446:C446"/>
    <mergeCell ref="D443:E443"/>
    <mergeCell ref="F443:G443"/>
    <mergeCell ref="B447:C447"/>
    <mergeCell ref="B448:C448"/>
    <mergeCell ref="K383:M383"/>
    <mergeCell ref="D481:N481"/>
    <mergeCell ref="B399:C399"/>
    <mergeCell ref="B400:C400"/>
    <mergeCell ref="A433:C433"/>
    <mergeCell ref="D433:N433"/>
    <mergeCell ref="A436:C436"/>
    <mergeCell ref="D436:J436"/>
    <mergeCell ref="A437:M437"/>
    <mergeCell ref="D439:I439"/>
    <mergeCell ref="D440:I440"/>
    <mergeCell ref="A441:C441"/>
    <mergeCell ref="D441:I441"/>
    <mergeCell ref="A439:C439"/>
    <mergeCell ref="A442:C442"/>
    <mergeCell ref="D442:I442"/>
    <mergeCell ref="H443:I443"/>
    <mergeCell ref="F444:G444"/>
    <mergeCell ref="H444:I444"/>
    <mergeCell ref="B445:C445"/>
    <mergeCell ref="H425:M425"/>
    <mergeCell ref="K431:M431"/>
    <mergeCell ref="K438:L438"/>
    <mergeCell ref="K439:L439"/>
    <mergeCell ref="A340:C340"/>
    <mergeCell ref="D340:J340"/>
    <mergeCell ref="A341:J341"/>
    <mergeCell ref="A343:C343"/>
    <mergeCell ref="D343:I343"/>
    <mergeCell ref="B302:C302"/>
    <mergeCell ref="B303:C303"/>
    <mergeCell ref="B304:C304"/>
    <mergeCell ref="B305:C305"/>
    <mergeCell ref="B308:C308"/>
    <mergeCell ref="I308:K308"/>
    <mergeCell ref="B309:C309"/>
    <mergeCell ref="A339:C339"/>
    <mergeCell ref="D339:J339"/>
    <mergeCell ref="K339:M339"/>
    <mergeCell ref="A337:C337"/>
    <mergeCell ref="D337:N337"/>
    <mergeCell ref="A338:C338"/>
    <mergeCell ref="D338:N338"/>
    <mergeCell ref="I309:K309"/>
    <mergeCell ref="A312:A316"/>
    <mergeCell ref="B312:G312"/>
    <mergeCell ref="H312:N312"/>
    <mergeCell ref="B313:B316"/>
    <mergeCell ref="A52:C52"/>
    <mergeCell ref="D52:J52"/>
    <mergeCell ref="A53:J53"/>
    <mergeCell ref="A55:C55"/>
    <mergeCell ref="D55:I55"/>
    <mergeCell ref="A56:C56"/>
    <mergeCell ref="D56:I56"/>
    <mergeCell ref="A57:C57"/>
    <mergeCell ref="D57:I57"/>
    <mergeCell ref="A58:C58"/>
    <mergeCell ref="D58:I58"/>
    <mergeCell ref="D59:E59"/>
    <mergeCell ref="F59:G59"/>
    <mergeCell ref="H59:I59"/>
    <mergeCell ref="B61:C61"/>
    <mergeCell ref="B62:C62"/>
    <mergeCell ref="B63:C63"/>
    <mergeCell ref="B64:C64"/>
    <mergeCell ref="B65:C65"/>
    <mergeCell ref="B68:C68"/>
    <mergeCell ref="I68:K68"/>
    <mergeCell ref="B69:C69"/>
    <mergeCell ref="I69:K69"/>
    <mergeCell ref="A72:A76"/>
    <mergeCell ref="B72:G72"/>
    <mergeCell ref="H72:N72"/>
    <mergeCell ref="B73:B76"/>
    <mergeCell ref="C73:C76"/>
    <mergeCell ref="D73:D75"/>
    <mergeCell ref="E73:E75"/>
    <mergeCell ref="G73:G76"/>
    <mergeCell ref="H73:H74"/>
    <mergeCell ref="I73:I74"/>
    <mergeCell ref="J73:J74"/>
    <mergeCell ref="K73:K74"/>
    <mergeCell ref="L73:L74"/>
    <mergeCell ref="M73:M74"/>
    <mergeCell ref="N73:N74"/>
    <mergeCell ref="F74:F76"/>
    <mergeCell ref="A99:C99"/>
    <mergeCell ref="D99:J99"/>
    <mergeCell ref="K99:M99"/>
    <mergeCell ref="A100:C100"/>
    <mergeCell ref="D100:J100"/>
    <mergeCell ref="D107:E107"/>
    <mergeCell ref="F107:G107"/>
    <mergeCell ref="H107:I107"/>
    <mergeCell ref="B109:C109"/>
    <mergeCell ref="B110:C110"/>
    <mergeCell ref="B111:C111"/>
    <mergeCell ref="B112:C112"/>
    <mergeCell ref="B113:C113"/>
    <mergeCell ref="B116:C116"/>
    <mergeCell ref="I116:K116"/>
    <mergeCell ref="B117:C117"/>
    <mergeCell ref="I117:K117"/>
    <mergeCell ref="A145:C145"/>
    <mergeCell ref="D145:N145"/>
    <mergeCell ref="B121:B124"/>
    <mergeCell ref="C121:C124"/>
    <mergeCell ref="D121:D123"/>
    <mergeCell ref="E121:E123"/>
    <mergeCell ref="G121:G124"/>
    <mergeCell ref="H121:H122"/>
    <mergeCell ref="I121:I122"/>
    <mergeCell ref="J121:J122"/>
    <mergeCell ref="K121:K122"/>
    <mergeCell ref="F122:F124"/>
    <mergeCell ref="D146:N146"/>
    <mergeCell ref="A147:C147"/>
    <mergeCell ref="D147:J147"/>
    <mergeCell ref="K147:M147"/>
    <mergeCell ref="A120:A124"/>
    <mergeCell ref="B120:G120"/>
    <mergeCell ref="H120:N120"/>
    <mergeCell ref="A148:C148"/>
    <mergeCell ref="D148:J148"/>
    <mergeCell ref="F155:G155"/>
    <mergeCell ref="H155:I155"/>
    <mergeCell ref="B157:C157"/>
    <mergeCell ref="D155:E155"/>
    <mergeCell ref="B158:C158"/>
    <mergeCell ref="B159:C159"/>
    <mergeCell ref="B160:C160"/>
    <mergeCell ref="B161:C161"/>
    <mergeCell ref="A195:C195"/>
    <mergeCell ref="D195:J195"/>
    <mergeCell ref="B164:C164"/>
    <mergeCell ref="I164:K164"/>
    <mergeCell ref="B165:C165"/>
    <mergeCell ref="I165:K165"/>
    <mergeCell ref="A168:A172"/>
    <mergeCell ref="B168:G168"/>
    <mergeCell ref="H168:N168"/>
    <mergeCell ref="B169:B172"/>
    <mergeCell ref="C169:C172"/>
    <mergeCell ref="D169:D171"/>
    <mergeCell ref="E169:E171"/>
    <mergeCell ref="G169:G172"/>
    <mergeCell ref="H169:H170"/>
    <mergeCell ref="I169:I170"/>
    <mergeCell ref="A193:C193"/>
    <mergeCell ref="D193:N193"/>
    <mergeCell ref="A194:C194"/>
    <mergeCell ref="D194:N194"/>
    <mergeCell ref="B206:C206"/>
    <mergeCell ref="B207:C207"/>
    <mergeCell ref="B208:C208"/>
    <mergeCell ref="A244:C244"/>
    <mergeCell ref="B216:G216"/>
    <mergeCell ref="H216:N216"/>
    <mergeCell ref="K200:L200"/>
    <mergeCell ref="K201:L201"/>
    <mergeCell ref="K202:L202"/>
    <mergeCell ref="B217:B220"/>
    <mergeCell ref="C217:C220"/>
    <mergeCell ref="D217:D219"/>
    <mergeCell ref="E217:E219"/>
    <mergeCell ref="G217:G220"/>
    <mergeCell ref="H217:H218"/>
    <mergeCell ref="I217:I218"/>
    <mergeCell ref="H251:I251"/>
    <mergeCell ref="B253:C253"/>
    <mergeCell ref="B254:C254"/>
    <mergeCell ref="D299:E299"/>
    <mergeCell ref="F299:G299"/>
    <mergeCell ref="H299:I299"/>
    <mergeCell ref="B301:C301"/>
    <mergeCell ref="A297:C297"/>
    <mergeCell ref="D297:I297"/>
    <mergeCell ref="A298:C298"/>
    <mergeCell ref="D298:I298"/>
    <mergeCell ref="A296:C296"/>
    <mergeCell ref="B255:C255"/>
    <mergeCell ref="B256:C256"/>
    <mergeCell ref="B257:C257"/>
    <mergeCell ref="D290:N290"/>
    <mergeCell ref="D291:J291"/>
    <mergeCell ref="K291:M291"/>
    <mergeCell ref="A290:C290"/>
    <mergeCell ref="A291:C291"/>
    <mergeCell ref="A289:C289"/>
    <mergeCell ref="A292:C292"/>
    <mergeCell ref="B260:C260"/>
    <mergeCell ref="I260:K260"/>
    <mergeCell ref="A344:C344"/>
    <mergeCell ref="D344:I344"/>
    <mergeCell ref="A345:C345"/>
    <mergeCell ref="D345:I345"/>
    <mergeCell ref="A346:C346"/>
    <mergeCell ref="D346:I346"/>
    <mergeCell ref="D347:E347"/>
    <mergeCell ref="F347:G347"/>
    <mergeCell ref="H347:I347"/>
    <mergeCell ref="B349:C349"/>
    <mergeCell ref="B350:C350"/>
    <mergeCell ref="B351:C351"/>
    <mergeCell ref="B352:C352"/>
    <mergeCell ref="B353:C353"/>
    <mergeCell ref="B356:C356"/>
    <mergeCell ref="I356:K356"/>
    <mergeCell ref="B357:C357"/>
    <mergeCell ref="I357:K357"/>
    <mergeCell ref="A360:A364"/>
    <mergeCell ref="B360:G360"/>
    <mergeCell ref="H360:N360"/>
    <mergeCell ref="B361:B364"/>
    <mergeCell ref="C361:C364"/>
    <mergeCell ref="D361:D363"/>
    <mergeCell ref="E361:E363"/>
    <mergeCell ref="G361:G364"/>
    <mergeCell ref="H361:H362"/>
    <mergeCell ref="I361:I362"/>
    <mergeCell ref="J361:J362"/>
    <mergeCell ref="K361:K362"/>
    <mergeCell ref="L361:L362"/>
    <mergeCell ref="M361:M362"/>
    <mergeCell ref="N361:N362"/>
    <mergeCell ref="F362:F364"/>
    <mergeCell ref="A488:C488"/>
    <mergeCell ref="D488:I488"/>
    <mergeCell ref="A489:C489"/>
    <mergeCell ref="D489:I489"/>
    <mergeCell ref="K488:L488"/>
    <mergeCell ref="K489:L489"/>
    <mergeCell ref="A490:C490"/>
    <mergeCell ref="D490:I490"/>
    <mergeCell ref="D491:E491"/>
    <mergeCell ref="F491:G491"/>
    <mergeCell ref="H491:I491"/>
    <mergeCell ref="F492:G492"/>
    <mergeCell ref="H492:I492"/>
    <mergeCell ref="B493:C493"/>
    <mergeCell ref="K490:L490"/>
    <mergeCell ref="K491:L491"/>
    <mergeCell ref="B494:C494"/>
    <mergeCell ref="B495:C495"/>
    <mergeCell ref="B496:C496"/>
    <mergeCell ref="B497:C497"/>
    <mergeCell ref="H521:M521"/>
    <mergeCell ref="A529:C529"/>
    <mergeCell ref="D529:N529"/>
    <mergeCell ref="A530:C530"/>
    <mergeCell ref="D530:N530"/>
    <mergeCell ref="A531:C531"/>
    <mergeCell ref="D531:J531"/>
    <mergeCell ref="K531:M531"/>
    <mergeCell ref="K527:M527"/>
    <mergeCell ref="A532:C532"/>
    <mergeCell ref="D532:J532"/>
    <mergeCell ref="A533:M533"/>
    <mergeCell ref="A535:C535"/>
    <mergeCell ref="D535:I535"/>
    <mergeCell ref="A536:C536"/>
    <mergeCell ref="D536:I536"/>
    <mergeCell ref="K534:L534"/>
    <mergeCell ref="K535:L535"/>
    <mergeCell ref="K536:L536"/>
    <mergeCell ref="A537:C537"/>
    <mergeCell ref="D537:I537"/>
    <mergeCell ref="A538:C538"/>
    <mergeCell ref="D538:I538"/>
    <mergeCell ref="D539:E539"/>
    <mergeCell ref="F539:G539"/>
    <mergeCell ref="H539:I539"/>
    <mergeCell ref="K537:L537"/>
    <mergeCell ref="K538:L538"/>
    <mergeCell ref="K539:L539"/>
    <mergeCell ref="F540:G540"/>
    <mergeCell ref="H540:I540"/>
    <mergeCell ref="B541:C541"/>
    <mergeCell ref="B542:C542"/>
    <mergeCell ref="B543:C543"/>
    <mergeCell ref="B544:C544"/>
    <mergeCell ref="B545:C545"/>
    <mergeCell ref="B548:C548"/>
    <mergeCell ref="B549:C549"/>
    <mergeCell ref="R26:S26"/>
    <mergeCell ref="R27:S27"/>
    <mergeCell ref="R74:S74"/>
    <mergeCell ref="R75:S75"/>
    <mergeCell ref="R122:S122"/>
    <mergeCell ref="R123:S123"/>
    <mergeCell ref="R170:S170"/>
    <mergeCell ref="R171:S171"/>
    <mergeCell ref="R410:S410"/>
    <mergeCell ref="R506:S506"/>
    <mergeCell ref="R507:S507"/>
    <mergeCell ref="R411:S411"/>
    <mergeCell ref="R218:S218"/>
    <mergeCell ref="R219:S219"/>
    <mergeCell ref="R266:S266"/>
    <mergeCell ref="R267:S267"/>
    <mergeCell ref="R314:S314"/>
    <mergeCell ref="R315:S315"/>
    <mergeCell ref="R362:S362"/>
    <mergeCell ref="R363:S363"/>
  </mergeCells>
  <dataValidations count="1">
    <dataValidation type="list" allowBlank="1" showInputMessage="1" showErrorMessage="1" sqref="A15:A17 A20:A21 A63:A65 A68:A69 A111:A113 A116:A117 A159:A161 A164:A165 A207:A209 A212:A213 A255:A257 A260:A261 A303:A305 A308:A309 A351:A353 A356:A357 A404:A405 A452:A453 A500:A501 A548:A549">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Reinigungskraft&amp;R&amp;G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'päd.Personal - Leitung'!$A$29:$A$40</xm:f>
          </x14:formula1>
          <xm:sqref>A399:A401 A495:A497 A447:A449 A543:A545</xm:sqref>
        </x14:dataValidation>
        <x14:dataValidation type="list" allowBlank="1" showInputMessage="1" showErrorMessage="1">
          <x14:formula1>
            <xm:f>Grundlagen!$P$8:$P$9</xm:f>
          </x14:formula1>
          <xm:sqref>H20 H68 H116 H164 H212 H260 H308 H356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3" tint="0.39997558519241921"/>
  </sheetPr>
  <dimension ref="A1:X43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2" width="11.42578125" style="1" hidden="1" customWidth="1"/>
    <col min="23" max="24" width="0" style="1" hidden="1" customWidth="1"/>
    <col min="25" max="16384" width="11.42578125" style="1"/>
  </cols>
  <sheetData>
    <row r="1" spans="1:19" s="10" customFormat="1" ht="13.5" customHeight="1" x14ac:dyDescent="0.2">
      <c r="A1" s="1321" t="s">
        <v>17</v>
      </c>
      <c r="B1" s="1321"/>
      <c r="C1" s="1321"/>
      <c r="D1" s="1320" t="str">
        <f>IF('päd.Personal - Leitung'!$D$1="","",'päd.Personal - Leitung'!$D$1)</f>
        <v/>
      </c>
      <c r="E1" s="1320"/>
      <c r="F1" s="1320"/>
      <c r="G1" s="1320"/>
      <c r="H1" s="1320"/>
      <c r="I1" s="1320"/>
      <c r="J1" s="1320"/>
      <c r="K1" s="1320"/>
      <c r="L1" s="1320"/>
      <c r="M1" s="1320"/>
      <c r="N1" s="1320"/>
    </row>
    <row r="2" spans="1:19" s="10" customFormat="1" ht="15" customHeight="1" x14ac:dyDescent="0.2">
      <c r="A2" s="1321" t="s">
        <v>16</v>
      </c>
      <c r="B2" s="1321"/>
      <c r="C2" s="1321" t="s">
        <v>14</v>
      </c>
      <c r="D2" s="1320" t="str">
        <f>IF('päd.Personal - Leitung'!$D$2="","",'päd.Personal - Leitung'!$D$2)</f>
        <v/>
      </c>
      <c r="E2" s="1320"/>
      <c r="F2" s="1320"/>
      <c r="G2" s="1320"/>
      <c r="H2" s="1320"/>
      <c r="I2" s="1320"/>
      <c r="J2" s="1320"/>
      <c r="K2" s="1320"/>
      <c r="L2" s="1320"/>
      <c r="M2" s="1320"/>
      <c r="N2" s="1320"/>
    </row>
    <row r="3" spans="1:19" s="10" customFormat="1" ht="15" customHeight="1" x14ac:dyDescent="0.2">
      <c r="A3" s="1321" t="s">
        <v>15</v>
      </c>
      <c r="B3" s="1321"/>
      <c r="C3" s="1321" t="s">
        <v>14</v>
      </c>
      <c r="D3" s="1320" t="str">
        <f>IF('päd.Personal - Leitung'!$D$3="","",'päd.Personal - Leitung'!$D$3)</f>
        <v/>
      </c>
      <c r="E3" s="1320"/>
      <c r="F3" s="1320"/>
      <c r="G3" s="1320"/>
      <c r="H3" s="1320"/>
      <c r="I3" s="1320"/>
      <c r="J3" s="1320"/>
      <c r="K3" s="1321" t="s">
        <v>100</v>
      </c>
      <c r="L3" s="1321"/>
      <c r="M3" s="1321"/>
      <c r="N3" s="38" t="str">
        <f>IF('päd.Personal - Leitung'!$N$3="","",'päd.Personal - Leitung'!$N$3)</f>
        <v/>
      </c>
    </row>
    <row r="4" spans="1:19" s="923" customFormat="1" ht="7.5" customHeight="1" x14ac:dyDescent="0.15">
      <c r="A4" s="1353"/>
      <c r="B4" s="1353"/>
      <c r="C4" s="1353"/>
      <c r="D4" s="1354"/>
      <c r="E4" s="1354"/>
      <c r="F4" s="1354"/>
      <c r="G4" s="1354"/>
      <c r="H4" s="1354"/>
      <c r="I4" s="1354"/>
      <c r="J4" s="1354"/>
      <c r="K4" s="922"/>
      <c r="L4" s="922"/>
      <c r="M4" s="922"/>
      <c r="N4" s="922"/>
      <c r="O4" s="922"/>
      <c r="P4" s="922"/>
    </row>
    <row r="5" spans="1:19" s="13" customFormat="1" ht="13.5" customHeight="1" x14ac:dyDescent="0.2">
      <c r="A5" s="1355" t="s">
        <v>199</v>
      </c>
      <c r="B5" s="1355"/>
      <c r="C5" s="1355"/>
      <c r="D5" s="1355"/>
      <c r="E5" s="1355"/>
      <c r="F5" s="1355"/>
      <c r="G5" s="1355"/>
      <c r="H5" s="1355"/>
      <c r="I5" s="1355"/>
      <c r="J5" s="1355"/>
      <c r="K5" s="7"/>
      <c r="L5" s="7"/>
      <c r="M5" s="7"/>
      <c r="N5" s="52"/>
      <c r="O5" s="138">
        <f>'päd.Personal - Leitung'!$O$5</f>
        <v>2025</v>
      </c>
      <c r="P5" s="52" t="s">
        <v>140</v>
      </c>
    </row>
    <row r="6" spans="1:19" s="8" customFormat="1" ht="13.5" customHeight="1" x14ac:dyDescent="0.25">
      <c r="B6" s="29"/>
      <c r="C6" s="29"/>
      <c r="D6" s="3" t="s">
        <v>200</v>
      </c>
      <c r="E6" s="28"/>
      <c r="F6" s="28"/>
      <c r="G6" s="28"/>
      <c r="H6" s="28"/>
      <c r="I6" s="24"/>
      <c r="K6" s="1327" t="s">
        <v>13</v>
      </c>
      <c r="L6" s="1327"/>
      <c r="M6" s="131"/>
      <c r="O6" s="928" t="str">
        <f>A29</f>
        <v>Jan 2025</v>
      </c>
      <c r="P6" s="1402">
        <f>IF(M8="","",M8)</f>
        <v>0</v>
      </c>
    </row>
    <row r="7" spans="1:19" s="5" customFormat="1" ht="13.5" customHeight="1" x14ac:dyDescent="0.25">
      <c r="A7" s="1328" t="s">
        <v>754</v>
      </c>
      <c r="B7" s="1328"/>
      <c r="C7" s="1328"/>
      <c r="D7" s="1329"/>
      <c r="E7" s="1329"/>
      <c r="F7" s="1329"/>
      <c r="G7" s="1329"/>
      <c r="H7" s="1329"/>
      <c r="I7" s="1329"/>
      <c r="K7" s="1327" t="s">
        <v>101</v>
      </c>
      <c r="L7" s="1327"/>
      <c r="M7" s="101"/>
      <c r="O7" s="928" t="str">
        <f t="shared" ref="O7:O17" si="0">A30</f>
        <v>Feb 2025</v>
      </c>
      <c r="P7" s="1403">
        <f t="shared" ref="P7:P17" si="1">IF(P6="","",P6)</f>
        <v>0</v>
      </c>
    </row>
    <row r="8" spans="1:19" ht="13.5" customHeight="1" x14ac:dyDescent="0.2">
      <c r="A8" s="1328" t="s">
        <v>12</v>
      </c>
      <c r="B8" s="1328"/>
      <c r="C8" s="1328"/>
      <c r="D8" s="1345"/>
      <c r="E8" s="1345"/>
      <c r="F8" s="1345"/>
      <c r="G8" s="1345"/>
      <c r="H8" s="1345"/>
      <c r="I8" s="1345"/>
      <c r="K8" s="1327" t="s">
        <v>194</v>
      </c>
      <c r="L8" s="1327"/>
      <c r="M8" s="101">
        <f>IF(M9&gt;M7,0,M7-M9)</f>
        <v>0</v>
      </c>
      <c r="O8" s="928" t="str">
        <f t="shared" si="0"/>
        <v>Mrz 2025</v>
      </c>
      <c r="P8" s="1403">
        <f t="shared" si="1"/>
        <v>0</v>
      </c>
    </row>
    <row r="9" spans="1:19" ht="13.5" customHeight="1" x14ac:dyDescent="0.2">
      <c r="A9" s="1328" t="s">
        <v>11</v>
      </c>
      <c r="B9" s="1328"/>
      <c r="C9" s="1328"/>
      <c r="D9" s="1345"/>
      <c r="E9" s="1345"/>
      <c r="F9" s="1345"/>
      <c r="G9" s="1345"/>
      <c r="H9" s="1345"/>
      <c r="I9" s="1345"/>
      <c r="K9" s="1327" t="s">
        <v>195</v>
      </c>
      <c r="L9" s="1327"/>
      <c r="M9" s="101"/>
      <c r="O9" s="928" t="str">
        <f t="shared" si="0"/>
        <v>Apr 2025</v>
      </c>
      <c r="P9" s="1403">
        <f t="shared" si="1"/>
        <v>0</v>
      </c>
    </row>
    <row r="10" spans="1:19" ht="13.5" customHeight="1" x14ac:dyDescent="0.2">
      <c r="A10" s="1328" t="s">
        <v>18</v>
      </c>
      <c r="B10" s="1328"/>
      <c r="C10" s="1328"/>
      <c r="D10" s="1345"/>
      <c r="E10" s="1345"/>
      <c r="F10" s="1345"/>
      <c r="G10" s="1345"/>
      <c r="H10" s="1345"/>
      <c r="I10" s="1345"/>
      <c r="K10" s="1327" t="s">
        <v>94</v>
      </c>
      <c r="L10" s="1327"/>
      <c r="M10" s="15" t="str">
        <f>IF(IF((COUNTIF(B29:B40,"&gt;0"))=0,0,(COUNTIF(B29:B40,"&gt;0")))&gt;Grundlagen!$C$26,Grundlagen!$C$26,IF((COUNTIF(B29:B40,"&gt;0"))=0,"",(COUNTIF(B29:B40,"&gt;0"))))</f>
        <v/>
      </c>
      <c r="O10" s="928" t="str">
        <f t="shared" si="0"/>
        <v>Mai 2025</v>
      </c>
      <c r="P10" s="1403">
        <f t="shared" si="1"/>
        <v>0</v>
      </c>
    </row>
    <row r="11" spans="1:19" ht="13.5" customHeight="1" x14ac:dyDescent="0.2">
      <c r="B11" s="6"/>
      <c r="C11" s="1012" t="s">
        <v>147</v>
      </c>
      <c r="D11" s="1324"/>
      <c r="E11" s="1324"/>
      <c r="F11" s="1359" t="s">
        <v>103</v>
      </c>
      <c r="G11" s="1359"/>
      <c r="H11" s="1361"/>
      <c r="I11" s="1361"/>
      <c r="M11" s="102" t="str">
        <f>IF((SUM(F14:F17))=0,"",IF(P18&gt;M8,M8,IF(M8="","",IF(M10="","",P18))))</f>
        <v/>
      </c>
      <c r="O11" s="928" t="str">
        <f t="shared" si="0"/>
        <v>Jun 2025</v>
      </c>
      <c r="P11" s="1403">
        <f t="shared" si="1"/>
        <v>0</v>
      </c>
    </row>
    <row r="12" spans="1:19" ht="13.5" customHeight="1" x14ac:dyDescent="0.2">
      <c r="I12" s="4"/>
      <c r="O12" s="928" t="str">
        <f t="shared" si="0"/>
        <v>Jul 2025</v>
      </c>
      <c r="P12" s="1403">
        <f t="shared" si="1"/>
        <v>0</v>
      </c>
    </row>
    <row r="13" spans="1:19" s="46" customFormat="1" ht="13.5" customHeight="1" x14ac:dyDescent="0.2">
      <c r="A13" s="54" t="s">
        <v>134</v>
      </c>
      <c r="B13" s="1356" t="s">
        <v>135</v>
      </c>
      <c r="C13" s="1356"/>
      <c r="D13" s="55" t="s">
        <v>136</v>
      </c>
      <c r="E13" s="56" t="s">
        <v>137</v>
      </c>
      <c r="F13" s="57" t="str">
        <f>CONCATENATE("Entg. ",N3," h/Wo")</f>
        <v>Entg.  h/Wo</v>
      </c>
      <c r="G13" s="58" t="s">
        <v>138</v>
      </c>
      <c r="I13" s="58" t="s">
        <v>139</v>
      </c>
      <c r="K13" s="970"/>
      <c r="L13" s="970"/>
      <c r="M13" s="59"/>
      <c r="N13" s="968" t="str">
        <f>IF(A15="","",A15)</f>
        <v/>
      </c>
      <c r="O13" s="928" t="str">
        <f t="shared" si="0"/>
        <v>Aug 2025</v>
      </c>
      <c r="P13" s="1403">
        <f t="shared" si="1"/>
        <v>0</v>
      </c>
      <c r="Q13" s="85"/>
      <c r="R13" s="85"/>
      <c r="S13" s="85"/>
    </row>
    <row r="14" spans="1:19" s="46" customFormat="1" ht="13.5" customHeight="1" x14ac:dyDescent="0.25">
      <c r="A14" s="48" t="str">
        <f>'päd.Personal - Leitung'!$A$14</f>
        <v>Jan 2025</v>
      </c>
      <c r="B14" s="1357" t="str">
        <f>IF($D$3="","",$D$3)</f>
        <v/>
      </c>
      <c r="C14" s="1358"/>
      <c r="D14" s="132"/>
      <c r="E14" s="132"/>
      <c r="F14" s="71"/>
      <c r="G14" s="50">
        <f>IF(N3="",0,F14/N3/4.348)</f>
        <v>0</v>
      </c>
      <c r="I14" s="125">
        <f>SUM(J14:M14)</f>
        <v>0</v>
      </c>
      <c r="J14" s="124"/>
      <c r="K14" s="124"/>
      <c r="L14" s="124"/>
      <c r="M14" s="124"/>
      <c r="N14" s="969"/>
      <c r="O14" s="928" t="str">
        <f t="shared" si="0"/>
        <v>Sep 2025</v>
      </c>
      <c r="P14" s="1403">
        <f t="shared" si="1"/>
        <v>0</v>
      </c>
      <c r="Q14" s="85"/>
      <c r="R14" s="85"/>
      <c r="S14" s="85"/>
    </row>
    <row r="15" spans="1:19" s="46" customFormat="1" ht="13.5" customHeight="1" x14ac:dyDescent="0.25">
      <c r="A15" s="49"/>
      <c r="B15" s="1322" t="str">
        <f>IF(A15="","",B14)</f>
        <v/>
      </c>
      <c r="C15" s="1323"/>
      <c r="D15" s="132"/>
      <c r="E15" s="132"/>
      <c r="F15" s="71"/>
      <c r="G15" s="50">
        <f>IF(N3="",0,F15/N3/4.348)</f>
        <v>0</v>
      </c>
      <c r="I15" s="125">
        <f t="shared" ref="I15:I17" si="2">SUM(J15:M15)</f>
        <v>0</v>
      </c>
      <c r="J15" s="124"/>
      <c r="K15" s="124"/>
      <c r="L15" s="124"/>
      <c r="M15" s="124"/>
      <c r="N15" s="969"/>
      <c r="O15" s="928" t="str">
        <f t="shared" si="0"/>
        <v>Okt 2025</v>
      </c>
      <c r="P15" s="1403">
        <f t="shared" si="1"/>
        <v>0</v>
      </c>
      <c r="Q15" s="85"/>
      <c r="R15" s="85"/>
      <c r="S15" s="85"/>
    </row>
    <row r="16" spans="1:19" s="46" customFormat="1" ht="13.5" customHeight="1" x14ac:dyDescent="0.25">
      <c r="A16" s="49"/>
      <c r="B16" s="1322" t="str">
        <f>IF(A16="","",B15)</f>
        <v/>
      </c>
      <c r="C16" s="1323"/>
      <c r="D16" s="132"/>
      <c r="E16" s="132"/>
      <c r="F16" s="71"/>
      <c r="G16" s="50">
        <f>IF(N3="",0,F16/N3/4.348)</f>
        <v>0</v>
      </c>
      <c r="I16" s="125">
        <f t="shared" si="2"/>
        <v>0</v>
      </c>
      <c r="J16" s="124"/>
      <c r="K16" s="124"/>
      <c r="L16" s="124"/>
      <c r="M16" s="124"/>
      <c r="N16" s="969"/>
      <c r="O16" s="928" t="str">
        <f t="shared" si="0"/>
        <v>Nov 2025</v>
      </c>
      <c r="P16" s="1403">
        <f t="shared" si="1"/>
        <v>0</v>
      </c>
      <c r="Q16" s="85"/>
      <c r="R16" s="85"/>
      <c r="S16" s="85"/>
    </row>
    <row r="17" spans="1:22" s="46" customFormat="1" ht="13.5" customHeight="1" x14ac:dyDescent="0.25">
      <c r="A17" s="49"/>
      <c r="B17" s="1322" t="str">
        <f>IF(A17="","",B16)</f>
        <v/>
      </c>
      <c r="C17" s="1323"/>
      <c r="D17" s="132"/>
      <c r="E17" s="132"/>
      <c r="F17" s="71"/>
      <c r="G17" s="50">
        <f>IF(N3="",0,F17/N3/4.348)</f>
        <v>0</v>
      </c>
      <c r="I17" s="125">
        <f t="shared" si="2"/>
        <v>0</v>
      </c>
      <c r="J17" s="124"/>
      <c r="K17" s="124"/>
      <c r="L17" s="124"/>
      <c r="M17" s="124"/>
      <c r="N17" s="969"/>
      <c r="O17" s="928" t="str">
        <f t="shared" si="0"/>
        <v>Dez 2025</v>
      </c>
      <c r="P17" s="1403">
        <f t="shared" si="1"/>
        <v>0</v>
      </c>
      <c r="Q17" s="85"/>
      <c r="R17" s="85"/>
      <c r="S17" s="85"/>
    </row>
    <row r="18" spans="1:22" s="46" customFormat="1" ht="13.5" customHeight="1" x14ac:dyDescent="0.25">
      <c r="B18" s="972"/>
      <c r="C18" s="972"/>
      <c r="E18" s="972"/>
      <c r="F18" s="972"/>
      <c r="I18" s="930" t="s">
        <v>730</v>
      </c>
      <c r="J18" s="976"/>
      <c r="K18" s="976"/>
      <c r="L18" s="976"/>
      <c r="M18" s="976"/>
      <c r="N18" s="971"/>
      <c r="O18" s="126" t="s">
        <v>221</v>
      </c>
      <c r="P18" s="127">
        <f>IF(M10="",0,((IF(SUMIF(B29,"&gt;0"),P6,0))+(IF(SUMIF(B30,"&gt;0"),P7,0))+(IF(SUMIF(B31,"&gt;0"),P8,0))+(IF(SUMIF(B32,"&gt;0"),P9,0))+(IF(SUMIF(B33,"&gt;0"),P10,0))+(IF(SUMIF(B34,"&gt;0"),P11,0))+(IF(SUMIF(B35,"&gt;0"),P12,0))+(IF(SUMIF(B36,"&gt;0"),P13,0))+(IF(SUMIF(B37,"&gt;0"),P14,0))+(IF(SUMIF(B38,"&gt;0"),P15,0))+(IF(SUMIF(B39,"&gt;0"),P16,0))+(IF(SUMIF(B40,"&gt;0"),P17,0)))/Grundlagen!$C$26)</f>
        <v>0</v>
      </c>
      <c r="Q18" s="997" t="str">
        <f>CONCATENATE("BBG"," anteilig ",O20)</f>
        <v>BBG anteilig 2025</v>
      </c>
      <c r="R18" s="931" t="s">
        <v>659</v>
      </c>
      <c r="S18" s="931" t="s">
        <v>398</v>
      </c>
      <c r="T18" s="107"/>
    </row>
    <row r="19" spans="1:22" s="46" customFormat="1" ht="13.5" customHeight="1" x14ac:dyDescent="0.2">
      <c r="A19" s="924" t="s">
        <v>732</v>
      </c>
      <c r="D19" s="55" t="s">
        <v>369</v>
      </c>
      <c r="E19" s="56" t="s">
        <v>368</v>
      </c>
      <c r="F19" s="58"/>
      <c r="J19" s="61"/>
      <c r="Q19" s="932" t="s">
        <v>144</v>
      </c>
      <c r="R19" s="140">
        <f>IF(M8=0,R23,IF(M7="",R23,(SUM(R29:R40)/M11)))</f>
        <v>5175</v>
      </c>
      <c r="S19" s="933">
        <f>IF(M8=0,S23,IF(M7="",S23,SUM(R29:R40)))</f>
        <v>0</v>
      </c>
      <c r="T19" s="107"/>
    </row>
    <row r="20" spans="1:22" s="46" customFormat="1" ht="13.5" customHeight="1" x14ac:dyDescent="0.25">
      <c r="A20" s="60"/>
      <c r="B20" s="1314" t="str">
        <f>IF('päd.Personal - Leitung'!$B$20="","",'päd.Personal - Leitung'!$B$20)</f>
        <v>Jahressonderzahlung (JSZ)</v>
      </c>
      <c r="C20" s="1315"/>
      <c r="D20" s="926"/>
      <c r="E20" s="929" t="str">
        <f>IF(A20="","",ROUND((((SUM(B35:B37)+SUM(F35:F37))/3)*D20)/Grundlagen!$C$26*M10,2))</f>
        <v/>
      </c>
      <c r="G20" s="941" t="s">
        <v>733</v>
      </c>
      <c r="H20" s="943"/>
      <c r="I20" s="1316" t="str">
        <f>CONCATENATE(R43,":"," Übergangsbereich von ",R44+0.01," €"," bis ",R45," €")</f>
        <v>2025: Übergangsbereich von 556,01 € bis 2000 €</v>
      </c>
      <c r="J20" s="1317"/>
      <c r="K20" s="1317"/>
      <c r="L20" s="1067"/>
      <c r="M20" s="1067"/>
      <c r="N20" s="1068" t="s">
        <v>736</v>
      </c>
      <c r="O20" s="1069">
        <f>P20+1</f>
        <v>2025</v>
      </c>
      <c r="P20" s="1069" t="s">
        <v>721</v>
      </c>
      <c r="Q20" s="932" t="s">
        <v>145</v>
      </c>
      <c r="R20" s="140">
        <f>IF(M8=0,R24,IF(M7="",R24,(SUM(S29:S40)/M11)))</f>
        <v>7450</v>
      </c>
      <c r="S20" s="933">
        <f>IF(M8=0,S24,IF(M7="",S24,SUM(S29:S40)))</f>
        <v>0</v>
      </c>
      <c r="T20" s="109"/>
    </row>
    <row r="21" spans="1:22" ht="14.25" customHeight="1" x14ac:dyDescent="0.2">
      <c r="A21" s="60"/>
      <c r="B21" s="1314" t="str">
        <f>IF('päd.Personal - Leitung'!$B$21="","",'päd.Personal - Leitung'!$B$21)</f>
        <v>Leistungsentgelt (LOB)</v>
      </c>
      <c r="C21" s="1315"/>
      <c r="D21" s="926"/>
      <c r="E21" s="929" t="str">
        <f>IF(A21="","",ROUND(((B41+F41)*D21)/Grundlagen!$C$26*M10,2))</f>
        <v/>
      </c>
      <c r="G21" s="941" t="str">
        <f>IF(OR(H20="",H20="nein")=TRUE,"","Faktor (F):")</f>
        <v/>
      </c>
      <c r="H21" s="949" t="str">
        <f>IF(OR(H20="",H20="nein")=TRUE,"",IF(H20="","",R47))</f>
        <v/>
      </c>
      <c r="I21" s="1318" t="str">
        <f>IF(OR(H20="",H20="nein")=TRUE,"",IF(H21="","",CONCATENATE(S47*100,"%"," / ","(",R46*100,"%"," Gesamt-SV-Beitragssatz 2024)")))</f>
        <v/>
      </c>
      <c r="J21" s="1319"/>
      <c r="K21" s="1319"/>
      <c r="L21" s="1070"/>
      <c r="M21" s="1070"/>
      <c r="N21" s="1071" t="s">
        <v>144</v>
      </c>
      <c r="O21" s="1072">
        <f>'päd.Personal - Leitung'!$O$21</f>
        <v>5175</v>
      </c>
      <c r="P21" s="1072">
        <f>'päd.Personal - Leitung'!$P$21</f>
        <v>5175</v>
      </c>
      <c r="Q21" s="11"/>
      <c r="R21" s="11"/>
      <c r="S21" s="11"/>
      <c r="T21" s="109"/>
    </row>
    <row r="22" spans="1:22" ht="14.25" customHeight="1" x14ac:dyDescent="0.2">
      <c r="C22" s="925" t="s">
        <v>731</v>
      </c>
      <c r="L22" s="1070"/>
      <c r="M22" s="1070"/>
      <c r="N22" s="1071" t="s">
        <v>145</v>
      </c>
      <c r="O22" s="1073">
        <f>'päd.Personal - Leitung'!$O$22</f>
        <v>7450</v>
      </c>
      <c r="P22" s="1073">
        <f>'päd.Personal - Leitung'!$P$22</f>
        <v>7450</v>
      </c>
      <c r="Q22" s="997" t="str">
        <f>CONCATENATE("BBG"," ",O20)</f>
        <v>BBG 2025</v>
      </c>
      <c r="R22" s="11"/>
      <c r="S22" s="11"/>
      <c r="T22" s="109"/>
    </row>
    <row r="23" spans="1:22" ht="14.25" customHeight="1" x14ac:dyDescent="0.2">
      <c r="A23" s="53" t="s">
        <v>141</v>
      </c>
      <c r="B23" s="46"/>
      <c r="C23" s="46"/>
      <c r="D23" s="46"/>
      <c r="E23" s="46"/>
      <c r="F23" s="46"/>
      <c r="G23" s="46"/>
      <c r="H23" s="46"/>
      <c r="I23" s="46"/>
      <c r="J23" s="46"/>
      <c r="K23" s="46"/>
      <c r="L23" s="46"/>
      <c r="M23" s="46"/>
      <c r="N23" s="46"/>
      <c r="O23" s="46"/>
      <c r="P23" s="46"/>
      <c r="Q23" s="932" t="s">
        <v>144</v>
      </c>
      <c r="R23" s="141">
        <f>IF($O$21="",0,$O$21)</f>
        <v>5175</v>
      </c>
      <c r="S23" s="933">
        <f>R23*IF(M11="",0,M11)</f>
        <v>0</v>
      </c>
      <c r="T23" s="295"/>
    </row>
    <row r="24" spans="1:22" ht="14.25" customHeight="1" x14ac:dyDescent="0.2">
      <c r="A24" s="1346"/>
      <c r="B24" s="1348" t="s">
        <v>8</v>
      </c>
      <c r="C24" s="1349"/>
      <c r="D24" s="1349"/>
      <c r="E24" s="1349"/>
      <c r="F24" s="1349"/>
      <c r="G24" s="1350"/>
      <c r="H24" s="1351" t="s">
        <v>113</v>
      </c>
      <c r="I24" s="1352"/>
      <c r="J24" s="1352"/>
      <c r="K24" s="1352"/>
      <c r="L24" s="1352"/>
      <c r="M24" s="1352"/>
      <c r="N24" s="1352"/>
      <c r="O24" s="30"/>
      <c r="P24" s="1330" t="s">
        <v>0</v>
      </c>
      <c r="Q24" s="932" t="s">
        <v>145</v>
      </c>
      <c r="R24" s="141">
        <f>IF($O$22="",0,$O$22)</f>
        <v>7450</v>
      </c>
      <c r="S24" s="933">
        <f>R24*IF(M11="",0,M11)</f>
        <v>0</v>
      </c>
      <c r="T24" s="830"/>
    </row>
    <row r="25" spans="1:22" ht="14.25" customHeight="1" x14ac:dyDescent="0.2">
      <c r="A25" s="1347"/>
      <c r="B25" s="1333" t="s">
        <v>111</v>
      </c>
      <c r="C25" s="1335" t="s">
        <v>743</v>
      </c>
      <c r="D25" s="1337" t="s">
        <v>226</v>
      </c>
      <c r="E25" s="1339" t="s">
        <v>133</v>
      </c>
      <c r="F25" s="1014" t="s">
        <v>6</v>
      </c>
      <c r="G25" s="1340" t="s">
        <v>5</v>
      </c>
      <c r="H25" s="1339" t="s">
        <v>119</v>
      </c>
      <c r="I25" s="1339" t="s">
        <v>4</v>
      </c>
      <c r="J25" s="1339" t="s">
        <v>3</v>
      </c>
      <c r="K25" s="1339" t="s">
        <v>2</v>
      </c>
      <c r="L25" s="1339" t="s">
        <v>114</v>
      </c>
      <c r="M25" s="1339" t="s">
        <v>115</v>
      </c>
      <c r="N25" s="1339" t="s">
        <v>116</v>
      </c>
      <c r="O25" s="1338" t="s">
        <v>109</v>
      </c>
      <c r="P25" s="1331"/>
      <c r="Q25" s="456"/>
      <c r="R25" s="11"/>
      <c r="S25" s="11"/>
      <c r="T25" s="621"/>
    </row>
    <row r="26" spans="1:22" ht="14.25" customHeight="1" x14ac:dyDescent="0.2">
      <c r="A26" s="1347"/>
      <c r="B26" s="1333"/>
      <c r="C26" s="1335"/>
      <c r="D26" s="1338"/>
      <c r="E26" s="1339"/>
      <c r="F26" s="1343" t="str">
        <f>I18</f>
        <v>Zuschläge / Zulagen / o.ä.:</v>
      </c>
      <c r="G26" s="1340"/>
      <c r="H26" s="1342" t="s">
        <v>117</v>
      </c>
      <c r="I26" s="1342"/>
      <c r="J26" s="1342"/>
      <c r="K26" s="1342"/>
      <c r="L26" s="1342"/>
      <c r="M26" s="1342"/>
      <c r="N26" s="1342"/>
      <c r="O26" s="1338"/>
      <c r="P26" s="1331"/>
      <c r="Q26" s="456"/>
      <c r="R26" s="1306" t="str">
        <f>Q18</f>
        <v>BBG anteilig 2025</v>
      </c>
      <c r="S26" s="1306"/>
      <c r="T26" s="829"/>
    </row>
    <row r="27" spans="1:22" ht="14.25" customHeight="1" x14ac:dyDescent="0.2">
      <c r="A27" s="1347"/>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c r="Q27" s="456"/>
      <c r="R27" s="1307" t="s">
        <v>659</v>
      </c>
      <c r="S27" s="1307"/>
      <c r="T27" s="829"/>
      <c r="U27" s="1308" t="s">
        <v>1</v>
      </c>
      <c r="V27" s="1308" t="s">
        <v>741</v>
      </c>
    </row>
    <row r="28" spans="1:22" x14ac:dyDescent="0.2">
      <c r="A28" s="1347"/>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c r="Q28" s="456"/>
      <c r="R28" s="935" t="s">
        <v>144</v>
      </c>
      <c r="S28" s="935" t="s">
        <v>145</v>
      </c>
      <c r="T28" s="829"/>
      <c r="U28" s="1308"/>
      <c r="V28" s="1308"/>
    </row>
    <row r="29" spans="1:22"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56"/>
      <c r="R29" s="140">
        <f>ROUND(IF(M7="",R23,R23/M7*P6),2)</f>
        <v>5175</v>
      </c>
      <c r="S29" s="140">
        <f>ROUND(IF(M7="",R24,R24/M7*P6),2)</f>
        <v>7450</v>
      </c>
      <c r="U29" s="950">
        <f>SUM(B29:F29)</f>
        <v>0</v>
      </c>
      <c r="V29" s="950">
        <f>SUM(B29:F29)</f>
        <v>0</v>
      </c>
    </row>
    <row r="30" spans="1:22"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4">SUM(G30:O30)</f>
        <v>0</v>
      </c>
      <c r="Q30" s="456"/>
      <c r="R30" s="140">
        <f>ROUND(IF(M7="",R23,R23/M7*P7),2)</f>
        <v>5175</v>
      </c>
      <c r="S30" s="140">
        <f>ROUND(IF(M7="",R24,R24/M7*P7),2)</f>
        <v>7450</v>
      </c>
      <c r="U30" s="950">
        <f t="shared" ref="U30:U40" si="5">SUM(B30:F30)</f>
        <v>0</v>
      </c>
      <c r="V30" s="950">
        <f>SUM(B29:F30)</f>
        <v>0</v>
      </c>
    </row>
    <row r="31" spans="1:22"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56"/>
      <c r="R31" s="140">
        <f>ROUND(IF(M7="",R23,R23/M7*P8),2)</f>
        <v>5175</v>
      </c>
      <c r="S31" s="140">
        <f>ROUND(IF(M7="",R24,R24/M7*P8),2)</f>
        <v>7450</v>
      </c>
      <c r="U31" s="950">
        <f t="shared" si="5"/>
        <v>0</v>
      </c>
      <c r="V31" s="950">
        <f>SUM(B29:F31)</f>
        <v>0</v>
      </c>
    </row>
    <row r="32" spans="1:22"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56"/>
      <c r="R32" s="140">
        <f>ROUND(IF(M7="",R23,R23/M7*P9),2)</f>
        <v>5175</v>
      </c>
      <c r="S32" s="140">
        <f>ROUND(IF(M7="",R24,R24/M7*P9),2)</f>
        <v>7450</v>
      </c>
      <c r="U32" s="950">
        <f t="shared" si="5"/>
        <v>0</v>
      </c>
      <c r="V32" s="950">
        <f>SUM(B29:F32)</f>
        <v>0</v>
      </c>
    </row>
    <row r="33" spans="1:24"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56"/>
      <c r="R33" s="140">
        <f>ROUND(IF(M7="",R23,R23/M7*P10),2)</f>
        <v>5175</v>
      </c>
      <c r="S33" s="140">
        <f>ROUND(IF(M7="",R24,R24/M7*P10),2)</f>
        <v>7450</v>
      </c>
      <c r="U33" s="950">
        <f t="shared" si="5"/>
        <v>0</v>
      </c>
      <c r="V33" s="950">
        <f>SUM(B29:F33)</f>
        <v>0</v>
      </c>
    </row>
    <row r="34" spans="1:24"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56"/>
      <c r="R34" s="140">
        <f>ROUND(IF(M7="",R23,R23/M7*P11),2)</f>
        <v>5175</v>
      </c>
      <c r="S34" s="140">
        <f>ROUND(IF(M7="",R24,R24/M7*P11),2)</f>
        <v>7450</v>
      </c>
      <c r="U34" s="950">
        <f t="shared" si="5"/>
        <v>0</v>
      </c>
      <c r="V34" s="950">
        <f>SUM(B29:F34)</f>
        <v>0</v>
      </c>
    </row>
    <row r="35" spans="1:24"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56"/>
      <c r="R35" s="140">
        <f>ROUND(IF(M7="",R23,R23/M7*P12),2)</f>
        <v>5175</v>
      </c>
      <c r="S35" s="140">
        <f>ROUND(IF(M7="",R24,R24/M7*P12),2)</f>
        <v>7450</v>
      </c>
      <c r="U35" s="950">
        <f t="shared" si="5"/>
        <v>0</v>
      </c>
      <c r="V35" s="950">
        <f>SUM(B29:F35)</f>
        <v>0</v>
      </c>
    </row>
    <row r="36" spans="1:24"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56"/>
      <c r="R36" s="140">
        <f>ROUND(IF(M7="",R23,R23/M7*P13),2)</f>
        <v>5175</v>
      </c>
      <c r="S36" s="140">
        <f>ROUND(IF(M7="",R24,R24/M7*P13),2)</f>
        <v>7450</v>
      </c>
      <c r="U36" s="950">
        <f t="shared" si="5"/>
        <v>0</v>
      </c>
      <c r="V36" s="950">
        <f>SUM(B29:F36)</f>
        <v>0</v>
      </c>
    </row>
    <row r="37" spans="1:24"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56"/>
      <c r="R37" s="140">
        <f>ROUND(IF(M7="",R23,R23/M7*P14),2)</f>
        <v>5175</v>
      </c>
      <c r="S37" s="140">
        <f>ROUND(IF(M7="",R24,R24/M7*P14),2)</f>
        <v>7450</v>
      </c>
      <c r="U37" s="950">
        <f t="shared" si="5"/>
        <v>0</v>
      </c>
      <c r="V37" s="950">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936"/>
      <c r="R38" s="140">
        <f>ROUND(IF(M7="",R23,R23/M7*P15),2)</f>
        <v>5175</v>
      </c>
      <c r="S38" s="140">
        <f>ROUND(IF(M7="",R24,R24/M7*P15),2)</f>
        <v>7450</v>
      </c>
      <c r="U38" s="950">
        <f t="shared" si="5"/>
        <v>0</v>
      </c>
      <c r="V38" s="950">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40">
        <f>ROUND(IF(M7="",R23,R23/M7*P16),2)</f>
        <v>5175</v>
      </c>
      <c r="S39" s="140">
        <f>ROUND(IF(M7="",R24,R24/M7*P16),2)</f>
        <v>7450</v>
      </c>
      <c r="U39" s="950">
        <f t="shared" si="5"/>
        <v>0</v>
      </c>
      <c r="V39" s="950">
        <f>SUM(B29:F39)</f>
        <v>0</v>
      </c>
      <c r="X39" s="1"/>
    </row>
    <row r="40" spans="1:24"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40">
        <f>ROUND(IF(M7="",R23,R23/M7*P17),2)</f>
        <v>5175</v>
      </c>
      <c r="S40" s="140">
        <f>ROUND(IF(M7="",R24,R24/M7*P17),2)</f>
        <v>7450</v>
      </c>
      <c r="U40" s="950">
        <f t="shared" si="5"/>
        <v>0</v>
      </c>
      <c r="V40" s="950">
        <f>SUM(B29:F40)</f>
        <v>0</v>
      </c>
    </row>
    <row r="41" spans="1:24" ht="15" customHeight="1" x14ac:dyDescent="0.2">
      <c r="A41" s="2" t="s">
        <v>1</v>
      </c>
      <c r="B41" s="25">
        <f>SUM(B29:B40)</f>
        <v>0</v>
      </c>
      <c r="C41" s="25">
        <f t="shared" ref="C41:G41" si="6">SUM(C29:C40)</f>
        <v>0</v>
      </c>
      <c r="D41" s="25">
        <f t="shared" si="6"/>
        <v>0</v>
      </c>
      <c r="E41" s="25">
        <f t="shared" si="6"/>
        <v>0</v>
      </c>
      <c r="F41" s="25">
        <f t="shared" si="6"/>
        <v>0</v>
      </c>
      <c r="G41" s="25">
        <f t="shared" si="6"/>
        <v>0</v>
      </c>
      <c r="H41" s="1309">
        <f>SUM(H29:N40)</f>
        <v>0</v>
      </c>
      <c r="I41" s="1310"/>
      <c r="J41" s="1310"/>
      <c r="K41" s="1310"/>
      <c r="L41" s="1310"/>
      <c r="M41" s="1310"/>
      <c r="N41" s="1311"/>
      <c r="O41" s="25">
        <f>SUM(O29:O40)</f>
        <v>0</v>
      </c>
      <c r="P41" s="25">
        <f>SUM(P29:P40)</f>
        <v>0</v>
      </c>
    </row>
    <row r="42" spans="1:24" ht="12" customHeight="1" x14ac:dyDescent="0.2"/>
    <row r="43" spans="1:24" ht="14.25" customHeight="1" x14ac:dyDescent="0.2">
      <c r="B43" s="906"/>
      <c r="H43" s="905"/>
      <c r="I43" s="62"/>
      <c r="J43" s="914" t="s">
        <v>123</v>
      </c>
      <c r="L43" s="900" t="s">
        <v>124</v>
      </c>
      <c r="M43" s="901"/>
      <c r="N43" s="902" t="s">
        <v>125</v>
      </c>
      <c r="O43" s="903"/>
      <c r="P43" s="25">
        <f>ROUND(IF(M43="",0,G41*M43*O43/1000),2)</f>
        <v>0</v>
      </c>
      <c r="Q43" s="937"/>
      <c r="R43" s="938">
        <v>2025</v>
      </c>
      <c r="S43" s="939"/>
    </row>
    <row r="44" spans="1:24" ht="14.25" customHeight="1" x14ac:dyDescent="0.2">
      <c r="H44" s="907"/>
      <c r="I44" s="42"/>
      <c r="M44" s="915" t="s">
        <v>129</v>
      </c>
      <c r="N44" s="80" t="s">
        <v>125</v>
      </c>
      <c r="O44" s="43"/>
      <c r="P44" s="25">
        <f>ROUND(IF(O44="",0,G41*O44/1000),2)</f>
        <v>0</v>
      </c>
      <c r="Q44" s="942" t="s">
        <v>737</v>
      </c>
      <c r="R44" s="141">
        <f>'päd.Personal - Leitung'!$R$44</f>
        <v>556</v>
      </c>
      <c r="S44" s="955">
        <f>'päd.Personal - Leitung'!$S$44</f>
        <v>12.82</v>
      </c>
    </row>
    <row r="45" spans="1:24" ht="14.25" customHeight="1" x14ac:dyDescent="0.2">
      <c r="H45" s="912" t="s">
        <v>126</v>
      </c>
      <c r="I45" s="1013" t="s">
        <v>127</v>
      </c>
      <c r="J45" s="911"/>
      <c r="K45" s="902" t="s">
        <v>128</v>
      </c>
      <c r="L45" s="909"/>
      <c r="M45" s="16"/>
      <c r="N45" s="900" t="s">
        <v>132</v>
      </c>
      <c r="O45" s="1074"/>
      <c r="P45" s="25">
        <f>ROUND(IF(J45="",0,(J45*L45/O45)/M9*M10),2)</f>
        <v>0</v>
      </c>
      <c r="Q45" s="942" t="s">
        <v>738</v>
      </c>
      <c r="R45" s="140">
        <f>'päd.Personal - Leitung'!$R$45</f>
        <v>2000</v>
      </c>
      <c r="S45" s="939"/>
    </row>
    <row r="46" spans="1:24" ht="14.25" customHeight="1" x14ac:dyDescent="0.2">
      <c r="D46" s="16"/>
      <c r="I46" s="16"/>
      <c r="J46" s="16"/>
      <c r="K46" s="63"/>
      <c r="L46" s="67"/>
      <c r="M46" s="915" t="s">
        <v>130</v>
      </c>
      <c r="N46" s="80" t="s">
        <v>131</v>
      </c>
      <c r="O46" s="904"/>
      <c r="P46" s="21">
        <f>ROUND(IF(G41=0,0,O46/M7*M8),2)</f>
        <v>0</v>
      </c>
      <c r="Q46" s="942" t="s">
        <v>740</v>
      </c>
      <c r="R46" s="956">
        <f>'päd.Personal - Leitung'!$R$46</f>
        <v>0.40900000000000003</v>
      </c>
    </row>
    <row r="47" spans="1:24" ht="14.25" customHeight="1" x14ac:dyDescent="0.2">
      <c r="A47" s="16"/>
      <c r="B47" s="16"/>
      <c r="I47" s="905"/>
      <c r="J47" s="961" t="s">
        <v>176</v>
      </c>
      <c r="K47" s="1312"/>
      <c r="L47" s="1312"/>
      <c r="M47" s="1312"/>
      <c r="N47" s="80" t="s">
        <v>131</v>
      </c>
      <c r="O47" s="904"/>
      <c r="P47" s="21">
        <f>ROUND(IF(G41=0,0,O47/M7*M8),2)</f>
        <v>0</v>
      </c>
      <c r="Q47" s="942" t="s">
        <v>739</v>
      </c>
      <c r="R47" s="940">
        <f>'päd.Personal - Leitung'!$R$47</f>
        <v>0.68459999999999999</v>
      </c>
      <c r="S47" s="957">
        <f>'päd.Personal - Leitung'!$S$47</f>
        <v>0.28000000000000003</v>
      </c>
    </row>
    <row r="48" spans="1:24" ht="14.25" customHeight="1" x14ac:dyDescent="0.2">
      <c r="A48" s="908"/>
      <c r="B48" s="908"/>
      <c r="C48" s="1013"/>
      <c r="D48" s="1013"/>
      <c r="I48" s="913"/>
      <c r="J48" s="913"/>
      <c r="K48" s="916"/>
      <c r="L48" s="27"/>
      <c r="M48" s="27"/>
      <c r="N48" s="27"/>
      <c r="O48" s="26" t="s">
        <v>0</v>
      </c>
      <c r="P48" s="25">
        <f>P41+SUM(P43:P47)</f>
        <v>0</v>
      </c>
    </row>
    <row r="49" spans="1:19" s="10" customFormat="1" ht="13.5" customHeight="1" x14ac:dyDescent="0.2">
      <c r="A49" s="1321" t="s">
        <v>17</v>
      </c>
      <c r="B49" s="1321"/>
      <c r="C49" s="1321"/>
      <c r="D49" s="1320" t="str">
        <f>IF('päd.Personal - Leitung'!$D$1="","",'päd.Personal - Leitung'!$D$1)</f>
        <v/>
      </c>
      <c r="E49" s="1320"/>
      <c r="F49" s="1320"/>
      <c r="G49" s="1320"/>
      <c r="H49" s="1320"/>
      <c r="I49" s="1320"/>
      <c r="J49" s="1320"/>
      <c r="K49" s="1320"/>
      <c r="L49" s="1320"/>
      <c r="M49" s="1320"/>
      <c r="N49" s="1320"/>
    </row>
    <row r="50" spans="1:19" s="10" customFormat="1" ht="15" customHeight="1" x14ac:dyDescent="0.2">
      <c r="A50" s="1321" t="s">
        <v>16</v>
      </c>
      <c r="B50" s="1321"/>
      <c r="C50" s="1321" t="s">
        <v>14</v>
      </c>
      <c r="D50" s="1320" t="str">
        <f>IF('päd.Personal - Leitung'!$D$2="","",'päd.Personal - Leitung'!$D$2)</f>
        <v/>
      </c>
      <c r="E50" s="1320"/>
      <c r="F50" s="1320"/>
      <c r="G50" s="1320"/>
      <c r="H50" s="1320"/>
      <c r="I50" s="1320"/>
      <c r="J50" s="1320"/>
      <c r="K50" s="1320"/>
      <c r="L50" s="1320"/>
      <c r="M50" s="1320"/>
      <c r="N50" s="1320"/>
    </row>
    <row r="51" spans="1:19" s="10" customFormat="1" ht="15" customHeight="1" x14ac:dyDescent="0.2">
      <c r="A51" s="1321" t="s">
        <v>15</v>
      </c>
      <c r="B51" s="1321"/>
      <c r="C51" s="1321" t="s">
        <v>14</v>
      </c>
      <c r="D51" s="1320" t="str">
        <f>IF('päd.Personal - Leitung'!$D$3="","",'päd.Personal - Leitung'!$D$3)</f>
        <v/>
      </c>
      <c r="E51" s="1320"/>
      <c r="F51" s="1320"/>
      <c r="G51" s="1320"/>
      <c r="H51" s="1320"/>
      <c r="I51" s="1320"/>
      <c r="J51" s="1320"/>
      <c r="K51" s="1321" t="s">
        <v>100</v>
      </c>
      <c r="L51" s="1321"/>
      <c r="M51" s="1321"/>
      <c r="N51" s="38" t="str">
        <f>IF('päd.Personal - Leitung'!$N$3="","",'päd.Personal - Leitung'!$N$3)</f>
        <v/>
      </c>
    </row>
    <row r="52" spans="1:19" s="923" customFormat="1" ht="7.5" customHeight="1" x14ac:dyDescent="0.15">
      <c r="A52" s="1353"/>
      <c r="B52" s="1353"/>
      <c r="C52" s="1353"/>
      <c r="D52" s="1354"/>
      <c r="E52" s="1354"/>
      <c r="F52" s="1354"/>
      <c r="G52" s="1354"/>
      <c r="H52" s="1354"/>
      <c r="I52" s="1354"/>
      <c r="J52" s="1354"/>
      <c r="K52" s="922"/>
      <c r="L52" s="922"/>
      <c r="M52" s="922"/>
      <c r="N52" s="922"/>
      <c r="O52" s="922"/>
      <c r="P52" s="922"/>
    </row>
    <row r="53" spans="1:19" s="13" customFormat="1" ht="13.5" customHeight="1" x14ac:dyDescent="0.2">
      <c r="A53" s="1355" t="s">
        <v>199</v>
      </c>
      <c r="B53" s="1355"/>
      <c r="C53" s="1355"/>
      <c r="D53" s="1355"/>
      <c r="E53" s="1355"/>
      <c r="F53" s="1355"/>
      <c r="G53" s="1355"/>
      <c r="H53" s="1355"/>
      <c r="I53" s="1355"/>
      <c r="J53" s="1355"/>
      <c r="K53" s="7"/>
      <c r="L53" s="7"/>
      <c r="M53" s="7"/>
      <c r="N53" s="52"/>
      <c r="O53" s="138">
        <f>'päd.Personal - Leitung'!$O$5</f>
        <v>2025</v>
      </c>
      <c r="P53" s="52" t="s">
        <v>140</v>
      </c>
    </row>
    <row r="54" spans="1:19" s="8" customFormat="1" ht="13.5" customHeight="1" x14ac:dyDescent="0.25">
      <c r="B54" s="29"/>
      <c r="C54" s="29"/>
      <c r="D54" s="3" t="s">
        <v>201</v>
      </c>
      <c r="E54" s="28"/>
      <c r="F54" s="28"/>
      <c r="G54" s="28"/>
      <c r="H54" s="28"/>
      <c r="I54" s="24"/>
      <c r="K54" s="1327" t="s">
        <v>13</v>
      </c>
      <c r="L54" s="1327"/>
      <c r="M54" s="131"/>
      <c r="O54" s="928" t="str">
        <f>A77</f>
        <v>Jan 2025</v>
      </c>
      <c r="P54" s="1402">
        <f>IF(M56="","",M56)</f>
        <v>0</v>
      </c>
    </row>
    <row r="55" spans="1:19" s="5" customFormat="1" ht="13.5" customHeight="1" x14ac:dyDescent="0.25">
      <c r="A55" s="1328" t="s">
        <v>754</v>
      </c>
      <c r="B55" s="1328"/>
      <c r="C55" s="1328"/>
      <c r="D55" s="1329"/>
      <c r="E55" s="1329"/>
      <c r="F55" s="1329"/>
      <c r="G55" s="1329"/>
      <c r="H55" s="1329"/>
      <c r="I55" s="1329"/>
      <c r="K55" s="1327" t="s">
        <v>101</v>
      </c>
      <c r="L55" s="1327"/>
      <c r="M55" s="101"/>
      <c r="O55" s="928" t="str">
        <f t="shared" ref="O55:O65" si="7">A78</f>
        <v>Feb 2025</v>
      </c>
      <c r="P55" s="1403">
        <f t="shared" ref="P55:P65" si="8">IF(P54="","",P54)</f>
        <v>0</v>
      </c>
    </row>
    <row r="56" spans="1:19" ht="13.5" customHeight="1" x14ac:dyDescent="0.2">
      <c r="A56" s="1328" t="s">
        <v>12</v>
      </c>
      <c r="B56" s="1328"/>
      <c r="C56" s="1328"/>
      <c r="D56" s="1345"/>
      <c r="E56" s="1345"/>
      <c r="F56" s="1345"/>
      <c r="G56" s="1345"/>
      <c r="H56" s="1345"/>
      <c r="I56" s="1345"/>
      <c r="K56" s="1327" t="s">
        <v>194</v>
      </c>
      <c r="L56" s="1327"/>
      <c r="M56" s="101">
        <f>IF(M57&gt;M55,0,M55-M57)</f>
        <v>0</v>
      </c>
      <c r="O56" s="928" t="str">
        <f t="shared" si="7"/>
        <v>Mrz 2025</v>
      </c>
      <c r="P56" s="1403">
        <f t="shared" si="8"/>
        <v>0</v>
      </c>
    </row>
    <row r="57" spans="1:19" ht="13.5" customHeight="1" x14ac:dyDescent="0.2">
      <c r="A57" s="1328" t="s">
        <v>11</v>
      </c>
      <c r="B57" s="1328"/>
      <c r="C57" s="1328"/>
      <c r="D57" s="1345"/>
      <c r="E57" s="1345"/>
      <c r="F57" s="1345"/>
      <c r="G57" s="1345"/>
      <c r="H57" s="1345"/>
      <c r="I57" s="1345"/>
      <c r="K57" s="1327" t="s">
        <v>195</v>
      </c>
      <c r="L57" s="1327"/>
      <c r="M57" s="101"/>
      <c r="O57" s="928" t="str">
        <f t="shared" si="7"/>
        <v>Apr 2025</v>
      </c>
      <c r="P57" s="1403">
        <f t="shared" si="8"/>
        <v>0</v>
      </c>
    </row>
    <row r="58" spans="1:19" ht="13.5" customHeight="1" x14ac:dyDescent="0.2">
      <c r="A58" s="1328" t="s">
        <v>18</v>
      </c>
      <c r="B58" s="1328"/>
      <c r="C58" s="1328"/>
      <c r="D58" s="1345"/>
      <c r="E58" s="1345"/>
      <c r="F58" s="1345"/>
      <c r="G58" s="1345"/>
      <c r="H58" s="1345"/>
      <c r="I58" s="1345"/>
      <c r="K58" s="1327" t="s">
        <v>94</v>
      </c>
      <c r="L58" s="1327"/>
      <c r="M58" s="15" t="str">
        <f>IF(IF((COUNTIF(B77:B88,"&gt;0"))=0,0,(COUNTIF(B77:B88,"&gt;0")))&gt;Grundlagen!$C$26,Grundlagen!$C$26,IF((COUNTIF(B77:B88,"&gt;0"))=0,"",(COUNTIF(B77:B88,"&gt;0"))))</f>
        <v/>
      </c>
      <c r="O58" s="928" t="str">
        <f t="shared" si="7"/>
        <v>Mai 2025</v>
      </c>
      <c r="P58" s="1403">
        <f t="shared" si="8"/>
        <v>0</v>
      </c>
    </row>
    <row r="59" spans="1:19" ht="13.5" customHeight="1" x14ac:dyDescent="0.2">
      <c r="B59" s="6"/>
      <c r="C59" s="1012" t="s">
        <v>147</v>
      </c>
      <c r="D59" s="1324"/>
      <c r="E59" s="1324"/>
      <c r="F59" s="1359" t="s">
        <v>103</v>
      </c>
      <c r="G59" s="1359"/>
      <c r="H59" s="1361"/>
      <c r="I59" s="1361"/>
      <c r="M59" s="102" t="str">
        <f>IF((SUM(F62:F65))=0,"",IF(P66&gt;M56,M56,IF(M56="","",IF(M58="","",P66))))</f>
        <v/>
      </c>
      <c r="O59" s="928" t="str">
        <f t="shared" si="7"/>
        <v>Jun 2025</v>
      </c>
      <c r="P59" s="1403">
        <f t="shared" si="8"/>
        <v>0</v>
      </c>
    </row>
    <row r="60" spans="1:19" ht="13.5" customHeight="1" x14ac:dyDescent="0.2">
      <c r="I60" s="4"/>
      <c r="O60" s="928" t="str">
        <f t="shared" si="7"/>
        <v>Jul 2025</v>
      </c>
      <c r="P60" s="1403">
        <f t="shared" si="8"/>
        <v>0</v>
      </c>
    </row>
    <row r="61" spans="1:19" s="46" customFormat="1" ht="13.5" customHeight="1" x14ac:dyDescent="0.2">
      <c r="A61" s="54" t="s">
        <v>134</v>
      </c>
      <c r="B61" s="1356" t="s">
        <v>135</v>
      </c>
      <c r="C61" s="1356"/>
      <c r="D61" s="55" t="s">
        <v>136</v>
      </c>
      <c r="E61" s="56" t="s">
        <v>137</v>
      </c>
      <c r="F61" s="57" t="str">
        <f>CONCATENATE("Entg. ",N51," h/Wo")</f>
        <v>Entg.  h/Wo</v>
      </c>
      <c r="G61" s="58" t="s">
        <v>138</v>
      </c>
      <c r="I61" s="58" t="s">
        <v>139</v>
      </c>
      <c r="K61" s="970"/>
      <c r="L61" s="970"/>
      <c r="M61" s="59"/>
      <c r="N61" s="968" t="str">
        <f>IF(A63="","",A63)</f>
        <v/>
      </c>
      <c r="O61" s="928" t="str">
        <f t="shared" si="7"/>
        <v>Aug 2025</v>
      </c>
      <c r="P61" s="1403">
        <f t="shared" si="8"/>
        <v>0</v>
      </c>
      <c r="Q61" s="85"/>
      <c r="R61" s="85"/>
      <c r="S61" s="85"/>
    </row>
    <row r="62" spans="1:19" s="46" customFormat="1" ht="13.5" customHeight="1" x14ac:dyDescent="0.25">
      <c r="A62" s="48" t="str">
        <f>'päd.Personal - Leitung'!$A$14</f>
        <v>Jan 2025</v>
      </c>
      <c r="B62" s="1357" t="str">
        <f>IF($D$3="","",$D$3)</f>
        <v/>
      </c>
      <c r="C62" s="1358"/>
      <c r="D62" s="132"/>
      <c r="E62" s="132"/>
      <c r="F62" s="71"/>
      <c r="G62" s="50">
        <f>IF(N51="",0,F62/N51/4.348)</f>
        <v>0</v>
      </c>
      <c r="I62" s="125">
        <f>SUM(J62:M62)</f>
        <v>0</v>
      </c>
      <c r="J62" s="124"/>
      <c r="K62" s="124"/>
      <c r="L62" s="124"/>
      <c r="M62" s="124"/>
      <c r="N62" s="969"/>
      <c r="O62" s="928" t="str">
        <f t="shared" si="7"/>
        <v>Sep 2025</v>
      </c>
      <c r="P62" s="1403">
        <f t="shared" si="8"/>
        <v>0</v>
      </c>
      <c r="Q62" s="85"/>
      <c r="R62" s="85"/>
      <c r="S62" s="85"/>
    </row>
    <row r="63" spans="1:19" s="46" customFormat="1" ht="13.5" customHeight="1" x14ac:dyDescent="0.25">
      <c r="A63" s="49"/>
      <c r="B63" s="1322" t="str">
        <f>IF(A63="","",B62)</f>
        <v/>
      </c>
      <c r="C63" s="1323"/>
      <c r="D63" s="132"/>
      <c r="E63" s="132"/>
      <c r="F63" s="71"/>
      <c r="G63" s="50">
        <f>IF(N51="",0,F63/N51/4.348)</f>
        <v>0</v>
      </c>
      <c r="I63" s="125">
        <f t="shared" ref="I63:I65" si="9">SUM(J63:M63)</f>
        <v>0</v>
      </c>
      <c r="J63" s="124"/>
      <c r="K63" s="124"/>
      <c r="L63" s="124"/>
      <c r="M63" s="124"/>
      <c r="N63" s="969"/>
      <c r="O63" s="928" t="str">
        <f t="shared" si="7"/>
        <v>Okt 2025</v>
      </c>
      <c r="P63" s="1403">
        <f t="shared" si="8"/>
        <v>0</v>
      </c>
      <c r="Q63" s="85"/>
      <c r="R63" s="85"/>
      <c r="S63" s="85"/>
    </row>
    <row r="64" spans="1:19" s="46" customFormat="1" ht="13.5" customHeight="1" x14ac:dyDescent="0.25">
      <c r="A64" s="49"/>
      <c r="B64" s="1322" t="str">
        <f>IF(A64="","",B63)</f>
        <v/>
      </c>
      <c r="C64" s="1323"/>
      <c r="D64" s="132"/>
      <c r="E64" s="132"/>
      <c r="F64" s="71"/>
      <c r="G64" s="50">
        <f>IF(N51="",0,F64/N51/4.348)</f>
        <v>0</v>
      </c>
      <c r="I64" s="125">
        <f t="shared" si="9"/>
        <v>0</v>
      </c>
      <c r="J64" s="124"/>
      <c r="K64" s="124"/>
      <c r="L64" s="124"/>
      <c r="M64" s="124"/>
      <c r="N64" s="969"/>
      <c r="O64" s="928" t="str">
        <f t="shared" si="7"/>
        <v>Nov 2025</v>
      </c>
      <c r="P64" s="1403">
        <f t="shared" si="8"/>
        <v>0</v>
      </c>
      <c r="Q64" s="85"/>
      <c r="R64" s="85"/>
      <c r="S64" s="85"/>
    </row>
    <row r="65" spans="1:22" s="46" customFormat="1" ht="13.5" customHeight="1" x14ac:dyDescent="0.25">
      <c r="A65" s="49"/>
      <c r="B65" s="1322" t="str">
        <f>IF(A65="","",B64)</f>
        <v/>
      </c>
      <c r="C65" s="1323"/>
      <c r="D65" s="132"/>
      <c r="E65" s="132"/>
      <c r="F65" s="71"/>
      <c r="G65" s="50">
        <f>IF(N51="",0,F65/N51/4.348)</f>
        <v>0</v>
      </c>
      <c r="I65" s="125">
        <f t="shared" si="9"/>
        <v>0</v>
      </c>
      <c r="J65" s="124"/>
      <c r="K65" s="124"/>
      <c r="L65" s="124"/>
      <c r="M65" s="124"/>
      <c r="N65" s="969"/>
      <c r="O65" s="928" t="str">
        <f t="shared" si="7"/>
        <v>Dez 2025</v>
      </c>
      <c r="P65" s="1403">
        <f t="shared" si="8"/>
        <v>0</v>
      </c>
      <c r="Q65" s="85"/>
      <c r="R65" s="85"/>
      <c r="S65" s="85"/>
    </row>
    <row r="66" spans="1:22" s="46" customFormat="1" ht="13.5" customHeight="1" x14ac:dyDescent="0.25">
      <c r="B66" s="972"/>
      <c r="C66" s="972"/>
      <c r="E66" s="972"/>
      <c r="F66" s="972"/>
      <c r="I66" s="930" t="s">
        <v>730</v>
      </c>
      <c r="J66" s="976"/>
      <c r="K66" s="976"/>
      <c r="L66" s="976"/>
      <c r="M66" s="976"/>
      <c r="N66" s="971"/>
      <c r="O66" s="126" t="s">
        <v>221</v>
      </c>
      <c r="P66" s="127">
        <f>IF(M58="",0,((IF(SUMIF(B77,"&gt;0"),P54,0))+(IF(SUMIF(B78,"&gt;0"),P55,0))+(IF(SUMIF(B79,"&gt;0"),P56,0))+(IF(SUMIF(B80,"&gt;0"),P57,0))+(IF(SUMIF(B81,"&gt;0"),P58,0))+(IF(SUMIF(B82,"&gt;0"),P59,0))+(IF(SUMIF(B83,"&gt;0"),P60,0))+(IF(SUMIF(B84,"&gt;0"),P61,0))+(IF(SUMIF(B85,"&gt;0"),P62,0))+(IF(SUMIF(B86,"&gt;0"),P63,0))+(IF(SUMIF(B87,"&gt;0"),P64,0))+(IF(SUMIF(B88,"&gt;0"),P65,0)))/Grundlagen!$C$26)</f>
        <v>0</v>
      </c>
      <c r="Q66" s="997" t="str">
        <f>CONCATENATE("BBG"," anteilig ",O68)</f>
        <v>BBG anteilig 2025</v>
      </c>
      <c r="R66" s="931" t="s">
        <v>659</v>
      </c>
      <c r="S66" s="931" t="s">
        <v>398</v>
      </c>
      <c r="T66" s="107"/>
    </row>
    <row r="67" spans="1:22" s="46" customFormat="1" ht="13.5" customHeight="1" x14ac:dyDescent="0.2">
      <c r="A67" s="924" t="s">
        <v>732</v>
      </c>
      <c r="D67" s="55" t="s">
        <v>369</v>
      </c>
      <c r="E67" s="56" t="s">
        <v>368</v>
      </c>
      <c r="F67" s="58"/>
      <c r="J67" s="61"/>
      <c r="Q67" s="932" t="s">
        <v>144</v>
      </c>
      <c r="R67" s="140">
        <f>IF(M56=0,R71,IF(M55="",R71,(SUM(R77:R88)/M59)))</f>
        <v>5175</v>
      </c>
      <c r="S67" s="933">
        <f>IF(M56=0,S71,IF(M55="",S71,SUM(R77:R88)))</f>
        <v>0</v>
      </c>
      <c r="T67" s="107"/>
    </row>
    <row r="68" spans="1:22" s="46" customFormat="1" ht="13.5" customHeight="1" x14ac:dyDescent="0.25">
      <c r="A68" s="60"/>
      <c r="B68" s="1314" t="str">
        <f>IF($B$20="","",$B$20)</f>
        <v>Jahressonderzahlung (JSZ)</v>
      </c>
      <c r="C68" s="1315"/>
      <c r="D68" s="926"/>
      <c r="E68" s="929" t="str">
        <f>IF(A68="","",ROUND((((SUM(B83:B85)+SUM(F83:F85))/3)*D68)/Grundlagen!$C$26*M58,2))</f>
        <v/>
      </c>
      <c r="G68" s="941" t="s">
        <v>733</v>
      </c>
      <c r="H68" s="943"/>
      <c r="I68" s="1316" t="str">
        <f>CONCATENATE(R91,":"," Übergangsbereich von ",R92+0.01," €"," bis ",R93," €")</f>
        <v>2025: Übergangsbereich von 556,01 € bis 2000 €</v>
      </c>
      <c r="J68" s="1317"/>
      <c r="K68" s="1317"/>
      <c r="L68" s="1067"/>
      <c r="M68" s="1067"/>
      <c r="N68" s="1068" t="s">
        <v>736</v>
      </c>
      <c r="O68" s="1069">
        <f>P68+1</f>
        <v>2025</v>
      </c>
      <c r="P68" s="1069" t="s">
        <v>721</v>
      </c>
      <c r="Q68" s="932" t="s">
        <v>145</v>
      </c>
      <c r="R68" s="140">
        <f>IF(M56=0,R72,IF(M55="",R72,(SUM(S77:S88)/M59)))</f>
        <v>7450</v>
      </c>
      <c r="S68" s="933">
        <f>IF(M56=0,S72,IF(M55="",S72,SUM(S77:S88)))</f>
        <v>0</v>
      </c>
      <c r="T68" s="109"/>
    </row>
    <row r="69" spans="1:22" ht="14.25" customHeight="1" x14ac:dyDescent="0.2">
      <c r="A69" s="60"/>
      <c r="B69" s="1314" t="str">
        <f>IF($B$21="","",$B$21)</f>
        <v>Leistungsentgelt (LOB)</v>
      </c>
      <c r="C69" s="1315"/>
      <c r="D69" s="926"/>
      <c r="E69" s="929" t="str">
        <f>IF(A69="","",ROUND(((B89+F89)*D69)/Grundlagen!$C$26*M58,2))</f>
        <v/>
      </c>
      <c r="G69" s="941" t="str">
        <f>IF(OR(H68="",H68="nein")=TRUE,"","Faktor (F):")</f>
        <v/>
      </c>
      <c r="H69" s="949" t="str">
        <f>IF(OR(H68="",H68="nein")=TRUE,"",IF(H68="","",R95))</f>
        <v/>
      </c>
      <c r="I69" s="1318" t="str">
        <f>IF(OR(H68="",H68="nein")=TRUE,"",IF(H69="","",CONCATENATE(S95*100,"%"," / ","(",R94*100,"%"," Gesamt-SV-Beitragssatz 2024)")))</f>
        <v/>
      </c>
      <c r="J69" s="1319"/>
      <c r="K69" s="1319"/>
      <c r="L69" s="1070"/>
      <c r="M69" s="1070"/>
      <c r="N69" s="1071" t="s">
        <v>144</v>
      </c>
      <c r="O69" s="1072">
        <f>'päd.Personal - Leitung'!$O$21</f>
        <v>5175</v>
      </c>
      <c r="P69" s="1072">
        <f>'päd.Personal - Leitung'!$P$21</f>
        <v>5175</v>
      </c>
      <c r="Q69" s="11"/>
      <c r="R69" s="11"/>
      <c r="S69" s="11"/>
      <c r="T69" s="109"/>
    </row>
    <row r="70" spans="1:22" ht="14.25" customHeight="1" x14ac:dyDescent="0.2">
      <c r="C70" s="925" t="s">
        <v>731</v>
      </c>
      <c r="L70" s="1070"/>
      <c r="M70" s="1070"/>
      <c r="N70" s="1071" t="s">
        <v>145</v>
      </c>
      <c r="O70" s="1073">
        <f>'päd.Personal - Leitung'!$O$22</f>
        <v>7450</v>
      </c>
      <c r="P70" s="1073">
        <f>'päd.Personal - Leitung'!$P$22</f>
        <v>7450</v>
      </c>
      <c r="Q70" s="997" t="str">
        <f>CONCATENATE("BBG"," ",O68)</f>
        <v>BBG 2025</v>
      </c>
      <c r="R70" s="11"/>
      <c r="S70" s="11"/>
      <c r="T70" s="109"/>
    </row>
    <row r="71" spans="1:22" ht="14.25" customHeight="1" x14ac:dyDescent="0.2">
      <c r="A71" s="53" t="s">
        <v>141</v>
      </c>
      <c r="B71" s="46"/>
      <c r="C71" s="46"/>
      <c r="D71" s="46"/>
      <c r="E71" s="46"/>
      <c r="F71" s="46"/>
      <c r="G71" s="46"/>
      <c r="H71" s="46"/>
      <c r="I71" s="46"/>
      <c r="J71" s="46"/>
      <c r="K71" s="46"/>
      <c r="L71" s="46"/>
      <c r="M71" s="46"/>
      <c r="N71" s="46"/>
      <c r="O71" s="46"/>
      <c r="P71" s="46"/>
      <c r="Q71" s="932" t="s">
        <v>144</v>
      </c>
      <c r="R71" s="141">
        <f>IF($O$21="",0,$O$21)</f>
        <v>5175</v>
      </c>
      <c r="S71" s="933">
        <f>R71*IF(M59="",0,M59)</f>
        <v>0</v>
      </c>
      <c r="T71" s="295"/>
    </row>
    <row r="72" spans="1:22" ht="14.25" customHeight="1" x14ac:dyDescent="0.2">
      <c r="A72" s="1346"/>
      <c r="B72" s="1348" t="s">
        <v>8</v>
      </c>
      <c r="C72" s="1349"/>
      <c r="D72" s="1349"/>
      <c r="E72" s="1349"/>
      <c r="F72" s="1349"/>
      <c r="G72" s="1350"/>
      <c r="H72" s="1351" t="s">
        <v>113</v>
      </c>
      <c r="I72" s="1352"/>
      <c r="J72" s="1352"/>
      <c r="K72" s="1352"/>
      <c r="L72" s="1352"/>
      <c r="M72" s="1352"/>
      <c r="N72" s="1352"/>
      <c r="O72" s="30"/>
      <c r="P72" s="1330" t="s">
        <v>0</v>
      </c>
      <c r="Q72" s="932" t="s">
        <v>145</v>
      </c>
      <c r="R72" s="141">
        <f>IF($O$22="",0,$O$22)</f>
        <v>7450</v>
      </c>
      <c r="S72" s="933">
        <f>R72*IF(M59="",0,M59)</f>
        <v>0</v>
      </c>
      <c r="T72" s="830"/>
    </row>
    <row r="73" spans="1:22" ht="14.25" customHeight="1" x14ac:dyDescent="0.2">
      <c r="A73" s="1347"/>
      <c r="B73" s="1333" t="s">
        <v>111</v>
      </c>
      <c r="C73" s="1335" t="s">
        <v>743</v>
      </c>
      <c r="D73" s="1337" t="s">
        <v>226</v>
      </c>
      <c r="E73" s="1339" t="s">
        <v>133</v>
      </c>
      <c r="F73" s="1014" t="s">
        <v>6</v>
      </c>
      <c r="G73" s="1340" t="s">
        <v>5</v>
      </c>
      <c r="H73" s="1339" t="s">
        <v>119</v>
      </c>
      <c r="I73" s="1339" t="s">
        <v>4</v>
      </c>
      <c r="J73" s="1339" t="s">
        <v>3</v>
      </c>
      <c r="K73" s="1339" t="s">
        <v>2</v>
      </c>
      <c r="L73" s="1339" t="s">
        <v>114</v>
      </c>
      <c r="M73" s="1339" t="s">
        <v>115</v>
      </c>
      <c r="N73" s="1339" t="s">
        <v>116</v>
      </c>
      <c r="O73" s="1338" t="s">
        <v>109</v>
      </c>
      <c r="P73" s="1331"/>
      <c r="Q73" s="456"/>
      <c r="R73" s="11"/>
      <c r="S73" s="11"/>
      <c r="T73" s="621"/>
    </row>
    <row r="74" spans="1:22" ht="14.25" customHeight="1" x14ac:dyDescent="0.2">
      <c r="A74" s="1347"/>
      <c r="B74" s="1333"/>
      <c r="C74" s="1335"/>
      <c r="D74" s="1338"/>
      <c r="E74" s="1339"/>
      <c r="F74" s="1343" t="str">
        <f>I66</f>
        <v>Zuschläge / Zulagen / o.ä.:</v>
      </c>
      <c r="G74" s="1340"/>
      <c r="H74" s="1342" t="s">
        <v>117</v>
      </c>
      <c r="I74" s="1342"/>
      <c r="J74" s="1342"/>
      <c r="K74" s="1342"/>
      <c r="L74" s="1342"/>
      <c r="M74" s="1342"/>
      <c r="N74" s="1342"/>
      <c r="O74" s="1338"/>
      <c r="P74" s="1331"/>
      <c r="Q74" s="456"/>
      <c r="R74" s="1306" t="str">
        <f>Q66</f>
        <v>BBG anteilig 2025</v>
      </c>
      <c r="S74" s="1306"/>
      <c r="T74" s="829"/>
    </row>
    <row r="75" spans="1:22" ht="14.25" customHeight="1" x14ac:dyDescent="0.2">
      <c r="A75" s="1347"/>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c r="Q75" s="456"/>
      <c r="R75" s="1307" t="s">
        <v>659</v>
      </c>
      <c r="S75" s="1307"/>
      <c r="T75" s="829"/>
      <c r="U75" s="1308" t="s">
        <v>1</v>
      </c>
      <c r="V75" s="1308" t="s">
        <v>741</v>
      </c>
    </row>
    <row r="76" spans="1:22" x14ac:dyDescent="0.2">
      <c r="A76" s="1347"/>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c r="Q76" s="456"/>
      <c r="R76" s="935" t="s">
        <v>144</v>
      </c>
      <c r="S76" s="935" t="s">
        <v>145</v>
      </c>
      <c r="T76" s="829"/>
      <c r="U76" s="1308"/>
      <c r="V76" s="1308"/>
    </row>
    <row r="77" spans="1:22"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56"/>
      <c r="R77" s="140">
        <f>ROUND(IF(M55="",R71,R71/M55*P54),2)</f>
        <v>5175</v>
      </c>
      <c r="S77" s="140">
        <f>ROUND(IF(M55="",R72,R72/M55*P54),2)</f>
        <v>7450</v>
      </c>
      <c r="U77" s="950">
        <f>SUM(B77:F77)</f>
        <v>0</v>
      </c>
      <c r="V77" s="950">
        <f>SUM(B77:F77)</f>
        <v>0</v>
      </c>
    </row>
    <row r="78" spans="1:22"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1">SUM(G78:O78)</f>
        <v>0</v>
      </c>
      <c r="Q78" s="456"/>
      <c r="R78" s="140">
        <f>ROUND(IF(M55="",R71,R71/M55*P55),2)</f>
        <v>5175</v>
      </c>
      <c r="S78" s="140">
        <f>ROUND(IF(M55="",R72,R72/M55*P55),2)</f>
        <v>7450</v>
      </c>
      <c r="U78" s="950">
        <f t="shared" ref="U78:U88" si="12">SUM(B78:F78)</f>
        <v>0</v>
      </c>
      <c r="V78" s="950">
        <f>SUM(B77:F78)</f>
        <v>0</v>
      </c>
    </row>
    <row r="79" spans="1:22"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56"/>
      <c r="R79" s="140">
        <f>ROUND(IF(M55="",R71,R71/M55*P56),2)</f>
        <v>5175</v>
      </c>
      <c r="S79" s="140">
        <f>ROUND(IF(M55="",R72,R72/M55*P56),2)</f>
        <v>7450</v>
      </c>
      <c r="U79" s="950">
        <f t="shared" si="12"/>
        <v>0</v>
      </c>
      <c r="V79" s="950">
        <f>SUM(B77:F79)</f>
        <v>0</v>
      </c>
    </row>
    <row r="80" spans="1:22"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56"/>
      <c r="R80" s="140">
        <f>ROUND(IF(M55="",R71,R71/M55*P57),2)</f>
        <v>5175</v>
      </c>
      <c r="S80" s="140">
        <f>ROUND(IF(M55="",R72,R72/M55*P57),2)</f>
        <v>7450</v>
      </c>
      <c r="U80" s="950">
        <f t="shared" si="12"/>
        <v>0</v>
      </c>
      <c r="V80" s="950">
        <f>SUM(B77:F80)</f>
        <v>0</v>
      </c>
    </row>
    <row r="81" spans="1:24"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56"/>
      <c r="R81" s="140">
        <f>ROUND(IF(M55="",R71,R71/M55*P58),2)</f>
        <v>5175</v>
      </c>
      <c r="S81" s="140">
        <f>ROUND(IF(M55="",R72,R72/M55*P58),2)</f>
        <v>7450</v>
      </c>
      <c r="U81" s="950">
        <f t="shared" si="12"/>
        <v>0</v>
      </c>
      <c r="V81" s="950">
        <f>SUM(B77:F81)</f>
        <v>0</v>
      </c>
    </row>
    <row r="82" spans="1:24"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56"/>
      <c r="R82" s="140">
        <f>ROUND(IF(M55="",R71,R71/M55*P59),2)</f>
        <v>5175</v>
      </c>
      <c r="S82" s="140">
        <f>ROUND(IF(M55="",R72,R72/M55*P59),2)</f>
        <v>7450</v>
      </c>
      <c r="U82" s="950">
        <f t="shared" si="12"/>
        <v>0</v>
      </c>
      <c r="V82" s="950">
        <f>SUM(B77:F82)</f>
        <v>0</v>
      </c>
    </row>
    <row r="83" spans="1:24"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56"/>
      <c r="R83" s="140">
        <f>ROUND(IF(M55="",R71,R71/M55*P60),2)</f>
        <v>5175</v>
      </c>
      <c r="S83" s="140">
        <f>ROUND(IF(M55="",R72,R72/M55*P60),2)</f>
        <v>7450</v>
      </c>
      <c r="U83" s="950">
        <f t="shared" si="12"/>
        <v>0</v>
      </c>
      <c r="V83" s="950">
        <f>SUM(B77:F83)</f>
        <v>0</v>
      </c>
    </row>
    <row r="84" spans="1:24"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56"/>
      <c r="R84" s="140">
        <f>ROUND(IF(M55="",R71,R71/M55*P61),2)</f>
        <v>5175</v>
      </c>
      <c r="S84" s="140">
        <f>ROUND(IF(M55="",R72,R72/M55*P61),2)</f>
        <v>7450</v>
      </c>
      <c r="U84" s="950">
        <f t="shared" si="12"/>
        <v>0</v>
      </c>
      <c r="V84" s="950">
        <f>SUM(B77:F84)</f>
        <v>0</v>
      </c>
    </row>
    <row r="85" spans="1:24"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56"/>
      <c r="R85" s="140">
        <f>ROUND(IF(M55="",R71,R71/M55*P62),2)</f>
        <v>5175</v>
      </c>
      <c r="S85" s="140">
        <f>ROUND(IF(M55="",R72,R72/M55*P62),2)</f>
        <v>7450</v>
      </c>
      <c r="U85" s="950">
        <f t="shared" si="12"/>
        <v>0</v>
      </c>
      <c r="V85" s="950">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936"/>
      <c r="R86" s="140">
        <f>ROUND(IF(M55="",R71,R71/M55*P63),2)</f>
        <v>5175</v>
      </c>
      <c r="S86" s="140">
        <f>ROUND(IF(M55="",R72,R72/M55*P63),2)</f>
        <v>7450</v>
      </c>
      <c r="U86" s="950">
        <f t="shared" si="12"/>
        <v>0</v>
      </c>
      <c r="V86" s="950">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40">
        <f>ROUND(IF(M55="",R71,R71/M55*P64),2)</f>
        <v>5175</v>
      </c>
      <c r="S87" s="140">
        <f>ROUND(IF(M55="",R72,R72/M55*P64),2)</f>
        <v>7450</v>
      </c>
      <c r="U87" s="950">
        <f t="shared" si="12"/>
        <v>0</v>
      </c>
      <c r="V87" s="950">
        <f>SUM(B77:F87)</f>
        <v>0</v>
      </c>
      <c r="X87" s="1"/>
    </row>
    <row r="88" spans="1:24"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40">
        <f>ROUND(IF(M55="",R71,R71/M55*P65),2)</f>
        <v>5175</v>
      </c>
      <c r="S88" s="140">
        <f>ROUND(IF(M55="",R72,R72/M55*P65),2)</f>
        <v>7450</v>
      </c>
      <c r="U88" s="950">
        <f t="shared" si="12"/>
        <v>0</v>
      </c>
      <c r="V88" s="950">
        <f>SUM(B77:F88)</f>
        <v>0</v>
      </c>
    </row>
    <row r="89" spans="1:24" ht="15" customHeight="1" x14ac:dyDescent="0.2">
      <c r="A89" s="2" t="s">
        <v>1</v>
      </c>
      <c r="B89" s="25">
        <f>SUM(B77:B88)</f>
        <v>0</v>
      </c>
      <c r="C89" s="25">
        <f t="shared" ref="C89:G89" si="13">SUM(C77:C88)</f>
        <v>0</v>
      </c>
      <c r="D89" s="25">
        <f t="shared" si="13"/>
        <v>0</v>
      </c>
      <c r="E89" s="25">
        <f t="shared" si="13"/>
        <v>0</v>
      </c>
      <c r="F89" s="25">
        <f t="shared" si="13"/>
        <v>0</v>
      </c>
      <c r="G89" s="25">
        <f t="shared" si="13"/>
        <v>0</v>
      </c>
      <c r="H89" s="1309">
        <f>SUM(H77:N88)</f>
        <v>0</v>
      </c>
      <c r="I89" s="1310"/>
      <c r="J89" s="1310"/>
      <c r="K89" s="1310"/>
      <c r="L89" s="1310"/>
      <c r="M89" s="1310"/>
      <c r="N89" s="1311"/>
      <c r="O89" s="25">
        <f>SUM(O77:O88)</f>
        <v>0</v>
      </c>
      <c r="P89" s="25">
        <f>SUM(P77:P88)</f>
        <v>0</v>
      </c>
    </row>
    <row r="90" spans="1:24" ht="12" customHeight="1" x14ac:dyDescent="0.2"/>
    <row r="91" spans="1:24" ht="14.25" customHeight="1" x14ac:dyDescent="0.2">
      <c r="B91" s="906"/>
      <c r="H91" s="905"/>
      <c r="I91" s="62"/>
      <c r="J91" s="914" t="s">
        <v>123</v>
      </c>
      <c r="L91" s="900" t="s">
        <v>124</v>
      </c>
      <c r="M91" s="974" t="str">
        <f>IF(IF(G89=0,"",$M$43)=0,"",IF(G89=0,"",$M$43))</f>
        <v/>
      </c>
      <c r="N91" s="902" t="s">
        <v>125</v>
      </c>
      <c r="O91" s="963" t="str">
        <f>IF(IF(G89=0,"",$O$43)=0,"",IF(G89=0,"",$O$43))</f>
        <v/>
      </c>
      <c r="P91" s="25">
        <f>ROUND(IF(M91="",0,G89*M91*O91/1000),2)</f>
        <v>0</v>
      </c>
      <c r="Q91" s="937"/>
      <c r="R91" s="938">
        <v>2025</v>
      </c>
      <c r="S91" s="939"/>
    </row>
    <row r="92" spans="1:24" ht="14.25" customHeight="1" x14ac:dyDescent="0.2">
      <c r="H92" s="907"/>
      <c r="I92" s="42"/>
      <c r="M92" s="915" t="s">
        <v>129</v>
      </c>
      <c r="N92" s="80" t="s">
        <v>125</v>
      </c>
      <c r="O92" s="75" t="str">
        <f>IF(IF(G89=0,"",$O$44)=0,"",IF(G89=0,"",$O$44))</f>
        <v/>
      </c>
      <c r="P92" s="25">
        <f>ROUND(IF(O92="",0,G89*O92/1000),2)</f>
        <v>0</v>
      </c>
      <c r="Q92" s="942" t="s">
        <v>737</v>
      </c>
      <c r="R92" s="141">
        <f>'päd.Personal - Leitung'!$R$44</f>
        <v>556</v>
      </c>
      <c r="S92" s="955">
        <f>'päd.Personal - Leitung'!$S$44</f>
        <v>12.82</v>
      </c>
    </row>
    <row r="93" spans="1:24" ht="14.25" customHeight="1" x14ac:dyDescent="0.2">
      <c r="H93" s="912" t="s">
        <v>126</v>
      </c>
      <c r="I93" s="1013" t="s">
        <v>127</v>
      </c>
      <c r="J93" s="975" t="str">
        <f>IF(IF(G89=0,"",$J$45)=0,"",IF(G89=0,"",$J$45))</f>
        <v/>
      </c>
      <c r="K93" s="902" t="s">
        <v>128</v>
      </c>
      <c r="L93" s="964" t="str">
        <f>IF(IF(G89=0,"",$L$45)=0,"",IF(G89=0,"",$L$45))</f>
        <v/>
      </c>
      <c r="M93" s="16"/>
      <c r="N93" s="900" t="s">
        <v>132</v>
      </c>
      <c r="O93" s="965" t="str">
        <f>IF(IF(G89=0,"",$O$45)=0,"",IF(G89=0,"",$O$45))</f>
        <v/>
      </c>
      <c r="P93" s="25">
        <f>ROUND(IF(J93="",0,(J93*L93/O93)/M57*M58),2)</f>
        <v>0</v>
      </c>
      <c r="Q93" s="942" t="s">
        <v>738</v>
      </c>
      <c r="R93" s="140">
        <f>'päd.Personal - Leitung'!$R$45</f>
        <v>2000</v>
      </c>
      <c r="S93" s="939"/>
    </row>
    <row r="94" spans="1:24" ht="14.25" customHeight="1" x14ac:dyDescent="0.2">
      <c r="D94" s="16"/>
      <c r="I94" s="16"/>
      <c r="J94" s="16"/>
      <c r="K94" s="63"/>
      <c r="L94" s="67"/>
      <c r="M94" s="915" t="s">
        <v>130</v>
      </c>
      <c r="N94" s="80" t="s">
        <v>131</v>
      </c>
      <c r="O94" s="904">
        <f>IF(IF(M59="",0,$O$46)=0,0,IF(M59="",0,$O$46))</f>
        <v>0</v>
      </c>
      <c r="P94" s="21">
        <f>ROUND(IF(G89=0,0,O94/M55*M56),2)</f>
        <v>0</v>
      </c>
      <c r="Q94" s="942" t="s">
        <v>740</v>
      </c>
      <c r="R94" s="956">
        <f>'päd.Personal - Leitung'!$R$46</f>
        <v>0.40900000000000003</v>
      </c>
    </row>
    <row r="95" spans="1:24" ht="14.25" customHeight="1" x14ac:dyDescent="0.2">
      <c r="A95" s="16"/>
      <c r="B95" s="16"/>
      <c r="I95" s="905"/>
      <c r="J95" s="961" t="s">
        <v>176</v>
      </c>
      <c r="K95" s="1312" t="str">
        <f>IF($K$47="","",$K$47)</f>
        <v/>
      </c>
      <c r="L95" s="1312"/>
      <c r="M95" s="1312"/>
      <c r="N95" s="80" t="s">
        <v>131</v>
      </c>
      <c r="O95" s="904">
        <f>IF(IF(M59="",0,$O$47)=0,0,IF(M59="",0,$O$47))</f>
        <v>0</v>
      </c>
      <c r="P95" s="21">
        <f>ROUND(IF(G89=0,0,O95/M55*M56),2)</f>
        <v>0</v>
      </c>
      <c r="Q95" s="942" t="s">
        <v>739</v>
      </c>
      <c r="R95" s="940">
        <f>'päd.Personal - Leitung'!$R$47</f>
        <v>0.68459999999999999</v>
      </c>
      <c r="S95" s="957">
        <f>'päd.Personal - Leitung'!$S$47</f>
        <v>0.28000000000000003</v>
      </c>
    </row>
    <row r="96" spans="1:24" ht="14.25" customHeight="1" x14ac:dyDescent="0.2">
      <c r="A96" s="908"/>
      <c r="B96" s="908"/>
      <c r="C96" s="1013"/>
      <c r="D96" s="1013"/>
      <c r="I96" s="913"/>
      <c r="J96" s="913"/>
      <c r="K96" s="916"/>
      <c r="L96" s="27"/>
      <c r="M96" s="27"/>
      <c r="N96" s="27"/>
      <c r="O96" s="26" t="s">
        <v>0</v>
      </c>
      <c r="P96" s="25">
        <f>P89+SUM(P91:P95)</f>
        <v>0</v>
      </c>
    </row>
    <row r="97" spans="1:19" s="10" customFormat="1" ht="13.5" customHeight="1" x14ac:dyDescent="0.2">
      <c r="A97" s="1321" t="s">
        <v>17</v>
      </c>
      <c r="B97" s="1321"/>
      <c r="C97" s="1321"/>
      <c r="D97" s="1320" t="str">
        <f>IF('päd.Personal - Leitung'!$D$1="","",'päd.Personal - Leitung'!$D$1)</f>
        <v/>
      </c>
      <c r="E97" s="1320"/>
      <c r="F97" s="1320"/>
      <c r="G97" s="1320"/>
      <c r="H97" s="1320"/>
      <c r="I97" s="1320"/>
      <c r="J97" s="1320"/>
      <c r="K97" s="1320"/>
      <c r="L97" s="1320"/>
      <c r="M97" s="1320"/>
      <c r="N97" s="1320"/>
    </row>
    <row r="98" spans="1:19" s="10" customFormat="1" ht="15" customHeight="1" x14ac:dyDescent="0.2">
      <c r="A98" s="1321" t="s">
        <v>16</v>
      </c>
      <c r="B98" s="1321"/>
      <c r="C98" s="1321" t="s">
        <v>14</v>
      </c>
      <c r="D98" s="1320" t="str">
        <f>IF('päd.Personal - Leitung'!$D$2="","",'päd.Personal - Leitung'!$D$2)</f>
        <v/>
      </c>
      <c r="E98" s="1320"/>
      <c r="F98" s="1320"/>
      <c r="G98" s="1320"/>
      <c r="H98" s="1320"/>
      <c r="I98" s="1320"/>
      <c r="J98" s="1320"/>
      <c r="K98" s="1320"/>
      <c r="L98" s="1320"/>
      <c r="M98" s="1320"/>
      <c r="N98" s="1320"/>
    </row>
    <row r="99" spans="1:19" s="10" customFormat="1" ht="15" customHeight="1" x14ac:dyDescent="0.2">
      <c r="A99" s="1321" t="s">
        <v>15</v>
      </c>
      <c r="B99" s="1321"/>
      <c r="C99" s="1321" t="s">
        <v>14</v>
      </c>
      <c r="D99" s="1320" t="str">
        <f>IF('päd.Personal - Leitung'!$D$3="","",'päd.Personal - Leitung'!$D$3)</f>
        <v/>
      </c>
      <c r="E99" s="1320"/>
      <c r="F99" s="1320"/>
      <c r="G99" s="1320"/>
      <c r="H99" s="1320"/>
      <c r="I99" s="1320"/>
      <c r="J99" s="1320"/>
      <c r="K99" s="1321" t="s">
        <v>100</v>
      </c>
      <c r="L99" s="1321"/>
      <c r="M99" s="1321"/>
      <c r="N99" s="38" t="str">
        <f>IF('päd.Personal - Leitung'!$N$3="","",'päd.Personal - Leitung'!$N$3)</f>
        <v/>
      </c>
    </row>
    <row r="100" spans="1:19" s="923" customFormat="1" ht="7.5" customHeight="1" x14ac:dyDescent="0.15">
      <c r="A100" s="1353"/>
      <c r="B100" s="1353"/>
      <c r="C100" s="1353"/>
      <c r="D100" s="1354"/>
      <c r="E100" s="1354"/>
      <c r="F100" s="1354"/>
      <c r="G100" s="1354"/>
      <c r="H100" s="1354"/>
      <c r="I100" s="1354"/>
      <c r="J100" s="1354"/>
      <c r="K100" s="922"/>
      <c r="L100" s="922"/>
      <c r="M100" s="922"/>
      <c r="N100" s="922"/>
      <c r="O100" s="922"/>
      <c r="P100" s="922"/>
    </row>
    <row r="101" spans="1:19" s="13" customFormat="1" ht="13.5" customHeight="1" x14ac:dyDescent="0.2">
      <c r="A101" s="1355" t="s">
        <v>199</v>
      </c>
      <c r="B101" s="1355"/>
      <c r="C101" s="1355"/>
      <c r="D101" s="1355"/>
      <c r="E101" s="1355"/>
      <c r="F101" s="1355"/>
      <c r="G101" s="1355"/>
      <c r="H101" s="1355"/>
      <c r="I101" s="1355"/>
      <c r="J101" s="1355"/>
      <c r="K101" s="7"/>
      <c r="L101" s="7"/>
      <c r="M101" s="7"/>
      <c r="N101" s="52"/>
      <c r="O101" s="138">
        <f>'päd.Personal - Leitung'!$O$5</f>
        <v>2025</v>
      </c>
      <c r="P101" s="52" t="s">
        <v>140</v>
      </c>
    </row>
    <row r="102" spans="1:19" s="8" customFormat="1" ht="13.5" customHeight="1" x14ac:dyDescent="0.25">
      <c r="B102" s="29"/>
      <c r="C102" s="29"/>
      <c r="D102" s="3" t="s">
        <v>202</v>
      </c>
      <c r="E102" s="28"/>
      <c r="F102" s="28"/>
      <c r="G102" s="28"/>
      <c r="H102" s="28"/>
      <c r="I102" s="24"/>
      <c r="K102" s="1327" t="s">
        <v>13</v>
      </c>
      <c r="L102" s="1327"/>
      <c r="M102" s="131"/>
      <c r="O102" s="928" t="str">
        <f>A125</f>
        <v>Jan 2025</v>
      </c>
      <c r="P102" s="1402">
        <f>IF(M104="","",M104)</f>
        <v>0</v>
      </c>
    </row>
    <row r="103" spans="1:19" s="5" customFormat="1" ht="13.5" customHeight="1" x14ac:dyDescent="0.25">
      <c r="A103" s="1328" t="s">
        <v>754</v>
      </c>
      <c r="B103" s="1328"/>
      <c r="C103" s="1328"/>
      <c r="D103" s="1329"/>
      <c r="E103" s="1329"/>
      <c r="F103" s="1329"/>
      <c r="G103" s="1329"/>
      <c r="H103" s="1329"/>
      <c r="I103" s="1329"/>
      <c r="K103" s="1327" t="s">
        <v>101</v>
      </c>
      <c r="L103" s="1327"/>
      <c r="M103" s="101"/>
      <c r="O103" s="928" t="str">
        <f t="shared" ref="O103:O113" si="14">A126</f>
        <v>Feb 2025</v>
      </c>
      <c r="P103" s="1403">
        <f t="shared" ref="P103:P113" si="15">IF(P102="","",P102)</f>
        <v>0</v>
      </c>
    </row>
    <row r="104" spans="1:19" ht="13.5" customHeight="1" x14ac:dyDescent="0.2">
      <c r="A104" s="1328" t="s">
        <v>12</v>
      </c>
      <c r="B104" s="1328"/>
      <c r="C104" s="1328"/>
      <c r="D104" s="1345"/>
      <c r="E104" s="1345"/>
      <c r="F104" s="1345"/>
      <c r="G104" s="1345"/>
      <c r="H104" s="1345"/>
      <c r="I104" s="1345"/>
      <c r="K104" s="1327" t="s">
        <v>194</v>
      </c>
      <c r="L104" s="1327"/>
      <c r="M104" s="101">
        <f>IF(M105&gt;M103,0,M103-M105)</f>
        <v>0</v>
      </c>
      <c r="O104" s="928" t="str">
        <f t="shared" si="14"/>
        <v>Mrz 2025</v>
      </c>
      <c r="P104" s="1403">
        <f t="shared" si="15"/>
        <v>0</v>
      </c>
    </row>
    <row r="105" spans="1:19" ht="13.5" customHeight="1" x14ac:dyDescent="0.2">
      <c r="A105" s="1328" t="s">
        <v>11</v>
      </c>
      <c r="B105" s="1328"/>
      <c r="C105" s="1328"/>
      <c r="D105" s="1345"/>
      <c r="E105" s="1345"/>
      <c r="F105" s="1345"/>
      <c r="G105" s="1345"/>
      <c r="H105" s="1345"/>
      <c r="I105" s="1345"/>
      <c r="K105" s="1327" t="s">
        <v>195</v>
      </c>
      <c r="L105" s="1327"/>
      <c r="M105" s="101"/>
      <c r="O105" s="928" t="str">
        <f t="shared" si="14"/>
        <v>Apr 2025</v>
      </c>
      <c r="P105" s="1403">
        <f t="shared" si="15"/>
        <v>0</v>
      </c>
    </row>
    <row r="106" spans="1:19" ht="13.5" customHeight="1" x14ac:dyDescent="0.2">
      <c r="A106" s="1328" t="s">
        <v>18</v>
      </c>
      <c r="B106" s="1328"/>
      <c r="C106" s="1328"/>
      <c r="D106" s="1345"/>
      <c r="E106" s="1345"/>
      <c r="F106" s="1345"/>
      <c r="G106" s="1345"/>
      <c r="H106" s="1345"/>
      <c r="I106" s="1345"/>
      <c r="K106" s="1327" t="s">
        <v>94</v>
      </c>
      <c r="L106" s="1327"/>
      <c r="M106" s="15" t="str">
        <f>IF(IF((COUNTIF(B125:B136,"&gt;0"))=0,0,(COUNTIF(B125:B136,"&gt;0")))&gt;Grundlagen!$C$26,Grundlagen!$C$26,IF((COUNTIF(B125:B136,"&gt;0"))=0,"",(COUNTIF(B125:B136,"&gt;0"))))</f>
        <v/>
      </c>
      <c r="O106" s="928" t="str">
        <f t="shared" si="14"/>
        <v>Mai 2025</v>
      </c>
      <c r="P106" s="1403">
        <f t="shared" si="15"/>
        <v>0</v>
      </c>
    </row>
    <row r="107" spans="1:19" ht="13.5" customHeight="1" x14ac:dyDescent="0.2">
      <c r="B107" s="6"/>
      <c r="C107" s="1012" t="s">
        <v>147</v>
      </c>
      <c r="D107" s="1324"/>
      <c r="E107" s="1324"/>
      <c r="F107" s="1359" t="s">
        <v>103</v>
      </c>
      <c r="G107" s="1359"/>
      <c r="H107" s="1361"/>
      <c r="I107" s="1361"/>
      <c r="M107" s="102" t="str">
        <f>IF((SUM(F110:F113))=0,"",IF(P114&gt;M104,M104,IF(M104="","",IF(M106="","",P114))))</f>
        <v/>
      </c>
      <c r="O107" s="928" t="str">
        <f t="shared" si="14"/>
        <v>Jun 2025</v>
      </c>
      <c r="P107" s="1403">
        <f t="shared" si="15"/>
        <v>0</v>
      </c>
    </row>
    <row r="108" spans="1:19" ht="13.5" customHeight="1" x14ac:dyDescent="0.2">
      <c r="I108" s="4"/>
      <c r="O108" s="928" t="str">
        <f t="shared" si="14"/>
        <v>Jul 2025</v>
      </c>
      <c r="P108" s="1403">
        <f t="shared" si="15"/>
        <v>0</v>
      </c>
    </row>
    <row r="109" spans="1:19" s="46" customFormat="1" ht="13.5" customHeight="1" x14ac:dyDescent="0.2">
      <c r="A109" s="54" t="s">
        <v>134</v>
      </c>
      <c r="B109" s="1356" t="s">
        <v>135</v>
      </c>
      <c r="C109" s="1356"/>
      <c r="D109" s="55" t="s">
        <v>136</v>
      </c>
      <c r="E109" s="56" t="s">
        <v>137</v>
      </c>
      <c r="F109" s="57" t="str">
        <f>CONCATENATE("Entg. ",N99," h/Wo")</f>
        <v>Entg.  h/Wo</v>
      </c>
      <c r="G109" s="58" t="s">
        <v>138</v>
      </c>
      <c r="I109" s="58" t="s">
        <v>139</v>
      </c>
      <c r="K109" s="970"/>
      <c r="L109" s="970"/>
      <c r="M109" s="59"/>
      <c r="N109" s="968" t="str">
        <f>IF(A111="","",A111)</f>
        <v/>
      </c>
      <c r="O109" s="928" t="str">
        <f t="shared" si="14"/>
        <v>Aug 2025</v>
      </c>
      <c r="P109" s="1403">
        <f t="shared" si="15"/>
        <v>0</v>
      </c>
      <c r="Q109" s="85"/>
      <c r="R109" s="85"/>
      <c r="S109" s="85"/>
    </row>
    <row r="110" spans="1:19" s="46" customFormat="1" ht="13.5" customHeight="1" x14ac:dyDescent="0.25">
      <c r="A110" s="48" t="str">
        <f>'päd.Personal - Leitung'!$A$14</f>
        <v>Jan 2025</v>
      </c>
      <c r="B110" s="1357" t="str">
        <f>IF($D$3="","",$D$3)</f>
        <v/>
      </c>
      <c r="C110" s="1358"/>
      <c r="D110" s="132"/>
      <c r="E110" s="132"/>
      <c r="F110" s="71"/>
      <c r="G110" s="50">
        <f>IF(N99="",0,F110/N99/4.348)</f>
        <v>0</v>
      </c>
      <c r="I110" s="125">
        <f>SUM(J110:M110)</f>
        <v>0</v>
      </c>
      <c r="J110" s="124"/>
      <c r="K110" s="124"/>
      <c r="L110" s="124"/>
      <c r="M110" s="124"/>
      <c r="N110" s="969"/>
      <c r="O110" s="928" t="str">
        <f t="shared" si="14"/>
        <v>Sep 2025</v>
      </c>
      <c r="P110" s="1403">
        <f t="shared" si="15"/>
        <v>0</v>
      </c>
      <c r="Q110" s="85"/>
      <c r="R110" s="85"/>
      <c r="S110" s="85"/>
    </row>
    <row r="111" spans="1:19" s="46" customFormat="1" ht="13.5" customHeight="1" x14ac:dyDescent="0.25">
      <c r="A111" s="49"/>
      <c r="B111" s="1322" t="str">
        <f>IF(A111="","",B110)</f>
        <v/>
      </c>
      <c r="C111" s="1323"/>
      <c r="D111" s="132"/>
      <c r="E111" s="132"/>
      <c r="F111" s="71"/>
      <c r="G111" s="50">
        <f>IF(N99="",0,F111/N99/4.348)</f>
        <v>0</v>
      </c>
      <c r="I111" s="125">
        <f t="shared" ref="I111:I113" si="16">SUM(J111:M111)</f>
        <v>0</v>
      </c>
      <c r="J111" s="124"/>
      <c r="K111" s="124"/>
      <c r="L111" s="124"/>
      <c r="M111" s="124"/>
      <c r="N111" s="969"/>
      <c r="O111" s="928" t="str">
        <f t="shared" si="14"/>
        <v>Okt 2025</v>
      </c>
      <c r="P111" s="1403">
        <f t="shared" si="15"/>
        <v>0</v>
      </c>
      <c r="Q111" s="85"/>
      <c r="R111" s="85"/>
      <c r="S111" s="85"/>
    </row>
    <row r="112" spans="1:19" s="46" customFormat="1" ht="13.5" customHeight="1" x14ac:dyDescent="0.25">
      <c r="A112" s="49"/>
      <c r="B112" s="1322" t="str">
        <f>IF(A112="","",B111)</f>
        <v/>
      </c>
      <c r="C112" s="1323"/>
      <c r="D112" s="132"/>
      <c r="E112" s="132"/>
      <c r="F112" s="71"/>
      <c r="G112" s="50">
        <f>IF(N99="",0,F112/N99/4.348)</f>
        <v>0</v>
      </c>
      <c r="I112" s="125">
        <f t="shared" si="16"/>
        <v>0</v>
      </c>
      <c r="J112" s="124"/>
      <c r="K112" s="124"/>
      <c r="L112" s="124"/>
      <c r="M112" s="124"/>
      <c r="N112" s="969"/>
      <c r="O112" s="928" t="str">
        <f t="shared" si="14"/>
        <v>Nov 2025</v>
      </c>
      <c r="P112" s="1403">
        <f t="shared" si="15"/>
        <v>0</v>
      </c>
      <c r="Q112" s="85"/>
      <c r="R112" s="85"/>
      <c r="S112" s="85"/>
    </row>
    <row r="113" spans="1:22" s="46" customFormat="1" ht="13.5" customHeight="1" x14ac:dyDescent="0.25">
      <c r="A113" s="49"/>
      <c r="B113" s="1322" t="str">
        <f>IF(A113="","",B112)</f>
        <v/>
      </c>
      <c r="C113" s="1323"/>
      <c r="D113" s="132"/>
      <c r="E113" s="132"/>
      <c r="F113" s="71"/>
      <c r="G113" s="50">
        <f>IF(N99="",0,F113/N99/4.348)</f>
        <v>0</v>
      </c>
      <c r="I113" s="125">
        <f t="shared" si="16"/>
        <v>0</v>
      </c>
      <c r="J113" s="124"/>
      <c r="K113" s="124"/>
      <c r="L113" s="124"/>
      <c r="M113" s="124"/>
      <c r="N113" s="969"/>
      <c r="O113" s="928" t="str">
        <f t="shared" si="14"/>
        <v>Dez 2025</v>
      </c>
      <c r="P113" s="1403">
        <f t="shared" si="15"/>
        <v>0</v>
      </c>
      <c r="Q113" s="85"/>
      <c r="R113" s="85"/>
      <c r="S113" s="85"/>
    </row>
    <row r="114" spans="1:22" s="46" customFormat="1" ht="13.5" customHeight="1" x14ac:dyDescent="0.25">
      <c r="B114" s="972"/>
      <c r="C114" s="972"/>
      <c r="E114" s="972"/>
      <c r="F114" s="972"/>
      <c r="I114" s="930" t="s">
        <v>730</v>
      </c>
      <c r="J114" s="976"/>
      <c r="K114" s="976"/>
      <c r="L114" s="976"/>
      <c r="M114" s="976"/>
      <c r="N114" s="971"/>
      <c r="O114" s="126" t="s">
        <v>221</v>
      </c>
      <c r="P114" s="127">
        <f>IF(M106="",0,((IF(SUMIF(B125,"&gt;0"),P102,0))+(IF(SUMIF(B126,"&gt;0"),P103,0))+(IF(SUMIF(B127,"&gt;0"),P104,0))+(IF(SUMIF(B128,"&gt;0"),P105,0))+(IF(SUMIF(B129,"&gt;0"),P106,0))+(IF(SUMIF(B130,"&gt;0"),P107,0))+(IF(SUMIF(B131,"&gt;0"),P108,0))+(IF(SUMIF(B132,"&gt;0"),P109,0))+(IF(SUMIF(B133,"&gt;0"),P110,0))+(IF(SUMIF(B134,"&gt;0"),P111,0))+(IF(SUMIF(B135,"&gt;0"),P112,0))+(IF(SUMIF(B136,"&gt;0"),P113,0)))/Grundlagen!$C$26)</f>
        <v>0</v>
      </c>
      <c r="Q114" s="997" t="str">
        <f>CONCATENATE("BBG"," anteilig ",O116)</f>
        <v>BBG anteilig 2025</v>
      </c>
      <c r="R114" s="931" t="s">
        <v>659</v>
      </c>
      <c r="S114" s="931" t="s">
        <v>398</v>
      </c>
      <c r="T114" s="107"/>
    </row>
    <row r="115" spans="1:22" s="46" customFormat="1" ht="13.5" customHeight="1" x14ac:dyDescent="0.2">
      <c r="A115" s="924" t="s">
        <v>732</v>
      </c>
      <c r="D115" s="55" t="s">
        <v>369</v>
      </c>
      <c r="E115" s="56" t="s">
        <v>368</v>
      </c>
      <c r="F115" s="58"/>
      <c r="J115" s="61"/>
      <c r="Q115" s="932" t="s">
        <v>144</v>
      </c>
      <c r="R115" s="140">
        <f>IF(M104=0,R119,IF(M103="",R119,(SUM(R125:R136)/M107)))</f>
        <v>5175</v>
      </c>
      <c r="S115" s="933">
        <f>IF(M104=0,S119,IF(M103="",S119,SUM(R125:R136)))</f>
        <v>0</v>
      </c>
      <c r="T115" s="107"/>
    </row>
    <row r="116" spans="1:22" s="46" customFormat="1" ht="13.5" customHeight="1" x14ac:dyDescent="0.25">
      <c r="A116" s="60"/>
      <c r="B116" s="1314" t="str">
        <f>IF($B$20="","",$B$20)</f>
        <v>Jahressonderzahlung (JSZ)</v>
      </c>
      <c r="C116" s="1315"/>
      <c r="D116" s="926"/>
      <c r="E116" s="929" t="str">
        <f>IF(A116="","",ROUND((((SUM(B131:B133)+SUM(F131:F133))/3)*D116)/Grundlagen!$C$26*M106,2))</f>
        <v/>
      </c>
      <c r="G116" s="941" t="s">
        <v>733</v>
      </c>
      <c r="H116" s="943"/>
      <c r="I116" s="1316" t="str">
        <f>CONCATENATE(R139,":"," Übergangsbereich von ",R140+0.01," €"," bis ",R141," €")</f>
        <v>2025: Übergangsbereich von 556,01 € bis 2000 €</v>
      </c>
      <c r="J116" s="1317"/>
      <c r="K116" s="1317"/>
      <c r="L116" s="1067"/>
      <c r="M116" s="1067"/>
      <c r="N116" s="1068" t="s">
        <v>736</v>
      </c>
      <c r="O116" s="1069">
        <f>P116+1</f>
        <v>2025</v>
      </c>
      <c r="P116" s="1069" t="s">
        <v>721</v>
      </c>
      <c r="Q116" s="932" t="s">
        <v>145</v>
      </c>
      <c r="R116" s="140">
        <f>IF(M104=0,R120,IF(M103="",R120,(SUM(S125:S136)/M107)))</f>
        <v>7450</v>
      </c>
      <c r="S116" s="933">
        <f>IF(M104=0,S120,IF(M103="",S120,SUM(S125:S136)))</f>
        <v>0</v>
      </c>
      <c r="T116" s="109"/>
    </row>
    <row r="117" spans="1:22" ht="14.25" customHeight="1" x14ac:dyDescent="0.2">
      <c r="A117" s="60"/>
      <c r="B117" s="1314" t="str">
        <f>IF($B$21="","",$B$21)</f>
        <v>Leistungsentgelt (LOB)</v>
      </c>
      <c r="C117" s="1315"/>
      <c r="D117" s="926"/>
      <c r="E117" s="929" t="str">
        <f>IF(A117="","",ROUND(((B137+F137)*D117)/Grundlagen!$C$26*M106,2))</f>
        <v/>
      </c>
      <c r="G117" s="941" t="str">
        <f>IF(OR(H116="",H116="nein")=TRUE,"","Faktor (F):")</f>
        <v/>
      </c>
      <c r="H117" s="949" t="str">
        <f>IF(OR(H116="",H116="nein")=TRUE,"",IF(H116="","",R143))</f>
        <v/>
      </c>
      <c r="I117" s="1318" t="str">
        <f>IF(OR(H116="",H116="nein")=TRUE,"",IF(H117="","",CONCATENATE(S143*100,"%"," / ","(",R142*100,"%"," Gesamt-SV-Beitragssatz 2024)")))</f>
        <v/>
      </c>
      <c r="J117" s="1319"/>
      <c r="K117" s="1319"/>
      <c r="L117" s="1070"/>
      <c r="M117" s="1070"/>
      <c r="N117" s="1071" t="s">
        <v>144</v>
      </c>
      <c r="O117" s="1072">
        <f>'päd.Personal - Leitung'!$O$21</f>
        <v>5175</v>
      </c>
      <c r="P117" s="1072">
        <f>'päd.Personal - Leitung'!$P$21</f>
        <v>5175</v>
      </c>
      <c r="Q117" s="11"/>
      <c r="R117" s="11"/>
      <c r="S117" s="11"/>
      <c r="T117" s="109"/>
    </row>
    <row r="118" spans="1:22" ht="14.25" customHeight="1" x14ac:dyDescent="0.2">
      <c r="C118" s="925" t="s">
        <v>731</v>
      </c>
      <c r="L118" s="1070"/>
      <c r="M118" s="1070"/>
      <c r="N118" s="1071" t="s">
        <v>145</v>
      </c>
      <c r="O118" s="1073">
        <f>'päd.Personal - Leitung'!$O$22</f>
        <v>7450</v>
      </c>
      <c r="P118" s="1073">
        <f>'päd.Personal - Leitung'!$P$22</f>
        <v>7450</v>
      </c>
      <c r="Q118" s="997" t="str">
        <f>CONCATENATE("BBG"," ",O116)</f>
        <v>BBG 2025</v>
      </c>
      <c r="R118" s="11"/>
      <c r="S118" s="11"/>
      <c r="T118" s="109"/>
    </row>
    <row r="119" spans="1:22" ht="14.25" customHeight="1" x14ac:dyDescent="0.2">
      <c r="A119" s="53" t="s">
        <v>141</v>
      </c>
      <c r="B119" s="46"/>
      <c r="C119" s="46"/>
      <c r="D119" s="46"/>
      <c r="E119" s="46"/>
      <c r="F119" s="46"/>
      <c r="G119" s="46"/>
      <c r="H119" s="46"/>
      <c r="I119" s="46"/>
      <c r="J119" s="46"/>
      <c r="K119" s="46"/>
      <c r="L119" s="46"/>
      <c r="M119" s="46"/>
      <c r="N119" s="46"/>
      <c r="O119" s="46"/>
      <c r="P119" s="46"/>
      <c r="Q119" s="932" t="s">
        <v>144</v>
      </c>
      <c r="R119" s="141">
        <f>IF($O$21="",0,$O$21)</f>
        <v>5175</v>
      </c>
      <c r="S119" s="933">
        <f>R119*IF(M107="",0,M107)</f>
        <v>0</v>
      </c>
      <c r="T119" s="295"/>
    </row>
    <row r="120" spans="1:22" ht="14.25" customHeight="1" x14ac:dyDescent="0.2">
      <c r="A120" s="1346"/>
      <c r="B120" s="1348" t="s">
        <v>8</v>
      </c>
      <c r="C120" s="1349"/>
      <c r="D120" s="1349"/>
      <c r="E120" s="1349"/>
      <c r="F120" s="1349"/>
      <c r="G120" s="1350"/>
      <c r="H120" s="1351" t="s">
        <v>113</v>
      </c>
      <c r="I120" s="1352"/>
      <c r="J120" s="1352"/>
      <c r="K120" s="1352"/>
      <c r="L120" s="1352"/>
      <c r="M120" s="1352"/>
      <c r="N120" s="1352"/>
      <c r="O120" s="30"/>
      <c r="P120" s="1330" t="s">
        <v>0</v>
      </c>
      <c r="Q120" s="932" t="s">
        <v>145</v>
      </c>
      <c r="R120" s="141">
        <f>IF($O$22="",0,$O$22)</f>
        <v>7450</v>
      </c>
      <c r="S120" s="933">
        <f>R120*IF(M107="",0,M107)</f>
        <v>0</v>
      </c>
      <c r="T120" s="830"/>
    </row>
    <row r="121" spans="1:22" ht="14.25" customHeight="1" x14ac:dyDescent="0.2">
      <c r="A121" s="1347"/>
      <c r="B121" s="1333" t="s">
        <v>111</v>
      </c>
      <c r="C121" s="1335" t="s">
        <v>743</v>
      </c>
      <c r="D121" s="1337" t="s">
        <v>226</v>
      </c>
      <c r="E121" s="1339" t="s">
        <v>133</v>
      </c>
      <c r="F121" s="1014" t="s">
        <v>6</v>
      </c>
      <c r="G121" s="1340" t="s">
        <v>5</v>
      </c>
      <c r="H121" s="1339" t="s">
        <v>119</v>
      </c>
      <c r="I121" s="1339" t="s">
        <v>4</v>
      </c>
      <c r="J121" s="1339" t="s">
        <v>3</v>
      </c>
      <c r="K121" s="1339" t="s">
        <v>2</v>
      </c>
      <c r="L121" s="1339" t="s">
        <v>114</v>
      </c>
      <c r="M121" s="1339" t="s">
        <v>115</v>
      </c>
      <c r="N121" s="1339" t="s">
        <v>116</v>
      </c>
      <c r="O121" s="1338" t="s">
        <v>109</v>
      </c>
      <c r="P121" s="1331"/>
      <c r="Q121" s="456"/>
      <c r="R121" s="11"/>
      <c r="S121" s="11"/>
      <c r="T121" s="621"/>
    </row>
    <row r="122" spans="1:22" ht="14.25" customHeight="1" x14ac:dyDescent="0.2">
      <c r="A122" s="1347"/>
      <c r="B122" s="1333"/>
      <c r="C122" s="1335"/>
      <c r="D122" s="1338"/>
      <c r="E122" s="1339"/>
      <c r="F122" s="1343" t="str">
        <f>I114</f>
        <v>Zuschläge / Zulagen / o.ä.:</v>
      </c>
      <c r="G122" s="1340"/>
      <c r="H122" s="1342" t="s">
        <v>117</v>
      </c>
      <c r="I122" s="1342"/>
      <c r="J122" s="1342"/>
      <c r="K122" s="1342"/>
      <c r="L122" s="1342"/>
      <c r="M122" s="1342"/>
      <c r="N122" s="1342"/>
      <c r="O122" s="1338"/>
      <c r="P122" s="1331"/>
      <c r="Q122" s="456"/>
      <c r="R122" s="1306" t="str">
        <f>Q114</f>
        <v>BBG anteilig 2025</v>
      </c>
      <c r="S122" s="1306"/>
      <c r="T122" s="829"/>
    </row>
    <row r="123" spans="1:22" ht="14.25" customHeight="1" x14ac:dyDescent="0.2">
      <c r="A123" s="1347"/>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c r="Q123" s="456"/>
      <c r="R123" s="1307" t="s">
        <v>659</v>
      </c>
      <c r="S123" s="1307"/>
      <c r="T123" s="829"/>
      <c r="U123" s="1308" t="s">
        <v>1</v>
      </c>
      <c r="V123" s="1308" t="s">
        <v>741</v>
      </c>
    </row>
    <row r="124" spans="1:22" x14ac:dyDescent="0.2">
      <c r="A124" s="1347"/>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c r="Q124" s="456"/>
      <c r="R124" s="935" t="s">
        <v>144</v>
      </c>
      <c r="S124" s="935" t="s">
        <v>145</v>
      </c>
      <c r="T124" s="829"/>
      <c r="U124" s="1308"/>
      <c r="V124" s="1308"/>
    </row>
    <row r="125" spans="1:22"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17">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56"/>
      <c r="R125" s="140">
        <f>ROUND(IF(M103="",R119,R119/M103*P102),2)</f>
        <v>5175</v>
      </c>
      <c r="S125" s="140">
        <f>ROUND(IF(M103="",R120,R120/M103*P102),2)</f>
        <v>7450</v>
      </c>
      <c r="U125" s="950">
        <f>SUM(B125:F125)</f>
        <v>0</v>
      </c>
      <c r="V125" s="950">
        <f>SUM(B125:F125)</f>
        <v>0</v>
      </c>
    </row>
    <row r="126" spans="1:22"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17"/>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18">SUM(G126:O126)</f>
        <v>0</v>
      </c>
      <c r="Q126" s="456"/>
      <c r="R126" s="140">
        <f>ROUND(IF(M103="",R119,R119/M103*P103),2)</f>
        <v>5175</v>
      </c>
      <c r="S126" s="140">
        <f>ROUND(IF(M103="",R120,R120/M103*P103),2)</f>
        <v>7450</v>
      </c>
      <c r="U126" s="950">
        <f t="shared" ref="U126:U136" si="19">SUM(B126:F126)</f>
        <v>0</v>
      </c>
      <c r="V126" s="950">
        <f>SUM(B125:F126)</f>
        <v>0</v>
      </c>
    </row>
    <row r="127" spans="1:22"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17"/>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18"/>
        <v>0</v>
      </c>
      <c r="Q127" s="456"/>
      <c r="R127" s="140">
        <f>ROUND(IF(M103="",R119,R119/M103*P104),2)</f>
        <v>5175</v>
      </c>
      <c r="S127" s="140">
        <f>ROUND(IF(M103="",R120,R120/M103*P104),2)</f>
        <v>7450</v>
      </c>
      <c r="U127" s="950">
        <f t="shared" si="19"/>
        <v>0</v>
      </c>
      <c r="V127" s="950">
        <f>SUM(B125:F127)</f>
        <v>0</v>
      </c>
    </row>
    <row r="128" spans="1:22"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17"/>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18"/>
        <v>0</v>
      </c>
      <c r="Q128" s="456"/>
      <c r="R128" s="140">
        <f>ROUND(IF(M103="",R119,R119/M103*P105),2)</f>
        <v>5175</v>
      </c>
      <c r="S128" s="140">
        <f>ROUND(IF(M103="",R120,R120/M103*P105),2)</f>
        <v>7450</v>
      </c>
      <c r="U128" s="950">
        <f t="shared" si="19"/>
        <v>0</v>
      </c>
      <c r="V128" s="950">
        <f>SUM(B125:F128)</f>
        <v>0</v>
      </c>
    </row>
    <row r="129" spans="1:24"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17"/>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18"/>
        <v>0</v>
      </c>
      <c r="Q129" s="456"/>
      <c r="R129" s="140">
        <f>ROUND(IF(M103="",R119,R119/M103*P106),2)</f>
        <v>5175</v>
      </c>
      <c r="S129" s="140">
        <f>ROUND(IF(M103="",R120,R120/M103*P106),2)</f>
        <v>7450</v>
      </c>
      <c r="U129" s="950">
        <f t="shared" si="19"/>
        <v>0</v>
      </c>
      <c r="V129" s="950">
        <f>SUM(B125:F129)</f>
        <v>0</v>
      </c>
    </row>
    <row r="130" spans="1:24"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17"/>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18"/>
        <v>0</v>
      </c>
      <c r="Q130" s="456"/>
      <c r="R130" s="140">
        <f>ROUND(IF(M103="",R119,R119/M103*P107),2)</f>
        <v>5175</v>
      </c>
      <c r="S130" s="140">
        <f>ROUND(IF(M103="",R120,R120/M103*P107),2)</f>
        <v>7450</v>
      </c>
      <c r="U130" s="950">
        <f t="shared" si="19"/>
        <v>0</v>
      </c>
      <c r="V130" s="950">
        <f>SUM(B125:F130)</f>
        <v>0</v>
      </c>
    </row>
    <row r="131" spans="1:24"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17"/>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18"/>
        <v>0</v>
      </c>
      <c r="Q131" s="456"/>
      <c r="R131" s="140">
        <f>ROUND(IF(M103="",R119,R119/M103*P108),2)</f>
        <v>5175</v>
      </c>
      <c r="S131" s="140">
        <f>ROUND(IF(M103="",R120,R120/M103*P108),2)</f>
        <v>7450</v>
      </c>
      <c r="U131" s="950">
        <f t="shared" si="19"/>
        <v>0</v>
      </c>
      <c r="V131" s="950">
        <f>SUM(B125:F131)</f>
        <v>0</v>
      </c>
    </row>
    <row r="132" spans="1:24"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17"/>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18"/>
        <v>0</v>
      </c>
      <c r="Q132" s="456"/>
      <c r="R132" s="140">
        <f>ROUND(IF(M103="",R119,R119/M103*P109),2)</f>
        <v>5175</v>
      </c>
      <c r="S132" s="140">
        <f>ROUND(IF(M103="",R120,R120/M103*P109),2)</f>
        <v>7450</v>
      </c>
      <c r="U132" s="950">
        <f t="shared" si="19"/>
        <v>0</v>
      </c>
      <c r="V132" s="950">
        <f>SUM(B125:F132)</f>
        <v>0</v>
      </c>
    </row>
    <row r="133" spans="1:24"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17"/>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18"/>
        <v>0</v>
      </c>
      <c r="Q133" s="456"/>
      <c r="R133" s="140">
        <f>ROUND(IF(M103="",R119,R119/M103*P110),2)</f>
        <v>5175</v>
      </c>
      <c r="S133" s="140">
        <f>ROUND(IF(M103="",R120,R120/M103*P110),2)</f>
        <v>7450</v>
      </c>
      <c r="U133" s="950">
        <f t="shared" si="19"/>
        <v>0</v>
      </c>
      <c r="V133" s="950">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17"/>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18"/>
        <v>0</v>
      </c>
      <c r="Q134" s="936"/>
      <c r="R134" s="140">
        <f>ROUND(IF(M103="",R119,R119/M103*P111),2)</f>
        <v>5175</v>
      </c>
      <c r="S134" s="140">
        <f>ROUND(IF(M103="",R120,R120/M103*P111),2)</f>
        <v>7450</v>
      </c>
      <c r="U134" s="950">
        <f t="shared" si="19"/>
        <v>0</v>
      </c>
      <c r="V134" s="950">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17"/>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18"/>
        <v>0</v>
      </c>
      <c r="R135" s="140">
        <f>ROUND(IF(M103="",R119,R119/M103*P112),2)</f>
        <v>5175</v>
      </c>
      <c r="S135" s="140">
        <f>ROUND(IF(M103="",R120,R120/M103*P112),2)</f>
        <v>7450</v>
      </c>
      <c r="U135" s="950">
        <f t="shared" si="19"/>
        <v>0</v>
      </c>
      <c r="V135" s="950">
        <f>SUM(B125:F135)</f>
        <v>0</v>
      </c>
      <c r="X135" s="1"/>
    </row>
    <row r="136" spans="1:24"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17"/>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18"/>
        <v>0</v>
      </c>
      <c r="Q136" s="11"/>
      <c r="R136" s="140">
        <f>ROUND(IF(M103="",R119,R119/M103*P113),2)</f>
        <v>5175</v>
      </c>
      <c r="S136" s="140">
        <f>ROUND(IF(M103="",R120,R120/M103*P113),2)</f>
        <v>7450</v>
      </c>
      <c r="U136" s="950">
        <f t="shared" si="19"/>
        <v>0</v>
      </c>
      <c r="V136" s="950">
        <f>SUM(B125:F136)</f>
        <v>0</v>
      </c>
    </row>
    <row r="137" spans="1:24" ht="15" customHeight="1" x14ac:dyDescent="0.2">
      <c r="A137" s="2" t="s">
        <v>1</v>
      </c>
      <c r="B137" s="25">
        <f>SUM(B125:B136)</f>
        <v>0</v>
      </c>
      <c r="C137" s="25">
        <f t="shared" ref="C137:G137" si="20">SUM(C125:C136)</f>
        <v>0</v>
      </c>
      <c r="D137" s="25">
        <f t="shared" si="20"/>
        <v>0</v>
      </c>
      <c r="E137" s="25">
        <f t="shared" si="20"/>
        <v>0</v>
      </c>
      <c r="F137" s="25">
        <f t="shared" si="20"/>
        <v>0</v>
      </c>
      <c r="G137" s="25">
        <f t="shared" si="20"/>
        <v>0</v>
      </c>
      <c r="H137" s="1309">
        <f>SUM(H125:N136)</f>
        <v>0</v>
      </c>
      <c r="I137" s="1310"/>
      <c r="J137" s="1310"/>
      <c r="K137" s="1310"/>
      <c r="L137" s="1310"/>
      <c r="M137" s="1310"/>
      <c r="N137" s="1311"/>
      <c r="O137" s="25">
        <f>SUM(O125:O136)</f>
        <v>0</v>
      </c>
      <c r="P137" s="25">
        <f>SUM(P125:P136)</f>
        <v>0</v>
      </c>
    </row>
    <row r="138" spans="1:24" ht="12" customHeight="1" x14ac:dyDescent="0.2"/>
    <row r="139" spans="1:24" ht="14.25" customHeight="1" x14ac:dyDescent="0.2">
      <c r="B139" s="906"/>
      <c r="H139" s="905"/>
      <c r="I139" s="62"/>
      <c r="J139" s="914" t="s">
        <v>123</v>
      </c>
      <c r="L139" s="900" t="s">
        <v>124</v>
      </c>
      <c r="M139" s="974" t="str">
        <f>IF(IF(G137=0,"",$M$43)=0,"",IF(G137=0,"",$M$43))</f>
        <v/>
      </c>
      <c r="N139" s="902" t="s">
        <v>125</v>
      </c>
      <c r="O139" s="963" t="str">
        <f>IF(IF(G137=0,"",$O$43)=0,"",IF(G137=0,"",$O$43))</f>
        <v/>
      </c>
      <c r="P139" s="25">
        <f>ROUND(IF(M139="",0,G137*M139*O139/1000),2)</f>
        <v>0</v>
      </c>
      <c r="Q139" s="937"/>
      <c r="R139" s="938">
        <v>2025</v>
      </c>
      <c r="S139" s="939"/>
    </row>
    <row r="140" spans="1:24" ht="14.25" customHeight="1" x14ac:dyDescent="0.2">
      <c r="H140" s="907"/>
      <c r="I140" s="42"/>
      <c r="M140" s="915" t="s">
        <v>129</v>
      </c>
      <c r="N140" s="80" t="s">
        <v>125</v>
      </c>
      <c r="O140" s="75" t="str">
        <f>IF(IF(G137=0,"",$O$44)=0,"",IF(G137=0,"",$O$44))</f>
        <v/>
      </c>
      <c r="P140" s="25">
        <f>ROUND(IF(O140="",0,G137*O140/1000),2)</f>
        <v>0</v>
      </c>
      <c r="Q140" s="942" t="s">
        <v>737</v>
      </c>
      <c r="R140" s="141">
        <f>'päd.Personal - Leitung'!$R$44</f>
        <v>556</v>
      </c>
      <c r="S140" s="955">
        <f>'päd.Personal - Leitung'!$S$44</f>
        <v>12.82</v>
      </c>
    </row>
    <row r="141" spans="1:24" ht="14.25" customHeight="1" x14ac:dyDescent="0.2">
      <c r="H141" s="912" t="s">
        <v>126</v>
      </c>
      <c r="I141" s="1013" t="s">
        <v>127</v>
      </c>
      <c r="J141" s="975" t="str">
        <f>IF(IF(G137=0,"",$J$45)=0,"",IF(G137=0,"",$J$45))</f>
        <v/>
      </c>
      <c r="K141" s="902" t="s">
        <v>128</v>
      </c>
      <c r="L141" s="964" t="str">
        <f>IF(IF(G137=0,"",$L$45)=0,"",IF(G137=0,"",$L$45))</f>
        <v/>
      </c>
      <c r="M141" s="16"/>
      <c r="N141" s="900" t="s">
        <v>132</v>
      </c>
      <c r="O141" s="965" t="str">
        <f>IF(IF(G137=0,"",$O$45)=0,"",IF(G137=0,"",$O$45))</f>
        <v/>
      </c>
      <c r="P141" s="25">
        <f>ROUND(IF(J141="",0,(J141*L141/O141)/M105*M106),2)</f>
        <v>0</v>
      </c>
      <c r="Q141" s="942" t="s">
        <v>738</v>
      </c>
      <c r="R141" s="140">
        <f>'päd.Personal - Leitung'!$R$45</f>
        <v>2000</v>
      </c>
      <c r="S141" s="939"/>
    </row>
    <row r="142" spans="1:24" ht="14.25" customHeight="1" x14ac:dyDescent="0.2">
      <c r="D142" s="16"/>
      <c r="I142" s="16"/>
      <c r="J142" s="16"/>
      <c r="K142" s="63"/>
      <c r="L142" s="67"/>
      <c r="M142" s="915" t="s">
        <v>130</v>
      </c>
      <c r="N142" s="80" t="s">
        <v>131</v>
      </c>
      <c r="O142" s="904">
        <f>IF(IF(M107="",0,$O$46)=0,0,IF(M107="",0,$O$46))</f>
        <v>0</v>
      </c>
      <c r="P142" s="21">
        <f>ROUND(IF(G137=0,0,O142/M103*M104),2)</f>
        <v>0</v>
      </c>
      <c r="Q142" s="942" t="s">
        <v>740</v>
      </c>
      <c r="R142" s="956">
        <f>'päd.Personal - Leitung'!$R$46</f>
        <v>0.40900000000000003</v>
      </c>
    </row>
    <row r="143" spans="1:24" ht="14.25" customHeight="1" x14ac:dyDescent="0.2">
      <c r="A143" s="16"/>
      <c r="B143" s="16"/>
      <c r="I143" s="905"/>
      <c r="J143" s="961" t="s">
        <v>176</v>
      </c>
      <c r="K143" s="1312" t="str">
        <f>IF($K$47="","",$K$47)</f>
        <v/>
      </c>
      <c r="L143" s="1312"/>
      <c r="M143" s="1312"/>
      <c r="N143" s="80" t="s">
        <v>131</v>
      </c>
      <c r="O143" s="904">
        <f>IF(IF(M107="",0,$O$47)=0,0,IF(M107="",0,$O$47))</f>
        <v>0</v>
      </c>
      <c r="P143" s="21">
        <f>ROUND(IF(G137=0,0,O143/M103*M104),2)</f>
        <v>0</v>
      </c>
      <c r="Q143" s="942" t="s">
        <v>739</v>
      </c>
      <c r="R143" s="940">
        <f>'päd.Personal - Leitung'!$R$47</f>
        <v>0.68459999999999999</v>
      </c>
      <c r="S143" s="957">
        <f>'päd.Personal - Leitung'!$S$47</f>
        <v>0.28000000000000003</v>
      </c>
    </row>
    <row r="144" spans="1:24" ht="14.25" customHeight="1" x14ac:dyDescent="0.2">
      <c r="A144" s="908"/>
      <c r="B144" s="908"/>
      <c r="C144" s="1013"/>
      <c r="D144" s="1013"/>
      <c r="I144" s="913"/>
      <c r="J144" s="913"/>
      <c r="K144" s="916"/>
      <c r="L144" s="27"/>
      <c r="M144" s="27"/>
      <c r="N144" s="27"/>
      <c r="O144" s="26" t="s">
        <v>0</v>
      </c>
      <c r="P144" s="25">
        <f>P137+SUM(P139:P143)</f>
        <v>0</v>
      </c>
    </row>
    <row r="145" spans="1:19" s="10" customFormat="1" ht="13.5" customHeight="1" x14ac:dyDescent="0.2">
      <c r="A145" s="1321" t="s">
        <v>17</v>
      </c>
      <c r="B145" s="1321"/>
      <c r="C145" s="1321"/>
      <c r="D145" s="1320" t="str">
        <f>IF('päd.Personal - Leitung'!$D$1="","",'päd.Personal - Leitung'!$D$1)</f>
        <v/>
      </c>
      <c r="E145" s="1320"/>
      <c r="F145" s="1320"/>
      <c r="G145" s="1320"/>
      <c r="H145" s="1320"/>
      <c r="I145" s="1320"/>
      <c r="J145" s="1320"/>
      <c r="K145" s="1320"/>
      <c r="L145" s="1320"/>
      <c r="M145" s="1320"/>
      <c r="N145" s="1320"/>
    </row>
    <row r="146" spans="1:19" s="10" customFormat="1" ht="15" customHeight="1" x14ac:dyDescent="0.2">
      <c r="A146" s="1321" t="s">
        <v>16</v>
      </c>
      <c r="B146" s="1321"/>
      <c r="C146" s="1321" t="s">
        <v>14</v>
      </c>
      <c r="D146" s="1320" t="str">
        <f>IF('päd.Personal - Leitung'!$D$2="","",'päd.Personal - Leitung'!$D$2)</f>
        <v/>
      </c>
      <c r="E146" s="1320"/>
      <c r="F146" s="1320"/>
      <c r="G146" s="1320"/>
      <c r="H146" s="1320"/>
      <c r="I146" s="1320"/>
      <c r="J146" s="1320"/>
      <c r="K146" s="1320"/>
      <c r="L146" s="1320"/>
      <c r="M146" s="1320"/>
      <c r="N146" s="1320"/>
    </row>
    <row r="147" spans="1:19" s="10" customFormat="1" ht="15" customHeight="1" x14ac:dyDescent="0.2">
      <c r="A147" s="1321" t="s">
        <v>15</v>
      </c>
      <c r="B147" s="1321"/>
      <c r="C147" s="1321" t="s">
        <v>14</v>
      </c>
      <c r="D147" s="1320" t="str">
        <f>IF('päd.Personal - Leitung'!$D$3="","",'päd.Personal - Leitung'!$D$3)</f>
        <v/>
      </c>
      <c r="E147" s="1320"/>
      <c r="F147" s="1320"/>
      <c r="G147" s="1320"/>
      <c r="H147" s="1320"/>
      <c r="I147" s="1320"/>
      <c r="J147" s="1320"/>
      <c r="K147" s="1321" t="s">
        <v>100</v>
      </c>
      <c r="L147" s="1321"/>
      <c r="M147" s="1321"/>
      <c r="N147" s="38" t="str">
        <f>IF('päd.Personal - Leitung'!$N$3="","",'päd.Personal - Leitung'!$N$3)</f>
        <v/>
      </c>
    </row>
    <row r="148" spans="1:19" s="923" customFormat="1" ht="7.5" customHeight="1" x14ac:dyDescent="0.15">
      <c r="A148" s="1353"/>
      <c r="B148" s="1353"/>
      <c r="C148" s="1353"/>
      <c r="D148" s="1354"/>
      <c r="E148" s="1354"/>
      <c r="F148" s="1354"/>
      <c r="G148" s="1354"/>
      <c r="H148" s="1354"/>
      <c r="I148" s="1354"/>
      <c r="J148" s="1354"/>
      <c r="K148" s="922"/>
      <c r="L148" s="922"/>
      <c r="M148" s="922"/>
      <c r="N148" s="922"/>
      <c r="O148" s="922"/>
      <c r="P148" s="922"/>
    </row>
    <row r="149" spans="1:19" s="13" customFormat="1" ht="13.5" customHeight="1" x14ac:dyDescent="0.2">
      <c r="A149" s="1355" t="s">
        <v>199</v>
      </c>
      <c r="B149" s="1355"/>
      <c r="C149" s="1355"/>
      <c r="D149" s="1355"/>
      <c r="E149" s="1355"/>
      <c r="F149" s="1355"/>
      <c r="G149" s="1355"/>
      <c r="H149" s="1355"/>
      <c r="I149" s="1355"/>
      <c r="J149" s="1355"/>
      <c r="K149" s="7"/>
      <c r="L149" s="7"/>
      <c r="M149" s="7"/>
      <c r="N149" s="52"/>
      <c r="O149" s="138">
        <f>'päd.Personal - Leitung'!$O$5</f>
        <v>2025</v>
      </c>
      <c r="P149" s="52" t="s">
        <v>140</v>
      </c>
    </row>
    <row r="150" spans="1:19" s="8" customFormat="1" ht="13.5" customHeight="1" x14ac:dyDescent="0.25">
      <c r="B150" s="29"/>
      <c r="C150" s="29"/>
      <c r="D150" s="3" t="s">
        <v>203</v>
      </c>
      <c r="E150" s="28"/>
      <c r="F150" s="28"/>
      <c r="G150" s="28"/>
      <c r="H150" s="28"/>
      <c r="I150" s="24"/>
      <c r="K150" s="1327" t="s">
        <v>13</v>
      </c>
      <c r="L150" s="1327"/>
      <c r="M150" s="131"/>
      <c r="O150" s="928" t="str">
        <f>A173</f>
        <v>Jan 2025</v>
      </c>
      <c r="P150" s="1402">
        <f>IF(M152="","",M152)</f>
        <v>0</v>
      </c>
    </row>
    <row r="151" spans="1:19" s="5" customFormat="1" ht="13.5" customHeight="1" x14ac:dyDescent="0.25">
      <c r="A151" s="1328" t="s">
        <v>754</v>
      </c>
      <c r="B151" s="1328"/>
      <c r="C151" s="1328"/>
      <c r="D151" s="1329"/>
      <c r="E151" s="1329"/>
      <c r="F151" s="1329"/>
      <c r="G151" s="1329"/>
      <c r="H151" s="1329"/>
      <c r="I151" s="1329"/>
      <c r="K151" s="1327" t="s">
        <v>101</v>
      </c>
      <c r="L151" s="1327"/>
      <c r="M151" s="101"/>
      <c r="O151" s="928" t="str">
        <f t="shared" ref="O151:O161" si="21">A174</f>
        <v>Feb 2025</v>
      </c>
      <c r="P151" s="1403">
        <f t="shared" ref="P151:P161" si="22">IF(P150="","",P150)</f>
        <v>0</v>
      </c>
    </row>
    <row r="152" spans="1:19" ht="13.5" customHeight="1" x14ac:dyDescent="0.2">
      <c r="A152" s="1328" t="s">
        <v>12</v>
      </c>
      <c r="B152" s="1328"/>
      <c r="C152" s="1328"/>
      <c r="D152" s="1345"/>
      <c r="E152" s="1345"/>
      <c r="F152" s="1345"/>
      <c r="G152" s="1345"/>
      <c r="H152" s="1345"/>
      <c r="I152" s="1345"/>
      <c r="K152" s="1327" t="s">
        <v>194</v>
      </c>
      <c r="L152" s="1327"/>
      <c r="M152" s="101">
        <f>IF(M153&gt;M151,0,M151-M153)</f>
        <v>0</v>
      </c>
      <c r="O152" s="928" t="str">
        <f t="shared" si="21"/>
        <v>Mrz 2025</v>
      </c>
      <c r="P152" s="1403">
        <f t="shared" si="22"/>
        <v>0</v>
      </c>
    </row>
    <row r="153" spans="1:19" ht="13.5" customHeight="1" x14ac:dyDescent="0.2">
      <c r="A153" s="1328" t="s">
        <v>11</v>
      </c>
      <c r="B153" s="1328"/>
      <c r="C153" s="1328"/>
      <c r="D153" s="1345"/>
      <c r="E153" s="1345"/>
      <c r="F153" s="1345"/>
      <c r="G153" s="1345"/>
      <c r="H153" s="1345"/>
      <c r="I153" s="1345"/>
      <c r="K153" s="1327" t="s">
        <v>195</v>
      </c>
      <c r="L153" s="1327"/>
      <c r="M153" s="101"/>
      <c r="O153" s="928" t="str">
        <f t="shared" si="21"/>
        <v>Apr 2025</v>
      </c>
      <c r="P153" s="1403">
        <f t="shared" si="22"/>
        <v>0</v>
      </c>
    </row>
    <row r="154" spans="1:19" ht="13.5" customHeight="1" x14ac:dyDescent="0.2">
      <c r="A154" s="1328" t="s">
        <v>18</v>
      </c>
      <c r="B154" s="1328"/>
      <c r="C154" s="1328"/>
      <c r="D154" s="1345"/>
      <c r="E154" s="1345"/>
      <c r="F154" s="1345"/>
      <c r="G154" s="1345"/>
      <c r="H154" s="1345"/>
      <c r="I154" s="1345"/>
      <c r="K154" s="1327" t="s">
        <v>94</v>
      </c>
      <c r="L154" s="1327"/>
      <c r="M154" s="15" t="str">
        <f>IF(IF((COUNTIF(B173:B184,"&gt;0"))=0,0,(COUNTIF(B173:B184,"&gt;0")))&gt;Grundlagen!$C$26,Grundlagen!$C$26,IF((COUNTIF(B173:B184,"&gt;0"))=0,"",(COUNTIF(B173:B184,"&gt;0"))))</f>
        <v/>
      </c>
      <c r="O154" s="928" t="str">
        <f t="shared" si="21"/>
        <v>Mai 2025</v>
      </c>
      <c r="P154" s="1403">
        <f t="shared" si="22"/>
        <v>0</v>
      </c>
    </row>
    <row r="155" spans="1:19" ht="13.5" customHeight="1" x14ac:dyDescent="0.2">
      <c r="B155" s="6"/>
      <c r="C155" s="998" t="s">
        <v>147</v>
      </c>
      <c r="D155" s="1324"/>
      <c r="E155" s="1324"/>
      <c r="F155" s="1359" t="s">
        <v>103</v>
      </c>
      <c r="G155" s="1359"/>
      <c r="H155" s="1361"/>
      <c r="I155" s="1361"/>
      <c r="M155" s="102" t="str">
        <f>IF((SUM(F158:F161))=0,"",IF(P162&gt;M152,M152,IF(M152="","",IF(M154="","",P162))))</f>
        <v/>
      </c>
      <c r="O155" s="928" t="str">
        <f t="shared" si="21"/>
        <v>Jun 2025</v>
      </c>
      <c r="P155" s="1403">
        <f t="shared" si="22"/>
        <v>0</v>
      </c>
    </row>
    <row r="156" spans="1:19" ht="13.5" customHeight="1" x14ac:dyDescent="0.2">
      <c r="I156" s="4"/>
      <c r="O156" s="928" t="str">
        <f t="shared" si="21"/>
        <v>Jul 2025</v>
      </c>
      <c r="P156" s="1403">
        <f t="shared" si="22"/>
        <v>0</v>
      </c>
    </row>
    <row r="157" spans="1:19" s="46" customFormat="1" ht="13.5" customHeight="1" x14ac:dyDescent="0.2">
      <c r="A157" s="54" t="s">
        <v>134</v>
      </c>
      <c r="B157" s="1356" t="s">
        <v>135</v>
      </c>
      <c r="C157" s="1356"/>
      <c r="D157" s="55" t="s">
        <v>136</v>
      </c>
      <c r="E157" s="56" t="s">
        <v>137</v>
      </c>
      <c r="F157" s="57" t="str">
        <f>CONCATENATE("Entg. ",N147," h/Wo")</f>
        <v>Entg.  h/Wo</v>
      </c>
      <c r="G157" s="58" t="s">
        <v>138</v>
      </c>
      <c r="I157" s="58" t="s">
        <v>139</v>
      </c>
      <c r="K157" s="970"/>
      <c r="L157" s="970"/>
      <c r="M157" s="59"/>
      <c r="N157" s="968" t="str">
        <f>IF(A159="","",A159)</f>
        <v/>
      </c>
      <c r="O157" s="928" t="str">
        <f t="shared" si="21"/>
        <v>Aug 2025</v>
      </c>
      <c r="P157" s="1403">
        <f t="shared" si="22"/>
        <v>0</v>
      </c>
      <c r="Q157" s="85"/>
      <c r="R157" s="85"/>
      <c r="S157" s="85"/>
    </row>
    <row r="158" spans="1:19" s="46" customFormat="1" ht="13.5" customHeight="1" x14ac:dyDescent="0.25">
      <c r="A158" s="48" t="str">
        <f>'päd.Personal - Leitung'!$A$14</f>
        <v>Jan 2025</v>
      </c>
      <c r="B158" s="1357" t="str">
        <f>IF($D$3="","",$D$3)</f>
        <v/>
      </c>
      <c r="C158" s="1358"/>
      <c r="D158" s="132"/>
      <c r="E158" s="132"/>
      <c r="F158" s="71"/>
      <c r="G158" s="50">
        <f>IF(N147="",0,F158/N147/4.348)</f>
        <v>0</v>
      </c>
      <c r="I158" s="125">
        <f>SUM(J158:M158)</f>
        <v>0</v>
      </c>
      <c r="J158" s="124"/>
      <c r="K158" s="124"/>
      <c r="L158" s="124"/>
      <c r="M158" s="124"/>
      <c r="N158" s="969"/>
      <c r="O158" s="928" t="str">
        <f t="shared" si="21"/>
        <v>Sep 2025</v>
      </c>
      <c r="P158" s="1403">
        <f t="shared" si="22"/>
        <v>0</v>
      </c>
      <c r="Q158" s="85"/>
      <c r="R158" s="85"/>
      <c r="S158" s="85"/>
    </row>
    <row r="159" spans="1:19" s="46" customFormat="1" ht="13.5" customHeight="1" x14ac:dyDescent="0.25">
      <c r="A159" s="49"/>
      <c r="B159" s="1322" t="str">
        <f>IF(A159="","",B158)</f>
        <v/>
      </c>
      <c r="C159" s="1323"/>
      <c r="D159" s="132"/>
      <c r="E159" s="132"/>
      <c r="F159" s="71"/>
      <c r="G159" s="50">
        <f>IF(N147="",0,F159/N147/4.348)</f>
        <v>0</v>
      </c>
      <c r="I159" s="125">
        <f t="shared" ref="I159:I161" si="23">SUM(J159:M159)</f>
        <v>0</v>
      </c>
      <c r="J159" s="124"/>
      <c r="K159" s="124"/>
      <c r="L159" s="124"/>
      <c r="M159" s="124"/>
      <c r="N159" s="969"/>
      <c r="O159" s="928" t="str">
        <f t="shared" si="21"/>
        <v>Okt 2025</v>
      </c>
      <c r="P159" s="1403">
        <f t="shared" si="22"/>
        <v>0</v>
      </c>
      <c r="Q159" s="85"/>
      <c r="R159" s="85"/>
      <c r="S159" s="85"/>
    </row>
    <row r="160" spans="1:19" s="46" customFormat="1" ht="13.5" customHeight="1" x14ac:dyDescent="0.25">
      <c r="A160" s="49"/>
      <c r="B160" s="1322" t="str">
        <f>IF(A160="","",B159)</f>
        <v/>
      </c>
      <c r="C160" s="1323"/>
      <c r="D160" s="132"/>
      <c r="E160" s="132"/>
      <c r="F160" s="71"/>
      <c r="G160" s="50">
        <f>IF(N147="",0,F160/N147/4.348)</f>
        <v>0</v>
      </c>
      <c r="I160" s="125">
        <f t="shared" si="23"/>
        <v>0</v>
      </c>
      <c r="J160" s="124"/>
      <c r="K160" s="124"/>
      <c r="L160" s="124"/>
      <c r="M160" s="124"/>
      <c r="N160" s="969"/>
      <c r="O160" s="928" t="str">
        <f t="shared" si="21"/>
        <v>Nov 2025</v>
      </c>
      <c r="P160" s="1403">
        <f t="shared" si="22"/>
        <v>0</v>
      </c>
      <c r="Q160" s="85"/>
      <c r="R160" s="85"/>
      <c r="S160" s="85"/>
    </row>
    <row r="161" spans="1:22" s="46" customFormat="1" ht="13.5" customHeight="1" x14ac:dyDescent="0.25">
      <c r="A161" s="49"/>
      <c r="B161" s="1322" t="str">
        <f>IF(A161="","",B160)</f>
        <v/>
      </c>
      <c r="C161" s="1323"/>
      <c r="D161" s="132"/>
      <c r="E161" s="132"/>
      <c r="F161" s="71"/>
      <c r="G161" s="50">
        <f>IF(N147="",0,F161/N147/4.348)</f>
        <v>0</v>
      </c>
      <c r="I161" s="125">
        <f t="shared" si="23"/>
        <v>0</v>
      </c>
      <c r="J161" s="124"/>
      <c r="K161" s="124"/>
      <c r="L161" s="124"/>
      <c r="M161" s="124"/>
      <c r="N161" s="969"/>
      <c r="O161" s="928" t="str">
        <f t="shared" si="21"/>
        <v>Dez 2025</v>
      </c>
      <c r="P161" s="1403">
        <f t="shared" si="22"/>
        <v>0</v>
      </c>
      <c r="Q161" s="85"/>
      <c r="R161" s="85"/>
      <c r="S161" s="85"/>
    </row>
    <row r="162" spans="1:22" s="46" customFormat="1" ht="13.5" customHeight="1" x14ac:dyDescent="0.25">
      <c r="B162" s="972"/>
      <c r="C162" s="972"/>
      <c r="E162" s="972"/>
      <c r="F162" s="972"/>
      <c r="I162" s="930" t="s">
        <v>730</v>
      </c>
      <c r="J162" s="976"/>
      <c r="K162" s="976"/>
      <c r="L162" s="976"/>
      <c r="M162" s="976"/>
      <c r="N162" s="971"/>
      <c r="O162" s="126" t="s">
        <v>221</v>
      </c>
      <c r="P162" s="127">
        <f>IF(M154="",0,((IF(SUMIF(B173,"&gt;0"),P150,0))+(IF(SUMIF(B174,"&gt;0"),P151,0))+(IF(SUMIF(B175,"&gt;0"),P152,0))+(IF(SUMIF(B176,"&gt;0"),P153,0))+(IF(SUMIF(B177,"&gt;0"),P154,0))+(IF(SUMIF(B178,"&gt;0"),P155,0))+(IF(SUMIF(B179,"&gt;0"),P156,0))+(IF(SUMIF(B180,"&gt;0"),P157,0))+(IF(SUMIF(B181,"&gt;0"),P158,0))+(IF(SUMIF(B182,"&gt;0"),P159,0))+(IF(SUMIF(B183,"&gt;0"),P160,0))+(IF(SUMIF(B184,"&gt;0"),P161,0)))/Grundlagen!$C$26)</f>
        <v>0</v>
      </c>
      <c r="Q162" s="997" t="str">
        <f>CONCATENATE("BBG"," anteilig ",O164)</f>
        <v>BBG anteilig 2025</v>
      </c>
      <c r="R162" s="931" t="s">
        <v>659</v>
      </c>
      <c r="S162" s="931" t="s">
        <v>398</v>
      </c>
      <c r="T162" s="107"/>
    </row>
    <row r="163" spans="1:22" s="46" customFormat="1" ht="13.5" customHeight="1" x14ac:dyDescent="0.2">
      <c r="A163" s="924" t="s">
        <v>732</v>
      </c>
      <c r="D163" s="55" t="s">
        <v>369</v>
      </c>
      <c r="E163" s="56" t="s">
        <v>368</v>
      </c>
      <c r="F163" s="58"/>
      <c r="J163" s="61"/>
      <c r="Q163" s="932" t="s">
        <v>144</v>
      </c>
      <c r="R163" s="140">
        <f>IF(M152=0,R167,IF(M151="",R167,(SUM(R173:R184)/M155)))</f>
        <v>5175</v>
      </c>
      <c r="S163" s="933">
        <f>IF(M152=0,S167,IF(M151="",S167,SUM(R173:R184)))</f>
        <v>0</v>
      </c>
      <c r="T163" s="107"/>
    </row>
    <row r="164" spans="1:22" s="46" customFormat="1" ht="13.5" customHeight="1" x14ac:dyDescent="0.25">
      <c r="A164" s="60"/>
      <c r="B164" s="1314" t="str">
        <f>IF($B$20="","",$B$20)</f>
        <v>Jahressonderzahlung (JSZ)</v>
      </c>
      <c r="C164" s="1315"/>
      <c r="D164" s="926"/>
      <c r="E164" s="929" t="str">
        <f>IF(A164="","",ROUND((((SUM(B179:B181)+SUM(F179:F181))/3)*D164)/Grundlagen!$C$26*M154,2))</f>
        <v/>
      </c>
      <c r="G164" s="941" t="s">
        <v>733</v>
      </c>
      <c r="H164" s="943"/>
      <c r="I164" s="1316" t="str">
        <f>CONCATENATE(R187,":"," Übergangsbereich von ",R188+0.01," €"," bis ",R189," €")</f>
        <v>2025: Übergangsbereich von 556,01 € bis 2000 €</v>
      </c>
      <c r="J164" s="1317"/>
      <c r="K164" s="1317"/>
      <c r="L164" s="1067"/>
      <c r="M164" s="1067"/>
      <c r="N164" s="1068" t="s">
        <v>736</v>
      </c>
      <c r="O164" s="1069">
        <f>P164+1</f>
        <v>2025</v>
      </c>
      <c r="P164" s="1069" t="s">
        <v>721</v>
      </c>
      <c r="Q164" s="932" t="s">
        <v>145</v>
      </c>
      <c r="R164" s="140">
        <f>IF(M152=0,R168,IF(M151="",R168,(SUM(S173:S184)/M155)))</f>
        <v>7450</v>
      </c>
      <c r="S164" s="933">
        <f>IF(M152=0,S168,IF(M151="",S168,SUM(S173:S184)))</f>
        <v>0</v>
      </c>
      <c r="T164" s="109"/>
    </row>
    <row r="165" spans="1:22" ht="14.25" customHeight="1" x14ac:dyDescent="0.2">
      <c r="A165" s="60"/>
      <c r="B165" s="1314" t="str">
        <f>IF($B$21="","",$B$21)</f>
        <v>Leistungsentgelt (LOB)</v>
      </c>
      <c r="C165" s="1315"/>
      <c r="D165" s="926"/>
      <c r="E165" s="929" t="str">
        <f>IF(A165="","",ROUND(((B185+F185)*D165)/Grundlagen!$C$26*M154,2))</f>
        <v/>
      </c>
      <c r="G165" s="941" t="str">
        <f>IF(OR(H164="",H164="nein")=TRUE,"","Faktor (F):")</f>
        <v/>
      </c>
      <c r="H165" s="949" t="str">
        <f>IF(OR(H164="",H164="nein")=TRUE,"",IF(H164="","",R191))</f>
        <v/>
      </c>
      <c r="I165" s="1318" t="str">
        <f>IF(OR(H164="",H164="nein")=TRUE,"",IF(H165="","",CONCATENATE(S191*100,"%"," / ","(",R190*100,"%"," Gesamt-SV-Beitragssatz 2024)")))</f>
        <v/>
      </c>
      <c r="J165" s="1319"/>
      <c r="K165" s="1319"/>
      <c r="L165" s="1070"/>
      <c r="M165" s="1070"/>
      <c r="N165" s="1071" t="s">
        <v>144</v>
      </c>
      <c r="O165" s="1072">
        <f>'päd.Personal - Leitung'!$O$21</f>
        <v>5175</v>
      </c>
      <c r="P165" s="1072">
        <f>'päd.Personal - Leitung'!$P$21</f>
        <v>5175</v>
      </c>
      <c r="Q165" s="11"/>
      <c r="R165" s="11"/>
      <c r="S165" s="11"/>
      <c r="T165" s="109"/>
    </row>
    <row r="166" spans="1:22" ht="14.25" customHeight="1" x14ac:dyDescent="0.2">
      <c r="C166" s="925" t="s">
        <v>731</v>
      </c>
      <c r="L166" s="1070"/>
      <c r="M166" s="1070"/>
      <c r="N166" s="1071" t="s">
        <v>145</v>
      </c>
      <c r="O166" s="1073">
        <f>'päd.Personal - Leitung'!$O$22</f>
        <v>7450</v>
      </c>
      <c r="P166" s="1073">
        <f>'päd.Personal - Leitung'!$P$22</f>
        <v>7450</v>
      </c>
      <c r="Q166" s="997" t="str">
        <f>CONCATENATE("BBG"," ",O164)</f>
        <v>BBG 2025</v>
      </c>
      <c r="R166" s="11"/>
      <c r="S166" s="11"/>
      <c r="T166" s="109"/>
    </row>
    <row r="167" spans="1:22" ht="14.25" customHeight="1" x14ac:dyDescent="0.2">
      <c r="A167" s="53" t="s">
        <v>141</v>
      </c>
      <c r="B167" s="46"/>
      <c r="C167" s="46"/>
      <c r="D167" s="46"/>
      <c r="E167" s="46"/>
      <c r="F167" s="46"/>
      <c r="G167" s="46"/>
      <c r="H167" s="46"/>
      <c r="I167" s="46"/>
      <c r="J167" s="46"/>
      <c r="K167" s="46"/>
      <c r="L167" s="46"/>
      <c r="M167" s="46"/>
      <c r="N167" s="46"/>
      <c r="O167" s="46"/>
      <c r="P167" s="46"/>
      <c r="Q167" s="932" t="s">
        <v>144</v>
      </c>
      <c r="R167" s="141">
        <f>IF($O$21="",0,$O$21)</f>
        <v>5175</v>
      </c>
      <c r="S167" s="933">
        <f>R167*IF(M155="",0,M155)</f>
        <v>0</v>
      </c>
      <c r="T167" s="295"/>
    </row>
    <row r="168" spans="1:22" x14ac:dyDescent="0.2">
      <c r="A168" s="1346"/>
      <c r="B168" s="1348" t="s">
        <v>8</v>
      </c>
      <c r="C168" s="1349"/>
      <c r="D168" s="1349"/>
      <c r="E168" s="1349"/>
      <c r="F168" s="1349"/>
      <c r="G168" s="1350"/>
      <c r="H168" s="1351" t="s">
        <v>113</v>
      </c>
      <c r="I168" s="1352"/>
      <c r="J168" s="1352"/>
      <c r="K168" s="1352"/>
      <c r="L168" s="1352"/>
      <c r="M168" s="1352"/>
      <c r="N168" s="1352"/>
      <c r="O168" s="30"/>
      <c r="P168" s="1330" t="s">
        <v>0</v>
      </c>
      <c r="Q168" s="932" t="s">
        <v>145</v>
      </c>
      <c r="R168" s="141">
        <f>IF($O$22="",0,$O$22)</f>
        <v>7450</v>
      </c>
      <c r="S168" s="933">
        <f>R168*IF(M155="",0,M155)</f>
        <v>0</v>
      </c>
      <c r="T168" s="830"/>
    </row>
    <row r="169" spans="1:22" ht="14.25" customHeight="1" x14ac:dyDescent="0.2">
      <c r="A169" s="1347"/>
      <c r="B169" s="1333" t="s">
        <v>111</v>
      </c>
      <c r="C169" s="1335" t="s">
        <v>743</v>
      </c>
      <c r="D169" s="1337" t="s">
        <v>226</v>
      </c>
      <c r="E169" s="1339" t="s">
        <v>133</v>
      </c>
      <c r="F169" s="1002" t="s">
        <v>6</v>
      </c>
      <c r="G169" s="1340" t="s">
        <v>5</v>
      </c>
      <c r="H169" s="1339" t="s">
        <v>119</v>
      </c>
      <c r="I169" s="1339" t="s">
        <v>4</v>
      </c>
      <c r="J169" s="1339" t="s">
        <v>3</v>
      </c>
      <c r="K169" s="1339" t="s">
        <v>2</v>
      </c>
      <c r="L169" s="1339" t="s">
        <v>114</v>
      </c>
      <c r="M169" s="1339" t="s">
        <v>115</v>
      </c>
      <c r="N169" s="1339" t="s">
        <v>116</v>
      </c>
      <c r="O169" s="1338" t="s">
        <v>109</v>
      </c>
      <c r="P169" s="1331"/>
      <c r="Q169" s="456"/>
      <c r="R169" s="11"/>
      <c r="S169" s="11"/>
      <c r="T169" s="621"/>
    </row>
    <row r="170" spans="1:22" x14ac:dyDescent="0.2">
      <c r="A170" s="1347"/>
      <c r="B170" s="1333"/>
      <c r="C170" s="1335"/>
      <c r="D170" s="1338"/>
      <c r="E170" s="1339"/>
      <c r="F170" s="1343" t="str">
        <f>I162</f>
        <v>Zuschläge / Zulagen / o.ä.:</v>
      </c>
      <c r="G170" s="1340"/>
      <c r="H170" s="1342" t="s">
        <v>117</v>
      </c>
      <c r="I170" s="1342"/>
      <c r="J170" s="1342"/>
      <c r="K170" s="1342"/>
      <c r="L170" s="1342"/>
      <c r="M170" s="1342"/>
      <c r="N170" s="1342"/>
      <c r="O170" s="1338"/>
      <c r="P170" s="1331"/>
      <c r="Q170" s="456"/>
      <c r="R170" s="1306" t="str">
        <f>Q162</f>
        <v>BBG anteilig 2025</v>
      </c>
      <c r="S170" s="1306"/>
      <c r="T170" s="829"/>
    </row>
    <row r="171" spans="1:22" ht="14.25" customHeight="1" x14ac:dyDescent="0.2">
      <c r="A171" s="1347"/>
      <c r="B171" s="1333"/>
      <c r="C171" s="1335"/>
      <c r="D171" s="1338"/>
      <c r="E171" s="1339"/>
      <c r="F171" s="1343"/>
      <c r="G171" s="1340"/>
      <c r="H171" s="39" t="str">
        <f>'päd.Personal - Leitung'!$H$27</f>
        <v>(7,30% + Zusatz)</v>
      </c>
      <c r="I171" s="39" t="str">
        <f>'päd.Personal - Leitung'!$I$27</f>
        <v xml:space="preserve"> (2024: 9,30%)</v>
      </c>
      <c r="J171" s="39" t="str">
        <f>'päd.Personal - Leitung'!$J$27</f>
        <v>(2024: 1,30%)</v>
      </c>
      <c r="K171" s="39" t="str">
        <f>'päd.Personal - Leitung'!$K$27</f>
        <v>(2024: 1,700%)</v>
      </c>
      <c r="L171" s="39"/>
      <c r="M171" s="39"/>
      <c r="N171" s="39" t="str">
        <f>'päd.Personal - Leitung'!$N$27</f>
        <v>(2024: 0,06%)</v>
      </c>
      <c r="O171" s="1338"/>
      <c r="P171" s="1331"/>
      <c r="Q171" s="456"/>
      <c r="R171" s="1307" t="s">
        <v>659</v>
      </c>
      <c r="S171" s="1307"/>
      <c r="T171" s="829"/>
      <c r="U171" s="1308" t="s">
        <v>1</v>
      </c>
      <c r="V171" s="1308" t="s">
        <v>741</v>
      </c>
    </row>
    <row r="172" spans="1:22" x14ac:dyDescent="0.2">
      <c r="A172" s="1347"/>
      <c r="B172" s="1334"/>
      <c r="C172" s="1336"/>
      <c r="D172" s="45"/>
      <c r="E172" s="45"/>
      <c r="F172" s="1344"/>
      <c r="G172" s="1341"/>
      <c r="H172" s="74"/>
      <c r="I172" s="99">
        <f>'päd.Personal - Leitung'!$I$28</f>
        <v>0</v>
      </c>
      <c r="J172" s="99">
        <f>'päd.Personal - Leitung'!$J$28</f>
        <v>0</v>
      </c>
      <c r="K172" s="40">
        <f>'päd.Personal - Leitung'!$K$28</f>
        <v>0</v>
      </c>
      <c r="L172" s="19"/>
      <c r="M172" s="19"/>
      <c r="N172" s="99">
        <f>'päd.Personal - Leitung'!$N$28</f>
        <v>0</v>
      </c>
      <c r="O172" s="23"/>
      <c r="P172" s="1332"/>
      <c r="Q172" s="456"/>
      <c r="R172" s="935" t="s">
        <v>144</v>
      </c>
      <c r="S172" s="935" t="s">
        <v>145</v>
      </c>
      <c r="T172" s="829"/>
      <c r="U172" s="1308"/>
      <c r="V172" s="1308"/>
    </row>
    <row r="173" spans="1:22" x14ac:dyDescent="0.2">
      <c r="A173" s="76" t="str">
        <f>CONCATENATE("Jan ",O149)</f>
        <v>Jan 2025</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4">SUM(B173+C173+E173+F173)</f>
        <v>0</v>
      </c>
      <c r="H173" s="64">
        <f>IF(B173=0,0,IF(AND(H164="ja",((U173)&lt;R189)),ROUND(((R191*R188+((R189/(R189-R188))-(R188/(R189-R188))*R191)*((U173)-R188))*(H172*2))-(((R189/(R189-R188))*((U173)-R188))*H172),2),ROUND(IF((U173)&gt;R173,R173*H172,U173*H172),2)))</f>
        <v>0</v>
      </c>
      <c r="I173" s="64">
        <f>IF(B173=0,0,IF(AND(H164="ja",((U173)&lt;R189)),ROUND(((R191*R188+((R189/(R189-R188))-(R188/(R189-R188))*R191)*((U173)-R188))*(I172*2))-(((R189/(R189-R188))*((U173)-R188))*I172),2),ROUND(IF((U173)&gt;S173,S173*I172,U173*I172),2)))</f>
        <v>0</v>
      </c>
      <c r="J173" s="64">
        <f>IF(B173=0,0,IF(AND(H164="ja",((U173)&lt;R189)),ROUND(((R191*R188+((R189/(R189-R188))-(R188/(R189-R188))*R191)*((U173)-R188))*(J172*2))-(((R189/(R189-R188))*((U173)-R188))*J172),2),ROUND(IF((U173)&gt;S173,S173*J172,U173*J172),2)))</f>
        <v>0</v>
      </c>
      <c r="K173" s="64">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64">
        <f>IF(B173=0,0,IF(AND(H164="ja",((U173)&lt;R189)),ROUND(((R191*R188+((R189/(R189-R188))-(R188/(R189-R188))*R191)*((U173)-R188))*(N172)),2),ROUND(IF((SUM(B173:F173))&gt;S173,S173*N172,SUM(B173:F173)*N172),2)))</f>
        <v>0</v>
      </c>
      <c r="O173" s="21">
        <f>ROUND(SUM(B173+C173+F173)*O172,2)</f>
        <v>0</v>
      </c>
      <c r="P173" s="25">
        <f>SUM(G173:O173)</f>
        <v>0</v>
      </c>
      <c r="Q173" s="456"/>
      <c r="R173" s="140">
        <f>ROUND(IF(M151="",R167,R167/M151*P150),2)</f>
        <v>5175</v>
      </c>
      <c r="S173" s="140">
        <f>ROUND(IF(M151="",R168,R168/M151*P150),2)</f>
        <v>7450</v>
      </c>
      <c r="U173" s="950">
        <f>SUM(B173:F173)</f>
        <v>0</v>
      </c>
      <c r="V173" s="950">
        <f>SUM(B173:F173)</f>
        <v>0</v>
      </c>
    </row>
    <row r="174" spans="1:22" x14ac:dyDescent="0.2">
      <c r="A174" s="76" t="str">
        <f>CONCATENATE("Feb ",O149)</f>
        <v>Feb 2025</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4"/>
        <v>0</v>
      </c>
      <c r="H174" s="64">
        <f>IF(B174=0,0,IF(AND(H164="ja",((U174)&lt;R189)),ROUND(((R191*R188+((R189/(R189-R188))-(R188/(R189-R188))*R191)*((U174)-R188))*(H172*2))-(((R189/(R189-R188))*((U174)-R188))*H172),2),ROUND(IF(U173&lt;(R173),IF((V174)&gt;(SUM(R173:R174)),(((SUM(R173:R174))-(V174-C173))*H172)+((U174-C173)*H172),U174*H172),IF(V174&gt;(SUM(R173:R174)),R174*H172,U174*H172)),2)))</f>
        <v>0</v>
      </c>
      <c r="I174" s="64">
        <f>IF(B174=0,0,IF(AND(H164="ja",((U174)&lt;R189)),ROUND(((R191*R188+((R189/(R189-R188))-(R188/(R189-R188))*R191)*((U174)-R188))*(I172*2))-(((R189/(R189-R188))*((U174)-R188))*I172),2),ROUND(IF(U173&lt;(S173),IF((V174)&gt;(SUM(S173:S174)),(((SUM(S173:S174))-(V174-C173))*I172)+((U174-C173)*I172),U174*I172),IF(V174&gt;(SUM(S173:S174)),S174*I172,U174*I172)),2)))</f>
        <v>0</v>
      </c>
      <c r="J174" s="64">
        <f>IF(B174=0,0,IF(AND(H164="ja",((U174)&lt;R189)),ROUND(((R191*R188+((R189/(R189-R188))-(R188/(R189-R188))*R191)*((U174)-R188))*(J172*2))-(((R189/(R189-R188))*((U174)-R188))*J172),2),ROUND(IF(U173&lt;(S173),IF((V174)&gt;(SUM(S173:S174)),(((SUM(S173:S174))-(V174-C173))*J172)+((U174-C173)*J172),U174*J172),IF(V174&gt;(SUM(S173:S174)),S174*J172,U174*J172)),2)))</f>
        <v>0</v>
      </c>
      <c r="K174" s="64">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64">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5">SUM(G174:O174)</f>
        <v>0</v>
      </c>
      <c r="Q174" s="456"/>
      <c r="R174" s="140">
        <f>ROUND(IF(M151="",R167,R167/M151*P151),2)</f>
        <v>5175</v>
      </c>
      <c r="S174" s="140">
        <f>ROUND(IF(M151="",R168,R168/M151*P151),2)</f>
        <v>7450</v>
      </c>
      <c r="U174" s="950">
        <f t="shared" ref="U174:U184" si="26">SUM(B174:F174)</f>
        <v>0</v>
      </c>
      <c r="V174" s="950">
        <f>SUM(B173:F174)</f>
        <v>0</v>
      </c>
    </row>
    <row r="175" spans="1:22" x14ac:dyDescent="0.2">
      <c r="A175" s="76" t="str">
        <f>CONCATENATE("Mrz ",O149)</f>
        <v>Mrz 2025</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4"/>
        <v>0</v>
      </c>
      <c r="H175" s="64">
        <f>IF(B175=0,0,IF(AND(H164="ja",((U175)&lt;R189)),ROUND(((R191*R188+((R189/(R189-R188))-(R188/(R189-R188))*R191)*((U175)-R188))*(H172*2))-(((R189/(R189-R188))*((U175)-R188))*H172),2),ROUND(IF(V174&lt;(SUM(R173:R174)),IF((V175)&gt;(SUM(R173:R175)),(((SUM(R173:R175))-(V175-C174))*H172)+((U175-C174)*H172),U175*H172),IF(V175&gt;(SUM(R173:R175)),R175*H172,U175*H172)),2)))</f>
        <v>0</v>
      </c>
      <c r="I175" s="64">
        <f>IF(B175=0,0,IF(AND(H164="ja",((U175)&lt;R189)),ROUND(((R191*R188+((R189/(R189-R188))-(R188/(R189-R188))*R191)*((U175)-R188))*(I172*2))-(((R189/(R189-R188))*((U175)-R188))*I172),2),ROUND(IF(V174&lt;(SUM(S173:S174)),IF((V175)&gt;(SUM(S173:S175)),(((SUM(S173:S175))-(V175-C174))*I172)+((U175-C174)*I172),U175*I172),IF(V175&gt;(SUM(S173:S175)),S175*I172,U175*I172)),2)))</f>
        <v>0</v>
      </c>
      <c r="J175" s="64">
        <f>IF(B175=0,0,IF(AND(H164="ja",((U175)&lt;R189)),ROUND(((R191*R188+((R189/(R189-R188))-(R188/(R189-R188))*R191)*((U175)-R188))*(J172*2))-(((R189/(R189-R188))*((U175)-R188))*J172),2),ROUND(IF(V174&lt;(SUM(S173:S174)),IF((V175)&gt;(SUM(S173:S175)),(((SUM(S173:S175))-(V175-C174))*J172)+((U175-C174)*J172),U175*J172),IF(V175&gt;(SUM(S173:S175)),S175*J172,U175*J172)),2)))</f>
        <v>0</v>
      </c>
      <c r="K175" s="64">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64">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5"/>
        <v>0</v>
      </c>
      <c r="Q175" s="456"/>
      <c r="R175" s="140">
        <f>ROUND(IF(M151="",R167,R167/M151*P152),2)</f>
        <v>5175</v>
      </c>
      <c r="S175" s="140">
        <f>ROUND(IF(M151="",R168,R168/M151*P152),2)</f>
        <v>7450</v>
      </c>
      <c r="U175" s="950">
        <f t="shared" si="26"/>
        <v>0</v>
      </c>
      <c r="V175" s="950">
        <f>SUM(B173:F175)</f>
        <v>0</v>
      </c>
    </row>
    <row r="176" spans="1:22" x14ac:dyDescent="0.2">
      <c r="A176" s="76" t="str">
        <f>CONCATENATE("Apr ",O149)</f>
        <v>Apr 2025</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4"/>
        <v>0</v>
      </c>
      <c r="H176" s="64">
        <f>IF(B176=0,0,IF(AND(H164="ja",((U176)&lt;R189)),ROUND(((R191*R188+((R189/(R189-R188))-(R188/(R189-R188))*R191)*((U176)-R188))*(H172*2))-(((R189/(R189-R188))*((U176)-R188))*H172),2),ROUND(IF(V175&lt;(SUM(R173:R175)),IF((V176)&gt;(SUM(R173:R176)),(((SUM(R173:R176))-(V176-C175))*H172)+((U176-C175)*H172),U176*H172),IF(V176&gt;(SUM(R173:R176)),R176*H172,U176*H172)),2)))</f>
        <v>0</v>
      </c>
      <c r="I176" s="64">
        <f>IF(B176=0,0,IF(AND(H164="ja",((U176)&lt;R189)),ROUND(((R191*R188+((R189/(R189-R188))-(R188/(R189-R188))*R191)*((U176)-R188))*(I172*2))-(((R189/(R189-R188))*((U176)-R188))*I172),2),ROUND(IF(V175&lt;(SUM(S173:S175)),IF((V176)&gt;(SUM(S173:S176)),(((SUM(S173:S176))-(V176-C175))*I172)+((U176-C175)*I172),U176*I172),IF(V176&gt;(SUM(S173:S176)),S176*I172,U176*I172)),2)))</f>
        <v>0</v>
      </c>
      <c r="J176" s="64">
        <f>IF(B176=0,0,IF(AND(H164="ja",((U176)&lt;R189)),ROUND(((R191*R188+((R189/(R189-R188))-(R188/(R189-R188))*R191)*((U176)-R188))*(J172*2))-(((R189/(R189-R188))*((U176)-R188))*J172),2),ROUND(IF(U175&lt;(SUM(S173:S175)),IF((V176)&gt;(SUM(S173:S176)),(((SUM(S173:S176))-(V176-C175))*J172)+((U176-C175)*J172),U176*J172),IF(V176&gt;(SUM(S173:S176)),S176*J172,U176*J172)),2)))</f>
        <v>0</v>
      </c>
      <c r="K176" s="64">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64">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5"/>
        <v>0</v>
      </c>
      <c r="Q176" s="456"/>
      <c r="R176" s="140">
        <f>ROUND(IF(M151="",R167,R167/M151*P153),2)</f>
        <v>5175</v>
      </c>
      <c r="S176" s="140">
        <f>ROUND(IF(M151="",R168,R168/M151*P153),2)</f>
        <v>7450</v>
      </c>
      <c r="U176" s="950">
        <f t="shared" si="26"/>
        <v>0</v>
      </c>
      <c r="V176" s="950">
        <f>SUM(B173:F176)</f>
        <v>0</v>
      </c>
    </row>
    <row r="177" spans="1:24" x14ac:dyDescent="0.2">
      <c r="A177" s="76" t="str">
        <f>CONCATENATE("Mai ",O149)</f>
        <v>Mai 2025</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4"/>
        <v>0</v>
      </c>
      <c r="H177" s="64">
        <f>IF(B177=0,0,IF(AND(H164="ja",((U177)&lt;R189)),ROUND(((R191*R188+((R189/(R189-R188))-(R188/(R189-R188))*R191)*((U177)-R188))*(H172*2))-(((R189/(R189-R188))*((U177)-R188))*H172),2),ROUND(IF(V176&lt;(SUM(R173:R176)),IF((V177)&gt;(SUM(R173:R177)),(((SUM(R173:R177))-(V177-C176))*H172)+((U177-C176)*H172),U177*H172),IF(V177&gt;(SUM(R173:R177)),R177*H172,U177*H172)),2)))</f>
        <v>0</v>
      </c>
      <c r="I177" s="64">
        <f>IF(B177=0,0,IF(AND(H164="ja",((U177)&lt;R189)),ROUND(((R191*R188+((R189/(R189-R188))-(R188/(R189-R188))*R191)*((U177)-R188))*(I172*2))-(((R189/(R189-R188))*((U177)-R188))*I172),2),ROUND(IF(V176&lt;(SUM(S173:S176)),IF((V177)&gt;(SUM(S173:S177)),(((SUM(S173:S177))-(V177-C176))*I172)+((U177-C176)*I172),U177*I172),IF(V177&gt;(SUM(S173:S177)),S177*I172,U177*I172)),2)))</f>
        <v>0</v>
      </c>
      <c r="J177" s="64">
        <f>IF(B177=0,0,IF(AND(H164="ja",((U177)&lt;R189)),ROUND(((R191*R188+((R189/(R189-R188))-(R188/(R189-R188))*R191)*((U177)-R188))*(J172*2))-(((R189/(R189-R188))*((U177)-R188))*J172),2),ROUND(IF(V176&lt;(SUM(S173:S176)),IF((V177)&gt;(SUM(S173:S177)),(((SUM(S173:S177))-(V177-C176))*J172)+((U177-C176)*J172),U177*J172),IF(V177&gt;(SUM(S173:S177)),S177*J172,U177*J172)),2)))</f>
        <v>0</v>
      </c>
      <c r="K177" s="64">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64">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5"/>
        <v>0</v>
      </c>
      <c r="Q177" s="456"/>
      <c r="R177" s="140">
        <f>ROUND(IF(M151="",R167,R167/M151*P154),2)</f>
        <v>5175</v>
      </c>
      <c r="S177" s="140">
        <f>ROUND(IF(M151="",R168,R168/M151*P154),2)</f>
        <v>7450</v>
      </c>
      <c r="U177" s="950">
        <f t="shared" si="26"/>
        <v>0</v>
      </c>
      <c r="V177" s="950">
        <f>SUM(B173:F177)</f>
        <v>0</v>
      </c>
    </row>
    <row r="178" spans="1:24" x14ac:dyDescent="0.2">
      <c r="A178" s="76" t="str">
        <f>CONCATENATE("Jun ",O149)</f>
        <v>Jun 2025</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4"/>
        <v>0</v>
      </c>
      <c r="H178" s="64">
        <f>IF(B178=0,0,IF(AND(H164="ja",((U178)&lt;R189)),ROUND(((R191*R188+((R189/(R189-R188))-(R188/(R189-R188))*R191)*((U178)-R188))*(H172*2))-(((R189/(R189-R188))*((U178)-R188))*H172),2),ROUND(IF(V177&lt;(SUM(R173:R177)),IF((V178)&gt;(SUM(R173:R178)),(((SUM(R173:R178))-(V178-C177))*H172)+((U178-C177)*H172),U178*H172),IF(V178&gt;(SUM(R173:R178)),R178*H172,U178*H172)),2)))</f>
        <v>0</v>
      </c>
      <c r="I178" s="64">
        <f>IF(B178=0,0,IF(AND(H164="ja",((U178)&lt;R189)),ROUND(((R191*R188+((R189/(R189-R188))-(R188/(R189-R188))*R191)*((U178)-R188))*(I172*2))-(((R189/(R189-R188))*((U178)-R188))*I172),2),ROUND(IF(V177&lt;(SUM(S173:S177)),IF((V178)&gt;(SUM(S173:S178)),(((SUM(S173:S178))-(V178-C177))*I172)+((U178-C177)*I172),U178*I172),IF(V178&gt;(SUM(S173:S178)),S178*I172,U178*I172)),2)))</f>
        <v>0</v>
      </c>
      <c r="J178" s="64">
        <f>IF(B178=0,0,IF(AND(H164="ja",((U178)&lt;R189)),ROUND(((R191*R188+((R189/(R189-R188))-(R188/(R189-R188))*R191)*((U178)-R188))*(J172*2))-(((R189/(R189-R188))*((U178)-R188))*J172),2),ROUND(IF(V177&lt;(SUM(S173:S177)),IF((V178)&gt;(SUM(S173:S178)),(((SUM(S173:S178))-(V178-C177))*J172)+((U178-C177)*J172),U178*J172),IF(V178&gt;(SUM(S173:S178)),S178*J172,U178*J172)),2)))</f>
        <v>0</v>
      </c>
      <c r="K178" s="64">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64">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5"/>
        <v>0</v>
      </c>
      <c r="Q178" s="456"/>
      <c r="R178" s="140">
        <f>ROUND(IF(M151="",R167,R167/M151*P155),2)</f>
        <v>5175</v>
      </c>
      <c r="S178" s="140">
        <f>ROUND(IF(M151="",R168,R168/M151*P155),2)</f>
        <v>7450</v>
      </c>
      <c r="U178" s="950">
        <f t="shared" si="26"/>
        <v>0</v>
      </c>
      <c r="V178" s="950">
        <f>SUM(B173:F178)</f>
        <v>0</v>
      </c>
    </row>
    <row r="179" spans="1:24" x14ac:dyDescent="0.2">
      <c r="A179" s="76" t="str">
        <f>CONCATENATE("Jul ",O149)</f>
        <v>Jul 2025</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4"/>
        <v>0</v>
      </c>
      <c r="H179" s="64">
        <f>IF(B179=0,0,IF(AND(H164="ja",((U179)&lt;R189)),ROUND(((R191*R188+((R189/(R189-R188))-(R188/(R189-R188))*R191)*((U179)-R188))*(H172*2))-(((R189/(R189-R188))*((U179)-R188))*H172),2),ROUND(IF(V178&lt;(SUM(R173:R178)),IF((V179)&gt;(SUM(R173:R179)),(((SUM(R173:R179))-(V179-C178))*H172)+((U179-C178)*H172),U179*H172),IF(V179&gt;(SUM(R173:R179)),R179*H172,U179*H172)),2)))</f>
        <v>0</v>
      </c>
      <c r="I179" s="64">
        <f>IF(B179=0,0,IF(AND(H164="ja",((U179)&lt;R189)),ROUND(((R191*R188+((R189/(R189-R188))-(R188/(R189-R188))*R191)*((U179)-R188))*(I172*2))-(((R189/(R189-R188))*((U179)-R188))*I172),2),ROUND(IF(V178&lt;(SUM(S173:S178)),IF((V179)&gt;(SUM(S173:S179)),(((SUM(S173:S179))-(V179-C178))*I172)+((U179-C178)*I172),U179*I172),IF(V179&gt;(SUM(S173:S179)),S179*I172,U179*I172)),2)))</f>
        <v>0</v>
      </c>
      <c r="J179" s="64">
        <f>IF(B179=0,0,IF(AND(H164="ja",((U179)&lt;R189)),ROUND(((R191*R188+((R189/(R189-R188))-(R188/(R189-R188))*R191)*((U179)-R188))*(J172*2))-(((R189/(R189-R188))*((U179)-R188))*J172),2),ROUND(IF(V178&lt;(SUM(S173:S178)),IF((V179)&gt;(SUM(S173:S179)),(((SUM(S173:S179))-(V179-C178))*J172)+((U179-C178)*J172),U179*J172),IF(V179&gt;(SUM(S173:S179)),S179*J172,U179*J172)),2)))</f>
        <v>0</v>
      </c>
      <c r="K179" s="64">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64">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5"/>
        <v>0</v>
      </c>
      <c r="Q179" s="456"/>
      <c r="R179" s="140">
        <f>ROUND(IF(M151="",R167,R167/M151*P156),2)</f>
        <v>5175</v>
      </c>
      <c r="S179" s="140">
        <f>ROUND(IF(M151="",R168,R168/M151*P156),2)</f>
        <v>7450</v>
      </c>
      <c r="U179" s="950">
        <f t="shared" si="26"/>
        <v>0</v>
      </c>
      <c r="V179" s="950">
        <f>SUM(B173:F179)</f>
        <v>0</v>
      </c>
    </row>
    <row r="180" spans="1:24" x14ac:dyDescent="0.2">
      <c r="A180" s="76" t="str">
        <f>CONCATENATE("Aug ",O149)</f>
        <v>Aug 2025</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4"/>
        <v>0</v>
      </c>
      <c r="H180" s="64">
        <f>IF(B180=0,0,IF(AND(H164="ja",((U180)&lt;R189)),ROUND(((R191*R188+((R189/(R189-R188))-(R188/(R189-R188))*R191)*((U180)-R188))*(H172*2))-(((R189/(R189-R188))*((U180)-R188))*H172),2),ROUND(IF(V179&lt;(SUM(R173:R179)),IF((V180)&gt;(SUM(R173:R180)),(((SUM(R173:R180))-(V180-C179))*H172)+((U180-C179)*H172),U180*H172),IF(V180&gt;(SUM(R173:R180)),R180*H172,U180*H172)),2)))</f>
        <v>0</v>
      </c>
      <c r="I180" s="64">
        <f>IF(B180=0,0,IF(AND(H164="ja",((U180)&lt;R189)),ROUND(((R191*R188+((R189/(R189-R188))-(R188/(R189-R188))*R191)*((U180)-R188))*(I172*2))-(((R189/(R189-R188))*((U180)-R188))*I172),2),ROUND(IF(V179&lt;(SUM(S173:S179)),IF((V180)&gt;(SUM(S173:S180)),(((SUM(S173:S180))-(V180-C179))*I172)+((U180-C179)*I172),U180*I172),IF(V180&gt;(SUM(S173:S180)),S180*I172,U180*I172)),2)))</f>
        <v>0</v>
      </c>
      <c r="J180" s="64">
        <f>IF(B180=0,0,IF(AND(H164="ja",((U180)&lt;R189)),ROUND(((R191*R188+((R189/(R189-R188))-(R188/(R189-R188))*R191)*((U180)-R188))*(J172*2))-(((R189/(R189-R188))*((U180)-R188))*J172),2),ROUND(IF(V179&lt;(SUM(S173:S179)),IF((V180)&gt;(SUM(S173:S180)),(((SUM(S173:S180))-(V180-C179))*J172)+((U180-C179)*J172),U180*J172),IF(V180&gt;(SUM(S173:S180)),S180*J172,U180*J172)),2)))</f>
        <v>0</v>
      </c>
      <c r="K180" s="64">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64">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5"/>
        <v>0</v>
      </c>
      <c r="Q180" s="456"/>
      <c r="R180" s="140">
        <f>ROUND(IF(M151="",R167,R167/M151*P157),2)</f>
        <v>5175</v>
      </c>
      <c r="S180" s="140">
        <f>ROUND(IF(M151="",R168,R168/M151*P157),2)</f>
        <v>7450</v>
      </c>
      <c r="U180" s="950">
        <f t="shared" si="26"/>
        <v>0</v>
      </c>
      <c r="V180" s="950">
        <f>SUM(B173:F180)</f>
        <v>0</v>
      </c>
    </row>
    <row r="181" spans="1:24" x14ac:dyDescent="0.2">
      <c r="A181" s="76" t="str">
        <f>CONCATENATE("Sep ",O149)</f>
        <v>Sep 2025</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4"/>
        <v>0</v>
      </c>
      <c r="H181" s="64">
        <f>IF(B181=0,0,IF(AND(H164="ja",((U181)&lt;R189)),ROUND(((R191*R188+((R189/(R189-R188))-(R188/(R189-R188))*R191)*((U181)-R188))*(H172*2))-(((R189/(R189-R188))*((U181)-R188))*H172),2),ROUND(IF(V180&lt;(SUM(R173:R180)),IF((V181)&gt;(SUM(R173:R181)),(((SUM(R173:R181))-(V181-C180))*H172)+((U181-C180)*H172),U181*H172),IF(V181&gt;(SUM(R173:R181)),R181*H172,U181*H172)),2)))</f>
        <v>0</v>
      </c>
      <c r="I181" s="64">
        <f>IF(B181=0,0,IF(AND(H164="ja",((U181)&lt;R189)),ROUND(((R191*R188+((R189/(R189-R188))-(R188/(R189-R188))*R191)*((U181)-R188))*(I172*2))-(((R189/(R189-R188))*((U181)-R188))*I172),2),ROUND(IF(V180&lt;(SUM(S173:S180)),IF((V181)&gt;(SUM(S173:S181)),(((SUM(S173:S181))-(V181-C180))*I172)+((U181-C180)*I172),U181*I172),IF(V181&gt;(SUM(S173:S181)),S181*I172,U181*I172)),2)))</f>
        <v>0</v>
      </c>
      <c r="J181" s="64">
        <f>IF(B181=0,0,IF(AND(H164="ja",((U181)&lt;R189)),ROUND(((R191*R188+((R189/(R189-R188))-(R188/(R189-R188))*R191)*((U181)-R188))*(J172*2))-(((R189/(R189-R188))*((U181)-R188))*J172),2),ROUND(IF(V180&lt;(SUM(S173:S180)),IF((V181)&gt;(SUM(S173:S181)),(((SUM(S173:S181))-(V181-C180))*J172)+((U181-C180)*J172),U181*J172),IF(V181&gt;(SUM(S173:S181)),S181*J172,U181*J172)),2)))</f>
        <v>0</v>
      </c>
      <c r="K181" s="64">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64">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5"/>
        <v>0</v>
      </c>
      <c r="Q181" s="456"/>
      <c r="R181" s="140">
        <f>ROUND(IF(M151="",R167,R167/M151*P158),2)</f>
        <v>5175</v>
      </c>
      <c r="S181" s="140">
        <f>ROUND(IF(M151="",R168,R168/M151*P158),2)</f>
        <v>7450</v>
      </c>
      <c r="U181" s="950">
        <f t="shared" si="26"/>
        <v>0</v>
      </c>
      <c r="V181" s="950">
        <f>SUM(B173:F181)</f>
        <v>0</v>
      </c>
    </row>
    <row r="182" spans="1:24" s="12" customFormat="1" ht="15" x14ac:dyDescent="0.25">
      <c r="A182" s="76" t="str">
        <f>CONCATENATE("Okt ",O149)</f>
        <v>Okt 2025</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4"/>
        <v>0</v>
      </c>
      <c r="H182" s="64">
        <f>IF(B182=0,0,IF(AND(H164="ja",((U182)&lt;R189)),ROUND(((R191*R188+((R189/(R189-R188))-(R188/(R189-R188))*R191)*((U182)-R188))*(H172*2))-(((R189/(R189-R188))*((U182)-R188))*H172),2),ROUND(IF(V181&lt;(SUM(R173:R181)),IF((V182)&gt;(SUM(R173:R182)),(((SUM(R173:R182))-(V182-C181))*H172)+((U182-C181)*H172),U182*H172),IF(V182&gt;(SUM(R173:R182)),R182*H172,U182*H172)),2)))</f>
        <v>0</v>
      </c>
      <c r="I182" s="64">
        <f>IF(B182=0,0,IF(AND(H164="ja",((U182)&lt;R189)),ROUND(((R191*R188+((R189/(R189-R188))-(R188/(R189-R188))*R191)*((U182)-R188))*(I172*2))-(((R189/(R189-R188))*((U182)-R188))*I172),2),ROUND(IF(V181&lt;(SUM(S173:S181)),IF((V182)&gt;(SUM(S173:S182)),(((SUM(S173:S182))-(V182-C181))*I172)+((U182-C181)*I172),U182*I172),IF(V182&gt;(SUM(S173:S182)),S182*I172,U182*I172)),2)))</f>
        <v>0</v>
      </c>
      <c r="J182" s="64">
        <f>IF(B182=0,0,IF(AND(H164="ja",((U182)&lt;R189)),ROUND(((R191*R188+((R189/(R189-R188))-(R188/(R189-R188))*R191)*((U182)-R188))*(J172*2))-(((R189/(R189-R188))*((U182)-R188))*J172),2),ROUND(IF(V181&lt;(SUM(S173:S181)),IF((V182)&gt;(SUM(S173:S182)),(((SUM(S173:S182))-(V182-C181))*J172)+((U182-C181)*J172),U182*J172),IF(V182&gt;(SUM(S173:S182)),S182*J172,U182*J172)),2)))</f>
        <v>0</v>
      </c>
      <c r="K182" s="64">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64">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5"/>
        <v>0</v>
      </c>
      <c r="Q182" s="936"/>
      <c r="R182" s="140">
        <f>ROUND(IF(M151="",R167,R167/M151*P159),2)</f>
        <v>5175</v>
      </c>
      <c r="S182" s="140">
        <f>ROUND(IF(M151="",R168,R168/M151*P159),2)</f>
        <v>7450</v>
      </c>
      <c r="U182" s="950">
        <f t="shared" si="26"/>
        <v>0</v>
      </c>
      <c r="V182" s="950">
        <f>SUM(B173:F182)</f>
        <v>0</v>
      </c>
      <c r="X182" s="1"/>
    </row>
    <row r="183" spans="1:24" s="11" customFormat="1" x14ac:dyDescent="0.2">
      <c r="A183" s="76" t="str">
        <f>CONCATENATE("Nov ",O149)</f>
        <v>Nov 2025</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4"/>
        <v>0</v>
      </c>
      <c r="H183" s="64">
        <f>IF(B183=0,0,IF(AND(H164="ja",((U183)&lt;R189)),ROUND(((R191*R188+((R189/(R189-R188))-(R188/(R189-R188))*R191)*((U183)-R188))*(H172*2))-(((R189/(R189-R188))*((U183)-R188))*H172),2),ROUND(IF(V182&lt;(SUM(R173:R182)),IF((V183)&gt;(SUM(R173:R183)),(((SUM(R173:R183))-(V183-C182))*H172)+((U183-C182)*H172),U183*H172),IF(V183&gt;(SUM(R173:R183)),R183*H172,U183*H172)),2)))</f>
        <v>0</v>
      </c>
      <c r="I183" s="64">
        <f>IF(B183=0,0,IF(AND(H164="ja",((U183)&lt;R189)),ROUND(((R191*R188+((R189/(R189-R188))-(R188/(R189-R188))*R191)*((U183)-R188))*(I172*2))-(((R189/(R189-R188))*((U183)-R188))*I172),2),ROUND(IF(V182&lt;(SUM(S173:S182)),IF((V183)&gt;(SUM(S173:S183)),(((SUM(S173:S183))-(V183-C182))*I172)+((U183-C182)*I172),U183*I172),IF(V183&gt;(SUM(S173:S183)),S183*I172,U183*I172)),2)))</f>
        <v>0</v>
      </c>
      <c r="J183" s="64">
        <f>IF(B183=0,0,IF(AND(H164="ja",((U183)&lt;R189)),ROUND(((R191*R188+((R189/(R189-R188))-(R188/(R189-R188))*R191)*((U183)-R188))*(J172*2))-(((R189/(R189-R188))*((U183)-R188))*J172),2),ROUND(IF(V182&lt;(SUM(S173:S182)),IF((V183)&gt;(SUM(S173:S183)),(((SUM(S173:S183))-(V183-C182))*J172)+((U183-C182)*J172),U183*J172),IF(V183&gt;(SUM(S173:S183)),S183*J172,U183*J172)),2)))</f>
        <v>0</v>
      </c>
      <c r="K183" s="64">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64">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5"/>
        <v>0</v>
      </c>
      <c r="R183" s="140">
        <f>ROUND(IF(M151="",R167,R167/M151*P160),2)</f>
        <v>5175</v>
      </c>
      <c r="S183" s="140">
        <f>ROUND(IF(M151="",R168,R168/M151*P160),2)</f>
        <v>7450</v>
      </c>
      <c r="U183" s="950">
        <f t="shared" si="26"/>
        <v>0</v>
      </c>
      <c r="V183" s="950">
        <f>SUM(B173:F183)</f>
        <v>0</v>
      </c>
      <c r="X183" s="1"/>
    </row>
    <row r="184" spans="1:24" ht="14.25" customHeight="1" x14ac:dyDescent="0.2">
      <c r="A184" s="76" t="str">
        <f>CONCATENATE("Dez ",O149)</f>
        <v>Dez 2025</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4"/>
        <v>0</v>
      </c>
      <c r="H184" s="64">
        <f>IF(B184=0,0,IF(AND(H164="ja",((U184)&lt;R189)),ROUND(((R191*R188+((R189/(R189-R188))-(R188/(R189-R188))*R191)*((U184)-R188))*(H172*2))-(((R189/(R189-R188))*((U184)-R188))*H172),2),ROUND(IF(V183&lt;(SUM(R173:R183)),IF((V184)&gt;(SUM(R173:R184)),(((SUM(R173:R184))-(V184-C183))*H172)+((U184-C183)*H172),U184*H172),IF(V184&gt;(SUM(R173:R184)),R184*H172,U184*H172)),2)))</f>
        <v>0</v>
      </c>
      <c r="I184" s="64">
        <f>IF(B184=0,0,IF(AND(H164="ja",((U184)&lt;R189)),ROUND(((R191*R188+((R189/(R189-R188))-(R188/(R189-R188))*R191)*((U184)-R188))*(I172*2))-(((R189/(R189-R188))*((U184)-R188))*I172),2),ROUND(IF(V183&lt;(SUM(S173:S183)),IF((V184)&gt;(SUM(S173:S184)),(((SUM(S173:S184))-(V184-C183))*I172)+((U184-C183)*I172),U184*I172),IF(V184&gt;(SUM(S173:S184)),S184*I172,U184*I172)),2)))</f>
        <v>0</v>
      </c>
      <c r="J184" s="64">
        <f>IF(B184=0,0,IF(AND(H164="ja",((U184)&lt;R189)),ROUND(((R191*R188+((R189/(R189-R188))-(R188/(R189-R188))*R191)*((U184)-R188))*(J172*2))-(((R189/(R189-R188))*((U184)-R188))*J172),2),ROUND(IF(V183&lt;(SUM(S173:S183)),IF((V184)&gt;(SUM(S173:S184)),(((SUM(S173:S184))-(V184-C183))*J172)+((U184-C183)*J172),U184*J172),IF(V184&gt;(SUM(S173:S184)),S184*J172,U184*J172)),2)))</f>
        <v>0</v>
      </c>
      <c r="K184" s="64">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64">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5"/>
        <v>0</v>
      </c>
      <c r="Q184" s="11"/>
      <c r="R184" s="140">
        <f>ROUND(IF(M151="",R167,R167/M151*P161),2)</f>
        <v>5175</v>
      </c>
      <c r="S184" s="140">
        <f>ROUND(IF(M151="",R168,R168/M151*P161),2)</f>
        <v>7450</v>
      </c>
      <c r="U184" s="950">
        <f t="shared" si="26"/>
        <v>0</v>
      </c>
      <c r="V184" s="950">
        <f>SUM(B173:F184)</f>
        <v>0</v>
      </c>
    </row>
    <row r="185" spans="1:24" ht="15" customHeight="1" x14ac:dyDescent="0.2">
      <c r="A185" s="2" t="s">
        <v>1</v>
      </c>
      <c r="B185" s="25">
        <f>SUM(B173:B184)</f>
        <v>0</v>
      </c>
      <c r="C185" s="25">
        <f t="shared" ref="C185:G185" si="27">SUM(C173:C184)</f>
        <v>0</v>
      </c>
      <c r="D185" s="25">
        <f t="shared" si="27"/>
        <v>0</v>
      </c>
      <c r="E185" s="25">
        <f t="shared" si="27"/>
        <v>0</v>
      </c>
      <c r="F185" s="25">
        <f t="shared" si="27"/>
        <v>0</v>
      </c>
      <c r="G185" s="25">
        <f t="shared" si="27"/>
        <v>0</v>
      </c>
      <c r="H185" s="1309">
        <f>SUM(H173:N184)</f>
        <v>0</v>
      </c>
      <c r="I185" s="1310"/>
      <c r="J185" s="1310"/>
      <c r="K185" s="1310"/>
      <c r="L185" s="1310"/>
      <c r="M185" s="1310"/>
      <c r="N185" s="1311"/>
      <c r="O185" s="25">
        <f>SUM(O173:O184)</f>
        <v>0</v>
      </c>
      <c r="P185" s="25">
        <f>SUM(P173:P184)</f>
        <v>0</v>
      </c>
    </row>
    <row r="186" spans="1:24" ht="12" customHeight="1" x14ac:dyDescent="0.2"/>
    <row r="187" spans="1:24" ht="14.25" customHeight="1" x14ac:dyDescent="0.2">
      <c r="B187" s="906"/>
      <c r="H187" s="905"/>
      <c r="I187" s="62"/>
      <c r="J187" s="914" t="s">
        <v>123</v>
      </c>
      <c r="L187" s="900" t="s">
        <v>124</v>
      </c>
      <c r="M187" s="974" t="str">
        <f>IF(IF(G185=0,"",$M$43)=0,"",IF(G185=0,"",$M$43))</f>
        <v/>
      </c>
      <c r="N187" s="902" t="s">
        <v>125</v>
      </c>
      <c r="O187" s="963" t="str">
        <f>IF(IF(G185=0,"",$O$43)=0,"",IF(G185=0,"",$O$43))</f>
        <v/>
      </c>
      <c r="P187" s="25">
        <f>ROUND(IF(M187="",0,G185*M187*O187/1000),2)</f>
        <v>0</v>
      </c>
      <c r="Q187" s="937"/>
      <c r="R187" s="938">
        <v>2025</v>
      </c>
      <c r="S187" s="939"/>
    </row>
    <row r="188" spans="1:24" ht="14.25" customHeight="1" x14ac:dyDescent="0.2">
      <c r="H188" s="907"/>
      <c r="I188" s="42"/>
      <c r="M188" s="915" t="s">
        <v>129</v>
      </c>
      <c r="N188" s="80" t="s">
        <v>125</v>
      </c>
      <c r="O188" s="75" t="str">
        <f>IF(IF(G185=0,"",$O$44)=0,"",IF(G185=0,"",$O$44))</f>
        <v/>
      </c>
      <c r="P188" s="25">
        <f>ROUND(IF(O188="",0,G185*O188/1000),2)</f>
        <v>0</v>
      </c>
      <c r="Q188" s="942" t="s">
        <v>737</v>
      </c>
      <c r="R188" s="141">
        <f>'päd.Personal - Leitung'!$R$44</f>
        <v>556</v>
      </c>
      <c r="S188" s="955">
        <f>'päd.Personal - Leitung'!$S$44</f>
        <v>12.82</v>
      </c>
    </row>
    <row r="189" spans="1:24" ht="14.25" customHeight="1" x14ac:dyDescent="0.2">
      <c r="H189" s="912" t="s">
        <v>126</v>
      </c>
      <c r="I189" s="1001" t="s">
        <v>127</v>
      </c>
      <c r="J189" s="975" t="str">
        <f>IF(IF(G185=0,"",$J$45)=0,"",IF(G185=0,"",$J$45))</f>
        <v/>
      </c>
      <c r="K189" s="902" t="s">
        <v>128</v>
      </c>
      <c r="L189" s="964" t="str">
        <f>IF(IF(G185=0,"",$L$45)=0,"",IF(G185=0,"",$L$45))</f>
        <v/>
      </c>
      <c r="M189" s="16"/>
      <c r="N189" s="900" t="s">
        <v>132</v>
      </c>
      <c r="O189" s="965" t="str">
        <f>IF(IF(G185=0,"",$O$45)=0,"",IF(G185=0,"",$O$45))</f>
        <v/>
      </c>
      <c r="P189" s="25">
        <f>ROUND(IF(J189="",0,(J189*L189/O189)/M153*M154),2)</f>
        <v>0</v>
      </c>
      <c r="Q189" s="942" t="s">
        <v>738</v>
      </c>
      <c r="R189" s="140">
        <f>'päd.Personal - Leitung'!$R$45</f>
        <v>2000</v>
      </c>
      <c r="S189" s="939"/>
    </row>
    <row r="190" spans="1:24" ht="14.25" customHeight="1" x14ac:dyDescent="0.2">
      <c r="D190" s="16"/>
      <c r="I190" s="16"/>
      <c r="J190" s="16"/>
      <c r="K190" s="63"/>
      <c r="L190" s="67"/>
      <c r="M190" s="915" t="s">
        <v>130</v>
      </c>
      <c r="N190" s="80" t="s">
        <v>131</v>
      </c>
      <c r="O190" s="904">
        <f>IF(IF(M155="",0,$O$46)=0,0,IF(M155="",0,$O$46))</f>
        <v>0</v>
      </c>
      <c r="P190" s="21">
        <f>ROUND(IF(G185=0,0,O190/M151*M152),2)</f>
        <v>0</v>
      </c>
      <c r="Q190" s="942" t="s">
        <v>740</v>
      </c>
      <c r="R190" s="956">
        <f>'päd.Personal - Leitung'!$R$46</f>
        <v>0.40900000000000003</v>
      </c>
    </row>
    <row r="191" spans="1:24" ht="14.25" customHeight="1" x14ac:dyDescent="0.2">
      <c r="A191" s="16"/>
      <c r="B191" s="16"/>
      <c r="I191" s="905"/>
      <c r="J191" s="961" t="s">
        <v>176</v>
      </c>
      <c r="K191" s="1312" t="str">
        <f>IF($K$47="","",$K$47)</f>
        <v/>
      </c>
      <c r="L191" s="1312"/>
      <c r="M191" s="1312"/>
      <c r="N191" s="80" t="s">
        <v>131</v>
      </c>
      <c r="O191" s="904">
        <f>IF(IF(M155="",0,$O$47)=0,0,IF(M155="",0,$O$47))</f>
        <v>0</v>
      </c>
      <c r="P191" s="21">
        <f>ROUND(IF(G185=0,0,O191/M151*M152),2)</f>
        <v>0</v>
      </c>
      <c r="Q191" s="942" t="s">
        <v>739</v>
      </c>
      <c r="R191" s="940">
        <f>'päd.Personal - Leitung'!$R$47</f>
        <v>0.68459999999999999</v>
      </c>
      <c r="S191" s="957">
        <f>'päd.Personal - Leitung'!$S$47</f>
        <v>0.28000000000000003</v>
      </c>
    </row>
    <row r="192" spans="1:24" ht="14.25" customHeight="1" x14ac:dyDescent="0.2">
      <c r="A192" s="908"/>
      <c r="B192" s="908"/>
      <c r="C192" s="1001"/>
      <c r="D192" s="1001"/>
      <c r="I192" s="913"/>
      <c r="J192" s="913"/>
      <c r="K192" s="916"/>
      <c r="L192" s="27"/>
      <c r="M192" s="27"/>
      <c r="N192" s="27"/>
      <c r="O192" s="26" t="s">
        <v>0</v>
      </c>
      <c r="P192" s="25">
        <f>P185+SUM(P187:P191)</f>
        <v>0</v>
      </c>
    </row>
    <row r="193" spans="1:19" s="10" customFormat="1" ht="13.5" customHeight="1" x14ac:dyDescent="0.2">
      <c r="A193" s="1321" t="s">
        <v>17</v>
      </c>
      <c r="B193" s="1321"/>
      <c r="C193" s="1321"/>
      <c r="D193" s="1320" t="str">
        <f>IF('päd.Personal - Leitung'!$D$1="","",'päd.Personal - Leitung'!$D$1)</f>
        <v/>
      </c>
      <c r="E193" s="1320"/>
      <c r="F193" s="1320"/>
      <c r="G193" s="1320"/>
      <c r="H193" s="1320"/>
      <c r="I193" s="1320"/>
      <c r="J193" s="1320"/>
      <c r="K193" s="1320"/>
      <c r="L193" s="1320"/>
      <c r="M193" s="1320"/>
      <c r="N193" s="1320"/>
    </row>
    <row r="194" spans="1:19" s="10" customFormat="1" ht="15" customHeight="1" x14ac:dyDescent="0.2">
      <c r="A194" s="1321" t="s">
        <v>16</v>
      </c>
      <c r="B194" s="1321"/>
      <c r="C194" s="1321" t="s">
        <v>14</v>
      </c>
      <c r="D194" s="1320" t="str">
        <f>IF('päd.Personal - Leitung'!$D$2="","",'päd.Personal - Leitung'!$D$2)</f>
        <v/>
      </c>
      <c r="E194" s="1320"/>
      <c r="F194" s="1320"/>
      <c r="G194" s="1320"/>
      <c r="H194" s="1320"/>
      <c r="I194" s="1320"/>
      <c r="J194" s="1320"/>
      <c r="K194" s="1320"/>
      <c r="L194" s="1320"/>
      <c r="M194" s="1320"/>
      <c r="N194" s="1320"/>
    </row>
    <row r="195" spans="1:19" s="10" customFormat="1" ht="15" customHeight="1" x14ac:dyDescent="0.2">
      <c r="A195" s="1321" t="s">
        <v>15</v>
      </c>
      <c r="B195" s="1321"/>
      <c r="C195" s="1321" t="s">
        <v>14</v>
      </c>
      <c r="D195" s="1320" t="str">
        <f>IF('päd.Personal - Leitung'!$D$3="","",'päd.Personal - Leitung'!$D$3)</f>
        <v/>
      </c>
      <c r="E195" s="1320"/>
      <c r="F195" s="1320"/>
      <c r="G195" s="1320"/>
      <c r="H195" s="1320"/>
      <c r="I195" s="1320"/>
      <c r="J195" s="1320"/>
      <c r="K195" s="1321" t="s">
        <v>100</v>
      </c>
      <c r="L195" s="1321"/>
      <c r="M195" s="1321"/>
      <c r="N195" s="38" t="str">
        <f>IF('päd.Personal - Leitung'!$N$3="","",'päd.Personal - Leitung'!$N$3)</f>
        <v/>
      </c>
    </row>
    <row r="196" spans="1:19" s="923" customFormat="1" ht="7.5" customHeight="1" x14ac:dyDescent="0.15">
      <c r="A196" s="1353"/>
      <c r="B196" s="1353"/>
      <c r="C196" s="1353"/>
      <c r="D196" s="1354"/>
      <c r="E196" s="1354"/>
      <c r="F196" s="1354"/>
      <c r="G196" s="1354"/>
      <c r="H196" s="1354"/>
      <c r="I196" s="1354"/>
      <c r="J196" s="1354"/>
      <c r="K196" s="922"/>
      <c r="L196" s="922"/>
      <c r="M196" s="922"/>
      <c r="N196" s="922"/>
      <c r="O196" s="922"/>
      <c r="P196" s="922"/>
    </row>
    <row r="197" spans="1:19" s="13" customFormat="1" ht="13.5" customHeight="1" x14ac:dyDescent="0.2">
      <c r="A197" s="1355" t="s">
        <v>199</v>
      </c>
      <c r="B197" s="1355"/>
      <c r="C197" s="1355"/>
      <c r="D197" s="1355"/>
      <c r="E197" s="1355"/>
      <c r="F197" s="1355"/>
      <c r="G197" s="1355"/>
      <c r="H197" s="1355"/>
      <c r="I197" s="1355"/>
      <c r="J197" s="1355"/>
      <c r="K197" s="7"/>
      <c r="L197" s="7"/>
      <c r="M197" s="7"/>
      <c r="N197" s="52"/>
      <c r="O197" s="138">
        <f>'päd.Personal - Leitung'!$O$5</f>
        <v>2025</v>
      </c>
      <c r="P197" s="52" t="s">
        <v>140</v>
      </c>
    </row>
    <row r="198" spans="1:19" s="8" customFormat="1" ht="13.5" customHeight="1" x14ac:dyDescent="0.25">
      <c r="B198" s="29"/>
      <c r="C198" s="29"/>
      <c r="D198" s="3" t="s">
        <v>204</v>
      </c>
      <c r="E198" s="28"/>
      <c r="F198" s="28"/>
      <c r="G198" s="28"/>
      <c r="H198" s="28"/>
      <c r="I198" s="24"/>
      <c r="K198" s="1327" t="s">
        <v>13</v>
      </c>
      <c r="L198" s="1327"/>
      <c r="M198" s="131"/>
      <c r="O198" s="928" t="str">
        <f>A221</f>
        <v>Jan 2025</v>
      </c>
      <c r="P198" s="1402">
        <f>IF(M200="","",M200)</f>
        <v>0</v>
      </c>
    </row>
    <row r="199" spans="1:19" s="5" customFormat="1" ht="13.5" customHeight="1" x14ac:dyDescent="0.25">
      <c r="A199" s="1328" t="s">
        <v>754</v>
      </c>
      <c r="B199" s="1328"/>
      <c r="C199" s="1328"/>
      <c r="D199" s="1329"/>
      <c r="E199" s="1329"/>
      <c r="F199" s="1329"/>
      <c r="G199" s="1329"/>
      <c r="H199" s="1329"/>
      <c r="I199" s="1329"/>
      <c r="K199" s="1327" t="s">
        <v>101</v>
      </c>
      <c r="L199" s="1327"/>
      <c r="M199" s="101"/>
      <c r="O199" s="928" t="str">
        <f t="shared" ref="O199:O209" si="28">A222</f>
        <v>Feb 2025</v>
      </c>
      <c r="P199" s="1403">
        <f t="shared" ref="P199:P209" si="29">IF(P198="","",P198)</f>
        <v>0</v>
      </c>
    </row>
    <row r="200" spans="1:19" ht="13.5" customHeight="1" x14ac:dyDescent="0.2">
      <c r="A200" s="1328" t="s">
        <v>12</v>
      </c>
      <c r="B200" s="1328"/>
      <c r="C200" s="1328"/>
      <c r="D200" s="1345"/>
      <c r="E200" s="1345"/>
      <c r="F200" s="1345"/>
      <c r="G200" s="1345"/>
      <c r="H200" s="1345"/>
      <c r="I200" s="1345"/>
      <c r="K200" s="1327" t="s">
        <v>194</v>
      </c>
      <c r="L200" s="1327"/>
      <c r="M200" s="101">
        <f>IF(M201&gt;M199,0,M199-M201)</f>
        <v>0</v>
      </c>
      <c r="O200" s="928" t="str">
        <f t="shared" si="28"/>
        <v>Mrz 2025</v>
      </c>
      <c r="P200" s="1403">
        <f t="shared" si="29"/>
        <v>0</v>
      </c>
    </row>
    <row r="201" spans="1:19" ht="13.5" customHeight="1" x14ac:dyDescent="0.2">
      <c r="A201" s="1328" t="s">
        <v>11</v>
      </c>
      <c r="B201" s="1328"/>
      <c r="C201" s="1328"/>
      <c r="D201" s="1345"/>
      <c r="E201" s="1345"/>
      <c r="F201" s="1345"/>
      <c r="G201" s="1345"/>
      <c r="H201" s="1345"/>
      <c r="I201" s="1345"/>
      <c r="K201" s="1327" t="s">
        <v>195</v>
      </c>
      <c r="L201" s="1327"/>
      <c r="M201" s="101"/>
      <c r="O201" s="928" t="str">
        <f t="shared" si="28"/>
        <v>Apr 2025</v>
      </c>
      <c r="P201" s="1403">
        <f t="shared" si="29"/>
        <v>0</v>
      </c>
    </row>
    <row r="202" spans="1:19" ht="13.5" customHeight="1" x14ac:dyDescent="0.2">
      <c r="A202" s="1328" t="s">
        <v>18</v>
      </c>
      <c r="B202" s="1328"/>
      <c r="C202" s="1328"/>
      <c r="D202" s="1345"/>
      <c r="E202" s="1345"/>
      <c r="F202" s="1345"/>
      <c r="G202" s="1345"/>
      <c r="H202" s="1345"/>
      <c r="I202" s="1345"/>
      <c r="K202" s="1327" t="s">
        <v>94</v>
      </c>
      <c r="L202" s="1327"/>
      <c r="M202" s="15" t="str">
        <f>IF(IF((COUNTIF(B221:B232,"&gt;0"))=0,0,(COUNTIF(B221:B232,"&gt;0")))&gt;Grundlagen!$C$26,Grundlagen!$C$26,IF((COUNTIF(B221:B232,"&gt;0"))=0,"",(COUNTIF(B221:B232,"&gt;0"))))</f>
        <v/>
      </c>
      <c r="O202" s="928" t="str">
        <f t="shared" si="28"/>
        <v>Mai 2025</v>
      </c>
      <c r="P202" s="1403">
        <f t="shared" si="29"/>
        <v>0</v>
      </c>
    </row>
    <row r="203" spans="1:19" ht="13.5" customHeight="1" x14ac:dyDescent="0.2">
      <c r="B203" s="6"/>
      <c r="C203" s="998" t="s">
        <v>147</v>
      </c>
      <c r="D203" s="1324"/>
      <c r="E203" s="1324"/>
      <c r="F203" s="1359" t="s">
        <v>103</v>
      </c>
      <c r="G203" s="1359"/>
      <c r="H203" s="1361"/>
      <c r="I203" s="1361"/>
      <c r="M203" s="102" t="str">
        <f>IF((SUM(F206:F209))=0,"",IF(P210&gt;M200,M200,IF(M200="","",IF(M202="","",P210))))</f>
        <v/>
      </c>
      <c r="O203" s="928" t="str">
        <f t="shared" si="28"/>
        <v>Jun 2025</v>
      </c>
      <c r="P203" s="1403">
        <f t="shared" si="29"/>
        <v>0</v>
      </c>
    </row>
    <row r="204" spans="1:19" ht="13.5" customHeight="1" x14ac:dyDescent="0.2">
      <c r="I204" s="4"/>
      <c r="O204" s="928" t="str">
        <f t="shared" si="28"/>
        <v>Jul 2025</v>
      </c>
      <c r="P204" s="1403">
        <f t="shared" si="29"/>
        <v>0</v>
      </c>
    </row>
    <row r="205" spans="1:19" s="46" customFormat="1" ht="13.5" customHeight="1" x14ac:dyDescent="0.2">
      <c r="A205" s="54" t="s">
        <v>134</v>
      </c>
      <c r="B205" s="1356" t="s">
        <v>135</v>
      </c>
      <c r="C205" s="1356"/>
      <c r="D205" s="55" t="s">
        <v>136</v>
      </c>
      <c r="E205" s="56" t="s">
        <v>137</v>
      </c>
      <c r="F205" s="57" t="str">
        <f>CONCATENATE("Entg. ",N195," h/Wo")</f>
        <v>Entg.  h/Wo</v>
      </c>
      <c r="G205" s="58" t="s">
        <v>138</v>
      </c>
      <c r="I205" s="58" t="s">
        <v>139</v>
      </c>
      <c r="K205" s="970"/>
      <c r="L205" s="970"/>
      <c r="M205" s="59"/>
      <c r="N205" s="968" t="str">
        <f>IF(A207="","",A207)</f>
        <v/>
      </c>
      <c r="O205" s="928" t="str">
        <f t="shared" si="28"/>
        <v>Aug 2025</v>
      </c>
      <c r="P205" s="1403">
        <f t="shared" si="29"/>
        <v>0</v>
      </c>
      <c r="Q205" s="85"/>
      <c r="R205" s="85"/>
      <c r="S205" s="85"/>
    </row>
    <row r="206" spans="1:19" s="46" customFormat="1" ht="13.5" customHeight="1" x14ac:dyDescent="0.25">
      <c r="A206" s="48" t="str">
        <f>'päd.Personal - Leitung'!$A$14</f>
        <v>Jan 2025</v>
      </c>
      <c r="B206" s="1357" t="str">
        <f>IF($D$3="","",$D$3)</f>
        <v/>
      </c>
      <c r="C206" s="1358"/>
      <c r="D206" s="132"/>
      <c r="E206" s="132"/>
      <c r="F206" s="71"/>
      <c r="G206" s="50">
        <f>IF(N195="",0,F206/N195/4.348)</f>
        <v>0</v>
      </c>
      <c r="I206" s="125">
        <f>SUM(J206:M206)</f>
        <v>0</v>
      </c>
      <c r="J206" s="124"/>
      <c r="K206" s="124"/>
      <c r="L206" s="124"/>
      <c r="M206" s="124"/>
      <c r="N206" s="969"/>
      <c r="O206" s="928" t="str">
        <f t="shared" si="28"/>
        <v>Sep 2025</v>
      </c>
      <c r="P206" s="1403">
        <f t="shared" si="29"/>
        <v>0</v>
      </c>
      <c r="Q206" s="85"/>
      <c r="R206" s="85"/>
      <c r="S206" s="85"/>
    </row>
    <row r="207" spans="1:19" s="46" customFormat="1" ht="13.5" customHeight="1" x14ac:dyDescent="0.25">
      <c r="A207" s="49"/>
      <c r="B207" s="1322" t="str">
        <f>IF(A207="","",B206)</f>
        <v/>
      </c>
      <c r="C207" s="1323"/>
      <c r="D207" s="132"/>
      <c r="E207" s="132"/>
      <c r="F207" s="71"/>
      <c r="G207" s="50">
        <f>IF(N195="",0,F207/N195/4.348)</f>
        <v>0</v>
      </c>
      <c r="I207" s="125">
        <f t="shared" ref="I207:I209" si="30">SUM(J207:M207)</f>
        <v>0</v>
      </c>
      <c r="J207" s="124"/>
      <c r="K207" s="124"/>
      <c r="L207" s="124"/>
      <c r="M207" s="124"/>
      <c r="N207" s="969"/>
      <c r="O207" s="928" t="str">
        <f t="shared" si="28"/>
        <v>Okt 2025</v>
      </c>
      <c r="P207" s="1403">
        <f t="shared" si="29"/>
        <v>0</v>
      </c>
      <c r="Q207" s="85"/>
      <c r="R207" s="85"/>
      <c r="S207" s="85"/>
    </row>
    <row r="208" spans="1:19" s="46" customFormat="1" ht="13.5" customHeight="1" x14ac:dyDescent="0.25">
      <c r="A208" s="49"/>
      <c r="B208" s="1322" t="str">
        <f>IF(A208="","",B207)</f>
        <v/>
      </c>
      <c r="C208" s="1323"/>
      <c r="D208" s="132"/>
      <c r="E208" s="132"/>
      <c r="F208" s="71"/>
      <c r="G208" s="50">
        <f>IF(N195="",0,F208/N195/4.348)</f>
        <v>0</v>
      </c>
      <c r="I208" s="125">
        <f t="shared" si="30"/>
        <v>0</v>
      </c>
      <c r="J208" s="124"/>
      <c r="K208" s="124"/>
      <c r="L208" s="124"/>
      <c r="M208" s="124"/>
      <c r="N208" s="969"/>
      <c r="O208" s="928" t="str">
        <f t="shared" si="28"/>
        <v>Nov 2025</v>
      </c>
      <c r="P208" s="1403">
        <f t="shared" si="29"/>
        <v>0</v>
      </c>
      <c r="Q208" s="85"/>
      <c r="R208" s="85"/>
      <c r="S208" s="85"/>
    </row>
    <row r="209" spans="1:22" s="46" customFormat="1" ht="13.5" customHeight="1" x14ac:dyDescent="0.25">
      <c r="A209" s="49"/>
      <c r="B209" s="1322" t="str">
        <f>IF(A209="","",B208)</f>
        <v/>
      </c>
      <c r="C209" s="1323"/>
      <c r="D209" s="132"/>
      <c r="E209" s="132"/>
      <c r="F209" s="71"/>
      <c r="G209" s="50">
        <f>IF(N195="",0,F209/N195/4.348)</f>
        <v>0</v>
      </c>
      <c r="I209" s="125">
        <f t="shared" si="30"/>
        <v>0</v>
      </c>
      <c r="J209" s="124"/>
      <c r="K209" s="124"/>
      <c r="L209" s="124"/>
      <c r="M209" s="124"/>
      <c r="N209" s="969"/>
      <c r="O209" s="928" t="str">
        <f t="shared" si="28"/>
        <v>Dez 2025</v>
      </c>
      <c r="P209" s="1403">
        <f t="shared" si="29"/>
        <v>0</v>
      </c>
      <c r="Q209" s="85"/>
      <c r="R209" s="85"/>
      <c r="S209" s="85"/>
    </row>
    <row r="210" spans="1:22" s="46" customFormat="1" ht="13.5" customHeight="1" x14ac:dyDescent="0.25">
      <c r="B210" s="972"/>
      <c r="C210" s="972"/>
      <c r="E210" s="972"/>
      <c r="F210" s="972"/>
      <c r="I210" s="930" t="s">
        <v>730</v>
      </c>
      <c r="J210" s="976"/>
      <c r="K210" s="976"/>
      <c r="L210" s="976"/>
      <c r="M210" s="976"/>
      <c r="N210" s="971"/>
      <c r="O210" s="126" t="s">
        <v>221</v>
      </c>
      <c r="P210" s="127">
        <f>IF(M202="",0,((IF(SUMIF(B221,"&gt;0"),P198,0))+(IF(SUMIF(B222,"&gt;0"),P199,0))+(IF(SUMIF(B223,"&gt;0"),P200,0))+(IF(SUMIF(B224,"&gt;0"),P201,0))+(IF(SUMIF(B225,"&gt;0"),P202,0))+(IF(SUMIF(B226,"&gt;0"),P203,0))+(IF(SUMIF(B227,"&gt;0"),P204,0))+(IF(SUMIF(B228,"&gt;0"),P205,0))+(IF(SUMIF(B229,"&gt;0"),P206,0))+(IF(SUMIF(B230,"&gt;0"),P207,0))+(IF(SUMIF(B231,"&gt;0"),P208,0))+(IF(SUMIF(B232,"&gt;0"),P209,0)))/Grundlagen!$C$26)</f>
        <v>0</v>
      </c>
      <c r="Q210" s="997" t="str">
        <f>CONCATENATE("BBG"," anteilig ",O212)</f>
        <v>BBG anteilig 2025</v>
      </c>
      <c r="R210" s="931" t="s">
        <v>659</v>
      </c>
      <c r="S210" s="931" t="s">
        <v>398</v>
      </c>
      <c r="T210" s="107"/>
    </row>
    <row r="211" spans="1:22" s="46" customFormat="1" ht="13.5" customHeight="1" x14ac:dyDescent="0.2">
      <c r="A211" s="924" t="s">
        <v>732</v>
      </c>
      <c r="D211" s="55" t="s">
        <v>369</v>
      </c>
      <c r="E211" s="56" t="s">
        <v>368</v>
      </c>
      <c r="F211" s="58"/>
      <c r="J211" s="61"/>
      <c r="Q211" s="932" t="s">
        <v>144</v>
      </c>
      <c r="R211" s="140">
        <f>IF(M200=0,R215,IF(M199="",R215,(SUM(R221:R232)/M203)))</f>
        <v>5175</v>
      </c>
      <c r="S211" s="933">
        <f>IF(M200=0,S215,IF(M199="",S215,SUM(R221:R232)))</f>
        <v>0</v>
      </c>
      <c r="T211" s="107"/>
    </row>
    <row r="212" spans="1:22" s="46" customFormat="1" ht="13.5" customHeight="1" x14ac:dyDescent="0.25">
      <c r="A212" s="60"/>
      <c r="B212" s="1314" t="str">
        <f>IF($B$20="","",$B$20)</f>
        <v>Jahressonderzahlung (JSZ)</v>
      </c>
      <c r="C212" s="1315"/>
      <c r="D212" s="926"/>
      <c r="E212" s="929" t="str">
        <f>IF(A212="","",ROUND((((SUM(B227:B229)+SUM(F227:F229))/3)*D212)/Grundlagen!$C$26*M202,2))</f>
        <v/>
      </c>
      <c r="G212" s="941" t="s">
        <v>733</v>
      </c>
      <c r="H212" s="943"/>
      <c r="I212" s="1316" t="str">
        <f>CONCATENATE(R235,":"," Übergangsbereich von ",R236+0.01," €"," bis ",R237," €")</f>
        <v>2025: Übergangsbereich von 556,01 € bis 2000 €</v>
      </c>
      <c r="J212" s="1317"/>
      <c r="K212" s="1317"/>
      <c r="L212" s="1067"/>
      <c r="M212" s="1067"/>
      <c r="N212" s="1068" t="s">
        <v>736</v>
      </c>
      <c r="O212" s="1069">
        <f>P212+1</f>
        <v>2025</v>
      </c>
      <c r="P212" s="1069" t="s">
        <v>721</v>
      </c>
      <c r="Q212" s="932" t="s">
        <v>145</v>
      </c>
      <c r="R212" s="140">
        <f>IF(M200=0,R216,IF(M199="",R216,(SUM(S221:S232)/M203)))</f>
        <v>7450</v>
      </c>
      <c r="S212" s="933">
        <f>IF(M200=0,S216,IF(M199="",S216,SUM(S221:S232)))</f>
        <v>0</v>
      </c>
      <c r="T212" s="109"/>
    </row>
    <row r="213" spans="1:22" ht="14.25" customHeight="1" x14ac:dyDescent="0.2">
      <c r="A213" s="60"/>
      <c r="B213" s="1314" t="str">
        <f>IF($B$21="","",$B$21)</f>
        <v>Leistungsentgelt (LOB)</v>
      </c>
      <c r="C213" s="1315"/>
      <c r="D213" s="926"/>
      <c r="E213" s="929" t="str">
        <f>IF(A213="","",ROUND(((B233+F233)*D213)/Grundlagen!$C$26*M202,2))</f>
        <v/>
      </c>
      <c r="G213" s="941" t="str">
        <f>IF(OR(H212="",H212="nein")=TRUE,"","Faktor (F):")</f>
        <v/>
      </c>
      <c r="H213" s="949" t="str">
        <f>IF(OR(H212="",H212="nein")=TRUE,"",IF(H212="","",R239))</f>
        <v/>
      </c>
      <c r="I213" s="1318" t="str">
        <f>IF(OR(H212="",H212="nein")=TRUE,"",IF(H213="","",CONCATENATE(S239*100,"%"," / ","(",R238*100,"%"," Gesamt-SV-Beitragssatz 2024)")))</f>
        <v/>
      </c>
      <c r="J213" s="1319"/>
      <c r="K213" s="1319"/>
      <c r="L213" s="1070"/>
      <c r="M213" s="1070"/>
      <c r="N213" s="1071" t="s">
        <v>144</v>
      </c>
      <c r="O213" s="1072">
        <f>'päd.Personal - Leitung'!$O$21</f>
        <v>5175</v>
      </c>
      <c r="P213" s="1072">
        <f>'päd.Personal - Leitung'!$P$21</f>
        <v>5175</v>
      </c>
      <c r="Q213" s="11"/>
      <c r="R213" s="11"/>
      <c r="S213" s="11"/>
      <c r="T213" s="109"/>
    </row>
    <row r="214" spans="1:22" ht="14.25" customHeight="1" x14ac:dyDescent="0.2">
      <c r="C214" s="925" t="s">
        <v>731</v>
      </c>
      <c r="L214" s="1070"/>
      <c r="M214" s="1070"/>
      <c r="N214" s="1071" t="s">
        <v>145</v>
      </c>
      <c r="O214" s="1073">
        <f>'päd.Personal - Leitung'!$O$22</f>
        <v>7450</v>
      </c>
      <c r="P214" s="1073">
        <f>'päd.Personal - Leitung'!$P$22</f>
        <v>7450</v>
      </c>
      <c r="Q214" s="997" t="str">
        <f>CONCATENATE("BBG"," ",O212)</f>
        <v>BBG 2025</v>
      </c>
      <c r="R214" s="11"/>
      <c r="S214" s="11"/>
      <c r="T214" s="109"/>
    </row>
    <row r="215" spans="1:22" ht="14.25" customHeight="1" x14ac:dyDescent="0.2">
      <c r="A215" s="53" t="s">
        <v>141</v>
      </c>
      <c r="B215" s="46"/>
      <c r="C215" s="46"/>
      <c r="D215" s="46"/>
      <c r="E215" s="46"/>
      <c r="F215" s="46"/>
      <c r="G215" s="46"/>
      <c r="H215" s="46"/>
      <c r="I215" s="46"/>
      <c r="J215" s="46"/>
      <c r="K215" s="46"/>
      <c r="L215" s="46"/>
      <c r="M215" s="46"/>
      <c r="N215" s="46"/>
      <c r="O215" s="46"/>
      <c r="P215" s="46"/>
      <c r="Q215" s="932" t="s">
        <v>144</v>
      </c>
      <c r="R215" s="141">
        <f>IF($O$21="",0,$O$21)</f>
        <v>5175</v>
      </c>
      <c r="S215" s="933">
        <f>R215*IF(M203="",0,M203)</f>
        <v>0</v>
      </c>
      <c r="T215" s="295"/>
    </row>
    <row r="216" spans="1:22" x14ac:dyDescent="0.2">
      <c r="A216" s="1346"/>
      <c r="B216" s="1348" t="s">
        <v>8</v>
      </c>
      <c r="C216" s="1349"/>
      <c r="D216" s="1349"/>
      <c r="E216" s="1349"/>
      <c r="F216" s="1349"/>
      <c r="G216" s="1350"/>
      <c r="H216" s="1351" t="s">
        <v>113</v>
      </c>
      <c r="I216" s="1352"/>
      <c r="J216" s="1352"/>
      <c r="K216" s="1352"/>
      <c r="L216" s="1352"/>
      <c r="M216" s="1352"/>
      <c r="N216" s="1352"/>
      <c r="O216" s="30"/>
      <c r="P216" s="1330" t="s">
        <v>0</v>
      </c>
      <c r="Q216" s="932" t="s">
        <v>145</v>
      </c>
      <c r="R216" s="141">
        <f>IF($O$22="",0,$O$22)</f>
        <v>7450</v>
      </c>
      <c r="S216" s="933">
        <f>R216*IF(M203="",0,M203)</f>
        <v>0</v>
      </c>
      <c r="T216" s="830"/>
    </row>
    <row r="217" spans="1:22" ht="14.25" customHeight="1" x14ac:dyDescent="0.2">
      <c r="A217" s="1347"/>
      <c r="B217" s="1333" t="s">
        <v>111</v>
      </c>
      <c r="C217" s="1335" t="s">
        <v>743</v>
      </c>
      <c r="D217" s="1337" t="s">
        <v>226</v>
      </c>
      <c r="E217" s="1339" t="s">
        <v>133</v>
      </c>
      <c r="F217" s="1002" t="s">
        <v>6</v>
      </c>
      <c r="G217" s="1340" t="s">
        <v>5</v>
      </c>
      <c r="H217" s="1339" t="s">
        <v>119</v>
      </c>
      <c r="I217" s="1339" t="s">
        <v>4</v>
      </c>
      <c r="J217" s="1339" t="s">
        <v>3</v>
      </c>
      <c r="K217" s="1339" t="s">
        <v>2</v>
      </c>
      <c r="L217" s="1339" t="s">
        <v>114</v>
      </c>
      <c r="M217" s="1339" t="s">
        <v>115</v>
      </c>
      <c r="N217" s="1339" t="s">
        <v>116</v>
      </c>
      <c r="O217" s="1338" t="s">
        <v>109</v>
      </c>
      <c r="P217" s="1331"/>
      <c r="Q217" s="456"/>
      <c r="R217" s="11"/>
      <c r="S217" s="11"/>
      <c r="T217" s="621"/>
    </row>
    <row r="218" spans="1:22" x14ac:dyDescent="0.2">
      <c r="A218" s="1347"/>
      <c r="B218" s="1333"/>
      <c r="C218" s="1335"/>
      <c r="D218" s="1338"/>
      <c r="E218" s="1339"/>
      <c r="F218" s="1343" t="str">
        <f>I210</f>
        <v>Zuschläge / Zulagen / o.ä.:</v>
      </c>
      <c r="G218" s="1340"/>
      <c r="H218" s="1342" t="s">
        <v>117</v>
      </c>
      <c r="I218" s="1342"/>
      <c r="J218" s="1342"/>
      <c r="K218" s="1342"/>
      <c r="L218" s="1342"/>
      <c r="M218" s="1342"/>
      <c r="N218" s="1342"/>
      <c r="O218" s="1338"/>
      <c r="P218" s="1331"/>
      <c r="Q218" s="456"/>
      <c r="R218" s="1306" t="str">
        <f>Q210</f>
        <v>BBG anteilig 2025</v>
      </c>
      <c r="S218" s="1306"/>
      <c r="T218" s="829"/>
    </row>
    <row r="219" spans="1:22" ht="14.25" customHeight="1" x14ac:dyDescent="0.2">
      <c r="A219" s="1347"/>
      <c r="B219" s="1333"/>
      <c r="C219" s="1335"/>
      <c r="D219" s="1338"/>
      <c r="E219" s="1339"/>
      <c r="F219" s="1343"/>
      <c r="G219" s="1340"/>
      <c r="H219" s="39" t="str">
        <f>'päd.Personal - Leitung'!$H$27</f>
        <v>(7,30% + Zusatz)</v>
      </c>
      <c r="I219" s="39" t="str">
        <f>'päd.Personal - Leitung'!$I$27</f>
        <v xml:space="preserve"> (2024: 9,30%)</v>
      </c>
      <c r="J219" s="39" t="str">
        <f>'päd.Personal - Leitung'!$J$27</f>
        <v>(2024: 1,30%)</v>
      </c>
      <c r="K219" s="39" t="str">
        <f>'päd.Personal - Leitung'!$K$27</f>
        <v>(2024: 1,700%)</v>
      </c>
      <c r="L219" s="39"/>
      <c r="M219" s="39"/>
      <c r="N219" s="39" t="str">
        <f>'päd.Personal - Leitung'!$N$27</f>
        <v>(2024: 0,06%)</v>
      </c>
      <c r="O219" s="1338"/>
      <c r="P219" s="1331"/>
      <c r="Q219" s="456"/>
      <c r="R219" s="1307" t="s">
        <v>659</v>
      </c>
      <c r="S219" s="1307"/>
      <c r="T219" s="829"/>
      <c r="U219" s="1308" t="s">
        <v>1</v>
      </c>
      <c r="V219" s="1308" t="s">
        <v>741</v>
      </c>
    </row>
    <row r="220" spans="1:22" x14ac:dyDescent="0.2">
      <c r="A220" s="1347"/>
      <c r="B220" s="1334"/>
      <c r="C220" s="1336"/>
      <c r="D220" s="45"/>
      <c r="E220" s="45"/>
      <c r="F220" s="1344"/>
      <c r="G220" s="1341"/>
      <c r="H220" s="74"/>
      <c r="I220" s="99">
        <f>'päd.Personal - Leitung'!$I$28</f>
        <v>0</v>
      </c>
      <c r="J220" s="99">
        <f>'päd.Personal - Leitung'!$J$28</f>
        <v>0</v>
      </c>
      <c r="K220" s="40">
        <f>'päd.Personal - Leitung'!$K$28</f>
        <v>0</v>
      </c>
      <c r="L220" s="19"/>
      <c r="M220" s="19"/>
      <c r="N220" s="99">
        <f>'päd.Personal - Leitung'!$N$28</f>
        <v>0</v>
      </c>
      <c r="O220" s="19"/>
      <c r="P220" s="1332"/>
      <c r="Q220" s="456"/>
      <c r="R220" s="935" t="s">
        <v>144</v>
      </c>
      <c r="S220" s="935" t="s">
        <v>145</v>
      </c>
      <c r="T220" s="829"/>
      <c r="U220" s="1308"/>
      <c r="V220" s="1308"/>
    </row>
    <row r="221" spans="1:22" x14ac:dyDescent="0.2">
      <c r="A221" s="76" t="str">
        <f>CONCATENATE("Jan ",O197)</f>
        <v>Jan 2025</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1">SUM(B221+C221+E221+F221)</f>
        <v>0</v>
      </c>
      <c r="H221" s="64">
        <f>IF(B221=0,0,IF(AND(H212="ja",((U221)&lt;R237)),ROUND(((R239*R236+((R237/(R237-R236))-(R236/(R237-R236))*R239)*((U221)-R236))*(H220*2))-(((R237/(R237-R236))*((U221)-R236))*H220),2),ROUND(IF((U221)&gt;R221,R221*H220,U221*H220),2)))</f>
        <v>0</v>
      </c>
      <c r="I221" s="64">
        <f>IF(B221=0,0,IF(AND(H212="ja",((U221)&lt;R237)),ROUND(((R239*R236+((R237/(R237-R236))-(R236/(R237-R236))*R239)*((U221)-R236))*(I220*2))-(((R237/(R237-R236))*((U221)-R236))*I220),2),ROUND(IF((U221)&gt;S221,S221*I220,U221*I220),2)))</f>
        <v>0</v>
      </c>
      <c r="J221" s="64">
        <f>IF(B221=0,0,IF(AND(H212="ja",((U221)&lt;R237)),ROUND(((R239*R236+((R237/(R237-R236))-(R236/(R237-R236))*R239)*((U221)-R236))*(J220*2))-(((R237/(R237-R236))*((U221)-R236))*J220),2),ROUND(IF((U221)&gt;S221,S221*J220,U221*J220),2)))</f>
        <v>0</v>
      </c>
      <c r="K221" s="64">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64">
        <f>IF(B221=0,0,IF(AND(H212="ja",((U221)&lt;R237)),ROUND(((R239*R236+((R237/(R237-R236))-(R236/(R237-R236))*R239)*((U221)-R236))*(N220)),2),ROUND(IF((SUM(B221:F221))&gt;S221,S221*N220,SUM(B221:F221)*N220),2)))</f>
        <v>0</v>
      </c>
      <c r="O221" s="21">
        <f>ROUND(SUM(B221+C221+F221)*O220,2)</f>
        <v>0</v>
      </c>
      <c r="P221" s="25">
        <f>SUM(G221:O221)</f>
        <v>0</v>
      </c>
      <c r="Q221" s="456"/>
      <c r="R221" s="140">
        <f>ROUND(IF(M199="",R215,R215/M199*P198),2)</f>
        <v>5175</v>
      </c>
      <c r="S221" s="140">
        <f>ROUND(IF(M199="",R216,R216/M199*P198),2)</f>
        <v>7450</v>
      </c>
      <c r="U221" s="950">
        <f>SUM(B221:F221)</f>
        <v>0</v>
      </c>
      <c r="V221" s="950">
        <f>SUM(B221:F221)</f>
        <v>0</v>
      </c>
    </row>
    <row r="222" spans="1:22" x14ac:dyDescent="0.2">
      <c r="A222" s="76" t="str">
        <f>CONCATENATE("Feb ",O197)</f>
        <v>Feb 2025</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1"/>
        <v>0</v>
      </c>
      <c r="H222" s="64">
        <f>IF(B222=0,0,IF(AND(H212="ja",((U222)&lt;R237)),ROUND(((R239*R236+((R237/(R237-R236))-(R236/(R237-R236))*R239)*((U222)-R236))*(H220*2))-(((R237/(R237-R236))*((U222)-R236))*H220),2),ROUND(IF(U221&lt;(R221),IF((V222)&gt;(SUM(R221:R222)),(((SUM(R221:R222))-(V222-C221))*H220)+((U222-C221)*H220),U222*H220),IF(V222&gt;(SUM(R221:R222)),R222*H220,U222*H220)),2)))</f>
        <v>0</v>
      </c>
      <c r="I222" s="64">
        <f>IF(B222=0,0,IF(AND(H212="ja",((U222)&lt;R237)),ROUND(((R239*R236+((R237/(R237-R236))-(R236/(R237-R236))*R239)*((U222)-R236))*(I220*2))-(((R237/(R237-R236))*((U222)-R236))*I220),2),ROUND(IF(U221&lt;(S221),IF((V222)&gt;(SUM(S221:S222)),(((SUM(S221:S222))-(V222-C221))*I220)+((U222-C221)*I220),U222*I220),IF(V222&gt;(SUM(S221:S222)),S222*I220,U222*I220)),2)))</f>
        <v>0</v>
      </c>
      <c r="J222" s="64">
        <f>IF(B222=0,0,IF(AND(H212="ja",((U222)&lt;R237)),ROUND(((R239*R236+((R237/(R237-R236))-(R236/(R237-R236))*R239)*((U222)-R236))*(J220*2))-(((R237/(R237-R236))*((U222)-R236))*J220),2),ROUND(IF(U221&lt;(S221),IF((V222)&gt;(SUM(S221:S222)),(((SUM(S221:S222))-(V222-C221))*J220)+((U222-C221)*J220),U222*J220),IF(V222&gt;(SUM(S221:S222)),S222*J220,U222*J220)),2)))</f>
        <v>0</v>
      </c>
      <c r="K222" s="64">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64">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2">SUM(G222:O222)</f>
        <v>0</v>
      </c>
      <c r="Q222" s="456"/>
      <c r="R222" s="140">
        <f>ROUND(IF(M199="",R215,R215/M199*P199),2)</f>
        <v>5175</v>
      </c>
      <c r="S222" s="140">
        <f>ROUND(IF(M199="",R216,R216/M199*P199),2)</f>
        <v>7450</v>
      </c>
      <c r="U222" s="950">
        <f t="shared" ref="U222:U232" si="33">SUM(B222:F222)</f>
        <v>0</v>
      </c>
      <c r="V222" s="950">
        <f>SUM(B221:F222)</f>
        <v>0</v>
      </c>
    </row>
    <row r="223" spans="1:22" x14ac:dyDescent="0.2">
      <c r="A223" s="76" t="str">
        <f>CONCATENATE("Mrz ",O197)</f>
        <v>Mrz 2025</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1"/>
        <v>0</v>
      </c>
      <c r="H223" s="64">
        <f>IF(B223=0,0,IF(AND(H212="ja",((U223)&lt;R237)),ROUND(((R239*R236+((R237/(R237-R236))-(R236/(R237-R236))*R239)*((U223)-R236))*(H220*2))-(((R237/(R237-R236))*((U223)-R236))*H220),2),ROUND(IF(V222&lt;(SUM(R221:R222)),IF((V223)&gt;(SUM(R221:R223)),(((SUM(R221:R223))-(V223-C222))*H220)+((U223-C222)*H220),U223*H220),IF(V223&gt;(SUM(R221:R223)),R223*H220,U223*H220)),2)))</f>
        <v>0</v>
      </c>
      <c r="I223" s="64">
        <f>IF(B223=0,0,IF(AND(H212="ja",((U223)&lt;R237)),ROUND(((R239*R236+((R237/(R237-R236))-(R236/(R237-R236))*R239)*((U223)-R236))*(I220*2))-(((R237/(R237-R236))*((U223)-R236))*I220),2),ROUND(IF(V222&lt;(SUM(S221:S222)),IF((V223)&gt;(SUM(S221:S223)),(((SUM(S221:S223))-(V223-C222))*I220)+((U223-C222)*I220),U223*I220),IF(V223&gt;(SUM(S221:S223)),S223*I220,U223*I220)),2)))</f>
        <v>0</v>
      </c>
      <c r="J223" s="64">
        <f>IF(B223=0,0,IF(AND(H212="ja",((U223)&lt;R237)),ROUND(((R239*R236+((R237/(R237-R236))-(R236/(R237-R236))*R239)*((U223)-R236))*(J220*2))-(((R237/(R237-R236))*((U223)-R236))*J220),2),ROUND(IF(V222&lt;(SUM(S221:S222)),IF((V223)&gt;(SUM(S221:S223)),(((SUM(S221:S223))-(V223-C222))*J220)+((U223-C222)*J220),U223*J220),IF(V223&gt;(SUM(S221:S223)),S223*J220,U223*J220)),2)))</f>
        <v>0</v>
      </c>
      <c r="K223" s="64">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64">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2"/>
        <v>0</v>
      </c>
      <c r="Q223" s="456"/>
      <c r="R223" s="140">
        <f>ROUND(IF(M199="",R215,R215/M199*P200),2)</f>
        <v>5175</v>
      </c>
      <c r="S223" s="140">
        <f>ROUND(IF(M199="",R216,R216/M199*P200),2)</f>
        <v>7450</v>
      </c>
      <c r="U223" s="950">
        <f t="shared" si="33"/>
        <v>0</v>
      </c>
      <c r="V223" s="950">
        <f>SUM(B221:F223)</f>
        <v>0</v>
      </c>
    </row>
    <row r="224" spans="1:22" x14ac:dyDescent="0.2">
      <c r="A224" s="76" t="str">
        <f>CONCATENATE("Apr ",O197)</f>
        <v>Apr 2025</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1"/>
        <v>0</v>
      </c>
      <c r="H224" s="64">
        <f>IF(B224=0,0,IF(AND(H212="ja",((U224)&lt;R237)),ROUND(((R239*R236+((R237/(R237-R236))-(R236/(R237-R236))*R239)*((U224)-R236))*(H220*2))-(((R237/(R237-R236))*((U224)-R236))*H220),2),ROUND(IF(V223&lt;(SUM(R221:R223)),IF((V224)&gt;(SUM(R221:R224)),(((SUM(R221:R224))-(V224-C223))*H220)+((U224-C223)*H220),U224*H220),IF(V224&gt;(SUM(R221:R224)),R224*H220,U224*H220)),2)))</f>
        <v>0</v>
      </c>
      <c r="I224" s="64">
        <f>IF(B224=0,0,IF(AND(H212="ja",((U224)&lt;R237)),ROUND(((R239*R236+((R237/(R237-R236))-(R236/(R237-R236))*R239)*((U224)-R236))*(I220*2))-(((R237/(R237-R236))*((U224)-R236))*I220),2),ROUND(IF(V223&lt;(SUM(S221:S223)),IF((V224)&gt;(SUM(S221:S224)),(((SUM(S221:S224))-(V224-C223))*I220)+((U224-C223)*I220),U224*I220),IF(V224&gt;(SUM(S221:S224)),S224*I220,U224*I220)),2)))</f>
        <v>0</v>
      </c>
      <c r="J224" s="64">
        <f>IF(B224=0,0,IF(AND(H212="ja",((U224)&lt;R237)),ROUND(((R239*R236+((R237/(R237-R236))-(R236/(R237-R236))*R239)*((U224)-R236))*(J220*2))-(((R237/(R237-R236))*((U224)-R236))*J220),2),ROUND(IF(U223&lt;(SUM(S221:S223)),IF((V224)&gt;(SUM(S221:S224)),(((SUM(S221:S224))-(V224-C223))*J220)+((U224-C223)*J220),U224*J220),IF(V224&gt;(SUM(S221:S224)),S224*J220,U224*J220)),2)))</f>
        <v>0</v>
      </c>
      <c r="K224" s="64">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64">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2"/>
        <v>0</v>
      </c>
      <c r="Q224" s="456"/>
      <c r="R224" s="140">
        <f>ROUND(IF(M199="",R215,R215/M199*P201),2)</f>
        <v>5175</v>
      </c>
      <c r="S224" s="140">
        <f>ROUND(IF(M199="",R216,R216/M199*P201),2)</f>
        <v>7450</v>
      </c>
      <c r="U224" s="950">
        <f t="shared" si="33"/>
        <v>0</v>
      </c>
      <c r="V224" s="950">
        <f>SUM(B221:F224)</f>
        <v>0</v>
      </c>
    </row>
    <row r="225" spans="1:24" x14ac:dyDescent="0.2">
      <c r="A225" s="76" t="str">
        <f>CONCATENATE("Mai ",O197)</f>
        <v>Mai 2025</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1"/>
        <v>0</v>
      </c>
      <c r="H225" s="64">
        <f>IF(B225=0,0,IF(AND(H212="ja",((U225)&lt;R237)),ROUND(((R239*R236+((R237/(R237-R236))-(R236/(R237-R236))*R239)*((U225)-R236))*(H220*2))-(((R237/(R237-R236))*((U225)-R236))*H220),2),ROUND(IF(V224&lt;(SUM(R221:R224)),IF((V225)&gt;(SUM(R221:R225)),(((SUM(R221:R225))-(V225-C224))*H220)+((U225-C224)*H220),U225*H220),IF(V225&gt;(SUM(R221:R225)),R225*H220,U225*H220)),2)))</f>
        <v>0</v>
      </c>
      <c r="I225" s="64">
        <f>IF(B225=0,0,IF(AND(H212="ja",((U225)&lt;R237)),ROUND(((R239*R236+((R237/(R237-R236))-(R236/(R237-R236))*R239)*((U225)-R236))*(I220*2))-(((R237/(R237-R236))*((U225)-R236))*I220),2),ROUND(IF(V224&lt;(SUM(S221:S224)),IF((V225)&gt;(SUM(S221:S225)),(((SUM(S221:S225))-(V225-C224))*I220)+((U225-C224)*I220),U225*I220),IF(V225&gt;(SUM(S221:S225)),S225*I220,U225*I220)),2)))</f>
        <v>0</v>
      </c>
      <c r="J225" s="64">
        <f>IF(B225=0,0,IF(AND(H212="ja",((U225)&lt;R237)),ROUND(((R239*R236+((R237/(R237-R236))-(R236/(R237-R236))*R239)*((U225)-R236))*(J220*2))-(((R237/(R237-R236))*((U225)-R236))*J220),2),ROUND(IF(V224&lt;(SUM(S221:S224)),IF((V225)&gt;(SUM(S221:S225)),(((SUM(S221:S225))-(V225-C224))*J220)+((U225-C224)*J220),U225*J220),IF(V225&gt;(SUM(S221:S225)),S225*J220,U225*J220)),2)))</f>
        <v>0</v>
      </c>
      <c r="K225" s="64">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64">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2"/>
        <v>0</v>
      </c>
      <c r="Q225" s="456"/>
      <c r="R225" s="140">
        <f>ROUND(IF(M199="",R215,R215/M199*P202),2)</f>
        <v>5175</v>
      </c>
      <c r="S225" s="140">
        <f>ROUND(IF(M199="",R216,R216/M199*P202),2)</f>
        <v>7450</v>
      </c>
      <c r="U225" s="950">
        <f t="shared" si="33"/>
        <v>0</v>
      </c>
      <c r="V225" s="950">
        <f>SUM(B221:F225)</f>
        <v>0</v>
      </c>
    </row>
    <row r="226" spans="1:24" x14ac:dyDescent="0.2">
      <c r="A226" s="76" t="str">
        <f>CONCATENATE("Jun ",O197)</f>
        <v>Jun 2025</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1"/>
        <v>0</v>
      </c>
      <c r="H226" s="64">
        <f>IF(B226=0,0,IF(AND(H212="ja",((U226)&lt;R237)),ROUND(((R239*R236+((R237/(R237-R236))-(R236/(R237-R236))*R239)*((U226)-R236))*(H220*2))-(((R237/(R237-R236))*((U226)-R236))*H220),2),ROUND(IF(V225&lt;(SUM(R221:R225)),IF((V226)&gt;(SUM(R221:R226)),(((SUM(R221:R226))-(V226-C225))*H220)+((U226-C225)*H220),U226*H220),IF(V226&gt;(SUM(R221:R226)),R226*H220,U226*H220)),2)))</f>
        <v>0</v>
      </c>
      <c r="I226" s="64">
        <f>IF(B226=0,0,IF(AND(H212="ja",((U226)&lt;R237)),ROUND(((R239*R236+((R237/(R237-R236))-(R236/(R237-R236))*R239)*((U226)-R236))*(I220*2))-(((R237/(R237-R236))*((U226)-R236))*I220),2),ROUND(IF(V225&lt;(SUM(S221:S225)),IF((V226)&gt;(SUM(S221:S226)),(((SUM(S221:S226))-(V226-C225))*I220)+((U226-C225)*I220),U226*I220),IF(V226&gt;(SUM(S221:S226)),S226*I220,U226*I220)),2)))</f>
        <v>0</v>
      </c>
      <c r="J226" s="64">
        <f>IF(B226=0,0,IF(AND(H212="ja",((U226)&lt;R237)),ROUND(((R239*R236+((R237/(R237-R236))-(R236/(R237-R236))*R239)*((U226)-R236))*(J220*2))-(((R237/(R237-R236))*((U226)-R236))*J220),2),ROUND(IF(V225&lt;(SUM(S221:S225)),IF((V226)&gt;(SUM(S221:S226)),(((SUM(S221:S226))-(V226-C225))*J220)+((U226-C225)*J220),U226*J220),IF(V226&gt;(SUM(S221:S226)),S226*J220,U226*J220)),2)))</f>
        <v>0</v>
      </c>
      <c r="K226" s="64">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64">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2"/>
        <v>0</v>
      </c>
      <c r="Q226" s="456"/>
      <c r="R226" s="140">
        <f>ROUND(IF(M199="",R215,R215/M199*P203),2)</f>
        <v>5175</v>
      </c>
      <c r="S226" s="140">
        <f>ROUND(IF(M199="",R216,R216/M199*P203),2)</f>
        <v>7450</v>
      </c>
      <c r="U226" s="950">
        <f t="shared" si="33"/>
        <v>0</v>
      </c>
      <c r="V226" s="950">
        <f>SUM(B221:F226)</f>
        <v>0</v>
      </c>
    </row>
    <row r="227" spans="1:24" x14ac:dyDescent="0.2">
      <c r="A227" s="76" t="str">
        <f>CONCATENATE("Jul ",O197)</f>
        <v>Jul 2025</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1"/>
        <v>0</v>
      </c>
      <c r="H227" s="64">
        <f>IF(B227=0,0,IF(AND(H212="ja",((U227)&lt;R237)),ROUND(((R239*R236+((R237/(R237-R236))-(R236/(R237-R236))*R239)*((U227)-R236))*(H220*2))-(((R237/(R237-R236))*((U227)-R236))*H220),2),ROUND(IF(V226&lt;(SUM(R221:R226)),IF((V227)&gt;(SUM(R221:R227)),(((SUM(R221:R227))-(V227-C226))*H220)+((U227-C226)*H220),U227*H220),IF(V227&gt;(SUM(R221:R227)),R227*H220,U227*H220)),2)))</f>
        <v>0</v>
      </c>
      <c r="I227" s="64">
        <f>IF(B227=0,0,IF(AND(H212="ja",((U227)&lt;R237)),ROUND(((R239*R236+((R237/(R237-R236))-(R236/(R237-R236))*R239)*((U227)-R236))*(I220*2))-(((R237/(R237-R236))*((U227)-R236))*I220),2),ROUND(IF(V226&lt;(SUM(S221:S226)),IF((V227)&gt;(SUM(S221:S227)),(((SUM(S221:S227))-(V227-C226))*I220)+((U227-C226)*I220),U227*I220),IF(V227&gt;(SUM(S221:S227)),S227*I220,U227*I220)),2)))</f>
        <v>0</v>
      </c>
      <c r="J227" s="64">
        <f>IF(B227=0,0,IF(AND(H212="ja",((U227)&lt;R237)),ROUND(((R239*R236+((R237/(R237-R236))-(R236/(R237-R236))*R239)*((U227)-R236))*(J220*2))-(((R237/(R237-R236))*((U227)-R236))*J220),2),ROUND(IF(V226&lt;(SUM(S221:S226)),IF((V227)&gt;(SUM(S221:S227)),(((SUM(S221:S227))-(V227-C226))*J220)+((U227-C226)*J220),U227*J220),IF(V227&gt;(SUM(S221:S227)),S227*J220,U227*J220)),2)))</f>
        <v>0</v>
      </c>
      <c r="K227" s="64">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64">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2"/>
        <v>0</v>
      </c>
      <c r="Q227" s="456"/>
      <c r="R227" s="140">
        <f>ROUND(IF(M199="",R215,R215/M199*P204),2)</f>
        <v>5175</v>
      </c>
      <c r="S227" s="140">
        <f>ROUND(IF(M199="",R216,R216/M199*P204),2)</f>
        <v>7450</v>
      </c>
      <c r="U227" s="950">
        <f t="shared" si="33"/>
        <v>0</v>
      </c>
      <c r="V227" s="950">
        <f>SUM(B221:F227)</f>
        <v>0</v>
      </c>
    </row>
    <row r="228" spans="1:24" x14ac:dyDescent="0.2">
      <c r="A228" s="76" t="str">
        <f>CONCATENATE("Aug ",O197)</f>
        <v>Aug 2025</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1"/>
        <v>0</v>
      </c>
      <c r="H228" s="64">
        <f>IF(B228=0,0,IF(AND(H212="ja",((U228)&lt;R237)),ROUND(((R239*R236+((R237/(R237-R236))-(R236/(R237-R236))*R239)*((U228)-R236))*(H220*2))-(((R237/(R237-R236))*((U228)-R236))*H220),2),ROUND(IF(V227&lt;(SUM(R221:R227)),IF((V228)&gt;(SUM(R221:R228)),(((SUM(R221:R228))-(V228-C227))*H220)+((U228-C227)*H220),U228*H220),IF(V228&gt;(SUM(R221:R228)),R228*H220,U228*H220)),2)))</f>
        <v>0</v>
      </c>
      <c r="I228" s="64">
        <f>IF(B228=0,0,IF(AND(H212="ja",((U228)&lt;R237)),ROUND(((R239*R236+((R237/(R237-R236))-(R236/(R237-R236))*R239)*((U228)-R236))*(I220*2))-(((R237/(R237-R236))*((U228)-R236))*I220),2),ROUND(IF(V227&lt;(SUM(S221:S227)),IF((V228)&gt;(SUM(S221:S228)),(((SUM(S221:S228))-(V228-C227))*I220)+((U228-C227)*I220),U228*I220),IF(V228&gt;(SUM(S221:S228)),S228*I220,U228*I220)),2)))</f>
        <v>0</v>
      </c>
      <c r="J228" s="64">
        <f>IF(B228=0,0,IF(AND(H212="ja",((U228)&lt;R237)),ROUND(((R239*R236+((R237/(R237-R236))-(R236/(R237-R236))*R239)*((U228)-R236))*(J220*2))-(((R237/(R237-R236))*((U228)-R236))*J220),2),ROUND(IF(V227&lt;(SUM(S221:S227)),IF((V228)&gt;(SUM(S221:S228)),(((SUM(S221:S228))-(V228-C227))*J220)+((U228-C227)*J220),U228*J220),IF(V228&gt;(SUM(S221:S228)),S228*J220,U228*J220)),2)))</f>
        <v>0</v>
      </c>
      <c r="K228" s="64">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64">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2"/>
        <v>0</v>
      </c>
      <c r="Q228" s="456"/>
      <c r="R228" s="140">
        <f>ROUND(IF(M199="",R215,R215/M199*P205),2)</f>
        <v>5175</v>
      </c>
      <c r="S228" s="140">
        <f>ROUND(IF(M199="",R216,R216/M199*P205),2)</f>
        <v>7450</v>
      </c>
      <c r="U228" s="950">
        <f t="shared" si="33"/>
        <v>0</v>
      </c>
      <c r="V228" s="950">
        <f>SUM(B221:F228)</f>
        <v>0</v>
      </c>
    </row>
    <row r="229" spans="1:24" x14ac:dyDescent="0.2">
      <c r="A229" s="76" t="str">
        <f>CONCATENATE("Sep ",O197)</f>
        <v>Sep 2025</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1"/>
        <v>0</v>
      </c>
      <c r="H229" s="64">
        <f>IF(B229=0,0,IF(AND(H212="ja",((U229)&lt;R237)),ROUND(((R239*R236+((R237/(R237-R236))-(R236/(R237-R236))*R239)*((U229)-R236))*(H220*2))-(((R237/(R237-R236))*((U229)-R236))*H220),2),ROUND(IF(V228&lt;(SUM(R221:R228)),IF((V229)&gt;(SUM(R221:R229)),(((SUM(R221:R229))-(V229-C228))*H220)+((U229-C228)*H220),U229*H220),IF(V229&gt;(SUM(R221:R229)),R229*H220,U229*H220)),2)))</f>
        <v>0</v>
      </c>
      <c r="I229" s="64">
        <f>IF(B229=0,0,IF(AND(H212="ja",((U229)&lt;R237)),ROUND(((R239*R236+((R237/(R237-R236))-(R236/(R237-R236))*R239)*((U229)-R236))*(I220*2))-(((R237/(R237-R236))*((U229)-R236))*I220),2),ROUND(IF(V228&lt;(SUM(S221:S228)),IF((V229)&gt;(SUM(S221:S229)),(((SUM(S221:S229))-(V229-C228))*I220)+((U229-C228)*I220),U229*I220),IF(V229&gt;(SUM(S221:S229)),S229*I220,U229*I220)),2)))</f>
        <v>0</v>
      </c>
      <c r="J229" s="64">
        <f>IF(B229=0,0,IF(AND(H212="ja",((U229)&lt;R237)),ROUND(((R239*R236+((R237/(R237-R236))-(R236/(R237-R236))*R239)*((U229)-R236))*(J220*2))-(((R237/(R237-R236))*((U229)-R236))*J220),2),ROUND(IF(V228&lt;(SUM(S221:S228)),IF((V229)&gt;(SUM(S221:S229)),(((SUM(S221:S229))-(V229-C228))*J220)+((U229-C228)*J220),U229*J220),IF(V229&gt;(SUM(S221:S229)),S229*J220,U229*J220)),2)))</f>
        <v>0</v>
      </c>
      <c r="K229" s="64">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64">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2"/>
        <v>0</v>
      </c>
      <c r="Q229" s="456"/>
      <c r="R229" s="140">
        <f>ROUND(IF(M199="",R215,R215/M199*P206),2)</f>
        <v>5175</v>
      </c>
      <c r="S229" s="140">
        <f>ROUND(IF(M199="",R216,R216/M199*P206),2)</f>
        <v>7450</v>
      </c>
      <c r="U229" s="950">
        <f t="shared" si="33"/>
        <v>0</v>
      </c>
      <c r="V229" s="950">
        <f>SUM(B221:F229)</f>
        <v>0</v>
      </c>
    </row>
    <row r="230" spans="1:24" s="12" customFormat="1" ht="15" x14ac:dyDescent="0.25">
      <c r="A230" s="76" t="str">
        <f>CONCATENATE("Okt ",O197)</f>
        <v>Okt 2025</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1"/>
        <v>0</v>
      </c>
      <c r="H230" s="64">
        <f>IF(B230=0,0,IF(AND(H212="ja",((U230)&lt;R237)),ROUND(((R239*R236+((R237/(R237-R236))-(R236/(R237-R236))*R239)*((U230)-R236))*(H220*2))-(((R237/(R237-R236))*((U230)-R236))*H220),2),ROUND(IF(V229&lt;(SUM(R221:R229)),IF((V230)&gt;(SUM(R221:R230)),(((SUM(R221:R230))-(V230-C229))*H220)+((U230-C229)*H220),U230*H220),IF(V230&gt;(SUM(R221:R230)),R230*H220,U230*H220)),2)))</f>
        <v>0</v>
      </c>
      <c r="I230" s="64">
        <f>IF(B230=0,0,IF(AND(H212="ja",((U230)&lt;R237)),ROUND(((R239*R236+((R237/(R237-R236))-(R236/(R237-R236))*R239)*((U230)-R236))*(I220*2))-(((R237/(R237-R236))*((U230)-R236))*I220),2),ROUND(IF(V229&lt;(SUM(S221:S229)),IF((V230)&gt;(SUM(S221:S230)),(((SUM(S221:S230))-(V230-C229))*I220)+((U230-C229)*I220),U230*I220),IF(V230&gt;(SUM(S221:S230)),S230*I220,U230*I220)),2)))</f>
        <v>0</v>
      </c>
      <c r="J230" s="64">
        <f>IF(B230=0,0,IF(AND(H212="ja",((U230)&lt;R237)),ROUND(((R239*R236+((R237/(R237-R236))-(R236/(R237-R236))*R239)*((U230)-R236))*(J220*2))-(((R237/(R237-R236))*((U230)-R236))*J220),2),ROUND(IF(V229&lt;(SUM(S221:S229)),IF((V230)&gt;(SUM(S221:S230)),(((SUM(S221:S230))-(V230-C229))*J220)+((U230-C229)*J220),U230*J220),IF(V230&gt;(SUM(S221:S230)),S230*J220,U230*J220)),2)))</f>
        <v>0</v>
      </c>
      <c r="K230" s="64">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64">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2"/>
        <v>0</v>
      </c>
      <c r="Q230" s="936"/>
      <c r="R230" s="140">
        <f>ROUND(IF(M199="",R215,R215/M199*P207),2)</f>
        <v>5175</v>
      </c>
      <c r="S230" s="140">
        <f>ROUND(IF(M199="",R216,R216/M199*P207),2)</f>
        <v>7450</v>
      </c>
      <c r="U230" s="950">
        <f t="shared" si="33"/>
        <v>0</v>
      </c>
      <c r="V230" s="950">
        <f>SUM(B221:F230)</f>
        <v>0</v>
      </c>
      <c r="X230" s="1"/>
    </row>
    <row r="231" spans="1:24" s="11" customFormat="1" x14ac:dyDescent="0.2">
      <c r="A231" s="76" t="str">
        <f>CONCATENATE("Nov ",O197)</f>
        <v>Nov 2025</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1"/>
        <v>0</v>
      </c>
      <c r="H231" s="64">
        <f>IF(B231=0,0,IF(AND(H212="ja",((U231)&lt;R237)),ROUND(((R239*R236+((R237/(R237-R236))-(R236/(R237-R236))*R239)*((U231)-R236))*(H220*2))-(((R237/(R237-R236))*((U231)-R236))*H220),2),ROUND(IF(V230&lt;(SUM(R221:R230)),IF((V231)&gt;(SUM(R221:R231)),(((SUM(R221:R231))-(V231-C230))*H220)+((U231-C230)*H220),U231*H220),IF(V231&gt;(SUM(R221:R231)),R231*H220,U231*H220)),2)))</f>
        <v>0</v>
      </c>
      <c r="I231" s="64">
        <f>IF(B231=0,0,IF(AND(H212="ja",((U231)&lt;R237)),ROUND(((R239*R236+((R237/(R237-R236))-(R236/(R237-R236))*R239)*((U231)-R236))*(I220*2))-(((R237/(R237-R236))*((U231)-R236))*I220),2),ROUND(IF(V230&lt;(SUM(S221:S230)),IF((V231)&gt;(SUM(S221:S231)),(((SUM(S221:S231))-(V231-C230))*I220)+((U231-C230)*I220),U231*I220),IF(V231&gt;(SUM(S221:S231)),S231*I220,U231*I220)),2)))</f>
        <v>0</v>
      </c>
      <c r="J231" s="64">
        <f>IF(B231=0,0,IF(AND(H212="ja",((U231)&lt;R237)),ROUND(((R239*R236+((R237/(R237-R236))-(R236/(R237-R236))*R239)*((U231)-R236))*(J220*2))-(((R237/(R237-R236))*((U231)-R236))*J220),2),ROUND(IF(V230&lt;(SUM(S221:S230)),IF((V231)&gt;(SUM(S221:S231)),(((SUM(S221:S231))-(V231-C230))*J220)+((U231-C230)*J220),U231*J220),IF(V231&gt;(SUM(S221:S231)),S231*J220,U231*J220)),2)))</f>
        <v>0</v>
      </c>
      <c r="K231" s="64">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64">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2"/>
        <v>0</v>
      </c>
      <c r="R231" s="140">
        <f>ROUND(IF(M199="",R215,R215/M199*P208),2)</f>
        <v>5175</v>
      </c>
      <c r="S231" s="140">
        <f>ROUND(IF(M199="",R216,R216/M199*P208),2)</f>
        <v>7450</v>
      </c>
      <c r="U231" s="950">
        <f t="shared" si="33"/>
        <v>0</v>
      </c>
      <c r="V231" s="950">
        <f>SUM(B221:F231)</f>
        <v>0</v>
      </c>
      <c r="X231" s="1"/>
    </row>
    <row r="232" spans="1:24" ht="14.25" customHeight="1" x14ac:dyDescent="0.2">
      <c r="A232" s="76" t="str">
        <f>CONCATENATE("Dez ",O197)</f>
        <v>Dez 2025</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1"/>
        <v>0</v>
      </c>
      <c r="H232" s="64">
        <f>IF(B232=0,0,IF(AND(H212="ja",((U232)&lt;R237)),ROUND(((R239*R236+((R237/(R237-R236))-(R236/(R237-R236))*R239)*((U232)-R236))*(H220*2))-(((R237/(R237-R236))*((U232)-R236))*H220),2),ROUND(IF(V231&lt;(SUM(R221:R231)),IF((V232)&gt;(SUM(R221:R232)),(((SUM(R221:R232))-(V232-C231))*H220)+((U232-C231)*H220),U232*H220),IF(V232&gt;(SUM(R221:R232)),R232*H220,U232*H220)),2)))</f>
        <v>0</v>
      </c>
      <c r="I232" s="64">
        <f>IF(B232=0,0,IF(AND(H212="ja",((U232)&lt;R237)),ROUND(((R239*R236+((R237/(R237-R236))-(R236/(R237-R236))*R239)*((U232)-R236))*(I220*2))-(((R237/(R237-R236))*((U232)-R236))*I220),2),ROUND(IF(V231&lt;(SUM(S221:S231)),IF((V232)&gt;(SUM(S221:S232)),(((SUM(S221:S232))-(V232-C231))*I220)+((U232-C231)*I220),U232*I220),IF(V232&gt;(SUM(S221:S232)),S232*I220,U232*I220)),2)))</f>
        <v>0</v>
      </c>
      <c r="J232" s="64">
        <f>IF(B232=0,0,IF(AND(H212="ja",((U232)&lt;R237)),ROUND(((R239*R236+((R237/(R237-R236))-(R236/(R237-R236))*R239)*((U232)-R236))*(J220*2))-(((R237/(R237-R236))*((U232)-R236))*J220),2),ROUND(IF(V231&lt;(SUM(S221:S231)),IF((V232)&gt;(SUM(S221:S232)),(((SUM(S221:S232))-(V232-C231))*J220)+((U232-C231)*J220),U232*J220),IF(V232&gt;(SUM(S221:S232)),S232*J220,U232*J220)),2)))</f>
        <v>0</v>
      </c>
      <c r="K232" s="64">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64">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2"/>
        <v>0</v>
      </c>
      <c r="Q232" s="11"/>
      <c r="R232" s="140">
        <f>ROUND(IF(M199="",R215,R215/M199*P209),2)</f>
        <v>5175</v>
      </c>
      <c r="S232" s="140">
        <f>ROUND(IF(M199="",R216,R216/M199*P209),2)</f>
        <v>7450</v>
      </c>
      <c r="U232" s="950">
        <f t="shared" si="33"/>
        <v>0</v>
      </c>
      <c r="V232" s="950">
        <f>SUM(B221:F232)</f>
        <v>0</v>
      </c>
    </row>
    <row r="233" spans="1:24" ht="15" customHeight="1" x14ac:dyDescent="0.2">
      <c r="A233" s="2" t="s">
        <v>1</v>
      </c>
      <c r="B233" s="25">
        <f>SUM(B221:B232)</f>
        <v>0</v>
      </c>
      <c r="C233" s="25">
        <f t="shared" ref="C233:G233" si="34">SUM(C221:C232)</f>
        <v>0</v>
      </c>
      <c r="D233" s="25">
        <f t="shared" si="34"/>
        <v>0</v>
      </c>
      <c r="E233" s="25">
        <f t="shared" si="34"/>
        <v>0</v>
      </c>
      <c r="F233" s="25">
        <f t="shared" si="34"/>
        <v>0</v>
      </c>
      <c r="G233" s="25">
        <f t="shared" si="34"/>
        <v>0</v>
      </c>
      <c r="H233" s="1309">
        <f>SUM(H221:N232)</f>
        <v>0</v>
      </c>
      <c r="I233" s="1310"/>
      <c r="J233" s="1310"/>
      <c r="K233" s="1310"/>
      <c r="L233" s="1310"/>
      <c r="M233" s="1310"/>
      <c r="N233" s="1311"/>
      <c r="O233" s="25">
        <f>SUM(O221:O232)</f>
        <v>0</v>
      </c>
      <c r="P233" s="25">
        <f>SUM(P221:P232)</f>
        <v>0</v>
      </c>
    </row>
    <row r="234" spans="1:24" ht="12" customHeight="1" x14ac:dyDescent="0.2"/>
    <row r="235" spans="1:24" ht="14.25" customHeight="1" x14ac:dyDescent="0.2">
      <c r="B235" s="906"/>
      <c r="H235" s="905"/>
      <c r="I235" s="62"/>
      <c r="J235" s="914" t="s">
        <v>123</v>
      </c>
      <c r="L235" s="900" t="s">
        <v>124</v>
      </c>
      <c r="M235" s="974" t="str">
        <f>IF(IF(G233=0,"",$M$43)=0,"",IF(G233=0,"",$M$43))</f>
        <v/>
      </c>
      <c r="N235" s="902" t="s">
        <v>125</v>
      </c>
      <c r="O235" s="963" t="str">
        <f>IF(IF(G233=0,"",$O$43)=0,"",IF(G233=0,"",$O$43))</f>
        <v/>
      </c>
      <c r="P235" s="25">
        <f>ROUND(IF(M235="",0,G233*M235*O235/1000),2)</f>
        <v>0</v>
      </c>
      <c r="Q235" s="937"/>
      <c r="R235" s="938">
        <v>2025</v>
      </c>
      <c r="S235" s="939"/>
    </row>
    <row r="236" spans="1:24" ht="14.25" customHeight="1" x14ac:dyDescent="0.2">
      <c r="H236" s="907"/>
      <c r="I236" s="42"/>
      <c r="M236" s="915" t="s">
        <v>129</v>
      </c>
      <c r="N236" s="80" t="s">
        <v>125</v>
      </c>
      <c r="O236" s="75" t="str">
        <f>IF(IF(G233=0,"",$O$44)=0,"",IF(G233=0,"",$O$44))</f>
        <v/>
      </c>
      <c r="P236" s="25">
        <f>ROUND(IF(O236="",0,G233*O236/1000),2)</f>
        <v>0</v>
      </c>
      <c r="Q236" s="942" t="s">
        <v>737</v>
      </c>
      <c r="R236" s="141">
        <f>'päd.Personal - Leitung'!$R$44</f>
        <v>556</v>
      </c>
      <c r="S236" s="955">
        <f>'päd.Personal - Leitung'!$S$44</f>
        <v>12.82</v>
      </c>
    </row>
    <row r="237" spans="1:24" ht="14.25" customHeight="1" x14ac:dyDescent="0.2">
      <c r="H237" s="912" t="s">
        <v>126</v>
      </c>
      <c r="I237" s="1001" t="s">
        <v>127</v>
      </c>
      <c r="J237" s="975" t="str">
        <f>IF(IF(G233=0,"",$J$45)=0,"",IF(G233=0,"",$J$45))</f>
        <v/>
      </c>
      <c r="K237" s="902" t="s">
        <v>128</v>
      </c>
      <c r="L237" s="964" t="str">
        <f>IF(IF(G233=0,"",$L$45)=0,"",IF(G233=0,"",$L$45))</f>
        <v/>
      </c>
      <c r="M237" s="16"/>
      <c r="N237" s="900" t="s">
        <v>132</v>
      </c>
      <c r="O237" s="965" t="str">
        <f>IF(IF(G233=0,"",$O$45)=0,"",IF(G233=0,"",$O$45))</f>
        <v/>
      </c>
      <c r="P237" s="25">
        <f>ROUND(IF(J237="",0,(J237*L237/O237)/M201*M202),2)</f>
        <v>0</v>
      </c>
      <c r="Q237" s="942" t="s">
        <v>738</v>
      </c>
      <c r="R237" s="140">
        <f>'päd.Personal - Leitung'!$R$45</f>
        <v>2000</v>
      </c>
      <c r="S237" s="939"/>
    </row>
    <row r="238" spans="1:24" ht="14.25" customHeight="1" x14ac:dyDescent="0.2">
      <c r="D238" s="16"/>
      <c r="I238" s="16"/>
      <c r="J238" s="16"/>
      <c r="K238" s="63"/>
      <c r="L238" s="67"/>
      <c r="M238" s="915" t="s">
        <v>130</v>
      </c>
      <c r="N238" s="80" t="s">
        <v>131</v>
      </c>
      <c r="O238" s="904">
        <f>IF(IF(M203="",0,$O$46)=0,0,IF(M203="",0,$O$46))</f>
        <v>0</v>
      </c>
      <c r="P238" s="21">
        <f>ROUND(IF(G233=0,0,O238/M199*M200),2)</f>
        <v>0</v>
      </c>
      <c r="Q238" s="942" t="s">
        <v>740</v>
      </c>
      <c r="R238" s="956">
        <f>'päd.Personal - Leitung'!$R$46</f>
        <v>0.40900000000000003</v>
      </c>
    </row>
    <row r="239" spans="1:24" ht="14.25" customHeight="1" x14ac:dyDescent="0.2">
      <c r="A239" s="16"/>
      <c r="B239" s="16"/>
      <c r="I239" s="905"/>
      <c r="J239" s="961" t="s">
        <v>176</v>
      </c>
      <c r="K239" s="1312" t="str">
        <f>IF($K$47="","",$K$47)</f>
        <v/>
      </c>
      <c r="L239" s="1312"/>
      <c r="M239" s="1312"/>
      <c r="N239" s="80" t="s">
        <v>131</v>
      </c>
      <c r="O239" s="904">
        <f>IF(IF(M203="",0,$O$47)=0,0,IF(M203="",0,$O$47))</f>
        <v>0</v>
      </c>
      <c r="P239" s="21">
        <f>ROUND(IF(G233=0,0,O239/M199*M200),2)</f>
        <v>0</v>
      </c>
      <c r="Q239" s="942" t="s">
        <v>739</v>
      </c>
      <c r="R239" s="940">
        <f>'päd.Personal - Leitung'!$R$47</f>
        <v>0.68459999999999999</v>
      </c>
      <c r="S239" s="957">
        <f>'päd.Personal - Leitung'!$S$47</f>
        <v>0.28000000000000003</v>
      </c>
    </row>
    <row r="240" spans="1:24" ht="14.25" customHeight="1" x14ac:dyDescent="0.2">
      <c r="A240" s="908"/>
      <c r="B240" s="908"/>
      <c r="C240" s="1001"/>
      <c r="D240" s="1001"/>
      <c r="I240" s="913"/>
      <c r="J240" s="913"/>
      <c r="K240" s="916"/>
      <c r="L240" s="27"/>
      <c r="M240" s="27"/>
      <c r="N240" s="27"/>
      <c r="O240" s="26" t="s">
        <v>0</v>
      </c>
      <c r="P240" s="25">
        <f>P233+SUM(P235:P239)</f>
        <v>0</v>
      </c>
    </row>
    <row r="241" spans="1:19" s="10" customFormat="1" ht="13.5" hidden="1" customHeight="1" x14ac:dyDescent="0.2">
      <c r="A241" s="1321" t="s">
        <v>17</v>
      </c>
      <c r="B241" s="1321"/>
      <c r="C241" s="1321"/>
      <c r="D241" s="1320" t="str">
        <f>IF('päd.Personal - Leitung'!$D$1="","",'päd.Personal - Leitung'!$D$1)</f>
        <v/>
      </c>
      <c r="E241" s="1320"/>
      <c r="F241" s="1320"/>
      <c r="G241" s="1320"/>
      <c r="H241" s="1320"/>
      <c r="I241" s="1320"/>
      <c r="J241" s="1320"/>
      <c r="K241" s="1320"/>
      <c r="L241" s="1320"/>
      <c r="M241" s="1320"/>
      <c r="N241" s="1320"/>
    </row>
    <row r="242" spans="1:19" s="10" customFormat="1" ht="15" hidden="1" customHeight="1" x14ac:dyDescent="0.2">
      <c r="A242" s="1321" t="s">
        <v>16</v>
      </c>
      <c r="B242" s="1321"/>
      <c r="C242" s="1321" t="s">
        <v>14</v>
      </c>
      <c r="D242" s="1320" t="str">
        <f>IF('päd.Personal - Leitung'!$D$2="","",'päd.Personal - Leitung'!$D$2)</f>
        <v/>
      </c>
      <c r="E242" s="1320"/>
      <c r="F242" s="1320"/>
      <c r="G242" s="1320"/>
      <c r="H242" s="1320"/>
      <c r="I242" s="1320"/>
      <c r="J242" s="1320"/>
      <c r="K242" s="1320"/>
      <c r="L242" s="1320"/>
      <c r="M242" s="1320"/>
      <c r="N242" s="1320"/>
    </row>
    <row r="243" spans="1:19" s="10" customFormat="1" ht="15" hidden="1" customHeight="1" x14ac:dyDescent="0.2">
      <c r="A243" s="1321" t="s">
        <v>15</v>
      </c>
      <c r="B243" s="1321"/>
      <c r="C243" s="1321" t="s">
        <v>14</v>
      </c>
      <c r="D243" s="1320" t="str">
        <f>IF('päd.Personal - Leitung'!$D$3="","",'päd.Personal - Leitung'!$D$3)</f>
        <v/>
      </c>
      <c r="E243" s="1320"/>
      <c r="F243" s="1320"/>
      <c r="G243" s="1320"/>
      <c r="H243" s="1320"/>
      <c r="I243" s="1320"/>
      <c r="J243" s="1320"/>
      <c r="K243" s="1321" t="s">
        <v>100</v>
      </c>
      <c r="L243" s="1321"/>
      <c r="M243" s="1321"/>
      <c r="N243" s="38" t="str">
        <f>IF('päd.Personal - Leitung'!$N$3="","",'päd.Personal - Leitung'!$N$3)</f>
        <v/>
      </c>
    </row>
    <row r="244" spans="1:19" s="923" customFormat="1" ht="7.5" hidden="1" customHeight="1" x14ac:dyDescent="0.15">
      <c r="A244" s="1353"/>
      <c r="B244" s="1353"/>
      <c r="C244" s="1353"/>
      <c r="D244" s="1354"/>
      <c r="E244" s="1354"/>
      <c r="F244" s="1354"/>
      <c r="G244" s="1354"/>
      <c r="H244" s="1354"/>
      <c r="I244" s="1354"/>
      <c r="J244" s="1354"/>
      <c r="K244" s="922"/>
      <c r="L244" s="922"/>
      <c r="M244" s="922"/>
      <c r="N244" s="922"/>
      <c r="O244" s="922"/>
      <c r="P244" s="922"/>
    </row>
    <row r="245" spans="1:19" s="18" customFormat="1" hidden="1" x14ac:dyDescent="0.2">
      <c r="A245" s="1355" t="s">
        <v>205</v>
      </c>
      <c r="B245" s="1355"/>
      <c r="C245" s="1355"/>
      <c r="D245" s="1355"/>
      <c r="E245" s="1355"/>
      <c r="F245" s="1355"/>
      <c r="G245" s="1355"/>
      <c r="H245" s="1355"/>
      <c r="I245" s="1355"/>
      <c r="J245" s="1355"/>
      <c r="K245" s="1355"/>
      <c r="L245" s="1355"/>
      <c r="M245" s="1355"/>
      <c r="N245" s="52"/>
      <c r="O245" s="138">
        <f>'päd.Personal - Leitung'!$O$5</f>
        <v>2025</v>
      </c>
      <c r="P245" s="52" t="s">
        <v>140</v>
      </c>
    </row>
    <row r="246" spans="1:19" s="8" customFormat="1" ht="13.5" hidden="1" customHeight="1" x14ac:dyDescent="0.25">
      <c r="B246" s="29"/>
      <c r="C246" s="29"/>
      <c r="D246" s="3" t="s">
        <v>206</v>
      </c>
      <c r="E246" s="28"/>
      <c r="F246" s="28"/>
      <c r="G246" s="28"/>
      <c r="H246" s="28"/>
      <c r="I246" s="24"/>
      <c r="K246" s="1327" t="s">
        <v>13</v>
      </c>
      <c r="L246" s="1327"/>
      <c r="M246" s="131"/>
      <c r="O246" s="928" t="str">
        <f>A269</f>
        <v>Jan 2025</v>
      </c>
      <c r="P246" s="68">
        <f>IF(M248="","",M248)</f>
        <v>0</v>
      </c>
    </row>
    <row r="247" spans="1:19" s="5" customFormat="1" ht="13.5" hidden="1" customHeight="1" x14ac:dyDescent="0.25">
      <c r="A247" s="1328" t="s">
        <v>754</v>
      </c>
      <c r="B247" s="1328"/>
      <c r="C247" s="1328"/>
      <c r="D247" s="1329"/>
      <c r="E247" s="1329"/>
      <c r="F247" s="1329"/>
      <c r="G247" s="1329"/>
      <c r="H247" s="1329"/>
      <c r="I247" s="1329"/>
      <c r="K247" s="1327" t="s">
        <v>101</v>
      </c>
      <c r="L247" s="1327"/>
      <c r="M247" s="101"/>
      <c r="O247" s="928" t="str">
        <f t="shared" ref="O247:O257" si="35">A270</f>
        <v>Feb 2025</v>
      </c>
      <c r="P247" s="69">
        <f t="shared" ref="P247:P257" si="36">IF(P246="","",P246)</f>
        <v>0</v>
      </c>
    </row>
    <row r="248" spans="1:19" ht="13.5" hidden="1" customHeight="1" x14ac:dyDescent="0.2">
      <c r="A248" s="1328" t="s">
        <v>12</v>
      </c>
      <c r="B248" s="1328"/>
      <c r="C248" s="1328"/>
      <c r="D248" s="1345"/>
      <c r="E248" s="1345"/>
      <c r="F248" s="1345"/>
      <c r="G248" s="1345"/>
      <c r="H248" s="1345"/>
      <c r="I248" s="1345"/>
      <c r="K248" s="1327" t="s">
        <v>149</v>
      </c>
      <c r="L248" s="1327"/>
      <c r="M248" s="101">
        <f>IF((M249+M250)&gt;M247,0,M247-M249-M250)</f>
        <v>0</v>
      </c>
      <c r="O248" s="928" t="str">
        <f t="shared" si="35"/>
        <v>Mrz 2025</v>
      </c>
      <c r="P248" s="69">
        <f t="shared" si="36"/>
        <v>0</v>
      </c>
    </row>
    <row r="249" spans="1:19" ht="13.5" hidden="1" customHeight="1" x14ac:dyDescent="0.2">
      <c r="A249" s="1328" t="s">
        <v>11</v>
      </c>
      <c r="B249" s="1328"/>
      <c r="C249" s="1328"/>
      <c r="D249" s="1345"/>
      <c r="E249" s="1345"/>
      <c r="F249" s="1345"/>
      <c r="G249" s="1345"/>
      <c r="H249" s="1345"/>
      <c r="I249" s="1345"/>
      <c r="K249" s="1327" t="s">
        <v>150</v>
      </c>
      <c r="L249" s="1327"/>
      <c r="M249" s="101"/>
      <c r="O249" s="928" t="str">
        <f t="shared" si="35"/>
        <v>Apr 2025</v>
      </c>
      <c r="P249" s="69">
        <f t="shared" si="36"/>
        <v>0</v>
      </c>
    </row>
    <row r="250" spans="1:19" ht="13.5" hidden="1" customHeight="1" x14ac:dyDescent="0.2">
      <c r="A250" s="1328" t="s">
        <v>18</v>
      </c>
      <c r="B250" s="1328"/>
      <c r="C250" s="1328"/>
      <c r="D250" s="1345"/>
      <c r="E250" s="1345"/>
      <c r="F250" s="1345"/>
      <c r="G250" s="1345"/>
      <c r="H250" s="1345"/>
      <c r="I250" s="1345"/>
      <c r="K250" s="1327" t="s">
        <v>222</v>
      </c>
      <c r="L250" s="1327"/>
      <c r="M250" s="101"/>
      <c r="O250" s="928" t="str">
        <f t="shared" si="35"/>
        <v>Mai 2025</v>
      </c>
      <c r="P250" s="69">
        <f t="shared" si="36"/>
        <v>0</v>
      </c>
    </row>
    <row r="251" spans="1:19" ht="13.5" hidden="1" customHeight="1" x14ac:dyDescent="0.2">
      <c r="B251" s="6"/>
      <c r="C251" s="1012" t="s">
        <v>147</v>
      </c>
      <c r="D251" s="1324"/>
      <c r="E251" s="1324"/>
      <c r="F251" s="1359" t="s">
        <v>107</v>
      </c>
      <c r="G251" s="1359"/>
      <c r="H251" s="1361"/>
      <c r="I251" s="1361"/>
      <c r="K251" s="1327" t="s">
        <v>94</v>
      </c>
      <c r="L251" s="1327"/>
      <c r="M251" s="15" t="str">
        <f>IF(IF((COUNTIF(B269:B280,"&gt;0"))=0,0,(COUNTIF(B269:B280,"&gt;0")))&gt;Grundlagen!$C$26,Grundlagen!$C$26,IF((COUNTIF(B269:B280,"&gt;0"))=0,"",(COUNTIF(B269:B280,"&gt;0"))))</f>
        <v/>
      </c>
      <c r="O251" s="928" t="str">
        <f t="shared" si="35"/>
        <v>Jun 2025</v>
      </c>
      <c r="P251" s="69">
        <f t="shared" si="36"/>
        <v>0</v>
      </c>
    </row>
    <row r="252" spans="1:19" ht="13.5" hidden="1" customHeight="1" x14ac:dyDescent="0.2">
      <c r="F252" s="1359" t="s">
        <v>160</v>
      </c>
      <c r="G252" s="1359"/>
      <c r="H252" s="1361"/>
      <c r="I252" s="1361"/>
      <c r="M252" s="102" t="str">
        <f>IF((SUM(F254:F257))=0,"",IF(P258&gt;M248,M248,IF(M248="","",IF(M251="","",P258))))</f>
        <v/>
      </c>
      <c r="O252" s="928" t="str">
        <f t="shared" si="35"/>
        <v>Jul 2025</v>
      </c>
      <c r="P252" s="69">
        <f t="shared" si="36"/>
        <v>0</v>
      </c>
    </row>
    <row r="253" spans="1:19" s="46" customFormat="1" ht="13.5" hidden="1" customHeight="1" x14ac:dyDescent="0.2">
      <c r="A253" s="54" t="s">
        <v>134</v>
      </c>
      <c r="B253" s="1356" t="s">
        <v>135</v>
      </c>
      <c r="C253" s="1356"/>
      <c r="D253" s="55" t="s">
        <v>136</v>
      </c>
      <c r="E253" s="56" t="s">
        <v>137</v>
      </c>
      <c r="F253" s="57" t="str">
        <f>CONCATENATE("Entg. ",N243," h/Wo")</f>
        <v>Entg.  h/Wo</v>
      </c>
      <c r="G253" s="58" t="s">
        <v>138</v>
      </c>
      <c r="I253" s="58" t="s">
        <v>139</v>
      </c>
      <c r="K253" s="970"/>
      <c r="L253" s="970"/>
      <c r="M253" s="59"/>
      <c r="N253" s="968" t="str">
        <f>IF(A255="","",A255)</f>
        <v/>
      </c>
      <c r="O253" s="928" t="str">
        <f t="shared" si="35"/>
        <v>Aug 2025</v>
      </c>
      <c r="P253" s="69">
        <f t="shared" si="36"/>
        <v>0</v>
      </c>
      <c r="Q253" s="1027"/>
      <c r="R253" s="1025"/>
      <c r="S253" s="1025"/>
    </row>
    <row r="254" spans="1:19" s="46" customFormat="1" ht="13.5" hidden="1" customHeight="1" x14ac:dyDescent="0.25">
      <c r="A254" s="48" t="str">
        <f>A269</f>
        <v>Jan 2025</v>
      </c>
      <c r="B254" s="1357" t="str">
        <f>IF($D$3="","",$D$3)</f>
        <v/>
      </c>
      <c r="C254" s="1358"/>
      <c r="D254" s="132"/>
      <c r="E254" s="132"/>
      <c r="F254" s="71"/>
      <c r="G254" s="50">
        <f>IF(N243="",0,F254/N243/4.348)</f>
        <v>0</v>
      </c>
      <c r="I254" s="51">
        <f>SUM(J254:M254)</f>
        <v>0</v>
      </c>
      <c r="J254" s="70"/>
      <c r="K254" s="70"/>
      <c r="L254" s="70"/>
      <c r="M254" s="70"/>
      <c r="N254" s="983"/>
      <c r="O254" s="928" t="str">
        <f t="shared" si="35"/>
        <v>Sep 2025</v>
      </c>
      <c r="P254" s="69">
        <f t="shared" si="36"/>
        <v>0</v>
      </c>
      <c r="Q254" s="1026"/>
      <c r="R254" s="829"/>
      <c r="S254" s="1028"/>
    </row>
    <row r="255" spans="1:19" s="46" customFormat="1" ht="13.5" hidden="1" customHeight="1" x14ac:dyDescent="0.25">
      <c r="A255" s="49"/>
      <c r="B255" s="1322" t="str">
        <f>IF(A255="","",B254)</f>
        <v/>
      </c>
      <c r="C255" s="1323"/>
      <c r="D255" s="132"/>
      <c r="E255" s="132"/>
      <c r="F255" s="71"/>
      <c r="G255" s="50">
        <f>IF(N243="",0,F255/N243/4.348)</f>
        <v>0</v>
      </c>
      <c r="I255" s="51">
        <f t="shared" ref="I255:I257" si="37">SUM(J255:M255)</f>
        <v>0</v>
      </c>
      <c r="J255" s="70"/>
      <c r="K255" s="70"/>
      <c r="L255" s="70"/>
      <c r="M255" s="70"/>
      <c r="N255" s="983"/>
      <c r="O255" s="928" t="str">
        <f t="shared" si="35"/>
        <v>Okt 2025</v>
      </c>
      <c r="P255" s="69">
        <f t="shared" si="36"/>
        <v>0</v>
      </c>
      <c r="Q255" s="1026"/>
      <c r="R255" s="829"/>
      <c r="S255" s="1028"/>
    </row>
    <row r="256" spans="1:19" s="46" customFormat="1" ht="13.5" hidden="1" customHeight="1" x14ac:dyDescent="0.25">
      <c r="A256" s="49"/>
      <c r="B256" s="1322" t="str">
        <f>IF(A256="","",B255)</f>
        <v/>
      </c>
      <c r="C256" s="1323"/>
      <c r="D256" s="132"/>
      <c r="E256" s="132"/>
      <c r="F256" s="71"/>
      <c r="G256" s="50">
        <f>IF(N243="",0,F256/N243/4.348)</f>
        <v>0</v>
      </c>
      <c r="I256" s="51">
        <f t="shared" si="37"/>
        <v>0</v>
      </c>
      <c r="J256" s="70"/>
      <c r="K256" s="70"/>
      <c r="L256" s="70"/>
      <c r="M256" s="70"/>
      <c r="N256" s="983"/>
      <c r="O256" s="928" t="str">
        <f t="shared" si="35"/>
        <v>Nov 2025</v>
      </c>
      <c r="P256" s="69">
        <f t="shared" si="36"/>
        <v>0</v>
      </c>
      <c r="Q256" s="828"/>
      <c r="R256" s="829"/>
      <c r="S256" s="829"/>
    </row>
    <row r="257" spans="1:20" s="46" customFormat="1" ht="13.5" hidden="1" customHeight="1" x14ac:dyDescent="0.25">
      <c r="A257" s="49"/>
      <c r="B257" s="1322" t="str">
        <f>IF(A257="","",B256)</f>
        <v/>
      </c>
      <c r="C257" s="1323"/>
      <c r="D257" s="132"/>
      <c r="E257" s="132"/>
      <c r="F257" s="71"/>
      <c r="G257" s="50">
        <f>IF(N243="",0,F257/N243/4.348)</f>
        <v>0</v>
      </c>
      <c r="I257" s="51">
        <f t="shared" si="37"/>
        <v>0</v>
      </c>
      <c r="J257" s="70"/>
      <c r="K257" s="70"/>
      <c r="L257" s="70"/>
      <c r="M257" s="70"/>
      <c r="N257" s="983"/>
      <c r="O257" s="928" t="str">
        <f t="shared" si="35"/>
        <v>Dez 2025</v>
      </c>
      <c r="P257" s="69">
        <f t="shared" si="36"/>
        <v>0</v>
      </c>
      <c r="Q257" s="276"/>
      <c r="R257" s="827"/>
      <c r="S257" s="827"/>
    </row>
    <row r="258" spans="1:20" s="46" customFormat="1" ht="13.5" hidden="1" customHeight="1" x14ac:dyDescent="0.25">
      <c r="B258" s="972"/>
      <c r="C258" s="972"/>
      <c r="E258" s="972"/>
      <c r="F258" s="972"/>
      <c r="I258" s="930" t="s">
        <v>730</v>
      </c>
      <c r="J258" s="982"/>
      <c r="K258" s="982"/>
      <c r="L258" s="982"/>
      <c r="M258" s="982"/>
      <c r="N258" s="994"/>
      <c r="O258" s="126" t="s">
        <v>221</v>
      </c>
      <c r="P258" s="127">
        <f>IF(M251="",0,((IF(SUMIF(B269,"&gt;0"),P246,0))+(IF(SUMIF(B270,"&gt;0"),P247,0))+(IF(SUMIF(B271,"&gt;0"),P248,0))+(IF(SUMIF(B272,"&gt;0"),P249,0))+(IF(SUMIF(B273,"&gt;0"),P250,0))+(IF(SUMIF(B274,"&gt;0"),P251,0))+(IF(SUMIF(B275,"&gt;0"),P252,0))+(IF(SUMIF(B276,"&gt;0"),P253,0))+(IF(SUMIF(B277,"&gt;0"),P254,0))+(IF(SUMIF(B278,"&gt;0"),P255,0))+(IF(SUMIF(B279,"&gt;0"),P256,0))+(IF(SUMIF(B280,"&gt;0"),P257,0)))/Grundlagen!$C$26)</f>
        <v>0</v>
      </c>
      <c r="Q258" s="1009" t="str">
        <f>CONCATENATE("BBG"," anteilig ",O260)</f>
        <v>BBG anteilig 2025</v>
      </c>
      <c r="R258" s="931" t="s">
        <v>659</v>
      </c>
      <c r="S258" s="931" t="s">
        <v>398</v>
      </c>
      <c r="T258" s="107"/>
    </row>
    <row r="259" spans="1:20" s="46" customFormat="1" ht="13.5" hidden="1" customHeight="1" x14ac:dyDescent="0.2">
      <c r="A259" s="924" t="s">
        <v>732</v>
      </c>
      <c r="D259" s="55" t="s">
        <v>369</v>
      </c>
      <c r="E259" s="56" t="s">
        <v>368</v>
      </c>
      <c r="F259" s="58"/>
      <c r="J259" s="61"/>
      <c r="Q259" s="932" t="s">
        <v>144</v>
      </c>
      <c r="R259" s="140">
        <f>IF(M248=0,R263,IF(M247="",R263,(SUM(R269:R280)/M251)))</f>
        <v>5175</v>
      </c>
      <c r="S259" s="933">
        <f>IF(M248=0,S263,IF(M247="",S263,SUM(R269:R280)))</f>
        <v>0</v>
      </c>
      <c r="T259" s="107"/>
    </row>
    <row r="260" spans="1:20" s="46" customFormat="1" ht="13.5" hidden="1" customHeight="1" x14ac:dyDescent="0.25">
      <c r="A260" s="60"/>
      <c r="B260" s="1314" t="str">
        <f>IF($B$20="","",$B$20)</f>
        <v>Jahressonderzahlung (JSZ)</v>
      </c>
      <c r="C260" s="1315"/>
      <c r="D260" s="926"/>
      <c r="E260" s="929" t="str">
        <f>IF(A260="","",ROUND((((SUM(B275:B277)+SUM(F275:F277))/3)*D260)/Grundlagen!$C$26*M251,2))</f>
        <v/>
      </c>
      <c r="N260" s="917" t="s">
        <v>736</v>
      </c>
      <c r="O260" s="918">
        <f>P260+1</f>
        <v>2025</v>
      </c>
      <c r="P260" s="918" t="s">
        <v>721</v>
      </c>
      <c r="Q260" s="932" t="s">
        <v>145</v>
      </c>
      <c r="R260" s="140">
        <f>IF(M248=0,R264,IF(M247="",R264,(SUM(S269:S280)/M251)))</f>
        <v>7450</v>
      </c>
      <c r="S260" s="933">
        <f>IF(M248=0,S264,IF(M247="",S264,SUM(S269:S280)))</f>
        <v>0</v>
      </c>
      <c r="T260" s="109"/>
    </row>
    <row r="261" spans="1:20" s="18" customFormat="1" ht="14.25" hidden="1" customHeight="1" x14ac:dyDescent="0.2">
      <c r="A261" s="60"/>
      <c r="B261" s="1314" t="str">
        <f>IF($B$21="","",$B$21)</f>
        <v>Leistungsentgelt (LOB)</v>
      </c>
      <c r="C261" s="1315"/>
      <c r="D261" s="926"/>
      <c r="E261" s="929" t="str">
        <f>IF(A261="","",ROUND(((B281+F281)*D261)/Grundlagen!$C$26*M251,2))</f>
        <v/>
      </c>
      <c r="F261" s="1"/>
      <c r="N261" s="139" t="s">
        <v>144</v>
      </c>
      <c r="O261" s="141">
        <f>'päd.Personal - Leitung'!$O$21</f>
        <v>5175</v>
      </c>
      <c r="P261" s="141">
        <f>'päd.Personal - Leitung'!$P$21</f>
        <v>5175</v>
      </c>
      <c r="Q261" s="11"/>
      <c r="R261" s="11"/>
      <c r="S261" s="11"/>
      <c r="T261" s="109"/>
    </row>
    <row r="262" spans="1:20" s="18" customFormat="1" ht="14.25" hidden="1" customHeight="1" x14ac:dyDescent="0.2">
      <c r="A262" s="1"/>
      <c r="B262" s="1"/>
      <c r="C262" s="925" t="s">
        <v>731</v>
      </c>
      <c r="D262" s="1"/>
      <c r="E262" s="1"/>
      <c r="F262" s="1"/>
      <c r="N262" s="139" t="s">
        <v>145</v>
      </c>
      <c r="O262" s="899">
        <f>'päd.Personal - Leitung'!$O$22</f>
        <v>7450</v>
      </c>
      <c r="P262" s="899">
        <f>'päd.Personal - Leitung'!$P$22</f>
        <v>7450</v>
      </c>
      <c r="Q262" s="1009" t="str">
        <f>CONCATENATE("BBG"," ",O260)</f>
        <v>BBG 2025</v>
      </c>
      <c r="R262" s="11"/>
      <c r="S262" s="11"/>
      <c r="T262" s="109"/>
    </row>
    <row r="263" spans="1:20" s="18" customFormat="1" ht="14.25" hidden="1" customHeight="1" x14ac:dyDescent="0.2">
      <c r="A263" s="53" t="s">
        <v>141</v>
      </c>
      <c r="Q263" s="932" t="s">
        <v>144</v>
      </c>
      <c r="R263" s="141">
        <f>IF($O$21="",0,$O$21)</f>
        <v>5175</v>
      </c>
      <c r="S263" s="933">
        <f>R263*IF(M251="",0,M251)</f>
        <v>0</v>
      </c>
      <c r="T263" s="295"/>
    </row>
    <row r="264" spans="1:20" s="18" customFormat="1" ht="14.25" hidden="1" customHeight="1" x14ac:dyDescent="0.2">
      <c r="A264" s="1346"/>
      <c r="B264" s="1348" t="s">
        <v>8</v>
      </c>
      <c r="C264" s="1349"/>
      <c r="D264" s="1349"/>
      <c r="E264" s="1349"/>
      <c r="F264" s="1349"/>
      <c r="G264" s="1350"/>
      <c r="H264" s="1351" t="s">
        <v>113</v>
      </c>
      <c r="I264" s="1352"/>
      <c r="J264" s="1352"/>
      <c r="K264" s="1352"/>
      <c r="L264" s="1352"/>
      <c r="M264" s="1352"/>
      <c r="N264" s="1368" t="s">
        <v>658</v>
      </c>
      <c r="O264" s="30"/>
      <c r="P264" s="1330" t="s">
        <v>0</v>
      </c>
      <c r="Q264" s="932" t="s">
        <v>145</v>
      </c>
      <c r="R264" s="141">
        <f>IF($O$22="",0,$O$22)</f>
        <v>7450</v>
      </c>
      <c r="S264" s="933">
        <f>R264*IF(M251="",0,M251)</f>
        <v>0</v>
      </c>
      <c r="T264" s="830"/>
    </row>
    <row r="265" spans="1:20" s="18" customFormat="1" ht="14.25" hidden="1" customHeight="1" x14ac:dyDescent="0.2">
      <c r="A265" s="1347"/>
      <c r="B265" s="1333" t="s">
        <v>111</v>
      </c>
      <c r="C265" s="1335" t="s">
        <v>743</v>
      </c>
      <c r="D265" s="1337" t="s">
        <v>226</v>
      </c>
      <c r="E265" s="1339" t="s">
        <v>133</v>
      </c>
      <c r="F265" s="1014" t="s">
        <v>6</v>
      </c>
      <c r="G265" s="1340" t="s">
        <v>5</v>
      </c>
      <c r="H265" s="1339" t="s">
        <v>119</v>
      </c>
      <c r="I265" s="1339" t="s">
        <v>657</v>
      </c>
      <c r="J265" s="1339" t="s">
        <v>4</v>
      </c>
      <c r="K265" s="1339" t="s">
        <v>3</v>
      </c>
      <c r="L265" s="1339" t="s">
        <v>2</v>
      </c>
      <c r="M265" s="1339" t="s">
        <v>95</v>
      </c>
      <c r="N265" s="1369"/>
      <c r="O265" s="1338" t="s">
        <v>109</v>
      </c>
      <c r="P265" s="1331"/>
      <c r="Q265" s="456"/>
      <c r="R265" s="11"/>
      <c r="S265" s="11"/>
      <c r="T265" s="621"/>
    </row>
    <row r="266" spans="1:20" s="18" customFormat="1" ht="14.25" hidden="1" customHeight="1" x14ac:dyDescent="0.2">
      <c r="A266" s="1347"/>
      <c r="B266" s="1333"/>
      <c r="C266" s="1335"/>
      <c r="D266" s="1338"/>
      <c r="E266" s="1339"/>
      <c r="F266" s="1343" t="str">
        <f>I258</f>
        <v>Zuschläge / Zulagen / o.ä.:</v>
      </c>
      <c r="G266" s="1340"/>
      <c r="H266" s="1342" t="s">
        <v>117</v>
      </c>
      <c r="I266" s="1339"/>
      <c r="J266" s="1342"/>
      <c r="K266" s="1342"/>
      <c r="L266" s="1342"/>
      <c r="M266" s="1339"/>
      <c r="N266" s="1369"/>
      <c r="O266" s="1338"/>
      <c r="P266" s="1331"/>
      <c r="Q266" s="456"/>
      <c r="R266" s="1306" t="str">
        <f>Q258</f>
        <v>BBG anteilig 2025</v>
      </c>
      <c r="S266" s="1306"/>
      <c r="T266" s="829"/>
    </row>
    <row r="267" spans="1:20" s="18" customFormat="1" ht="14.25" hidden="1" customHeight="1" x14ac:dyDescent="0.2">
      <c r="A267" s="1347"/>
      <c r="B267" s="1333"/>
      <c r="C267" s="1335"/>
      <c r="D267" s="1338"/>
      <c r="E267" s="1339"/>
      <c r="F267" s="1343"/>
      <c r="G267" s="1340"/>
      <c r="H267" s="39" t="str">
        <f>'päd.Personal - Leitung'!$H$27</f>
        <v>(7,30% + Zusatz)</v>
      </c>
      <c r="I267" s="39" t="s">
        <v>722</v>
      </c>
      <c r="J267" s="39" t="str">
        <f>'päd.Personal - Leitung'!$I$27</f>
        <v xml:space="preserve"> (2024: 9,30%)</v>
      </c>
      <c r="K267" s="39" t="str">
        <f>'päd.Personal - Leitung'!$J$27</f>
        <v>(2024: 1,30%)</v>
      </c>
      <c r="L267" s="39" t="str">
        <f>'päd.Personal - Leitung'!$K$27</f>
        <v>(2024: 1,700%)</v>
      </c>
      <c r="M267" s="1339"/>
      <c r="N267" s="39" t="s">
        <v>747</v>
      </c>
      <c r="O267" s="1338"/>
      <c r="P267" s="1331"/>
      <c r="Q267" s="456"/>
      <c r="R267" s="1307" t="s">
        <v>659</v>
      </c>
      <c r="S267" s="1307"/>
      <c r="T267" s="829"/>
    </row>
    <row r="268" spans="1:20" s="18" customFormat="1" ht="14.25" hidden="1" customHeight="1" x14ac:dyDescent="0.2">
      <c r="A268" s="1347"/>
      <c r="B268" s="1334"/>
      <c r="C268" s="1336"/>
      <c r="D268" s="45"/>
      <c r="E268" s="45"/>
      <c r="F268" s="1344"/>
      <c r="G268" s="1341"/>
      <c r="H268" s="74"/>
      <c r="I268" s="19"/>
      <c r="J268" s="99">
        <f>'päd.Personal - Leitung'!$I$28</f>
        <v>0</v>
      </c>
      <c r="K268" s="99">
        <f>'päd.Personal - Leitung'!$J$28</f>
        <v>0</v>
      </c>
      <c r="L268" s="40">
        <f>'päd.Personal - Leitung'!$K$28</f>
        <v>0</v>
      </c>
      <c r="M268" s="19"/>
      <c r="N268" s="19"/>
      <c r="O268" s="19"/>
      <c r="P268" s="1332"/>
      <c r="Q268" s="456"/>
      <c r="R268" s="935" t="s">
        <v>144</v>
      </c>
      <c r="S268" s="935" t="s">
        <v>145</v>
      </c>
      <c r="T268" s="829"/>
    </row>
    <row r="269" spans="1:20" s="18" customFormat="1" hidden="1" x14ac:dyDescent="0.2">
      <c r="A269" s="76" t="str">
        <f>'päd.Personal - Leitung'!$A$29</f>
        <v>Jan 2025</v>
      </c>
      <c r="B269" s="22">
        <f>ROUND(IF(P246=0,0,(LOOKUP(2,1/(A254:A257=A269),G254:G257))*P246*4.348)*50%,2)</f>
        <v>0</v>
      </c>
      <c r="C269" s="21">
        <f>ROUND(IFERROR((LOOKUP(2,1/(A260=A269),E260)),0)+IFERROR((LOOKUP(2,1/(A261=A269),E261)),0),2)</f>
        <v>0</v>
      </c>
      <c r="D269" s="21">
        <f>ROUND(IF(B269=0,0,D268/M247*P246*50%),2)</f>
        <v>0</v>
      </c>
      <c r="E269" s="21">
        <f>ROUND(IF(B269=0,0,E268/N243*P246*50%),2)</f>
        <v>0</v>
      </c>
      <c r="F269" s="22">
        <f>ROUND(IF(P246=0,0,(LOOKUP(2,1/(A254:A257=A269),I254:I257))/N243*P246)*50%,2)</f>
        <v>0</v>
      </c>
      <c r="G269" s="25">
        <f>SUM(B269+C269+E269+F269)</f>
        <v>0</v>
      </c>
      <c r="H269" s="831">
        <f>ROUND(SUM(B269:F269)*H268,2)</f>
        <v>0</v>
      </c>
      <c r="I269" s="64">
        <f>ROUND(IF((SUM(B269:F269)*80%)&gt;((S269)*90%),((((S269)*90%)-((SUM(B269:F269)-C269))*I268)+((SUM(B269:F269)-C269)*I268)*80%),((SUM(B269:F269)-C269)*I268)*80%),2)</f>
        <v>0</v>
      </c>
      <c r="J269" s="831">
        <f>ROUND(SUM(B269:F269)*J268,2)</f>
        <v>0</v>
      </c>
      <c r="K269" s="831">
        <f>ROUND(SUM(B269:F269)*K268,2)</f>
        <v>0</v>
      </c>
      <c r="L269" s="831">
        <f>ROUND(SUM(B269:F269)*L268,2)</f>
        <v>0</v>
      </c>
      <c r="M269" s="831">
        <f>ROUND((SUM(B269:F269)-C269)*M268,2)</f>
        <v>0</v>
      </c>
      <c r="N269" s="21">
        <f>ROUND((B269+E269+F269)*N268,2)</f>
        <v>0</v>
      </c>
      <c r="O269" s="21">
        <f>ROUND(SUM(B269+C269+F269)*O268,2)</f>
        <v>0</v>
      </c>
      <c r="P269" s="25">
        <f>SUM(G269:O269)</f>
        <v>0</v>
      </c>
      <c r="Q269" s="456"/>
      <c r="R269" s="140">
        <f>ROUND(IF(M247="",R263,R263/M247*P246),2)</f>
        <v>5175</v>
      </c>
      <c r="S269" s="140">
        <f>ROUND(IF(M247="",R264,R264/M247*P246),2)</f>
        <v>7450</v>
      </c>
      <c r="T269" s="1"/>
    </row>
    <row r="270" spans="1:20" s="18" customFormat="1" hidden="1" x14ac:dyDescent="0.2">
      <c r="A270" s="76" t="str">
        <f>'päd.Personal - Leitung'!$A$30</f>
        <v>Feb 2025</v>
      </c>
      <c r="B270" s="22">
        <f>ROUND(IF(P247=0,0,IFERROR((((LOOKUP(2,1/(A254:A257=A270),G254:G257))*P247*4.348)*50%),B269/P246*P247)),2)</f>
        <v>0</v>
      </c>
      <c r="C270" s="21">
        <f>ROUND(IFERROR((LOOKUP(2,1/(A260=A270),E260)),0)+IFERROR((LOOKUP(2,1/(A261=A270),E261)),0),2)</f>
        <v>0</v>
      </c>
      <c r="D270" s="21">
        <f>ROUND(IF(B270=0,0,D268/M247*P247*50%),2)</f>
        <v>0</v>
      </c>
      <c r="E270" s="21">
        <f>ROUND(IF(B270=0,0,E268/N243*P247*50%),2)</f>
        <v>0</v>
      </c>
      <c r="F270" s="22">
        <f>ROUND(IF(P247=0,0,IFERROR((((LOOKUP(2,1/(A254:A257=A270),I254:I257))/N243*P247)*50%),F269/P246*P247)),2)</f>
        <v>0</v>
      </c>
      <c r="G270" s="25">
        <f t="shared" ref="G270:G280" si="38">SUM(B270+C270+E270+F270)</f>
        <v>0</v>
      </c>
      <c r="H270" s="831">
        <f>ROUND(SUM(B270:F270)*H268,2)</f>
        <v>0</v>
      </c>
      <c r="I270" s="64">
        <f>ROUND(IF((SUM(B270:F270)*80%)&gt;((SUM(S266:S270))*90%),((((SUM(S266:S270))*90%)-((SUM(B270:F270)-C270))*I268)+((SUM(B270:F270)-C270)*I268)*80%),((SUM(B270:F270)-C270)*I268)*80%),2)</f>
        <v>0</v>
      </c>
      <c r="J270" s="831">
        <f>ROUND(SUM(B270:F270)*J268,2)</f>
        <v>0</v>
      </c>
      <c r="K270" s="831">
        <f>ROUND(SUM(B270:F270)*K268,2)</f>
        <v>0</v>
      </c>
      <c r="L270" s="831">
        <f>ROUND(SUM(B270:F270)*L268,2)</f>
        <v>0</v>
      </c>
      <c r="M270" s="831">
        <f>ROUND((SUM(B270:F270)-C270)*M268,2)</f>
        <v>0</v>
      </c>
      <c r="N270" s="21">
        <f>ROUND((B270+E270+F270)*N268,2)</f>
        <v>0</v>
      </c>
      <c r="O270" s="21">
        <f>ROUND(SUM(B270+C270+F270)*O268,2)</f>
        <v>0</v>
      </c>
      <c r="P270" s="25">
        <f t="shared" ref="P270" si="39">SUM(G270:O270)</f>
        <v>0</v>
      </c>
      <c r="Q270" s="456"/>
      <c r="R270" s="140">
        <f>ROUND(IF(M247="",R263,R263/M247*P247),2)</f>
        <v>5175</v>
      </c>
      <c r="S270" s="140">
        <f>ROUND(IF(M247="",R264,R264/M247*P247),2)</f>
        <v>7450</v>
      </c>
      <c r="T270" s="1"/>
    </row>
    <row r="271" spans="1:20" s="18" customFormat="1" hidden="1" x14ac:dyDescent="0.2">
      <c r="A271" s="76" t="str">
        <f>'päd.Personal - Leitung'!$A$31</f>
        <v>Mrz 2025</v>
      </c>
      <c r="B271" s="22">
        <f>ROUND(IF(P248=0,0,IFERROR((((LOOKUP(2,1/(A254:A257=A271),G254:G257))*P248*4.348)*50%),B270/P247*P248)),2)</f>
        <v>0</v>
      </c>
      <c r="C271" s="21">
        <f>ROUND(IFERROR((LOOKUP(2,1/(A260=A271),E260)),0)+IFERROR((LOOKUP(2,1/(A261=A271),E261)),0),2)</f>
        <v>0</v>
      </c>
      <c r="D271" s="21">
        <f>ROUND(IF(B271=0,0,D268/M247*P248*50%),2)</f>
        <v>0</v>
      </c>
      <c r="E271" s="21">
        <f>ROUND(IF(B271=0,0,E268/N243*P248*50%),2)</f>
        <v>0</v>
      </c>
      <c r="F271" s="22">
        <f>ROUND(IF(P248=0,0,IFERROR((((LOOKUP(2,1/(A254:A257=A271),I254:I257))/N243*P248)*50%),F270/P247*P248)),2)</f>
        <v>0</v>
      </c>
      <c r="G271" s="25">
        <f t="shared" si="38"/>
        <v>0</v>
      </c>
      <c r="H271" s="831">
        <f>ROUND(SUM(B271:F271)*H268,2)</f>
        <v>0</v>
      </c>
      <c r="I271" s="64">
        <f>ROUND(IF((SUM(B270:F271)*80%)&gt;((SUM(S266:S271))*90%),((((SUM(S266:S271))*90%)-((SUM(B270:F271)-C271))*I268)+((SUM(B271:F271)-C271)*I268)*80%),((SUM(B271:F271)-C271)*I268)*80%),2)</f>
        <v>0</v>
      </c>
      <c r="J271" s="831">
        <f>ROUND(SUM(B271:F271)*J268,2)</f>
        <v>0</v>
      </c>
      <c r="K271" s="831">
        <f>ROUND(SUM(B271:F271)*K268,2)</f>
        <v>0</v>
      </c>
      <c r="L271" s="831">
        <f>ROUND(SUM(B271:F271)*L268,2)</f>
        <v>0</v>
      </c>
      <c r="M271" s="831">
        <f>ROUND((SUM(B271:F271)-C271)*M268,2)</f>
        <v>0</v>
      </c>
      <c r="N271" s="21">
        <f>ROUND((B271+E271+F271)*N268,2)</f>
        <v>0</v>
      </c>
      <c r="O271" s="21">
        <f>ROUND(SUM(B271+C271+F271)*O268,2)</f>
        <v>0</v>
      </c>
      <c r="P271" s="25">
        <f t="shared" ref="P271:P280" si="40">SUM(G271:O271)</f>
        <v>0</v>
      </c>
      <c r="Q271" s="456"/>
      <c r="R271" s="140">
        <f>ROUND(IF(M247="",R263,R263/M247*P248),2)</f>
        <v>5175</v>
      </c>
      <c r="S271" s="140">
        <f>ROUND(IF(M247="",R264,R264/M247*P248),2)</f>
        <v>7450</v>
      </c>
      <c r="T271" s="1"/>
    </row>
    <row r="272" spans="1:20" s="18" customFormat="1" hidden="1" x14ac:dyDescent="0.2">
      <c r="A272" s="76" t="str">
        <f>'päd.Personal - Leitung'!$A$32</f>
        <v>Apr 2025</v>
      </c>
      <c r="B272" s="22">
        <f>ROUND(IF(P249=0,0,IFERROR((((LOOKUP(2,1/(A254:A257=A272),G254:G257))*P249*4.348)*50%),B271/P248*P249)),2)</f>
        <v>0</v>
      </c>
      <c r="C272" s="21">
        <f>ROUND(IFERROR((LOOKUP(2,1/(A260=A272),E260)),0)+IFERROR((LOOKUP(2,1/(A261=A272),E261)),0),2)</f>
        <v>0</v>
      </c>
      <c r="D272" s="21">
        <f>ROUND(IF(B272=0,0,D268/M247*P249*50%),2)</f>
        <v>0</v>
      </c>
      <c r="E272" s="21">
        <f>ROUND(IF(B272=0,0,E268/N243*P249*50%),2)</f>
        <v>0</v>
      </c>
      <c r="F272" s="22">
        <f>ROUND(IF(P249=0,0,IFERROR((((LOOKUP(2,1/(A254:A257=A272),I254:I257))/N243*P249)*50%),F271/P248*P249)),2)</f>
        <v>0</v>
      </c>
      <c r="G272" s="25">
        <f t="shared" si="38"/>
        <v>0</v>
      </c>
      <c r="H272" s="831">
        <f>ROUND(SUM(B272:F272)*H268,2)</f>
        <v>0</v>
      </c>
      <c r="I272" s="64">
        <f>ROUND(IF((SUM(B270:F272)*80%)&gt;((SUM(S266:S272))*90%),((((SUM(S266:S272))*90%)-((SUM(B270:F272)-C272))*I268)+((SUM(B272:F272)-C272)*I268)*80%),((SUM(B272:F272)-C272)*I268)*80%),2)</f>
        <v>0</v>
      </c>
      <c r="J272" s="831">
        <f>ROUND(SUM(B272:F272)*J268,2)</f>
        <v>0</v>
      </c>
      <c r="K272" s="831">
        <f>ROUND(SUM(B272:F272)*K268,2)</f>
        <v>0</v>
      </c>
      <c r="L272" s="831">
        <f>ROUND(SUM(B272:F272)*L268,2)</f>
        <v>0</v>
      </c>
      <c r="M272" s="831">
        <f>ROUND((SUM(B272:F272)-C272)*M268,2)</f>
        <v>0</v>
      </c>
      <c r="N272" s="21">
        <f>ROUND((B272+E272+F272)*N268,2)</f>
        <v>0</v>
      </c>
      <c r="O272" s="21">
        <f>ROUND(SUM(B272+C272+F272)*O268,2)</f>
        <v>0</v>
      </c>
      <c r="P272" s="25">
        <f t="shared" si="40"/>
        <v>0</v>
      </c>
      <c r="Q272" s="456"/>
      <c r="R272" s="140">
        <f>ROUND(IF(M247="",R263,R263/M247*P249),2)</f>
        <v>5175</v>
      </c>
      <c r="S272" s="140">
        <f>ROUND(IF(M247="",R264,R264/M247*P249),2)</f>
        <v>7450</v>
      </c>
      <c r="T272" s="1"/>
    </row>
    <row r="273" spans="1:20" s="18" customFormat="1" hidden="1" x14ac:dyDescent="0.2">
      <c r="A273" s="76" t="str">
        <f>'päd.Personal - Leitung'!$A$33</f>
        <v>Mai 2025</v>
      </c>
      <c r="B273" s="22">
        <f>ROUND(IF(P250=0,0,IFERROR((((LOOKUP(2,1/(A254:A257=A273),G254:G257))*P250*4.348)*50%),B272/P249*P250)),2)</f>
        <v>0</v>
      </c>
      <c r="C273" s="21">
        <f>ROUND(IFERROR((LOOKUP(2,1/(A260=A273),E260)),0)+IFERROR((LOOKUP(2,1/(A261=A273),E261)),0),2)</f>
        <v>0</v>
      </c>
      <c r="D273" s="21">
        <f>ROUND(IF(B273=0,0,D268/M247*P250*50%),2)</f>
        <v>0</v>
      </c>
      <c r="E273" s="21">
        <f>ROUND(IF(B273=0,0,E268/N243*P250*50%),2)</f>
        <v>0</v>
      </c>
      <c r="F273" s="22">
        <f>ROUND(IF(P250=0,0,IFERROR((((LOOKUP(2,1/(A254:A257=A273),I254:I257))/N243*P250)*50%),F272/P249*P250)),2)</f>
        <v>0</v>
      </c>
      <c r="G273" s="25">
        <f t="shared" si="38"/>
        <v>0</v>
      </c>
      <c r="H273" s="831">
        <f>ROUND(SUM(B273:F273)*H268,2)</f>
        <v>0</v>
      </c>
      <c r="I273" s="64">
        <f>ROUND(IF((SUM(B270:F273)*80%)&gt;((SUM(S266:S273))*90%),((((SUM(S266:S273))*90%)-((SUM(B270:F273)-C273))*I268)+((SUM(B273:F273)-C273)*I268)*80%),((SUM(B273:F273)-C273)*I268)*80%),2)</f>
        <v>0</v>
      </c>
      <c r="J273" s="831">
        <f>ROUND(SUM(B273:F273)*J268,2)</f>
        <v>0</v>
      </c>
      <c r="K273" s="831">
        <f>ROUND(SUM(B273:F273)*K268,2)</f>
        <v>0</v>
      </c>
      <c r="L273" s="831">
        <f>ROUND(SUM(B273:F273)*L268,2)</f>
        <v>0</v>
      </c>
      <c r="M273" s="831">
        <f>ROUND((SUM(B273:F273)-C273)*M268,2)</f>
        <v>0</v>
      </c>
      <c r="N273" s="21">
        <f>ROUND((B273+E273+F273)*N268,2)</f>
        <v>0</v>
      </c>
      <c r="O273" s="21">
        <f>ROUND(SUM(B273+C273+F273)*O268,2)</f>
        <v>0</v>
      </c>
      <c r="P273" s="25">
        <f t="shared" si="40"/>
        <v>0</v>
      </c>
      <c r="Q273" s="456"/>
      <c r="R273" s="140">
        <f>ROUND(IF(M247="",R263,R263/M247*P250),2)</f>
        <v>5175</v>
      </c>
      <c r="S273" s="140">
        <f>ROUND(IF(M247="",R264,R264/M247*P250),2)</f>
        <v>7450</v>
      </c>
      <c r="T273" s="1"/>
    </row>
    <row r="274" spans="1:20" s="18" customFormat="1" hidden="1" x14ac:dyDescent="0.2">
      <c r="A274" s="76" t="str">
        <f>'päd.Personal - Leitung'!$A$34</f>
        <v>Jun 2025</v>
      </c>
      <c r="B274" s="22">
        <f>ROUND(IF(P251=0,0,IFERROR((((LOOKUP(2,1/(A254:A257=A274),G254:G257))*P251*4.348)*50%),B273/P250*P251)),2)</f>
        <v>0</v>
      </c>
      <c r="C274" s="21">
        <f>ROUND(IFERROR((LOOKUP(2,1/(A260=A274),E260)),0)+IFERROR((LOOKUP(2,1/(A261=A274),E261)),0),2)</f>
        <v>0</v>
      </c>
      <c r="D274" s="21">
        <f>ROUND(IF(B274=0,0,D268/M247*P251*50%),2)</f>
        <v>0</v>
      </c>
      <c r="E274" s="21">
        <f>ROUND(IF(B274=0,0,E268/N243*P251*50%),2)</f>
        <v>0</v>
      </c>
      <c r="F274" s="22">
        <f>ROUND(IF(P251=0,0,IFERROR((((LOOKUP(2,1/(A254:A257=A274),I254:I257))/N243*P251)*50%),F273/P250*P251)),2)</f>
        <v>0</v>
      </c>
      <c r="G274" s="25">
        <f t="shared" si="38"/>
        <v>0</v>
      </c>
      <c r="H274" s="831">
        <f>ROUND(SUM(B274:F274)*H268,2)</f>
        <v>0</v>
      </c>
      <c r="I274" s="64">
        <f>ROUND(IF((SUM(B270:F274)*80%)&gt;((SUM(S266:S274))*90%),((((SUM(S266:S274))*90%)-((SUM(B270:F274)-C274))*I268)+((SUM(B274:F274)-C274)*I268)*80%),((SUM(B274:F274)-C274)*I268)*80%),2)</f>
        <v>0</v>
      </c>
      <c r="J274" s="831">
        <f>ROUND(SUM(B274:F274)*J268,2)</f>
        <v>0</v>
      </c>
      <c r="K274" s="831">
        <f>ROUND(SUM(B274:F274)*K268,2)</f>
        <v>0</v>
      </c>
      <c r="L274" s="831">
        <f>ROUND(SUM(B274:F274)*L268,2)</f>
        <v>0</v>
      </c>
      <c r="M274" s="831">
        <f>ROUND((SUM(B274:F274)-C274)*M268,2)</f>
        <v>0</v>
      </c>
      <c r="N274" s="21">
        <f>ROUND((B274+E274+F274)*N268,2)</f>
        <v>0</v>
      </c>
      <c r="O274" s="21">
        <f>ROUND(SUM(B274+C274+F274)*O268,2)</f>
        <v>0</v>
      </c>
      <c r="P274" s="25">
        <f t="shared" si="40"/>
        <v>0</v>
      </c>
      <c r="Q274" s="456"/>
      <c r="R274" s="140">
        <f>ROUND(IF(M247="",R263,R263/M247*P251),2)</f>
        <v>5175</v>
      </c>
      <c r="S274" s="140">
        <f>ROUND(IF(M247="",R264,R264/M247*P251),2)</f>
        <v>7450</v>
      </c>
      <c r="T274" s="1"/>
    </row>
    <row r="275" spans="1:20" s="18" customFormat="1" hidden="1" x14ac:dyDescent="0.2">
      <c r="A275" s="76" t="str">
        <f>'päd.Personal - Leitung'!$A$35</f>
        <v>Jul 2025</v>
      </c>
      <c r="B275" s="22">
        <f>ROUND(IF(P252=0,0,IFERROR((((LOOKUP(2,1/(A254:A257=A275),G254:G257))*P252*4.348)*50%),B274/P251*P252)),2)</f>
        <v>0</v>
      </c>
      <c r="C275" s="21">
        <f>ROUND(IFERROR((LOOKUP(2,1/(A260=A275),E260)),0)+IFERROR((LOOKUP(2,1/(A261=A275),E261)),0),2)</f>
        <v>0</v>
      </c>
      <c r="D275" s="21">
        <f>ROUND(IF(B275=0,0,D268/M247*P252*50%),2)</f>
        <v>0</v>
      </c>
      <c r="E275" s="21">
        <f>ROUND(IF(B275=0,0,E268/N243*P252*50%),2)</f>
        <v>0</v>
      </c>
      <c r="F275" s="22">
        <f>ROUND(IF(P252=0,0,IFERROR((((LOOKUP(2,1/(A254:A257=A275),I254:I257))/N243*P252)*50%),F274/P251*P252)),2)</f>
        <v>0</v>
      </c>
      <c r="G275" s="25">
        <f t="shared" si="38"/>
        <v>0</v>
      </c>
      <c r="H275" s="831">
        <f>ROUND(SUM(B275:F275)*H268,2)</f>
        <v>0</v>
      </c>
      <c r="I275" s="64">
        <f>ROUND(IF((SUM(B270:F275)*80%)&gt;((SUM(S266:S275))*90%),((((SUM(S266:S275))*90%)-((SUM(B270:F275)-C275))*I268)+((SUM(B275:F275)-C275)*I268)*80%),((SUM(B275:F275)-C275)*I268)*80%),2)</f>
        <v>0</v>
      </c>
      <c r="J275" s="831">
        <f>ROUND(SUM(B275:F275)*J268,2)</f>
        <v>0</v>
      </c>
      <c r="K275" s="831">
        <f>ROUND(SUM(B275:F275)*K268,2)</f>
        <v>0</v>
      </c>
      <c r="L275" s="831">
        <f>ROUND(SUM(B275:F275)*L268,2)</f>
        <v>0</v>
      </c>
      <c r="M275" s="831">
        <f>ROUND((SUM(B275:F275)-C275)*M268,2)</f>
        <v>0</v>
      </c>
      <c r="N275" s="21">
        <f>ROUND((B275+E275+F275)*N268,2)</f>
        <v>0</v>
      </c>
      <c r="O275" s="21">
        <f>ROUND(SUM(B275+C275+F275)*O268,2)</f>
        <v>0</v>
      </c>
      <c r="P275" s="25">
        <f t="shared" si="40"/>
        <v>0</v>
      </c>
      <c r="Q275" s="456"/>
      <c r="R275" s="140">
        <f>ROUND(IF(M247="",R263,R263/M247*P252),2)</f>
        <v>5175</v>
      </c>
      <c r="S275" s="140">
        <f>ROUND(IF(M247="",R264,R264/M247*P252),2)</f>
        <v>7450</v>
      </c>
      <c r="T275" s="1"/>
    </row>
    <row r="276" spans="1:20" s="18" customFormat="1" hidden="1" x14ac:dyDescent="0.2">
      <c r="A276" s="76" t="str">
        <f>'päd.Personal - Leitung'!$A$36</f>
        <v>Aug 2025</v>
      </c>
      <c r="B276" s="22">
        <f>ROUND(IF(P253=0,0,IFERROR((((LOOKUP(2,1/(A254:A257=A276),G254:G257))*P253*4.348)*50%),B275/P252*P253)),2)</f>
        <v>0</v>
      </c>
      <c r="C276" s="21">
        <f>ROUND(IFERROR((LOOKUP(2,1/(A260=A276),E260)),0)+IFERROR((LOOKUP(2,1/(A261=A276),E261)),0),2)</f>
        <v>0</v>
      </c>
      <c r="D276" s="21">
        <f>ROUND(IF(B276=0,0,D268/M247*P253*50%),2)</f>
        <v>0</v>
      </c>
      <c r="E276" s="21">
        <f>ROUND(IF(B276=0,0,E268/N243*P253*50%),2)</f>
        <v>0</v>
      </c>
      <c r="F276" s="22">
        <f>ROUND(IF(P253=0,0,IFERROR((((LOOKUP(2,1/(A254:A257=A276),I254:I257))/N243*P253)*50%),F275/P252*P253)),2)</f>
        <v>0</v>
      </c>
      <c r="G276" s="25">
        <f t="shared" si="38"/>
        <v>0</v>
      </c>
      <c r="H276" s="831">
        <f>ROUND(SUM(B276:F276)*H268,2)</f>
        <v>0</v>
      </c>
      <c r="I276" s="64">
        <f>ROUND(IF((SUM(B270:F276)*80%)&gt;((SUM(S266:S276))*90%),((((SUM(S266:S276))*90%)-((SUM(B270:F276)-C276))*I268)+((SUM(B276:F276)-C276)*I268)*80%),((SUM(B276:F276)-C276)*I268)*80%),2)</f>
        <v>0</v>
      </c>
      <c r="J276" s="831">
        <f>ROUND(SUM(B276:F276)*J268,2)</f>
        <v>0</v>
      </c>
      <c r="K276" s="831">
        <f>ROUND(SUM(B276:F276)*K268,2)</f>
        <v>0</v>
      </c>
      <c r="L276" s="831">
        <f>ROUND(SUM(B276:F276)*L268,2)</f>
        <v>0</v>
      </c>
      <c r="M276" s="831">
        <f>ROUND((SUM(B276:F276)-C276)*M268,2)</f>
        <v>0</v>
      </c>
      <c r="N276" s="21">
        <f>ROUND((B276+E276+F276)*N268,2)</f>
        <v>0</v>
      </c>
      <c r="O276" s="21">
        <f>ROUND(SUM(B276+C276+F276)*O268,2)</f>
        <v>0</v>
      </c>
      <c r="P276" s="25">
        <f t="shared" si="40"/>
        <v>0</v>
      </c>
      <c r="Q276" s="456"/>
      <c r="R276" s="140">
        <f>ROUND(IF(M247="",R263,R263/M247*P253),2)</f>
        <v>5175</v>
      </c>
      <c r="S276" s="140">
        <f>ROUND(IF(M247="",R264,R264/M247*P253),2)</f>
        <v>7450</v>
      </c>
      <c r="T276" s="1"/>
    </row>
    <row r="277" spans="1:20" s="18" customFormat="1" hidden="1" x14ac:dyDescent="0.2">
      <c r="A277" s="76" t="str">
        <f>'päd.Personal - Leitung'!$A$37</f>
        <v>Sep 2025</v>
      </c>
      <c r="B277" s="22">
        <f>ROUND(IF(P254=0,0,IFERROR((((LOOKUP(2,1/(A254:A257=A277),G254:G257))*P254*4.348)*50%),B276/P253*P254)),2)</f>
        <v>0</v>
      </c>
      <c r="C277" s="21">
        <f>ROUND(IFERROR((LOOKUP(2,1/(A260=A277),E260)),0)+IFERROR((LOOKUP(2,1/(A261=A277),E261)),0),2)</f>
        <v>0</v>
      </c>
      <c r="D277" s="21">
        <f>ROUND(IF(B277=0,0,D268/M247*P254*50%),2)</f>
        <v>0</v>
      </c>
      <c r="E277" s="21">
        <f>ROUND(IF(B277=0,0,E268/N243*P254*50%),2)</f>
        <v>0</v>
      </c>
      <c r="F277" s="22">
        <f>ROUND(IF(P254=0,0,IFERROR((((LOOKUP(2,1/(A254:A257=A277),I254:I257))/N243*P254)*50%),F276/P253*P254)),2)</f>
        <v>0</v>
      </c>
      <c r="G277" s="25">
        <f t="shared" si="38"/>
        <v>0</v>
      </c>
      <c r="H277" s="831">
        <f>ROUND(SUM(B277:F277)*H268,2)</f>
        <v>0</v>
      </c>
      <c r="I277" s="64">
        <f>ROUND(IF((SUM(B270:F277)*80%)&gt;((SUM(S266:S277))*90%),((((SUM(S266:S277))*90%)-((SUM(B270:F277)-C277))*I268)+((SUM(B277:F277)-C277)*I268)*80%),((SUM(B277:F277)-C277)*I268)*80%),2)</f>
        <v>0</v>
      </c>
      <c r="J277" s="831">
        <f>ROUND(SUM(B277:F277)*J268,2)</f>
        <v>0</v>
      </c>
      <c r="K277" s="831">
        <f>ROUND(SUM(B277:F277)*K268,2)</f>
        <v>0</v>
      </c>
      <c r="L277" s="831">
        <f>ROUND(SUM(B277:F277)*L268,2)</f>
        <v>0</v>
      </c>
      <c r="M277" s="831">
        <f>ROUND((SUM(B277:F277)-C277)*M268,2)</f>
        <v>0</v>
      </c>
      <c r="N277" s="21">
        <f>ROUND((B277+E277+F277)*N268,2)</f>
        <v>0</v>
      </c>
      <c r="O277" s="21">
        <f>ROUND(SUM(B277+C277+F277)*O268,2)</f>
        <v>0</v>
      </c>
      <c r="P277" s="25">
        <f t="shared" si="40"/>
        <v>0</v>
      </c>
      <c r="Q277" s="456"/>
      <c r="R277" s="140">
        <f>ROUND(IF(M247="",R263,R263/M247*P254),2)</f>
        <v>5175</v>
      </c>
      <c r="S277" s="140">
        <f>ROUND(IF(M247="",R264,R264/M247*P254),2)</f>
        <v>7450</v>
      </c>
      <c r="T277" s="1"/>
    </row>
    <row r="278" spans="1:20" s="18" customFormat="1" ht="15" hidden="1" x14ac:dyDescent="0.25">
      <c r="A278" s="76" t="str">
        <f>'päd.Personal - Leitung'!$A$38</f>
        <v>Okt 2025</v>
      </c>
      <c r="B278" s="22">
        <f>ROUND(IF(P255=0,0,IFERROR((((LOOKUP(2,1/(A254:A257=A278),G254:G257))*P255*4.348)*50%),B277/P254*P255)),2)</f>
        <v>0</v>
      </c>
      <c r="C278" s="21">
        <f>ROUND(IFERROR((LOOKUP(2,1/(A260=A278),E260)),0)+IFERROR((LOOKUP(2,1/(A261=A278),E261)),0),2)</f>
        <v>0</v>
      </c>
      <c r="D278" s="21">
        <f>ROUND(IF(B278=0,0,D268/M247*P255*50%),2)</f>
        <v>0</v>
      </c>
      <c r="E278" s="21">
        <f>ROUND(IF(B278=0,0,E268/N243*P255*50%),2)</f>
        <v>0</v>
      </c>
      <c r="F278" s="22">
        <f>ROUND(IF(P255=0,0,IFERROR((((LOOKUP(2,1/(A254:A257=A278),I254:I257))/N243*P255)*50%),F277/P254*P255)),2)</f>
        <v>0</v>
      </c>
      <c r="G278" s="25">
        <f t="shared" si="38"/>
        <v>0</v>
      </c>
      <c r="H278" s="831">
        <f>ROUND(SUM(B278:F278)*H268,2)</f>
        <v>0</v>
      </c>
      <c r="I278" s="64">
        <f>ROUND(IF((SUM(B270:F278)*80%)&gt;((SUM(S266:S278))*90%),((((SUM(S266:S278))*90%)-((SUM(B270:F278)-C278))*I268)+((SUM(B278:F278)-C278)*I268)*80%),((SUM(B278:F278)-C278)*I268)*80%),2)</f>
        <v>0</v>
      </c>
      <c r="J278" s="831">
        <f>ROUND(SUM(B278:F278)*J268,2)</f>
        <v>0</v>
      </c>
      <c r="K278" s="831">
        <f>ROUND(SUM(B278:F278)*K268,2)</f>
        <v>0</v>
      </c>
      <c r="L278" s="831">
        <f>ROUND(SUM(B278:F278)*L268,2)</f>
        <v>0</v>
      </c>
      <c r="M278" s="831">
        <f>ROUND((SUM(B278:F278)-C278)*M268,2)</f>
        <v>0</v>
      </c>
      <c r="N278" s="21">
        <f>ROUND((B278+E278+F278)*N268,2)</f>
        <v>0</v>
      </c>
      <c r="O278" s="21">
        <f>ROUND(SUM(B278+C278+F278)*O268,2)</f>
        <v>0</v>
      </c>
      <c r="P278" s="25">
        <f t="shared" si="40"/>
        <v>0</v>
      </c>
      <c r="Q278" s="936"/>
      <c r="R278" s="140">
        <f>ROUND(IF(M247="",R263,R263/M247*P255),2)</f>
        <v>5175</v>
      </c>
      <c r="S278" s="140">
        <f>ROUND(IF(M247="",R264,R264/M247*P255),2)</f>
        <v>7450</v>
      </c>
      <c r="T278" s="12"/>
    </row>
    <row r="279" spans="1:20" s="18" customFormat="1" hidden="1" x14ac:dyDescent="0.2">
      <c r="A279" s="76" t="str">
        <f>'päd.Personal - Leitung'!$A$39</f>
        <v>Nov 2025</v>
      </c>
      <c r="B279" s="22">
        <f>ROUND(IF(P256=0,0,IFERROR((((LOOKUP(2,1/(A254:A257=A279),G254:G257))*P256*4.348)*50%),B278/P255*P256)),2)</f>
        <v>0</v>
      </c>
      <c r="C279" s="21">
        <f>ROUND(IFERROR((LOOKUP(2,1/(A260=A279),E260)),0)+(IFERROR((LOOKUP(2,1/(A261=A279),E261)),0)),2)</f>
        <v>0</v>
      </c>
      <c r="D279" s="21">
        <f>ROUND(IF(B279=0,0,D268/M247*P256*50%),2)</f>
        <v>0</v>
      </c>
      <c r="E279" s="21">
        <f>ROUND(IF(B279=0,0,E268/N243*P256*50%),2)</f>
        <v>0</v>
      </c>
      <c r="F279" s="22">
        <f>ROUND(IF(P256=0,0,IFERROR((((LOOKUP(2,1/(A254:A257=A279),I254:I257))/N243*P256)*50%),F278/P255*P256)),2)</f>
        <v>0</v>
      </c>
      <c r="G279" s="25">
        <f t="shared" si="38"/>
        <v>0</v>
      </c>
      <c r="H279" s="831">
        <f>ROUND(SUM(B279:F279)*H268,2)</f>
        <v>0</v>
      </c>
      <c r="I279" s="64">
        <f>ROUND(IF((SUM(B270:F279)*80%)&gt;((SUM(S266:S279))*90%),((((SUM(S266:S279))*90%)-((SUM(B270:F279)-C279))*I268)+((SUM(B279:F279)-C279)*I268)*80%),((SUM(B279:F279)-C279)*I268)*80%),2)</f>
        <v>0</v>
      </c>
      <c r="J279" s="831">
        <f>ROUND(SUM(B279:F279)*J268,2)</f>
        <v>0</v>
      </c>
      <c r="K279" s="831">
        <f>ROUND(SUM(B279:F279)*K268,2)</f>
        <v>0</v>
      </c>
      <c r="L279" s="831">
        <f>ROUND(SUM(B279:F279)*L268,2)</f>
        <v>0</v>
      </c>
      <c r="M279" s="831">
        <f>ROUND((SUM(B279:F279)-C279)*M268,2)</f>
        <v>0</v>
      </c>
      <c r="N279" s="21">
        <f>ROUND((B279+E279+F279)*N268,2)</f>
        <v>0</v>
      </c>
      <c r="O279" s="21">
        <f>ROUND(SUM(B279+C279+F279)*O268,2)</f>
        <v>0</v>
      </c>
      <c r="P279" s="25">
        <f t="shared" si="40"/>
        <v>0</v>
      </c>
      <c r="Q279" s="11"/>
      <c r="R279" s="140">
        <f>ROUND(IF(M247="",R263,R263/M247*P256),2)</f>
        <v>5175</v>
      </c>
      <c r="S279" s="140">
        <f>ROUND(IF(M247="",R264,R264/M247*P256),2)</f>
        <v>7450</v>
      </c>
      <c r="T279" s="11"/>
    </row>
    <row r="280" spans="1:20" s="18" customFormat="1" hidden="1" x14ac:dyDescent="0.2">
      <c r="A280" s="76" t="str">
        <f>'päd.Personal - Leitung'!$A$40</f>
        <v>Dez 2025</v>
      </c>
      <c r="B280" s="22">
        <f>ROUND(IF(P257=0,0,IFERROR((((LOOKUP(2,1/(A254:A257=A280),G254:G257))*P257*4.348)*50%),B279/P256*P257)),2)</f>
        <v>0</v>
      </c>
      <c r="C280" s="21">
        <f>ROUND(IFERROR((LOOKUP(2,1/(A260=A280),E260)),0)+IFERROR((LOOKUP(2,1/(A261=A280),E261)),0),2)</f>
        <v>0</v>
      </c>
      <c r="D280" s="21">
        <f>ROUND(IF(B280=0,0,D268/M247*P257*50%),2)</f>
        <v>0</v>
      </c>
      <c r="E280" s="21">
        <f>ROUND(IF(B280=0,0,E268/N243*P257*50%),2)</f>
        <v>0</v>
      </c>
      <c r="F280" s="22">
        <f>ROUND(IF(P257=0,0,IFERROR((((LOOKUP(2,1/(A254:A257=A280),I254:I257))/N243*P257)*50%),F279/P256*P257)),2)</f>
        <v>0</v>
      </c>
      <c r="G280" s="25">
        <f t="shared" si="38"/>
        <v>0</v>
      </c>
      <c r="H280" s="831">
        <f>ROUND(SUM(B280:F280)*H268,2)</f>
        <v>0</v>
      </c>
      <c r="I280" s="64">
        <f>ROUND(IF((SUM(B270:F280)*80%)&gt;((SUM(S266:S280))*90%),((((SUM(S266:S280))*90%)-((SUM(B270:F280)-C280))*I268)+((SUM(B280:F280)-C280)*I268)*80%),((SUM(B280:F280)-C280)*I268)*80%),2)</f>
        <v>0</v>
      </c>
      <c r="J280" s="831">
        <f>ROUND(SUM(B280:F280)*J268,2)</f>
        <v>0</v>
      </c>
      <c r="K280" s="831">
        <f>ROUND(SUM(B280:F280)*K268,2)</f>
        <v>0</v>
      </c>
      <c r="L280" s="831">
        <f>ROUND(SUM(B280:F280)*L268,2)</f>
        <v>0</v>
      </c>
      <c r="M280" s="831">
        <f>ROUND((SUM(B280:F280)-C280)*M268,2)</f>
        <v>0</v>
      </c>
      <c r="N280" s="21">
        <f>ROUND((B280+E280+F280)*N268,2)</f>
        <v>0</v>
      </c>
      <c r="O280" s="21">
        <f>ROUND(SUM(B280+C280+F280)*O268,2)</f>
        <v>0</v>
      </c>
      <c r="P280" s="25">
        <f t="shared" si="40"/>
        <v>0</v>
      </c>
      <c r="Q280" s="11"/>
      <c r="R280" s="140">
        <f>ROUND(IF(M247="",R263,R263/M247*P257),2)</f>
        <v>5175</v>
      </c>
      <c r="S280" s="140">
        <f>ROUND(IF(M247="",R264,R264/M247*P257),2)</f>
        <v>7450</v>
      </c>
      <c r="T280" s="1"/>
    </row>
    <row r="281" spans="1:20" s="18" customFormat="1" hidden="1" x14ac:dyDescent="0.2">
      <c r="A281" s="2" t="s">
        <v>1</v>
      </c>
      <c r="B281" s="25">
        <f t="shared" ref="B281:G281" si="41">SUM(B270:B280)</f>
        <v>0</v>
      </c>
      <c r="C281" s="25">
        <f t="shared" si="41"/>
        <v>0</v>
      </c>
      <c r="D281" s="25">
        <f t="shared" si="41"/>
        <v>0</v>
      </c>
      <c r="E281" s="25">
        <f t="shared" si="41"/>
        <v>0</v>
      </c>
      <c r="F281" s="25">
        <f t="shared" si="41"/>
        <v>0</v>
      </c>
      <c r="G281" s="25">
        <f t="shared" si="41"/>
        <v>0</v>
      </c>
      <c r="H281" s="1309">
        <f>SUM(H270:M280)</f>
        <v>0</v>
      </c>
      <c r="I281" s="1310"/>
      <c r="J281" s="1310"/>
      <c r="K281" s="1310"/>
      <c r="L281" s="1310"/>
      <c r="M281" s="1310"/>
      <c r="N281" s="25">
        <f>SUM(N270:N280)</f>
        <v>0</v>
      </c>
      <c r="O281" s="25">
        <f>SUM(O270:O280)</f>
        <v>0</v>
      </c>
      <c r="P281" s="25">
        <f>SUM(P270:P280)</f>
        <v>0</v>
      </c>
      <c r="Q281" s="1"/>
      <c r="R281" s="1"/>
      <c r="S281" s="1"/>
      <c r="T281" s="1"/>
    </row>
    <row r="282" spans="1:20" s="18" customFormat="1" hidden="1" x14ac:dyDescent="0.2">
      <c r="O282" s="14"/>
      <c r="Q282" s="1021"/>
      <c r="R282" s="1021"/>
      <c r="S282" s="1021"/>
    </row>
    <row r="283" spans="1:20" ht="14.25" hidden="1" customHeight="1" x14ac:dyDescent="0.2">
      <c r="B283" s="906"/>
      <c r="H283" s="905"/>
      <c r="I283" s="62"/>
      <c r="J283" s="914" t="s">
        <v>123</v>
      </c>
      <c r="L283" s="900" t="s">
        <v>124</v>
      </c>
      <c r="M283" s="1003"/>
      <c r="N283" s="902" t="s">
        <v>125</v>
      </c>
      <c r="O283" s="1004"/>
      <c r="P283" s="25">
        <f>ROUND(IF(M283="",0,G281*M283*O283/1000),2)</f>
        <v>0</v>
      </c>
      <c r="Q283" s="1015"/>
      <c r="R283" s="1022"/>
      <c r="S283" s="1016"/>
    </row>
    <row r="284" spans="1:20" ht="14.25" hidden="1" customHeight="1" x14ac:dyDescent="0.2">
      <c r="H284" s="907"/>
      <c r="I284" s="42"/>
      <c r="M284" s="915" t="s">
        <v>129</v>
      </c>
      <c r="N284" s="80" t="s">
        <v>125</v>
      </c>
      <c r="O284" s="1007"/>
      <c r="P284" s="25">
        <f>ROUND(IF(O284="",0,G281*O284/1000),2)</f>
        <v>0</v>
      </c>
      <c r="Q284" s="1023"/>
      <c r="R284" s="65"/>
      <c r="S284" s="1017"/>
    </row>
    <row r="285" spans="1:20" ht="14.25" hidden="1" customHeight="1" x14ac:dyDescent="0.2">
      <c r="H285" s="912" t="s">
        <v>126</v>
      </c>
      <c r="I285" s="1013" t="s">
        <v>127</v>
      </c>
      <c r="J285" s="1005"/>
      <c r="K285" s="902" t="s">
        <v>128</v>
      </c>
      <c r="L285" s="1006"/>
      <c r="M285" s="16"/>
      <c r="N285" s="900" t="s">
        <v>132</v>
      </c>
      <c r="O285" s="1008"/>
      <c r="P285" s="25">
        <f>ROUND(IF(J285="",0,(J285*L285/O285)/M249*M250),2)</f>
        <v>0</v>
      </c>
      <c r="Q285" s="1023"/>
      <c r="R285" s="66"/>
      <c r="S285" s="1016"/>
    </row>
    <row r="286" spans="1:20" ht="14.25" hidden="1" customHeight="1" x14ac:dyDescent="0.2">
      <c r="D286" s="16"/>
      <c r="I286" s="16"/>
      <c r="J286" s="16"/>
      <c r="K286" s="63"/>
      <c r="L286" s="67"/>
      <c r="M286" s="915" t="s">
        <v>130</v>
      </c>
      <c r="N286" s="80" t="s">
        <v>131</v>
      </c>
      <c r="O286" s="904"/>
      <c r="P286" s="21">
        <f>ROUND(IF(G281=0,0,O286/M247*M248),2)</f>
        <v>0</v>
      </c>
      <c r="Q286" s="1023"/>
      <c r="R286" s="1018"/>
      <c r="S286" s="1024"/>
    </row>
    <row r="287" spans="1:20" ht="14.25" hidden="1" customHeight="1" x14ac:dyDescent="0.2">
      <c r="A287" s="16"/>
      <c r="B287" s="16"/>
      <c r="I287" s="905"/>
      <c r="J287" s="961" t="s">
        <v>176</v>
      </c>
      <c r="K287" s="1312"/>
      <c r="L287" s="1312"/>
      <c r="M287" s="1312"/>
      <c r="N287" s="80" t="s">
        <v>131</v>
      </c>
      <c r="O287" s="904"/>
      <c r="P287" s="21">
        <f>ROUND(IF(G281=0,0,O287/M247*M248),2)</f>
        <v>0</v>
      </c>
      <c r="Q287" s="1023"/>
      <c r="R287" s="1019"/>
      <c r="S287" s="1020"/>
    </row>
    <row r="288" spans="1:20" ht="14.25" hidden="1" customHeight="1" x14ac:dyDescent="0.2">
      <c r="A288" s="908"/>
      <c r="B288" s="908"/>
      <c r="C288" s="1013"/>
      <c r="D288" s="1013"/>
      <c r="I288" s="913"/>
      <c r="J288" s="913"/>
      <c r="K288" s="916"/>
      <c r="L288" s="27"/>
      <c r="M288" s="27"/>
      <c r="N288" s="27"/>
      <c r="O288" s="26" t="s">
        <v>0</v>
      </c>
      <c r="P288" s="25">
        <f>P281+SUM(P283:P287)</f>
        <v>0</v>
      </c>
    </row>
    <row r="289" spans="1:19" s="10" customFormat="1" ht="13.5" hidden="1" customHeight="1" x14ac:dyDescent="0.2">
      <c r="A289" s="1321" t="s">
        <v>17</v>
      </c>
      <c r="B289" s="1321"/>
      <c r="C289" s="1321"/>
      <c r="D289" s="1320" t="str">
        <f>IF('päd.Personal - Leitung'!$D$1="","",'päd.Personal - Leitung'!$D$1)</f>
        <v/>
      </c>
      <c r="E289" s="1320"/>
      <c r="F289" s="1320"/>
      <c r="G289" s="1320"/>
      <c r="H289" s="1320"/>
      <c r="I289" s="1320"/>
      <c r="J289" s="1320"/>
      <c r="K289" s="1320"/>
      <c r="L289" s="1320"/>
      <c r="M289" s="1320"/>
      <c r="N289" s="1320"/>
    </row>
    <row r="290" spans="1:19" s="10" customFormat="1" ht="15" hidden="1" customHeight="1" x14ac:dyDescent="0.2">
      <c r="A290" s="1321" t="s">
        <v>16</v>
      </c>
      <c r="B290" s="1321"/>
      <c r="C290" s="1321" t="s">
        <v>14</v>
      </c>
      <c r="D290" s="1320" t="str">
        <f>IF('päd.Personal - Leitung'!$D$2="","",'päd.Personal - Leitung'!$D$2)</f>
        <v/>
      </c>
      <c r="E290" s="1320"/>
      <c r="F290" s="1320"/>
      <c r="G290" s="1320"/>
      <c r="H290" s="1320"/>
      <c r="I290" s="1320"/>
      <c r="J290" s="1320"/>
      <c r="K290" s="1320"/>
      <c r="L290" s="1320"/>
      <c r="M290" s="1320"/>
      <c r="N290" s="1320"/>
    </row>
    <row r="291" spans="1:19" s="10" customFormat="1" ht="15" hidden="1" customHeight="1" x14ac:dyDescent="0.2">
      <c r="A291" s="1321" t="s">
        <v>15</v>
      </c>
      <c r="B291" s="1321"/>
      <c r="C291" s="1321" t="s">
        <v>14</v>
      </c>
      <c r="D291" s="1320" t="str">
        <f>IF('päd.Personal - Leitung'!$D$3="","",'päd.Personal - Leitung'!$D$3)</f>
        <v/>
      </c>
      <c r="E291" s="1320"/>
      <c r="F291" s="1320"/>
      <c r="G291" s="1320"/>
      <c r="H291" s="1320"/>
      <c r="I291" s="1320"/>
      <c r="J291" s="1320"/>
      <c r="K291" s="1321" t="s">
        <v>100</v>
      </c>
      <c r="L291" s="1321"/>
      <c r="M291" s="1321"/>
      <c r="N291" s="38" t="str">
        <f>IF('päd.Personal - Leitung'!$N$3="","",'päd.Personal - Leitung'!$N$3)</f>
        <v/>
      </c>
    </row>
    <row r="292" spans="1:19" s="923" customFormat="1" ht="7.5" hidden="1" customHeight="1" x14ac:dyDescent="0.15">
      <c r="A292" s="1353"/>
      <c r="B292" s="1353"/>
      <c r="C292" s="1353"/>
      <c r="D292" s="1354"/>
      <c r="E292" s="1354"/>
      <c r="F292" s="1354"/>
      <c r="G292" s="1354"/>
      <c r="H292" s="1354"/>
      <c r="I292" s="1354"/>
      <c r="J292" s="1354"/>
      <c r="K292" s="922"/>
      <c r="L292" s="922"/>
      <c r="M292" s="922"/>
      <c r="N292" s="922"/>
      <c r="O292" s="922"/>
      <c r="P292" s="922"/>
    </row>
    <row r="293" spans="1:19" s="18" customFormat="1" hidden="1" x14ac:dyDescent="0.2">
      <c r="A293" s="1355" t="s">
        <v>205</v>
      </c>
      <c r="B293" s="1355"/>
      <c r="C293" s="1355"/>
      <c r="D293" s="1355"/>
      <c r="E293" s="1355"/>
      <c r="F293" s="1355"/>
      <c r="G293" s="1355"/>
      <c r="H293" s="1355"/>
      <c r="I293" s="1355"/>
      <c r="J293" s="1355"/>
      <c r="K293" s="1355"/>
      <c r="L293" s="1355"/>
      <c r="M293" s="1355"/>
      <c r="N293" s="52"/>
      <c r="O293" s="138">
        <f>'päd.Personal - Leitung'!$O$5</f>
        <v>2025</v>
      </c>
      <c r="P293" s="52" t="s">
        <v>140</v>
      </c>
    </row>
    <row r="294" spans="1:19" s="8" customFormat="1" ht="13.5" hidden="1" customHeight="1" x14ac:dyDescent="0.25">
      <c r="B294" s="29"/>
      <c r="C294" s="29"/>
      <c r="D294" s="3" t="s">
        <v>207</v>
      </c>
      <c r="E294" s="28"/>
      <c r="F294" s="28"/>
      <c r="G294" s="28"/>
      <c r="H294" s="28"/>
      <c r="I294" s="24"/>
      <c r="K294" s="1327" t="s">
        <v>13</v>
      </c>
      <c r="L294" s="1327"/>
      <c r="M294" s="131"/>
      <c r="O294" s="928" t="str">
        <f>A317</f>
        <v>Jan 2025</v>
      </c>
      <c r="P294" s="68">
        <f>IF(M296="","",M296)</f>
        <v>0</v>
      </c>
    </row>
    <row r="295" spans="1:19" s="5" customFormat="1" ht="13.5" hidden="1" customHeight="1" x14ac:dyDescent="0.25">
      <c r="A295" s="1328" t="s">
        <v>754</v>
      </c>
      <c r="B295" s="1328"/>
      <c r="C295" s="1328"/>
      <c r="D295" s="1329"/>
      <c r="E295" s="1329"/>
      <c r="F295" s="1329"/>
      <c r="G295" s="1329"/>
      <c r="H295" s="1329"/>
      <c r="I295" s="1329"/>
      <c r="K295" s="1327" t="s">
        <v>101</v>
      </c>
      <c r="L295" s="1327"/>
      <c r="M295" s="101"/>
      <c r="O295" s="928" t="str">
        <f t="shared" ref="O295:O305" si="42">A318</f>
        <v>Feb 2025</v>
      </c>
      <c r="P295" s="69">
        <f t="shared" ref="P295:P305" si="43">IF(P294="","",P294)</f>
        <v>0</v>
      </c>
    </row>
    <row r="296" spans="1:19" ht="13.5" hidden="1" customHeight="1" x14ac:dyDescent="0.2">
      <c r="A296" s="1328" t="s">
        <v>12</v>
      </c>
      <c r="B296" s="1328"/>
      <c r="C296" s="1328"/>
      <c r="D296" s="1345"/>
      <c r="E296" s="1345"/>
      <c r="F296" s="1345"/>
      <c r="G296" s="1345"/>
      <c r="H296" s="1345"/>
      <c r="I296" s="1345"/>
      <c r="K296" s="1327" t="s">
        <v>149</v>
      </c>
      <c r="L296" s="1327"/>
      <c r="M296" s="101">
        <f>IF((M297+M298)&gt;M295,0,M295-M297-M298)</f>
        <v>0</v>
      </c>
      <c r="O296" s="928" t="str">
        <f t="shared" si="42"/>
        <v>Mrz 2025</v>
      </c>
      <c r="P296" s="69">
        <f t="shared" si="43"/>
        <v>0</v>
      </c>
    </row>
    <row r="297" spans="1:19" ht="13.5" hidden="1" customHeight="1" x14ac:dyDescent="0.2">
      <c r="A297" s="1328" t="s">
        <v>11</v>
      </c>
      <c r="B297" s="1328"/>
      <c r="C297" s="1328"/>
      <c r="D297" s="1345"/>
      <c r="E297" s="1345"/>
      <c r="F297" s="1345"/>
      <c r="G297" s="1345"/>
      <c r="H297" s="1345"/>
      <c r="I297" s="1345"/>
      <c r="K297" s="1327" t="s">
        <v>150</v>
      </c>
      <c r="L297" s="1327"/>
      <c r="M297" s="101"/>
      <c r="O297" s="928" t="str">
        <f t="shared" si="42"/>
        <v>Apr 2025</v>
      </c>
      <c r="P297" s="69">
        <f t="shared" si="43"/>
        <v>0</v>
      </c>
    </row>
    <row r="298" spans="1:19" ht="13.5" hidden="1" customHeight="1" x14ac:dyDescent="0.2">
      <c r="A298" s="1328" t="s">
        <v>18</v>
      </c>
      <c r="B298" s="1328"/>
      <c r="C298" s="1328"/>
      <c r="D298" s="1345"/>
      <c r="E298" s="1345"/>
      <c r="F298" s="1345"/>
      <c r="G298" s="1345"/>
      <c r="H298" s="1345"/>
      <c r="I298" s="1345"/>
      <c r="K298" s="1327" t="s">
        <v>222</v>
      </c>
      <c r="L298" s="1327"/>
      <c r="M298" s="101"/>
      <c r="O298" s="928" t="str">
        <f t="shared" si="42"/>
        <v>Mai 2025</v>
      </c>
      <c r="P298" s="69">
        <f t="shared" si="43"/>
        <v>0</v>
      </c>
    </row>
    <row r="299" spans="1:19" ht="13.5" hidden="1" customHeight="1" x14ac:dyDescent="0.2">
      <c r="B299" s="6"/>
      <c r="C299" s="1012" t="s">
        <v>147</v>
      </c>
      <c r="D299" s="1324"/>
      <c r="E299" s="1324"/>
      <c r="F299" s="1359" t="s">
        <v>107</v>
      </c>
      <c r="G299" s="1359"/>
      <c r="H299" s="1361"/>
      <c r="I299" s="1361"/>
      <c r="K299" s="1327" t="s">
        <v>94</v>
      </c>
      <c r="L299" s="1327"/>
      <c r="M299" s="15" t="str">
        <f>IF(IF((COUNTIF(B317:B328,"&gt;0"))=0,0,(COUNTIF(B317:B328,"&gt;0")))&gt;Grundlagen!$C$26,Grundlagen!$C$26,IF((COUNTIF(B317:B328,"&gt;0"))=0,"",(COUNTIF(B317:B328,"&gt;0"))))</f>
        <v/>
      </c>
      <c r="O299" s="928" t="str">
        <f t="shared" si="42"/>
        <v>Jun 2025</v>
      </c>
      <c r="P299" s="69">
        <f t="shared" si="43"/>
        <v>0</v>
      </c>
    </row>
    <row r="300" spans="1:19" ht="13.5" hidden="1" customHeight="1" x14ac:dyDescent="0.2">
      <c r="F300" s="1359" t="s">
        <v>160</v>
      </c>
      <c r="G300" s="1359"/>
      <c r="H300" s="1361"/>
      <c r="I300" s="1361"/>
      <c r="M300" s="102" t="str">
        <f>IF((SUM(F302:F305))=0,"",IF(P306&gt;M296,M296,IF(M296="","",IF(M299="","",P306))))</f>
        <v/>
      </c>
      <c r="O300" s="928" t="str">
        <f t="shared" si="42"/>
        <v>Jul 2025</v>
      </c>
      <c r="P300" s="69">
        <f t="shared" si="43"/>
        <v>0</v>
      </c>
    </row>
    <row r="301" spans="1:19" s="46" customFormat="1" ht="13.5" hidden="1" customHeight="1" x14ac:dyDescent="0.2">
      <c r="A301" s="54" t="s">
        <v>134</v>
      </c>
      <c r="B301" s="1356" t="s">
        <v>135</v>
      </c>
      <c r="C301" s="1356"/>
      <c r="D301" s="55" t="s">
        <v>136</v>
      </c>
      <c r="E301" s="56" t="s">
        <v>137</v>
      </c>
      <c r="F301" s="57" t="str">
        <f>CONCATENATE("Entg. ",N291," h/Wo")</f>
        <v>Entg.  h/Wo</v>
      </c>
      <c r="G301" s="58" t="s">
        <v>138</v>
      </c>
      <c r="I301" s="58" t="s">
        <v>139</v>
      </c>
      <c r="K301" s="970"/>
      <c r="L301" s="970"/>
      <c r="M301" s="59"/>
      <c r="N301" s="968" t="str">
        <f>IF(A303="","",A303)</f>
        <v/>
      </c>
      <c r="O301" s="928" t="str">
        <f t="shared" si="42"/>
        <v>Aug 2025</v>
      </c>
      <c r="P301" s="69">
        <f t="shared" si="43"/>
        <v>0</v>
      </c>
      <c r="Q301" s="1027"/>
      <c r="R301" s="1025"/>
      <c r="S301" s="1025"/>
    </row>
    <row r="302" spans="1:19" s="46" customFormat="1" ht="13.5" hidden="1" customHeight="1" x14ac:dyDescent="0.25">
      <c r="A302" s="48" t="str">
        <f>A317</f>
        <v>Jan 2025</v>
      </c>
      <c r="B302" s="1357" t="str">
        <f>IF($D$3="","",$D$3)</f>
        <v/>
      </c>
      <c r="C302" s="1358"/>
      <c r="D302" s="132"/>
      <c r="E302" s="132"/>
      <c r="F302" s="71"/>
      <c r="G302" s="50">
        <f>IF(N291="",0,F302/N291/4.348)</f>
        <v>0</v>
      </c>
      <c r="I302" s="51">
        <f>SUM(J302:M302)</f>
        <v>0</v>
      </c>
      <c r="J302" s="70"/>
      <c r="K302" s="70"/>
      <c r="L302" s="70"/>
      <c r="M302" s="70"/>
      <c r="N302" s="983"/>
      <c r="O302" s="928" t="str">
        <f t="shared" si="42"/>
        <v>Sep 2025</v>
      </c>
      <c r="P302" s="69">
        <f t="shared" si="43"/>
        <v>0</v>
      </c>
      <c r="Q302" s="1026"/>
      <c r="R302" s="829"/>
      <c r="S302" s="1028"/>
    </row>
    <row r="303" spans="1:19" s="46" customFormat="1" ht="13.5" hidden="1" customHeight="1" x14ac:dyDescent="0.25">
      <c r="A303" s="49"/>
      <c r="B303" s="1322" t="str">
        <f>IF(A303="","",B302)</f>
        <v/>
      </c>
      <c r="C303" s="1323"/>
      <c r="D303" s="132"/>
      <c r="E303" s="132"/>
      <c r="F303" s="71"/>
      <c r="G303" s="50">
        <f>IF(N291="",0,F303/N291/4.348)</f>
        <v>0</v>
      </c>
      <c r="I303" s="51">
        <f t="shared" ref="I303:I305" si="44">SUM(J303:M303)</f>
        <v>0</v>
      </c>
      <c r="J303" s="70"/>
      <c r="K303" s="70"/>
      <c r="L303" s="70"/>
      <c r="M303" s="70"/>
      <c r="N303" s="983"/>
      <c r="O303" s="928" t="str">
        <f t="shared" si="42"/>
        <v>Okt 2025</v>
      </c>
      <c r="P303" s="69">
        <f t="shared" si="43"/>
        <v>0</v>
      </c>
      <c r="Q303" s="1026"/>
      <c r="R303" s="829"/>
      <c r="S303" s="1028"/>
    </row>
    <row r="304" spans="1:19" s="46" customFormat="1" ht="13.5" hidden="1" customHeight="1" x14ac:dyDescent="0.25">
      <c r="A304" s="49"/>
      <c r="B304" s="1322" t="str">
        <f>IF(A304="","",B303)</f>
        <v/>
      </c>
      <c r="C304" s="1323"/>
      <c r="D304" s="132"/>
      <c r="E304" s="132"/>
      <c r="F304" s="71"/>
      <c r="G304" s="50">
        <f>IF(N291="",0,F304/N291/4.348)</f>
        <v>0</v>
      </c>
      <c r="I304" s="51">
        <f t="shared" si="44"/>
        <v>0</v>
      </c>
      <c r="J304" s="70"/>
      <c r="K304" s="70"/>
      <c r="L304" s="70"/>
      <c r="M304" s="70"/>
      <c r="N304" s="983"/>
      <c r="O304" s="928" t="str">
        <f t="shared" si="42"/>
        <v>Nov 2025</v>
      </c>
      <c r="P304" s="69">
        <f t="shared" si="43"/>
        <v>0</v>
      </c>
      <c r="Q304" s="828"/>
      <c r="R304" s="829"/>
      <c r="S304" s="829"/>
    </row>
    <row r="305" spans="1:20" s="46" customFormat="1" ht="13.5" hidden="1" customHeight="1" x14ac:dyDescent="0.25">
      <c r="A305" s="49"/>
      <c r="B305" s="1322" t="str">
        <f>IF(A305="","",B304)</f>
        <v/>
      </c>
      <c r="C305" s="1323"/>
      <c r="D305" s="132"/>
      <c r="E305" s="132"/>
      <c r="F305" s="71"/>
      <c r="G305" s="50">
        <f>IF(N291="",0,F305/N291/4.348)</f>
        <v>0</v>
      </c>
      <c r="I305" s="51">
        <f t="shared" si="44"/>
        <v>0</v>
      </c>
      <c r="J305" s="70"/>
      <c r="K305" s="70"/>
      <c r="L305" s="70"/>
      <c r="M305" s="70"/>
      <c r="N305" s="983"/>
      <c r="O305" s="928" t="str">
        <f t="shared" si="42"/>
        <v>Dez 2025</v>
      </c>
      <c r="P305" s="69">
        <f t="shared" si="43"/>
        <v>0</v>
      </c>
      <c r="Q305" s="276"/>
      <c r="R305" s="827"/>
      <c r="S305" s="827"/>
    </row>
    <row r="306" spans="1:20" s="46" customFormat="1" ht="13.5" hidden="1" customHeight="1" x14ac:dyDescent="0.25">
      <c r="B306" s="972"/>
      <c r="C306" s="972"/>
      <c r="E306" s="972"/>
      <c r="F306" s="972"/>
      <c r="I306" s="930" t="s">
        <v>730</v>
      </c>
      <c r="J306" s="982"/>
      <c r="K306" s="982"/>
      <c r="L306" s="982"/>
      <c r="M306" s="982"/>
      <c r="N306" s="994"/>
      <c r="O306" s="126" t="s">
        <v>221</v>
      </c>
      <c r="P306" s="127">
        <f>IF(M299="",0,((IF(SUMIF(B317,"&gt;0"),P294,0))+(IF(SUMIF(B318,"&gt;0"),P295,0))+(IF(SUMIF(B319,"&gt;0"),P296,0))+(IF(SUMIF(B320,"&gt;0"),P297,0))+(IF(SUMIF(B321,"&gt;0"),P298,0))+(IF(SUMIF(B322,"&gt;0"),P299,0))+(IF(SUMIF(B323,"&gt;0"),P300,0))+(IF(SUMIF(B324,"&gt;0"),P301,0))+(IF(SUMIF(B325,"&gt;0"),P302,0))+(IF(SUMIF(B326,"&gt;0"),P303,0))+(IF(SUMIF(B327,"&gt;0"),P304,0))+(IF(SUMIF(B328,"&gt;0"),P305,0)))/Grundlagen!$C$26)</f>
        <v>0</v>
      </c>
      <c r="Q306" s="1009" t="str">
        <f>CONCATENATE("BBG"," anteilig ",O308)</f>
        <v>BBG anteilig 2025</v>
      </c>
      <c r="R306" s="931" t="s">
        <v>659</v>
      </c>
      <c r="S306" s="931" t="s">
        <v>398</v>
      </c>
      <c r="T306" s="107"/>
    </row>
    <row r="307" spans="1:20" s="46" customFormat="1" ht="13.5" hidden="1" customHeight="1" x14ac:dyDescent="0.2">
      <c r="A307" s="924" t="s">
        <v>732</v>
      </c>
      <c r="D307" s="55" t="s">
        <v>369</v>
      </c>
      <c r="E307" s="56" t="s">
        <v>368</v>
      </c>
      <c r="F307" s="58"/>
      <c r="J307" s="61"/>
      <c r="Q307" s="932" t="s">
        <v>144</v>
      </c>
      <c r="R307" s="140">
        <f>IF(M296=0,R311,IF(M295="",R311,(SUM(R317:R328)/M299)))</f>
        <v>5175</v>
      </c>
      <c r="S307" s="933">
        <f>IF(M296=0,S311,IF(M295="",S311,SUM(R317:R328)))</f>
        <v>0</v>
      </c>
      <c r="T307" s="107"/>
    </row>
    <row r="308" spans="1:20" s="46" customFormat="1" ht="13.5" hidden="1" customHeight="1" x14ac:dyDescent="0.25">
      <c r="A308" s="60"/>
      <c r="B308" s="1314" t="str">
        <f>IF($B$20="","",$B$20)</f>
        <v>Jahressonderzahlung (JSZ)</v>
      </c>
      <c r="C308" s="1315"/>
      <c r="D308" s="926"/>
      <c r="E308" s="929" t="str">
        <f>IF(A308="","",ROUND((((SUM(B323:B325)+SUM(F323:F325))/3)*D308)/Grundlagen!$C$26*M299,2))</f>
        <v/>
      </c>
      <c r="N308" s="917" t="s">
        <v>736</v>
      </c>
      <c r="O308" s="918">
        <f>P308+1</f>
        <v>2025</v>
      </c>
      <c r="P308" s="918" t="s">
        <v>721</v>
      </c>
      <c r="Q308" s="932" t="s">
        <v>145</v>
      </c>
      <c r="R308" s="140">
        <f>IF(M296=0,R312,IF(M295="",R312,(SUM(S317:S328)/M299)))</f>
        <v>7450</v>
      </c>
      <c r="S308" s="933">
        <f>IF(M296=0,S312,IF(M295="",S312,SUM(S317:S328)))</f>
        <v>0</v>
      </c>
      <c r="T308" s="109"/>
    </row>
    <row r="309" spans="1:20" s="18" customFormat="1" ht="14.25" hidden="1" customHeight="1" x14ac:dyDescent="0.2">
      <c r="A309" s="60"/>
      <c r="B309" s="1314" t="str">
        <f>IF($B$21="","",$B$21)</f>
        <v>Leistungsentgelt (LOB)</v>
      </c>
      <c r="C309" s="1315"/>
      <c r="D309" s="926"/>
      <c r="E309" s="929" t="str">
        <f>IF(A309="","",ROUND(((B329+F329)*D309)/Grundlagen!$C$26*M299,2))</f>
        <v/>
      </c>
      <c r="F309" s="1"/>
      <c r="N309" s="139" t="s">
        <v>144</v>
      </c>
      <c r="O309" s="141">
        <f>'päd.Personal - Leitung'!$O$21</f>
        <v>5175</v>
      </c>
      <c r="P309" s="141">
        <f>'päd.Personal - Leitung'!$P$21</f>
        <v>5175</v>
      </c>
      <c r="Q309" s="11"/>
      <c r="R309" s="11"/>
      <c r="S309" s="11"/>
      <c r="T309" s="109"/>
    </row>
    <row r="310" spans="1:20" s="18" customFormat="1" ht="14.25" hidden="1" customHeight="1" x14ac:dyDescent="0.2">
      <c r="A310" s="1"/>
      <c r="B310" s="1"/>
      <c r="C310" s="925" t="s">
        <v>731</v>
      </c>
      <c r="D310" s="1"/>
      <c r="E310" s="1"/>
      <c r="F310" s="1"/>
      <c r="N310" s="139" t="s">
        <v>145</v>
      </c>
      <c r="O310" s="899">
        <f>'päd.Personal - Leitung'!$O$22</f>
        <v>7450</v>
      </c>
      <c r="P310" s="899">
        <f>'päd.Personal - Leitung'!$P$22</f>
        <v>7450</v>
      </c>
      <c r="Q310" s="1009" t="str">
        <f>CONCATENATE("BBG"," ",O308)</f>
        <v>BBG 2025</v>
      </c>
      <c r="R310" s="11"/>
      <c r="S310" s="11"/>
      <c r="T310" s="109"/>
    </row>
    <row r="311" spans="1:20" s="18" customFormat="1" ht="14.25" hidden="1" customHeight="1" x14ac:dyDescent="0.2">
      <c r="A311" s="53" t="s">
        <v>141</v>
      </c>
      <c r="Q311" s="932" t="s">
        <v>144</v>
      </c>
      <c r="R311" s="141">
        <f>IF($O$21="",0,$O$21)</f>
        <v>5175</v>
      </c>
      <c r="S311" s="933">
        <f>R311*IF(M299="",0,M299)</f>
        <v>0</v>
      </c>
      <c r="T311" s="295"/>
    </row>
    <row r="312" spans="1:20" s="18" customFormat="1" ht="14.25" hidden="1" customHeight="1" x14ac:dyDescent="0.2">
      <c r="A312" s="1346"/>
      <c r="B312" s="1348" t="s">
        <v>8</v>
      </c>
      <c r="C312" s="1349"/>
      <c r="D312" s="1349"/>
      <c r="E312" s="1349"/>
      <c r="F312" s="1349"/>
      <c r="G312" s="1350"/>
      <c r="H312" s="1351" t="s">
        <v>113</v>
      </c>
      <c r="I312" s="1352"/>
      <c r="J312" s="1352"/>
      <c r="K312" s="1352"/>
      <c r="L312" s="1352"/>
      <c r="M312" s="1352"/>
      <c r="N312" s="1368" t="s">
        <v>658</v>
      </c>
      <c r="O312" s="30"/>
      <c r="P312" s="1330" t="s">
        <v>0</v>
      </c>
      <c r="Q312" s="932" t="s">
        <v>145</v>
      </c>
      <c r="R312" s="141">
        <f>IF($O$22="",0,$O$22)</f>
        <v>7450</v>
      </c>
      <c r="S312" s="933">
        <f>R312*IF(M299="",0,M299)</f>
        <v>0</v>
      </c>
      <c r="T312" s="830"/>
    </row>
    <row r="313" spans="1:20" s="18" customFormat="1" ht="14.25" hidden="1" customHeight="1" x14ac:dyDescent="0.2">
      <c r="A313" s="1347"/>
      <c r="B313" s="1333" t="s">
        <v>111</v>
      </c>
      <c r="C313" s="1335" t="s">
        <v>743</v>
      </c>
      <c r="D313" s="1337" t="s">
        <v>226</v>
      </c>
      <c r="E313" s="1339" t="s">
        <v>133</v>
      </c>
      <c r="F313" s="1014" t="s">
        <v>6</v>
      </c>
      <c r="G313" s="1340" t="s">
        <v>5</v>
      </c>
      <c r="H313" s="1339" t="s">
        <v>119</v>
      </c>
      <c r="I313" s="1339" t="s">
        <v>657</v>
      </c>
      <c r="J313" s="1339" t="s">
        <v>4</v>
      </c>
      <c r="K313" s="1339" t="s">
        <v>3</v>
      </c>
      <c r="L313" s="1339" t="s">
        <v>2</v>
      </c>
      <c r="M313" s="1339" t="s">
        <v>95</v>
      </c>
      <c r="N313" s="1369"/>
      <c r="O313" s="1338" t="s">
        <v>109</v>
      </c>
      <c r="P313" s="1331"/>
      <c r="Q313" s="456"/>
      <c r="R313" s="11"/>
      <c r="S313" s="11"/>
      <c r="T313" s="621"/>
    </row>
    <row r="314" spans="1:20" s="18" customFormat="1" ht="14.25" hidden="1" customHeight="1" x14ac:dyDescent="0.2">
      <c r="A314" s="1347"/>
      <c r="B314" s="1333"/>
      <c r="C314" s="1335"/>
      <c r="D314" s="1338"/>
      <c r="E314" s="1339"/>
      <c r="F314" s="1343" t="str">
        <f>I306</f>
        <v>Zuschläge / Zulagen / o.ä.:</v>
      </c>
      <c r="G314" s="1340"/>
      <c r="H314" s="1342" t="s">
        <v>117</v>
      </c>
      <c r="I314" s="1339"/>
      <c r="J314" s="1342"/>
      <c r="K314" s="1342"/>
      <c r="L314" s="1342"/>
      <c r="M314" s="1339"/>
      <c r="N314" s="1369"/>
      <c r="O314" s="1338"/>
      <c r="P314" s="1331"/>
      <c r="Q314" s="456"/>
      <c r="R314" s="1306" t="str">
        <f>Q306</f>
        <v>BBG anteilig 2025</v>
      </c>
      <c r="S314" s="1306"/>
      <c r="T314" s="829"/>
    </row>
    <row r="315" spans="1:20" s="18" customFormat="1" ht="14.25" hidden="1" customHeight="1" x14ac:dyDescent="0.2">
      <c r="A315" s="1347"/>
      <c r="B315" s="1333"/>
      <c r="C315" s="1335"/>
      <c r="D315" s="1338"/>
      <c r="E315" s="1339"/>
      <c r="F315" s="1343"/>
      <c r="G315" s="1340"/>
      <c r="H315" s="39" t="str">
        <f>'päd.Personal - Leitung'!$H$27</f>
        <v>(7,30% + Zusatz)</v>
      </c>
      <c r="I315" s="39" t="str">
        <f>$I$267</f>
        <v xml:space="preserve"> (2024: 18,60%)</v>
      </c>
      <c r="J315" s="39" t="str">
        <f>'päd.Personal - Leitung'!$I$27</f>
        <v xml:space="preserve"> (2024: 9,30%)</v>
      </c>
      <c r="K315" s="39" t="str">
        <f>'päd.Personal - Leitung'!$J$27</f>
        <v>(2024: 1,30%)</v>
      </c>
      <c r="L315" s="39" t="str">
        <f>'päd.Personal - Leitung'!$K$27</f>
        <v>(2024: 1,700%)</v>
      </c>
      <c r="M315" s="1339"/>
      <c r="N315" s="39" t="str">
        <f>$N$267</f>
        <v xml:space="preserve"> (2024: 20%)</v>
      </c>
      <c r="O315" s="1338"/>
      <c r="P315" s="1331"/>
      <c r="Q315" s="456"/>
      <c r="R315" s="1307" t="s">
        <v>659</v>
      </c>
      <c r="S315" s="1307"/>
      <c r="T315" s="829"/>
    </row>
    <row r="316" spans="1:20" s="18" customFormat="1" ht="14.25" hidden="1" customHeight="1" x14ac:dyDescent="0.2">
      <c r="A316" s="1347"/>
      <c r="B316" s="1334"/>
      <c r="C316" s="1336"/>
      <c r="D316" s="45"/>
      <c r="E316" s="45"/>
      <c r="F316" s="1344"/>
      <c r="G316" s="1341"/>
      <c r="H316" s="74"/>
      <c r="I316" s="19"/>
      <c r="J316" s="99">
        <f>'päd.Personal - Leitung'!$I$28</f>
        <v>0</v>
      </c>
      <c r="K316" s="99">
        <f>'päd.Personal - Leitung'!$J$28</f>
        <v>0</v>
      </c>
      <c r="L316" s="40">
        <f>'päd.Personal - Leitung'!$K$28</f>
        <v>0</v>
      </c>
      <c r="M316" s="19"/>
      <c r="N316" s="19"/>
      <c r="O316" s="19"/>
      <c r="P316" s="1332"/>
      <c r="Q316" s="456"/>
      <c r="R316" s="935" t="s">
        <v>144</v>
      </c>
      <c r="S316" s="935" t="s">
        <v>145</v>
      </c>
      <c r="T316" s="829"/>
    </row>
    <row r="317" spans="1:20" s="18" customFormat="1" hidden="1" x14ac:dyDescent="0.2">
      <c r="A317" s="76" t="str">
        <f>'päd.Personal - Leitung'!$A$29</f>
        <v>Jan 2025</v>
      </c>
      <c r="B317" s="22">
        <f>ROUND(IF(P294=0,0,(LOOKUP(2,1/(A302:A305=A317),G302:G305))*P294*4.348)*50%,2)</f>
        <v>0</v>
      </c>
      <c r="C317" s="21">
        <f>ROUND(IFERROR((LOOKUP(2,1/(A308=A317),E308)),0)+IFERROR((LOOKUP(2,1/(A309=A317),E309)),0),2)</f>
        <v>0</v>
      </c>
      <c r="D317" s="21">
        <f>ROUND(IF(B317=0,0,D316/M295*P294*50%),2)</f>
        <v>0</v>
      </c>
      <c r="E317" s="21">
        <f>ROUND(IF(B317=0,0,E316/N291*P294*50%),2)</f>
        <v>0</v>
      </c>
      <c r="F317" s="22">
        <f>ROUND(IF(P294=0,0,(LOOKUP(2,1/(A302:A305=A317),I302:I305))/N291*P294)*50%,2)</f>
        <v>0</v>
      </c>
      <c r="G317" s="25">
        <f>SUM(B317+C317+E317+F317)</f>
        <v>0</v>
      </c>
      <c r="H317" s="831">
        <f>ROUND(SUM(B317:F317)*H316,2)</f>
        <v>0</v>
      </c>
      <c r="I317" s="64">
        <f>ROUND(IF((SUM(B317:F317)*80%)&gt;((S317)*90%),((((S317)*90%)-((SUM(B317:F317)-C317))*I316)+((SUM(B317:F317)-C317)*I316)*80%),((SUM(B317:F317)-C317)*I316)*80%),2)</f>
        <v>0</v>
      </c>
      <c r="J317" s="831">
        <f>ROUND(SUM(B317:F317)*J316,2)</f>
        <v>0</v>
      </c>
      <c r="K317" s="831">
        <f>ROUND(SUM(B317:F317)*K316,2)</f>
        <v>0</v>
      </c>
      <c r="L317" s="831">
        <f>ROUND(SUM(B317:F317)*L316,2)</f>
        <v>0</v>
      </c>
      <c r="M317" s="831">
        <f>ROUND((SUM(B317:F317)-C317)*M316,2)</f>
        <v>0</v>
      </c>
      <c r="N317" s="21">
        <f>ROUND((B317+E317+F317)*N316,2)</f>
        <v>0</v>
      </c>
      <c r="O317" s="21">
        <f>ROUND(SUM(B317+C317+F317)*O316,2)</f>
        <v>0</v>
      </c>
      <c r="P317" s="25">
        <f>SUM(G317:O317)</f>
        <v>0</v>
      </c>
      <c r="Q317" s="456"/>
      <c r="R317" s="140">
        <f>ROUND(IF(M295="",R311,R311/M295*P294),2)</f>
        <v>5175</v>
      </c>
      <c r="S317" s="140">
        <f>ROUND(IF(M295="",R312,R312/M295*P294),2)</f>
        <v>7450</v>
      </c>
      <c r="T317" s="1"/>
    </row>
    <row r="318" spans="1:20" s="18" customFormat="1" hidden="1" x14ac:dyDescent="0.2">
      <c r="A318" s="76" t="str">
        <f>'päd.Personal - Leitung'!$A$30</f>
        <v>Feb 2025</v>
      </c>
      <c r="B318" s="22">
        <f>ROUND(IF(P295=0,0,IFERROR((((LOOKUP(2,1/(A302:A305=A318),G302:G305))*P295*4.348)*50%),B317/P294*P295)),2)</f>
        <v>0</v>
      </c>
      <c r="C318" s="21">
        <f>ROUND(IFERROR((LOOKUP(2,1/(A308=A318),E308)),0)+IFERROR((LOOKUP(2,1/(A309=A318),E309)),0),2)</f>
        <v>0</v>
      </c>
      <c r="D318" s="21">
        <f>ROUND(IF(B318=0,0,D316/M295*P295*50%),2)</f>
        <v>0</v>
      </c>
      <c r="E318" s="21">
        <f>ROUND(IF(B318=0,0,E316/N291*P295*50%),2)</f>
        <v>0</v>
      </c>
      <c r="F318" s="22">
        <f>ROUND(IF(P295=0,0,IFERROR((((LOOKUP(2,1/(A302:A305=A318),I302:I305))/N291*P295)*50%),F317/P294*P295)),2)</f>
        <v>0</v>
      </c>
      <c r="G318" s="25">
        <f t="shared" ref="G318:G328" si="45">SUM(B318+C318+E318+F318)</f>
        <v>0</v>
      </c>
      <c r="H318" s="831">
        <f>ROUND(SUM(B318:F318)*H316,2)</f>
        <v>0</v>
      </c>
      <c r="I318" s="64">
        <f>ROUND(IF((SUM(B318:F318)*80%)&gt;((SUM(S314:S318))*90%),((((SUM(S314:S318))*90%)-((SUM(B318:F318)-C318))*I316)+((SUM(B318:F318)-C318)*I316)*80%),((SUM(B318:F318)-C318)*I316)*80%),2)</f>
        <v>0</v>
      </c>
      <c r="J318" s="831">
        <f>ROUND(SUM(B318:F318)*J316,2)</f>
        <v>0</v>
      </c>
      <c r="K318" s="831">
        <f>ROUND(SUM(B318:F318)*K316,2)</f>
        <v>0</v>
      </c>
      <c r="L318" s="831">
        <f>ROUND(SUM(B318:F318)*L316,2)</f>
        <v>0</v>
      </c>
      <c r="M318" s="831">
        <f>ROUND((SUM(B318:F318)-C318)*M316,2)</f>
        <v>0</v>
      </c>
      <c r="N318" s="21">
        <f>ROUND((B318+E318+F318)*N316,2)</f>
        <v>0</v>
      </c>
      <c r="O318" s="21">
        <f>ROUND(SUM(B318+C318+F318)*O316,2)</f>
        <v>0</v>
      </c>
      <c r="P318" s="25">
        <f t="shared" ref="P318" si="46">SUM(G318:O318)</f>
        <v>0</v>
      </c>
      <c r="Q318" s="456"/>
      <c r="R318" s="140">
        <f>ROUND(IF(M295="",R311,R311/M295*P295),2)</f>
        <v>5175</v>
      </c>
      <c r="S318" s="140">
        <f>ROUND(IF(M295="",R312,R312/M295*P295),2)</f>
        <v>7450</v>
      </c>
      <c r="T318" s="1"/>
    </row>
    <row r="319" spans="1:20" s="18" customFormat="1" hidden="1" x14ac:dyDescent="0.2">
      <c r="A319" s="76" t="str">
        <f>'päd.Personal - Leitung'!$A$31</f>
        <v>Mrz 2025</v>
      </c>
      <c r="B319" s="22">
        <f>ROUND(IF(P296=0,0,IFERROR((((LOOKUP(2,1/(A302:A305=A319),G302:G305))*P296*4.348)*50%),B318/P295*P296)),2)</f>
        <v>0</v>
      </c>
      <c r="C319" s="21">
        <f>ROUND(IFERROR((LOOKUP(2,1/(A308=A319),E308)),0)+IFERROR((LOOKUP(2,1/(A309=A319),E309)),0),2)</f>
        <v>0</v>
      </c>
      <c r="D319" s="21">
        <f>ROUND(IF(B319=0,0,D316/M295*P296*50%),2)</f>
        <v>0</v>
      </c>
      <c r="E319" s="21">
        <f>ROUND(IF(B319=0,0,E316/N291*P296*50%),2)</f>
        <v>0</v>
      </c>
      <c r="F319" s="22">
        <f>ROUND(IF(P296=0,0,IFERROR((((LOOKUP(2,1/(A302:A305=A319),I302:I305))/N291*P296)*50%),F318/P295*P296)),2)</f>
        <v>0</v>
      </c>
      <c r="G319" s="25">
        <f t="shared" si="45"/>
        <v>0</v>
      </c>
      <c r="H319" s="831">
        <f>ROUND(SUM(B319:F319)*H316,2)</f>
        <v>0</v>
      </c>
      <c r="I319" s="64">
        <f>ROUND(IF((SUM(B318:F319)*80%)&gt;((SUM(S314:S319))*90%),((((SUM(S314:S319))*90%)-((SUM(B318:F319)-C319))*I316)+((SUM(B319:F319)-C319)*I316)*80%),((SUM(B319:F319)-C319)*I316)*80%),2)</f>
        <v>0</v>
      </c>
      <c r="J319" s="831">
        <f>ROUND(SUM(B319:F319)*J316,2)</f>
        <v>0</v>
      </c>
      <c r="K319" s="831">
        <f>ROUND(SUM(B319:F319)*K316,2)</f>
        <v>0</v>
      </c>
      <c r="L319" s="831">
        <f>ROUND(SUM(B319:F319)*L316,2)</f>
        <v>0</v>
      </c>
      <c r="M319" s="831">
        <f>ROUND((SUM(B319:F319)-C319)*M316,2)</f>
        <v>0</v>
      </c>
      <c r="N319" s="21">
        <f>ROUND((B319+E319+F319)*N316,2)</f>
        <v>0</v>
      </c>
      <c r="O319" s="21">
        <f>ROUND(SUM(B319+C319+F319)*O316,2)</f>
        <v>0</v>
      </c>
      <c r="P319" s="25">
        <f t="shared" ref="P319:P328" si="47">SUM(G319:O319)</f>
        <v>0</v>
      </c>
      <c r="Q319" s="456"/>
      <c r="R319" s="140">
        <f>ROUND(IF(M295="",R311,R311/M295*P296),2)</f>
        <v>5175</v>
      </c>
      <c r="S319" s="140">
        <f>ROUND(IF(M295="",R312,R312/M295*P296),2)</f>
        <v>7450</v>
      </c>
      <c r="T319" s="1"/>
    </row>
    <row r="320" spans="1:20" s="18" customFormat="1" hidden="1" x14ac:dyDescent="0.2">
      <c r="A320" s="76" t="str">
        <f>'päd.Personal - Leitung'!$A$32</f>
        <v>Apr 2025</v>
      </c>
      <c r="B320" s="22">
        <f>ROUND(IF(P297=0,0,IFERROR((((LOOKUP(2,1/(A302:A305=A320),G302:G305))*P297*4.348)*50%),B319/P296*P297)),2)</f>
        <v>0</v>
      </c>
      <c r="C320" s="21">
        <f>ROUND(IFERROR((LOOKUP(2,1/(A308=A320),E308)),0)+IFERROR((LOOKUP(2,1/(A309=A320),E309)),0),2)</f>
        <v>0</v>
      </c>
      <c r="D320" s="21">
        <f>ROUND(IF(B320=0,0,D316/M295*P297*50%),2)</f>
        <v>0</v>
      </c>
      <c r="E320" s="21">
        <f>ROUND(IF(B320=0,0,E316/N291*P297*50%),2)</f>
        <v>0</v>
      </c>
      <c r="F320" s="22">
        <f>ROUND(IF(P297=0,0,IFERROR((((LOOKUP(2,1/(A302:A305=A320),I302:I305))/N291*P297)*50%),F319/P296*P297)),2)</f>
        <v>0</v>
      </c>
      <c r="G320" s="25">
        <f t="shared" si="45"/>
        <v>0</v>
      </c>
      <c r="H320" s="831">
        <f>ROUND(SUM(B320:F320)*H316,2)</f>
        <v>0</v>
      </c>
      <c r="I320" s="64">
        <f>ROUND(IF((SUM(B318:F320)*80%)&gt;((SUM(S314:S320))*90%),((((SUM(S314:S320))*90%)-((SUM(B318:F320)-C320))*I316)+((SUM(B320:F320)-C320)*I316)*80%),((SUM(B320:F320)-C320)*I316)*80%),2)</f>
        <v>0</v>
      </c>
      <c r="J320" s="831">
        <f>ROUND(SUM(B320:F320)*J316,2)</f>
        <v>0</v>
      </c>
      <c r="K320" s="831">
        <f>ROUND(SUM(B320:F320)*K316,2)</f>
        <v>0</v>
      </c>
      <c r="L320" s="831">
        <f>ROUND(SUM(B320:F320)*L316,2)</f>
        <v>0</v>
      </c>
      <c r="M320" s="831">
        <f>ROUND((SUM(B320:F320)-C320)*M316,2)</f>
        <v>0</v>
      </c>
      <c r="N320" s="21">
        <f>ROUND((B320+E320+F320)*N316,2)</f>
        <v>0</v>
      </c>
      <c r="O320" s="21">
        <f>ROUND(SUM(B320+C320+F320)*O316,2)</f>
        <v>0</v>
      </c>
      <c r="P320" s="25">
        <f t="shared" si="47"/>
        <v>0</v>
      </c>
      <c r="Q320" s="456"/>
      <c r="R320" s="140">
        <f>ROUND(IF(M295="",R311,R311/M295*P297),2)</f>
        <v>5175</v>
      </c>
      <c r="S320" s="140">
        <f>ROUND(IF(M295="",R312,R312/M295*P297),2)</f>
        <v>7450</v>
      </c>
      <c r="T320" s="1"/>
    </row>
    <row r="321" spans="1:20" s="18" customFormat="1" hidden="1" x14ac:dyDescent="0.2">
      <c r="A321" s="76" t="str">
        <f>'päd.Personal - Leitung'!$A$33</f>
        <v>Mai 2025</v>
      </c>
      <c r="B321" s="22">
        <f>ROUND(IF(P298=0,0,IFERROR((((LOOKUP(2,1/(A302:A305=A321),G302:G305))*P298*4.348)*50%),B320/P297*P298)),2)</f>
        <v>0</v>
      </c>
      <c r="C321" s="21">
        <f>ROUND(IFERROR((LOOKUP(2,1/(A308=A321),E308)),0)+IFERROR((LOOKUP(2,1/(A309=A321),E309)),0),2)</f>
        <v>0</v>
      </c>
      <c r="D321" s="21">
        <f>ROUND(IF(B321=0,0,D316/M295*P298*50%),2)</f>
        <v>0</v>
      </c>
      <c r="E321" s="21">
        <f>ROUND(IF(B321=0,0,E316/N291*P298*50%),2)</f>
        <v>0</v>
      </c>
      <c r="F321" s="22">
        <f>ROUND(IF(P298=0,0,IFERROR((((LOOKUP(2,1/(A302:A305=A321),I302:I305))/N291*P298)*50%),F320/P297*P298)),2)</f>
        <v>0</v>
      </c>
      <c r="G321" s="25">
        <f t="shared" si="45"/>
        <v>0</v>
      </c>
      <c r="H321" s="831">
        <f>ROUND(SUM(B321:F321)*H316,2)</f>
        <v>0</v>
      </c>
      <c r="I321" s="64">
        <f>ROUND(IF((SUM(B318:F321)*80%)&gt;((SUM(S314:S321))*90%),((((SUM(S314:S321))*90%)-((SUM(B318:F321)-C321))*I316)+((SUM(B321:F321)-C321)*I316)*80%),((SUM(B321:F321)-C321)*I316)*80%),2)</f>
        <v>0</v>
      </c>
      <c r="J321" s="831">
        <f>ROUND(SUM(B321:F321)*J316,2)</f>
        <v>0</v>
      </c>
      <c r="K321" s="831">
        <f>ROUND(SUM(B321:F321)*K316,2)</f>
        <v>0</v>
      </c>
      <c r="L321" s="831">
        <f>ROUND(SUM(B321:F321)*L316,2)</f>
        <v>0</v>
      </c>
      <c r="M321" s="831">
        <f>ROUND((SUM(B321:F321)-C321)*M316,2)</f>
        <v>0</v>
      </c>
      <c r="N321" s="21">
        <f>ROUND((B321+E321+F321)*N316,2)</f>
        <v>0</v>
      </c>
      <c r="O321" s="21">
        <f>ROUND(SUM(B321+C321+F321)*O316,2)</f>
        <v>0</v>
      </c>
      <c r="P321" s="25">
        <f t="shared" si="47"/>
        <v>0</v>
      </c>
      <c r="Q321" s="456"/>
      <c r="R321" s="140">
        <f>ROUND(IF(M295="",R311,R311/M295*P298),2)</f>
        <v>5175</v>
      </c>
      <c r="S321" s="140">
        <f>ROUND(IF(M295="",R312,R312/M295*P298),2)</f>
        <v>7450</v>
      </c>
      <c r="T321" s="1"/>
    </row>
    <row r="322" spans="1:20" s="18" customFormat="1" hidden="1" x14ac:dyDescent="0.2">
      <c r="A322" s="76" t="str">
        <f>'päd.Personal - Leitung'!$A$34</f>
        <v>Jun 2025</v>
      </c>
      <c r="B322" s="22">
        <f>ROUND(IF(P299=0,0,IFERROR((((LOOKUP(2,1/(A302:A305=A322),G302:G305))*P299*4.348)*50%),B321/P298*P299)),2)</f>
        <v>0</v>
      </c>
      <c r="C322" s="21">
        <f>ROUND(IFERROR((LOOKUP(2,1/(A308=A322),E308)),0)+IFERROR((LOOKUP(2,1/(A309=A322),E309)),0),2)</f>
        <v>0</v>
      </c>
      <c r="D322" s="21">
        <f>ROUND(IF(B322=0,0,D316/M295*P299*50%),2)</f>
        <v>0</v>
      </c>
      <c r="E322" s="21">
        <f>ROUND(IF(B322=0,0,E316/N291*P299*50%),2)</f>
        <v>0</v>
      </c>
      <c r="F322" s="22">
        <f>ROUND(IF(P299=0,0,IFERROR((((LOOKUP(2,1/(A302:A305=A322),I302:I305))/N291*P299)*50%),F321/P298*P299)),2)</f>
        <v>0</v>
      </c>
      <c r="G322" s="25">
        <f t="shared" si="45"/>
        <v>0</v>
      </c>
      <c r="H322" s="831">
        <f>ROUND(SUM(B322:F322)*H316,2)</f>
        <v>0</v>
      </c>
      <c r="I322" s="64">
        <f>ROUND(IF((SUM(B318:F322)*80%)&gt;((SUM(S314:S322))*90%),((((SUM(S314:S322))*90%)-((SUM(B318:F322)-C322))*I316)+((SUM(B322:F322)-C322)*I316)*80%),((SUM(B322:F322)-C322)*I316)*80%),2)</f>
        <v>0</v>
      </c>
      <c r="J322" s="831">
        <f>ROUND(SUM(B322:F322)*J316,2)</f>
        <v>0</v>
      </c>
      <c r="K322" s="831">
        <f>ROUND(SUM(B322:F322)*K316,2)</f>
        <v>0</v>
      </c>
      <c r="L322" s="831">
        <f>ROUND(SUM(B322:F322)*L316,2)</f>
        <v>0</v>
      </c>
      <c r="M322" s="831">
        <f>ROUND((SUM(B322:F322)-C322)*M316,2)</f>
        <v>0</v>
      </c>
      <c r="N322" s="21">
        <f>ROUND((B322+E322+F322)*N316,2)</f>
        <v>0</v>
      </c>
      <c r="O322" s="21">
        <f>ROUND(SUM(B322+C322+F322)*O316,2)</f>
        <v>0</v>
      </c>
      <c r="P322" s="25">
        <f t="shared" si="47"/>
        <v>0</v>
      </c>
      <c r="Q322" s="456"/>
      <c r="R322" s="140">
        <f>ROUND(IF(M295="",R311,R311/M295*P299),2)</f>
        <v>5175</v>
      </c>
      <c r="S322" s="140">
        <f>ROUND(IF(M295="",R312,R312/M295*P299),2)</f>
        <v>7450</v>
      </c>
      <c r="T322" s="1"/>
    </row>
    <row r="323" spans="1:20" s="18" customFormat="1" hidden="1" x14ac:dyDescent="0.2">
      <c r="A323" s="76" t="str">
        <f>'päd.Personal - Leitung'!$A$35</f>
        <v>Jul 2025</v>
      </c>
      <c r="B323" s="22">
        <f>ROUND(IF(P300=0,0,IFERROR((((LOOKUP(2,1/(A302:A305=A323),G302:G305))*P300*4.348)*50%),B322/P299*P300)),2)</f>
        <v>0</v>
      </c>
      <c r="C323" s="21">
        <f>ROUND(IFERROR((LOOKUP(2,1/(A308=A323),E308)),0)+IFERROR((LOOKUP(2,1/(A309=A323),E309)),0),2)</f>
        <v>0</v>
      </c>
      <c r="D323" s="21">
        <f>ROUND(IF(B323=0,0,D316/M295*P300*50%),2)</f>
        <v>0</v>
      </c>
      <c r="E323" s="21">
        <f>ROUND(IF(B323=0,0,E316/N291*P300*50%),2)</f>
        <v>0</v>
      </c>
      <c r="F323" s="22">
        <f>ROUND(IF(P300=0,0,IFERROR((((LOOKUP(2,1/(A302:A305=A323),I302:I305))/N291*P300)*50%),F322/P299*P300)),2)</f>
        <v>0</v>
      </c>
      <c r="G323" s="25">
        <f t="shared" si="45"/>
        <v>0</v>
      </c>
      <c r="H323" s="831">
        <f>ROUND(SUM(B323:F323)*H316,2)</f>
        <v>0</v>
      </c>
      <c r="I323" s="64">
        <f>ROUND(IF((SUM(B318:F323)*80%)&gt;((SUM(S314:S323))*90%),((((SUM(S314:S323))*90%)-((SUM(B318:F323)-C323))*I316)+((SUM(B323:F323)-C323)*I316)*80%),((SUM(B323:F323)-C323)*I316)*80%),2)</f>
        <v>0</v>
      </c>
      <c r="J323" s="831">
        <f>ROUND(SUM(B323:F323)*J316,2)</f>
        <v>0</v>
      </c>
      <c r="K323" s="831">
        <f>ROUND(SUM(B323:F323)*K316,2)</f>
        <v>0</v>
      </c>
      <c r="L323" s="831">
        <f>ROUND(SUM(B323:F323)*L316,2)</f>
        <v>0</v>
      </c>
      <c r="M323" s="831">
        <f>ROUND((SUM(B323:F323)-C323)*M316,2)</f>
        <v>0</v>
      </c>
      <c r="N323" s="21">
        <f>ROUND((B323+E323+F323)*N316,2)</f>
        <v>0</v>
      </c>
      <c r="O323" s="21">
        <f>ROUND(SUM(B323+C323+F323)*O316,2)</f>
        <v>0</v>
      </c>
      <c r="P323" s="25">
        <f t="shared" si="47"/>
        <v>0</v>
      </c>
      <c r="Q323" s="456"/>
      <c r="R323" s="140">
        <f>ROUND(IF(M295="",R311,R311/M295*P300),2)</f>
        <v>5175</v>
      </c>
      <c r="S323" s="140">
        <f>ROUND(IF(M295="",R312,R312/M295*P300),2)</f>
        <v>7450</v>
      </c>
      <c r="T323" s="1"/>
    </row>
    <row r="324" spans="1:20" s="18" customFormat="1" hidden="1" x14ac:dyDescent="0.2">
      <c r="A324" s="76" t="str">
        <f>'päd.Personal - Leitung'!$A$36</f>
        <v>Aug 2025</v>
      </c>
      <c r="B324" s="22">
        <f>ROUND(IF(P301=0,0,IFERROR((((LOOKUP(2,1/(A302:A305=A324),G302:G305))*P301*4.348)*50%),B323/P300*P301)),2)</f>
        <v>0</v>
      </c>
      <c r="C324" s="21">
        <f>ROUND(IFERROR((LOOKUP(2,1/(A308=A324),E308)),0)+IFERROR((LOOKUP(2,1/(A309=A324),E309)),0),2)</f>
        <v>0</v>
      </c>
      <c r="D324" s="21">
        <f>ROUND(IF(B324=0,0,D316/M295*P301*50%),2)</f>
        <v>0</v>
      </c>
      <c r="E324" s="21">
        <f>ROUND(IF(B324=0,0,E316/N291*P301*50%),2)</f>
        <v>0</v>
      </c>
      <c r="F324" s="22">
        <f>ROUND(IF(P301=0,0,IFERROR((((LOOKUP(2,1/(A302:A305=A324),I302:I305))/N291*P301)*50%),F323/P300*P301)),2)</f>
        <v>0</v>
      </c>
      <c r="G324" s="25">
        <f t="shared" si="45"/>
        <v>0</v>
      </c>
      <c r="H324" s="831">
        <f>ROUND(SUM(B324:F324)*H316,2)</f>
        <v>0</v>
      </c>
      <c r="I324" s="64">
        <f>ROUND(IF((SUM(B318:F324)*80%)&gt;((SUM(S314:S324))*90%),((((SUM(S314:S324))*90%)-((SUM(B318:F324)-C324))*I316)+((SUM(B324:F324)-C324)*I316)*80%),((SUM(B324:F324)-C324)*I316)*80%),2)</f>
        <v>0</v>
      </c>
      <c r="J324" s="831">
        <f>ROUND(SUM(B324:F324)*J316,2)</f>
        <v>0</v>
      </c>
      <c r="K324" s="831">
        <f>ROUND(SUM(B324:F324)*K316,2)</f>
        <v>0</v>
      </c>
      <c r="L324" s="831">
        <f>ROUND(SUM(B324:F324)*L316,2)</f>
        <v>0</v>
      </c>
      <c r="M324" s="831">
        <f>ROUND((SUM(B324:F324)-C324)*M316,2)</f>
        <v>0</v>
      </c>
      <c r="N324" s="21">
        <f>ROUND((B324+E324+F324)*N316,2)</f>
        <v>0</v>
      </c>
      <c r="O324" s="21">
        <f>ROUND(SUM(B324+C324+F324)*O316,2)</f>
        <v>0</v>
      </c>
      <c r="P324" s="25">
        <f t="shared" si="47"/>
        <v>0</v>
      </c>
      <c r="Q324" s="456"/>
      <c r="R324" s="140">
        <f>ROUND(IF(M295="",R311,R311/M295*P301),2)</f>
        <v>5175</v>
      </c>
      <c r="S324" s="140">
        <f>ROUND(IF(M295="",R312,R312/M295*P301),2)</f>
        <v>7450</v>
      </c>
      <c r="T324" s="1"/>
    </row>
    <row r="325" spans="1:20" s="18" customFormat="1" hidden="1" x14ac:dyDescent="0.2">
      <c r="A325" s="76" t="str">
        <f>'päd.Personal - Leitung'!$A$37</f>
        <v>Sep 2025</v>
      </c>
      <c r="B325" s="22">
        <f>ROUND(IF(P302=0,0,IFERROR((((LOOKUP(2,1/(A302:A305=A325),G302:G305))*P302*4.348)*50%),B324/P301*P302)),2)</f>
        <v>0</v>
      </c>
      <c r="C325" s="21">
        <f>ROUND(IFERROR((LOOKUP(2,1/(A308=A325),E308)),0)+IFERROR((LOOKUP(2,1/(A309=A325),E309)),0),2)</f>
        <v>0</v>
      </c>
      <c r="D325" s="21">
        <f>ROUND(IF(B325=0,0,D316/M295*P302*50%),2)</f>
        <v>0</v>
      </c>
      <c r="E325" s="21">
        <f>ROUND(IF(B325=0,0,E316/N291*P302*50%),2)</f>
        <v>0</v>
      </c>
      <c r="F325" s="22">
        <f>ROUND(IF(P302=0,0,IFERROR((((LOOKUP(2,1/(A302:A305=A325),I302:I305))/N291*P302)*50%),F324/P301*P302)),2)</f>
        <v>0</v>
      </c>
      <c r="G325" s="25">
        <f t="shared" si="45"/>
        <v>0</v>
      </c>
      <c r="H325" s="831">
        <f>ROUND(SUM(B325:F325)*H316,2)</f>
        <v>0</v>
      </c>
      <c r="I325" s="64">
        <f>ROUND(IF((SUM(B318:F325)*80%)&gt;((SUM(S314:S325))*90%),((((SUM(S314:S325))*90%)-((SUM(B318:F325)-C325))*I316)+((SUM(B325:F325)-C325)*I316)*80%),((SUM(B325:F325)-C325)*I316)*80%),2)</f>
        <v>0</v>
      </c>
      <c r="J325" s="831">
        <f>ROUND(SUM(B325:F325)*J316,2)</f>
        <v>0</v>
      </c>
      <c r="K325" s="831">
        <f>ROUND(SUM(B325:F325)*K316,2)</f>
        <v>0</v>
      </c>
      <c r="L325" s="831">
        <f>ROUND(SUM(B325:F325)*L316,2)</f>
        <v>0</v>
      </c>
      <c r="M325" s="831">
        <f>ROUND((SUM(B325:F325)-C325)*M316,2)</f>
        <v>0</v>
      </c>
      <c r="N325" s="21">
        <f>ROUND((B325+E325+F325)*N316,2)</f>
        <v>0</v>
      </c>
      <c r="O325" s="21">
        <f>ROUND(SUM(B325+C325+F325)*O316,2)</f>
        <v>0</v>
      </c>
      <c r="P325" s="25">
        <f t="shared" si="47"/>
        <v>0</v>
      </c>
      <c r="Q325" s="456"/>
      <c r="R325" s="140">
        <f>ROUND(IF(M295="",R311,R311/M295*P302),2)</f>
        <v>5175</v>
      </c>
      <c r="S325" s="140">
        <f>ROUND(IF(M295="",R312,R312/M295*P302),2)</f>
        <v>7450</v>
      </c>
      <c r="T325" s="1"/>
    </row>
    <row r="326" spans="1:20" s="18" customFormat="1" ht="15" hidden="1" x14ac:dyDescent="0.25">
      <c r="A326" s="76" t="str">
        <f>'päd.Personal - Leitung'!$A$38</f>
        <v>Okt 2025</v>
      </c>
      <c r="B326" s="22">
        <f>ROUND(IF(P303=0,0,IFERROR((((LOOKUP(2,1/(A302:A305=A326),G302:G305))*P303*4.348)*50%),B325/P302*P303)),2)</f>
        <v>0</v>
      </c>
      <c r="C326" s="21">
        <f>ROUND(IFERROR((LOOKUP(2,1/(A308=A326),E308)),0)+IFERROR((LOOKUP(2,1/(A309=A326),E309)),0),2)</f>
        <v>0</v>
      </c>
      <c r="D326" s="21">
        <f>ROUND(IF(B326=0,0,D316/M295*P303*50%),2)</f>
        <v>0</v>
      </c>
      <c r="E326" s="21">
        <f>ROUND(IF(B326=0,0,E316/N291*P303*50%),2)</f>
        <v>0</v>
      </c>
      <c r="F326" s="22">
        <f>ROUND(IF(P303=0,0,IFERROR((((LOOKUP(2,1/(A302:A305=A326),I302:I305))/N291*P303)*50%),F325/P302*P303)),2)</f>
        <v>0</v>
      </c>
      <c r="G326" s="25">
        <f t="shared" si="45"/>
        <v>0</v>
      </c>
      <c r="H326" s="831">
        <f>ROUND(SUM(B326:F326)*H316,2)</f>
        <v>0</v>
      </c>
      <c r="I326" s="64">
        <f>ROUND(IF((SUM(B318:F326)*80%)&gt;((SUM(S314:S326))*90%),((((SUM(S314:S326))*90%)-((SUM(B318:F326)-C326))*I316)+((SUM(B326:F326)-C326)*I316)*80%),((SUM(B326:F326)-C326)*I316)*80%),2)</f>
        <v>0</v>
      </c>
      <c r="J326" s="831">
        <f>ROUND(SUM(B326:F326)*J316,2)</f>
        <v>0</v>
      </c>
      <c r="K326" s="831">
        <f>ROUND(SUM(B326:F326)*K316,2)</f>
        <v>0</v>
      </c>
      <c r="L326" s="831">
        <f>ROUND(SUM(B326:F326)*L316,2)</f>
        <v>0</v>
      </c>
      <c r="M326" s="831">
        <f>ROUND((SUM(B326:F326)-C326)*M316,2)</f>
        <v>0</v>
      </c>
      <c r="N326" s="21">
        <f>ROUND((B326+E326+F326)*N316,2)</f>
        <v>0</v>
      </c>
      <c r="O326" s="21">
        <f>ROUND(SUM(B326+C326+F326)*O316,2)</f>
        <v>0</v>
      </c>
      <c r="P326" s="25">
        <f t="shared" si="47"/>
        <v>0</v>
      </c>
      <c r="Q326" s="936"/>
      <c r="R326" s="140">
        <f>ROUND(IF(M295="",R311,R311/M295*P303),2)</f>
        <v>5175</v>
      </c>
      <c r="S326" s="140">
        <f>ROUND(IF(M295="",R312,R312/M295*P303),2)</f>
        <v>7450</v>
      </c>
      <c r="T326" s="12"/>
    </row>
    <row r="327" spans="1:20" s="18" customFormat="1" hidden="1" x14ac:dyDescent="0.2">
      <c r="A327" s="76" t="str">
        <f>'päd.Personal - Leitung'!$A$39</f>
        <v>Nov 2025</v>
      </c>
      <c r="B327" s="22">
        <f>ROUND(IF(P304=0,0,IFERROR((((LOOKUP(2,1/(A302:A305=A327),G302:G305))*P304*4.348)*50%),B326/P303*P304)),2)</f>
        <v>0</v>
      </c>
      <c r="C327" s="21">
        <f>ROUND(IFERROR((LOOKUP(2,1/(A308=A327),E308)),0)+(IFERROR((LOOKUP(2,1/(A309=A327),E309)),0)),2)</f>
        <v>0</v>
      </c>
      <c r="D327" s="21">
        <f>ROUND(IF(B327=0,0,D316/M295*P304*50%),2)</f>
        <v>0</v>
      </c>
      <c r="E327" s="21">
        <f>ROUND(IF(B327=0,0,E316/N291*P304*50%),2)</f>
        <v>0</v>
      </c>
      <c r="F327" s="22">
        <f>ROUND(IF(P304=0,0,IFERROR((((LOOKUP(2,1/(A302:A305=A327),I302:I305))/N291*P304)*50%),F326/P303*P304)),2)</f>
        <v>0</v>
      </c>
      <c r="G327" s="25">
        <f t="shared" si="45"/>
        <v>0</v>
      </c>
      <c r="H327" s="831">
        <f>ROUND(SUM(B327:F327)*H316,2)</f>
        <v>0</v>
      </c>
      <c r="I327" s="64">
        <f>ROUND(IF((SUM(B318:F327)*80%)&gt;((SUM(S314:S327))*90%),((((SUM(S314:S327))*90%)-((SUM(B318:F327)-C327))*I316)+((SUM(B327:F327)-C327)*I316)*80%),((SUM(B327:F327)-C327)*I316)*80%),2)</f>
        <v>0</v>
      </c>
      <c r="J327" s="831">
        <f>ROUND(SUM(B327:F327)*J316,2)</f>
        <v>0</v>
      </c>
      <c r="K327" s="831">
        <f>ROUND(SUM(B327:F327)*K316,2)</f>
        <v>0</v>
      </c>
      <c r="L327" s="831">
        <f>ROUND(SUM(B327:F327)*L316,2)</f>
        <v>0</v>
      </c>
      <c r="M327" s="831">
        <f>ROUND((SUM(B327:F327)-C327)*M316,2)</f>
        <v>0</v>
      </c>
      <c r="N327" s="21">
        <f>ROUND((B327+E327+F327)*N316,2)</f>
        <v>0</v>
      </c>
      <c r="O327" s="21">
        <f>ROUND(SUM(B327+C327+F327)*O316,2)</f>
        <v>0</v>
      </c>
      <c r="P327" s="25">
        <f t="shared" si="47"/>
        <v>0</v>
      </c>
      <c r="Q327" s="11"/>
      <c r="R327" s="140">
        <f>ROUND(IF(M295="",R311,R311/M295*P304),2)</f>
        <v>5175</v>
      </c>
      <c r="S327" s="140">
        <f>ROUND(IF(M295="",R312,R312/M295*P304),2)</f>
        <v>7450</v>
      </c>
      <c r="T327" s="11"/>
    </row>
    <row r="328" spans="1:20" s="18" customFormat="1" hidden="1" x14ac:dyDescent="0.2">
      <c r="A328" s="76" t="str">
        <f>'päd.Personal - Leitung'!$A$40</f>
        <v>Dez 2025</v>
      </c>
      <c r="B328" s="22">
        <f>ROUND(IF(P305=0,0,IFERROR((((LOOKUP(2,1/(A302:A305=A328),G302:G305))*P305*4.348)*50%),B327/P304*P305)),2)</f>
        <v>0</v>
      </c>
      <c r="C328" s="21">
        <f>ROUND(IFERROR((LOOKUP(2,1/(A308=A328),E308)),0)+IFERROR((LOOKUP(2,1/(A309=A328),E309)),0),2)</f>
        <v>0</v>
      </c>
      <c r="D328" s="21">
        <f>ROUND(IF(B328=0,0,D316/M295*P305*50%),2)</f>
        <v>0</v>
      </c>
      <c r="E328" s="21">
        <f>ROUND(IF(B328=0,0,E316/N291*P305*50%),2)</f>
        <v>0</v>
      </c>
      <c r="F328" s="22">
        <f>ROUND(IF(P305=0,0,IFERROR((((LOOKUP(2,1/(A302:A305=A328),I302:I305))/N291*P305)*50%),F327/P304*P305)),2)</f>
        <v>0</v>
      </c>
      <c r="G328" s="25">
        <f t="shared" si="45"/>
        <v>0</v>
      </c>
      <c r="H328" s="831">
        <f>ROUND(SUM(B328:F328)*H316,2)</f>
        <v>0</v>
      </c>
      <c r="I328" s="64">
        <f>ROUND(IF((SUM(B318:F328)*80%)&gt;((SUM(S314:S328))*90%),((((SUM(S314:S328))*90%)-((SUM(B318:F328)-C328))*I316)+((SUM(B328:F328)-C328)*I316)*80%),((SUM(B328:F328)-C328)*I316)*80%),2)</f>
        <v>0</v>
      </c>
      <c r="J328" s="831">
        <f>ROUND(SUM(B328:F328)*J316,2)</f>
        <v>0</v>
      </c>
      <c r="K328" s="831">
        <f>ROUND(SUM(B328:F328)*K316,2)</f>
        <v>0</v>
      </c>
      <c r="L328" s="831">
        <f>ROUND(SUM(B328:F328)*L316,2)</f>
        <v>0</v>
      </c>
      <c r="M328" s="831">
        <f>ROUND((SUM(B328:F328)-C328)*M316,2)</f>
        <v>0</v>
      </c>
      <c r="N328" s="21">
        <f>ROUND((B328+E328+F328)*N316,2)</f>
        <v>0</v>
      </c>
      <c r="O328" s="21">
        <f>ROUND(SUM(B328+C328+F328)*O316,2)</f>
        <v>0</v>
      </c>
      <c r="P328" s="25">
        <f t="shared" si="47"/>
        <v>0</v>
      </c>
      <c r="Q328" s="11"/>
      <c r="R328" s="140">
        <f>ROUND(IF(M295="",R311,R311/M295*P305),2)</f>
        <v>5175</v>
      </c>
      <c r="S328" s="140">
        <f>ROUND(IF(M295="",R312,R312/M295*P305),2)</f>
        <v>7450</v>
      </c>
      <c r="T328" s="1"/>
    </row>
    <row r="329" spans="1:20" s="18" customFormat="1" hidden="1" x14ac:dyDescent="0.2">
      <c r="A329" s="2" t="s">
        <v>1</v>
      </c>
      <c r="B329" s="25">
        <f t="shared" ref="B329" si="48">SUM(B318:B328)</f>
        <v>0</v>
      </c>
      <c r="C329" s="25">
        <f t="shared" ref="C329" si="49">SUM(C318:C328)</f>
        <v>0</v>
      </c>
      <c r="D329" s="25">
        <f t="shared" ref="D329" si="50">SUM(D318:D328)</f>
        <v>0</v>
      </c>
      <c r="E329" s="25">
        <f t="shared" ref="E329" si="51">SUM(E318:E328)</f>
        <v>0</v>
      </c>
      <c r="F329" s="25">
        <f t="shared" ref="F329" si="52">SUM(F318:F328)</f>
        <v>0</v>
      </c>
      <c r="G329" s="25">
        <f t="shared" ref="G329" si="53">SUM(G318:G328)</f>
        <v>0</v>
      </c>
      <c r="H329" s="1309">
        <f>SUM(H318:M328)</f>
        <v>0</v>
      </c>
      <c r="I329" s="1310"/>
      <c r="J329" s="1310"/>
      <c r="K329" s="1310"/>
      <c r="L329" s="1310"/>
      <c r="M329" s="1310"/>
      <c r="N329" s="25">
        <f>SUM(N318:N328)</f>
        <v>0</v>
      </c>
      <c r="O329" s="25">
        <f>SUM(O318:O328)</f>
        <v>0</v>
      </c>
      <c r="P329" s="25">
        <f>SUM(P318:P328)</f>
        <v>0</v>
      </c>
      <c r="Q329" s="1"/>
      <c r="R329" s="1"/>
      <c r="S329" s="1"/>
      <c r="T329" s="1"/>
    </row>
    <row r="330" spans="1:20" s="18" customFormat="1" hidden="1" x14ac:dyDescent="0.2">
      <c r="O330" s="14"/>
      <c r="Q330" s="1021"/>
      <c r="R330" s="1021"/>
      <c r="S330" s="1021"/>
    </row>
    <row r="331" spans="1:20" ht="14.25" hidden="1" customHeight="1" x14ac:dyDescent="0.2">
      <c r="B331" s="906"/>
      <c r="H331" s="905"/>
      <c r="I331" s="62"/>
      <c r="J331" s="914" t="s">
        <v>123</v>
      </c>
      <c r="L331" s="900" t="s">
        <v>124</v>
      </c>
      <c r="M331" s="1003"/>
      <c r="N331" s="902" t="s">
        <v>125</v>
      </c>
      <c r="O331" s="1004"/>
      <c r="P331" s="25">
        <f>ROUND(IF(M331="",0,G329*M331*O331/1000),2)</f>
        <v>0</v>
      </c>
      <c r="Q331" s="1015"/>
      <c r="R331" s="1022"/>
      <c r="S331" s="1016"/>
    </row>
    <row r="332" spans="1:20" ht="14.25" hidden="1" customHeight="1" x14ac:dyDescent="0.2">
      <c r="H332" s="907"/>
      <c r="I332" s="42"/>
      <c r="M332" s="915" t="s">
        <v>129</v>
      </c>
      <c r="N332" s="80" t="s">
        <v>125</v>
      </c>
      <c r="O332" s="1007"/>
      <c r="P332" s="25">
        <f>ROUND(IF(O332="",0,G329*O332/1000),2)</f>
        <v>0</v>
      </c>
      <c r="Q332" s="1023"/>
      <c r="R332" s="65"/>
      <c r="S332" s="1017"/>
    </row>
    <row r="333" spans="1:20" ht="14.25" hidden="1" customHeight="1" x14ac:dyDescent="0.2">
      <c r="H333" s="912" t="s">
        <v>126</v>
      </c>
      <c r="I333" s="1013" t="s">
        <v>127</v>
      </c>
      <c r="J333" s="1005"/>
      <c r="K333" s="902" t="s">
        <v>128</v>
      </c>
      <c r="L333" s="1006"/>
      <c r="M333" s="16"/>
      <c r="N333" s="900" t="s">
        <v>132</v>
      </c>
      <c r="O333" s="1008"/>
      <c r="P333" s="25">
        <f>ROUND(IF(J333="",0,(J333*L333/O333)/M297*M298),2)</f>
        <v>0</v>
      </c>
      <c r="Q333" s="1023"/>
      <c r="R333" s="66"/>
      <c r="S333" s="1016"/>
    </row>
    <row r="334" spans="1:20" ht="14.25" hidden="1" customHeight="1" x14ac:dyDescent="0.2">
      <c r="D334" s="16"/>
      <c r="I334" s="16"/>
      <c r="J334" s="16"/>
      <c r="K334" s="63"/>
      <c r="L334" s="67"/>
      <c r="M334" s="915" t="s">
        <v>130</v>
      </c>
      <c r="N334" s="80" t="s">
        <v>131</v>
      </c>
      <c r="O334" s="904"/>
      <c r="P334" s="21">
        <f>ROUND(IF(G329=0,0,O334/M295*M296),2)</f>
        <v>0</v>
      </c>
      <c r="Q334" s="1023"/>
      <c r="R334" s="1018"/>
      <c r="S334" s="1024"/>
    </row>
    <row r="335" spans="1:20" ht="14.25" hidden="1" customHeight="1" x14ac:dyDescent="0.2">
      <c r="A335" s="16"/>
      <c r="B335" s="16"/>
      <c r="I335" s="905"/>
      <c r="J335" s="961" t="s">
        <v>176</v>
      </c>
      <c r="K335" s="1312"/>
      <c r="L335" s="1312"/>
      <c r="M335" s="1312"/>
      <c r="N335" s="80" t="s">
        <v>131</v>
      </c>
      <c r="O335" s="904"/>
      <c r="P335" s="21">
        <f>ROUND(IF(G329=0,0,O335/M295*M296),2)</f>
        <v>0</v>
      </c>
      <c r="Q335" s="1023"/>
      <c r="R335" s="1019"/>
      <c r="S335" s="1020"/>
    </row>
    <row r="336" spans="1:20" ht="14.25" hidden="1" customHeight="1" x14ac:dyDescent="0.2">
      <c r="A336" s="908"/>
      <c r="B336" s="908"/>
      <c r="C336" s="1013"/>
      <c r="D336" s="1013"/>
      <c r="I336" s="913"/>
      <c r="J336" s="913"/>
      <c r="K336" s="916"/>
      <c r="L336" s="27"/>
      <c r="M336" s="27"/>
      <c r="N336" s="27"/>
      <c r="O336" s="26" t="s">
        <v>0</v>
      </c>
      <c r="P336" s="25">
        <f>P329+SUM(P331:P335)</f>
        <v>0</v>
      </c>
    </row>
    <row r="337" spans="1:19" s="10" customFormat="1" ht="13.5" hidden="1" customHeight="1" x14ac:dyDescent="0.2">
      <c r="A337" s="1321" t="s">
        <v>17</v>
      </c>
      <c r="B337" s="1321"/>
      <c r="C337" s="1321"/>
      <c r="D337" s="1320" t="str">
        <f>IF('päd.Personal - Leitung'!$D$1="","",'päd.Personal - Leitung'!$D$1)</f>
        <v/>
      </c>
      <c r="E337" s="1320"/>
      <c r="F337" s="1320"/>
      <c r="G337" s="1320"/>
      <c r="H337" s="1320"/>
      <c r="I337" s="1320"/>
      <c r="J337" s="1320"/>
      <c r="K337" s="1320"/>
      <c r="L337" s="1320"/>
      <c r="M337" s="1320"/>
      <c r="N337" s="1320"/>
    </row>
    <row r="338" spans="1:19" s="10" customFormat="1" ht="15" hidden="1" customHeight="1" x14ac:dyDescent="0.2">
      <c r="A338" s="1321" t="s">
        <v>16</v>
      </c>
      <c r="B338" s="1321"/>
      <c r="C338" s="1321" t="s">
        <v>14</v>
      </c>
      <c r="D338" s="1320" t="str">
        <f>IF('päd.Personal - Leitung'!$D$2="","",'päd.Personal - Leitung'!$D$2)</f>
        <v/>
      </c>
      <c r="E338" s="1320"/>
      <c r="F338" s="1320"/>
      <c r="G338" s="1320"/>
      <c r="H338" s="1320"/>
      <c r="I338" s="1320"/>
      <c r="J338" s="1320"/>
      <c r="K338" s="1320"/>
      <c r="L338" s="1320"/>
      <c r="M338" s="1320"/>
      <c r="N338" s="1320"/>
    </row>
    <row r="339" spans="1:19" s="10" customFormat="1" ht="15" hidden="1" customHeight="1" x14ac:dyDescent="0.2">
      <c r="A339" s="1321" t="s">
        <v>15</v>
      </c>
      <c r="B339" s="1321"/>
      <c r="C339" s="1321" t="s">
        <v>14</v>
      </c>
      <c r="D339" s="1320" t="str">
        <f>IF('päd.Personal - Leitung'!$D$3="","",'päd.Personal - Leitung'!$D$3)</f>
        <v/>
      </c>
      <c r="E339" s="1320"/>
      <c r="F339" s="1320"/>
      <c r="G339" s="1320"/>
      <c r="H339" s="1320"/>
      <c r="I339" s="1320"/>
      <c r="J339" s="1320"/>
      <c r="K339" s="1321" t="s">
        <v>100</v>
      </c>
      <c r="L339" s="1321"/>
      <c r="M339" s="1321"/>
      <c r="N339" s="38" t="str">
        <f>IF('päd.Personal - Leitung'!$N$3="","",'päd.Personal - Leitung'!$N$3)</f>
        <v/>
      </c>
    </row>
    <row r="340" spans="1:19" s="923" customFormat="1" ht="7.5" hidden="1" customHeight="1" x14ac:dyDescent="0.15">
      <c r="A340" s="1353"/>
      <c r="B340" s="1353"/>
      <c r="C340" s="1353"/>
      <c r="D340" s="1354"/>
      <c r="E340" s="1354"/>
      <c r="F340" s="1354"/>
      <c r="G340" s="1354"/>
      <c r="H340" s="1354"/>
      <c r="I340" s="1354"/>
      <c r="J340" s="1354"/>
      <c r="K340" s="922"/>
      <c r="L340" s="922"/>
      <c r="M340" s="922"/>
      <c r="N340" s="922"/>
      <c r="O340" s="922"/>
      <c r="P340" s="922"/>
    </row>
    <row r="341" spans="1:19" s="18" customFormat="1" hidden="1" x14ac:dyDescent="0.2">
      <c r="A341" s="1355" t="s">
        <v>209</v>
      </c>
      <c r="B341" s="1355"/>
      <c r="C341" s="1355"/>
      <c r="D341" s="1355"/>
      <c r="E341" s="1355"/>
      <c r="F341" s="1355"/>
      <c r="G341" s="1355"/>
      <c r="H341" s="1355"/>
      <c r="I341" s="1355"/>
      <c r="J341" s="1355"/>
      <c r="K341" s="1355"/>
      <c r="L341" s="1355"/>
      <c r="M341" s="1355"/>
      <c r="N341" s="52"/>
      <c r="O341" s="138">
        <f>'päd.Personal - Leitung'!$O$5</f>
        <v>2025</v>
      </c>
      <c r="P341" s="52" t="s">
        <v>140</v>
      </c>
    </row>
    <row r="342" spans="1:19" s="8" customFormat="1" ht="13.5" hidden="1" customHeight="1" x14ac:dyDescent="0.25">
      <c r="B342" s="29"/>
      <c r="C342" s="29"/>
      <c r="D342" s="3" t="s">
        <v>208</v>
      </c>
      <c r="E342" s="28"/>
      <c r="F342" s="28"/>
      <c r="G342" s="28"/>
      <c r="H342" s="28"/>
      <c r="I342" s="24"/>
      <c r="K342" s="1327" t="s">
        <v>13</v>
      </c>
      <c r="L342" s="1327"/>
      <c r="M342" s="131"/>
      <c r="O342" s="928" t="str">
        <f>A365</f>
        <v>Jan 2025</v>
      </c>
      <c r="P342" s="68">
        <f>IF(M344="","",M344)</f>
        <v>0</v>
      </c>
    </row>
    <row r="343" spans="1:19" s="5" customFormat="1" ht="13.5" hidden="1" customHeight="1" x14ac:dyDescent="0.25">
      <c r="A343" s="1328" t="s">
        <v>754</v>
      </c>
      <c r="B343" s="1328"/>
      <c r="C343" s="1328"/>
      <c r="D343" s="1329"/>
      <c r="E343" s="1329"/>
      <c r="F343" s="1329"/>
      <c r="G343" s="1329"/>
      <c r="H343" s="1329"/>
      <c r="I343" s="1329"/>
      <c r="K343" s="1327" t="s">
        <v>101</v>
      </c>
      <c r="L343" s="1327"/>
      <c r="M343" s="101"/>
      <c r="O343" s="928" t="str">
        <f t="shared" ref="O343:O353" si="54">A366</f>
        <v>Feb 2025</v>
      </c>
      <c r="P343" s="69">
        <f t="shared" ref="P343:P353" si="55">IF(P342="","",P342)</f>
        <v>0</v>
      </c>
    </row>
    <row r="344" spans="1:19" ht="13.5" hidden="1" customHeight="1" x14ac:dyDescent="0.2">
      <c r="A344" s="1328" t="s">
        <v>12</v>
      </c>
      <c r="B344" s="1328"/>
      <c r="C344" s="1328"/>
      <c r="D344" s="1345"/>
      <c r="E344" s="1345"/>
      <c r="F344" s="1345"/>
      <c r="G344" s="1345"/>
      <c r="H344" s="1345"/>
      <c r="I344" s="1345"/>
      <c r="K344" s="1327" t="s">
        <v>149</v>
      </c>
      <c r="L344" s="1327"/>
      <c r="M344" s="101">
        <f>IF((M345+M346)&gt;M343,0,M343-M345-M346)</f>
        <v>0</v>
      </c>
      <c r="O344" s="928" t="str">
        <f t="shared" si="54"/>
        <v>Mrz 2025</v>
      </c>
      <c r="P344" s="69">
        <f t="shared" si="55"/>
        <v>0</v>
      </c>
    </row>
    <row r="345" spans="1:19" ht="13.5" hidden="1" customHeight="1" x14ac:dyDescent="0.2">
      <c r="A345" s="1328" t="s">
        <v>11</v>
      </c>
      <c r="B345" s="1328"/>
      <c r="C345" s="1328"/>
      <c r="D345" s="1345"/>
      <c r="E345" s="1345"/>
      <c r="F345" s="1345"/>
      <c r="G345" s="1345"/>
      <c r="H345" s="1345"/>
      <c r="I345" s="1345"/>
      <c r="K345" s="1327" t="s">
        <v>150</v>
      </c>
      <c r="L345" s="1327"/>
      <c r="M345" s="101"/>
      <c r="O345" s="928" t="str">
        <f t="shared" si="54"/>
        <v>Apr 2025</v>
      </c>
      <c r="P345" s="69">
        <f t="shared" si="55"/>
        <v>0</v>
      </c>
    </row>
    <row r="346" spans="1:19" ht="13.5" hidden="1" customHeight="1" x14ac:dyDescent="0.2">
      <c r="A346" s="1328" t="s">
        <v>18</v>
      </c>
      <c r="B346" s="1328"/>
      <c r="C346" s="1328"/>
      <c r="D346" s="1345"/>
      <c r="E346" s="1345"/>
      <c r="F346" s="1345"/>
      <c r="G346" s="1345"/>
      <c r="H346" s="1345"/>
      <c r="I346" s="1345"/>
      <c r="K346" s="1327" t="s">
        <v>222</v>
      </c>
      <c r="L346" s="1327"/>
      <c r="M346" s="101"/>
      <c r="O346" s="928" t="str">
        <f t="shared" si="54"/>
        <v>Mai 2025</v>
      </c>
      <c r="P346" s="69">
        <f t="shared" si="55"/>
        <v>0</v>
      </c>
    </row>
    <row r="347" spans="1:19" ht="13.5" hidden="1" customHeight="1" x14ac:dyDescent="0.2">
      <c r="B347" s="6"/>
      <c r="C347" s="1012" t="s">
        <v>147</v>
      </c>
      <c r="D347" s="1324"/>
      <c r="E347" s="1324"/>
      <c r="F347" s="1359" t="s">
        <v>108</v>
      </c>
      <c r="G347" s="1359"/>
      <c r="H347" s="1361"/>
      <c r="I347" s="1361"/>
      <c r="K347" s="1327" t="s">
        <v>94</v>
      </c>
      <c r="L347" s="1327"/>
      <c r="M347" s="15" t="str">
        <f>IF(IF((COUNTIF(B365:B376,"&gt;0"))=0,0,(COUNTIF(B365:B376,"&gt;0")))&gt;Grundlagen!$C$26,Grundlagen!$C$26,IF((COUNTIF(B365:B376,"&gt;0"))=0,"",(COUNTIF(B365:B376,"&gt;0"))))</f>
        <v/>
      </c>
      <c r="O347" s="928" t="str">
        <f t="shared" si="54"/>
        <v>Jun 2025</v>
      </c>
      <c r="P347" s="69">
        <f t="shared" si="55"/>
        <v>0</v>
      </c>
    </row>
    <row r="348" spans="1:19" ht="13.5" hidden="1" customHeight="1" x14ac:dyDescent="0.2">
      <c r="F348" s="1359" t="s">
        <v>213</v>
      </c>
      <c r="G348" s="1359"/>
      <c r="H348" s="1361"/>
      <c r="I348" s="1361"/>
      <c r="M348" s="102" t="str">
        <f>IF((SUM(F350:F353))=0,"",IF(P354&gt;M344,M344,IF(M344="","",IF(M347="","",P354))))</f>
        <v/>
      </c>
      <c r="O348" s="928" t="str">
        <f t="shared" si="54"/>
        <v>Jul 2025</v>
      </c>
      <c r="P348" s="69">
        <f t="shared" si="55"/>
        <v>0</v>
      </c>
    </row>
    <row r="349" spans="1:19" s="46" customFormat="1" ht="13.5" hidden="1" customHeight="1" x14ac:dyDescent="0.2">
      <c r="A349" s="54" t="s">
        <v>134</v>
      </c>
      <c r="B349" s="1356" t="s">
        <v>135</v>
      </c>
      <c r="C349" s="1356"/>
      <c r="D349" s="55" t="s">
        <v>136</v>
      </c>
      <c r="E349" s="56" t="s">
        <v>137</v>
      </c>
      <c r="F349" s="57" t="str">
        <f>CONCATENATE("Entg. ",N339," h/Wo")</f>
        <v>Entg.  h/Wo</v>
      </c>
      <c r="G349" s="58" t="s">
        <v>138</v>
      </c>
      <c r="I349" s="58" t="s">
        <v>139</v>
      </c>
      <c r="K349" s="970"/>
      <c r="L349" s="970"/>
      <c r="M349" s="59"/>
      <c r="N349" s="968" t="str">
        <f>IF(A351="","",A351)</f>
        <v/>
      </c>
      <c r="O349" s="928" t="str">
        <f t="shared" si="54"/>
        <v>Aug 2025</v>
      </c>
      <c r="P349" s="69">
        <f t="shared" si="55"/>
        <v>0</v>
      </c>
      <c r="Q349" s="1027"/>
      <c r="R349" s="1025"/>
      <c r="S349" s="1025"/>
    </row>
    <row r="350" spans="1:19" s="46" customFormat="1" ht="13.5" hidden="1" customHeight="1" x14ac:dyDescent="0.25">
      <c r="A350" s="48" t="str">
        <f>A365</f>
        <v>Jan 2025</v>
      </c>
      <c r="B350" s="1357" t="str">
        <f>IF($D$3="","",$D$3)</f>
        <v/>
      </c>
      <c r="C350" s="1358"/>
      <c r="D350" s="132"/>
      <c r="E350" s="132"/>
      <c r="F350" s="71"/>
      <c r="G350" s="50">
        <f>IF(N339="",0,F350/N339/4.348)</f>
        <v>0</v>
      </c>
      <c r="I350" s="51">
        <f>SUM(J350:M350)</f>
        <v>0</v>
      </c>
      <c r="J350" s="70"/>
      <c r="K350" s="70"/>
      <c r="L350" s="70"/>
      <c r="M350" s="70"/>
      <c r="N350" s="983"/>
      <c r="O350" s="928" t="str">
        <f t="shared" si="54"/>
        <v>Sep 2025</v>
      </c>
      <c r="P350" s="69">
        <f t="shared" si="55"/>
        <v>0</v>
      </c>
      <c r="Q350" s="1026"/>
      <c r="R350" s="829"/>
      <c r="S350" s="1028"/>
    </row>
    <row r="351" spans="1:19" s="46" customFormat="1" ht="13.5" hidden="1" customHeight="1" x14ac:dyDescent="0.25">
      <c r="A351" s="49"/>
      <c r="B351" s="1322" t="str">
        <f>IF(A351="","",B350)</f>
        <v/>
      </c>
      <c r="C351" s="1323"/>
      <c r="D351" s="132"/>
      <c r="E351" s="132"/>
      <c r="F351" s="71"/>
      <c r="G351" s="50">
        <f>IF(N339="",0,F351/N339/4.348)</f>
        <v>0</v>
      </c>
      <c r="I351" s="51">
        <f t="shared" ref="I351:I353" si="56">SUM(J351:M351)</f>
        <v>0</v>
      </c>
      <c r="J351" s="70"/>
      <c r="K351" s="70"/>
      <c r="L351" s="70"/>
      <c r="M351" s="70"/>
      <c r="N351" s="983"/>
      <c r="O351" s="928" t="str">
        <f t="shared" si="54"/>
        <v>Okt 2025</v>
      </c>
      <c r="P351" s="69">
        <f t="shared" si="55"/>
        <v>0</v>
      </c>
      <c r="Q351" s="1026"/>
      <c r="R351" s="829"/>
      <c r="S351" s="1028"/>
    </row>
    <row r="352" spans="1:19" s="46" customFormat="1" ht="13.5" hidden="1" customHeight="1" x14ac:dyDescent="0.25">
      <c r="A352" s="49"/>
      <c r="B352" s="1322" t="str">
        <f>IF(A352="","",B351)</f>
        <v/>
      </c>
      <c r="C352" s="1323"/>
      <c r="D352" s="132"/>
      <c r="E352" s="132"/>
      <c r="F352" s="71"/>
      <c r="G352" s="50">
        <f>IF(N339="",0,F352/N339/4.348)</f>
        <v>0</v>
      </c>
      <c r="I352" s="51">
        <f t="shared" si="56"/>
        <v>0</v>
      </c>
      <c r="J352" s="70"/>
      <c r="K352" s="70"/>
      <c r="L352" s="70"/>
      <c r="M352" s="70"/>
      <c r="N352" s="983"/>
      <c r="O352" s="928" t="str">
        <f t="shared" si="54"/>
        <v>Nov 2025</v>
      </c>
      <c r="P352" s="69">
        <f t="shared" si="55"/>
        <v>0</v>
      </c>
      <c r="Q352" s="828"/>
      <c r="R352" s="829"/>
      <c r="S352" s="829"/>
    </row>
    <row r="353" spans="1:20" s="46" customFormat="1" ht="13.5" hidden="1" customHeight="1" x14ac:dyDescent="0.25">
      <c r="A353" s="49"/>
      <c r="B353" s="1322" t="str">
        <f>IF(A353="","",B352)</f>
        <v/>
      </c>
      <c r="C353" s="1323"/>
      <c r="D353" s="132"/>
      <c r="E353" s="132"/>
      <c r="F353" s="71"/>
      <c r="G353" s="50">
        <f>IF(N339="",0,F353/N339/4.348)</f>
        <v>0</v>
      </c>
      <c r="I353" s="51">
        <f t="shared" si="56"/>
        <v>0</v>
      </c>
      <c r="J353" s="70"/>
      <c r="K353" s="70"/>
      <c r="L353" s="70"/>
      <c r="M353" s="70"/>
      <c r="N353" s="983"/>
      <c r="O353" s="928" t="str">
        <f t="shared" si="54"/>
        <v>Dez 2025</v>
      </c>
      <c r="P353" s="69">
        <f t="shared" si="55"/>
        <v>0</v>
      </c>
      <c r="Q353" s="276"/>
      <c r="R353" s="827"/>
      <c r="S353" s="827"/>
    </row>
    <row r="354" spans="1:20" s="46" customFormat="1" ht="13.5" hidden="1" customHeight="1" x14ac:dyDescent="0.25">
      <c r="B354" s="972"/>
      <c r="C354" s="972"/>
      <c r="E354" s="972"/>
      <c r="F354" s="972"/>
      <c r="I354" s="930" t="s">
        <v>730</v>
      </c>
      <c r="J354" s="982"/>
      <c r="K354" s="982"/>
      <c r="L354" s="982"/>
      <c r="M354" s="982"/>
      <c r="N354" s="994"/>
      <c r="O354" s="126" t="s">
        <v>221</v>
      </c>
      <c r="P354" s="127">
        <f>IF(M347="",0,((IF(SUMIF(B365,"&gt;0"),P342,0))+(IF(SUMIF(B366,"&gt;0"),P343,0))+(IF(SUMIF(B367,"&gt;0"),P344,0))+(IF(SUMIF(B368,"&gt;0"),P345,0))+(IF(SUMIF(B369,"&gt;0"),P346,0))+(IF(SUMIF(B370,"&gt;0"),P347,0))+(IF(SUMIF(B371,"&gt;0"),P348,0))+(IF(SUMIF(B372,"&gt;0"),P349,0))+(IF(SUMIF(B373,"&gt;0"),P350,0))+(IF(SUMIF(B374,"&gt;0"),P351,0))+(IF(SUMIF(B375,"&gt;0"),P352,0))+(IF(SUMIF(B376,"&gt;0"),P353,0)))/Grundlagen!$C$26)</f>
        <v>0</v>
      </c>
      <c r="Q354" s="1009" t="str">
        <f>CONCATENATE("BBG"," anteilig ",O356)</f>
        <v>BBG anteilig 2025</v>
      </c>
      <c r="R354" s="931" t="s">
        <v>659</v>
      </c>
      <c r="S354" s="931" t="s">
        <v>398</v>
      </c>
      <c r="T354" s="107"/>
    </row>
    <row r="355" spans="1:20" s="46" customFormat="1" ht="13.5" hidden="1" customHeight="1" x14ac:dyDescent="0.2">
      <c r="A355" s="924" t="s">
        <v>732</v>
      </c>
      <c r="D355" s="55" t="s">
        <v>369</v>
      </c>
      <c r="E355" s="56" t="s">
        <v>368</v>
      </c>
      <c r="F355" s="58"/>
      <c r="J355" s="61"/>
      <c r="Q355" s="932" t="s">
        <v>144</v>
      </c>
      <c r="R355" s="140">
        <f>IF(M344=0,R359,IF(M343="",R359,(SUM(R365:R376)/M347)))</f>
        <v>5175</v>
      </c>
      <c r="S355" s="933">
        <f>IF(M344=0,S359,IF(M343="",S359,SUM(R365:R376)))</f>
        <v>0</v>
      </c>
      <c r="T355" s="107"/>
    </row>
    <row r="356" spans="1:20" s="46" customFormat="1" ht="13.5" hidden="1" customHeight="1" x14ac:dyDescent="0.25">
      <c r="A356" s="60"/>
      <c r="B356" s="1314" t="str">
        <f>IF($B$20="","",$B$20)</f>
        <v>Jahressonderzahlung (JSZ)</v>
      </c>
      <c r="C356" s="1315"/>
      <c r="D356" s="926"/>
      <c r="E356" s="929" t="str">
        <f>IF(A356="","",ROUND((((SUM(B371:B373)+SUM(F371:F373))/3)*D356)/Grundlagen!$C$26*M347,2))</f>
        <v/>
      </c>
      <c r="N356" s="917" t="s">
        <v>736</v>
      </c>
      <c r="O356" s="918">
        <f>P356+1</f>
        <v>2025</v>
      </c>
      <c r="P356" s="918" t="s">
        <v>721</v>
      </c>
      <c r="Q356" s="932" t="s">
        <v>145</v>
      </c>
      <c r="R356" s="140">
        <f>IF(M344=0,R360,IF(M343="",R360,(SUM(S365:S376)/M347)))</f>
        <v>7450</v>
      </c>
      <c r="S356" s="933">
        <f>IF(M344=0,S360,IF(M343="",S360,SUM(S365:S376)))</f>
        <v>0</v>
      </c>
      <c r="T356" s="109"/>
    </row>
    <row r="357" spans="1:20" s="18" customFormat="1" ht="14.25" hidden="1" customHeight="1" x14ac:dyDescent="0.2">
      <c r="A357" s="60"/>
      <c r="B357" s="1314" t="str">
        <f>IF($B$21="","",$B$21)</f>
        <v>Leistungsentgelt (LOB)</v>
      </c>
      <c r="C357" s="1315"/>
      <c r="D357" s="926"/>
      <c r="E357" s="929" t="str">
        <f>IF(A357="","",ROUND(((B377+F377)*D357)/Grundlagen!$C$26*M347,2))</f>
        <v/>
      </c>
      <c r="F357" s="1"/>
      <c r="N357" s="139" t="s">
        <v>144</v>
      </c>
      <c r="O357" s="141">
        <f>'päd.Personal - Leitung'!$O$21</f>
        <v>5175</v>
      </c>
      <c r="P357" s="141">
        <f>'päd.Personal - Leitung'!$P$21</f>
        <v>5175</v>
      </c>
      <c r="Q357" s="11"/>
      <c r="R357" s="11"/>
      <c r="S357" s="11"/>
      <c r="T357" s="109"/>
    </row>
    <row r="358" spans="1:20" s="18" customFormat="1" ht="14.25" hidden="1" customHeight="1" x14ac:dyDescent="0.2">
      <c r="A358" s="1"/>
      <c r="B358" s="1"/>
      <c r="C358" s="925" t="s">
        <v>731</v>
      </c>
      <c r="D358" s="1"/>
      <c r="E358" s="1"/>
      <c r="F358" s="1"/>
      <c r="N358" s="139" t="s">
        <v>145</v>
      </c>
      <c r="O358" s="899">
        <f>'päd.Personal - Leitung'!$O$22</f>
        <v>7450</v>
      </c>
      <c r="P358" s="899">
        <f>'päd.Personal - Leitung'!$P$22</f>
        <v>7450</v>
      </c>
      <c r="Q358" s="1009" t="str">
        <f>CONCATENATE("BBG"," ",O356)</f>
        <v>BBG 2025</v>
      </c>
      <c r="R358" s="11"/>
      <c r="S358" s="11"/>
      <c r="T358" s="109"/>
    </row>
    <row r="359" spans="1:20" s="18" customFormat="1" ht="14.25" hidden="1" customHeight="1" x14ac:dyDescent="0.2">
      <c r="A359" s="53" t="s">
        <v>141</v>
      </c>
      <c r="Q359" s="932" t="s">
        <v>144</v>
      </c>
      <c r="R359" s="141">
        <f>IF($O$21="",0,$O$21)</f>
        <v>5175</v>
      </c>
      <c r="S359" s="933">
        <f>R359*IF(M347="",0,M347)</f>
        <v>0</v>
      </c>
    </row>
    <row r="360" spans="1:20" s="18" customFormat="1" ht="14.25" hidden="1" customHeight="1" x14ac:dyDescent="0.2">
      <c r="A360" s="1346"/>
      <c r="B360" s="1348" t="s">
        <v>8</v>
      </c>
      <c r="C360" s="1349"/>
      <c r="D360" s="1349"/>
      <c r="E360" s="1349"/>
      <c r="F360" s="1349"/>
      <c r="G360" s="1350"/>
      <c r="H360" s="1351" t="s">
        <v>113</v>
      </c>
      <c r="I360" s="1352"/>
      <c r="J360" s="1352"/>
      <c r="K360" s="1352"/>
      <c r="L360" s="1352"/>
      <c r="M360" s="1352"/>
      <c r="N360" s="1368" t="s">
        <v>658</v>
      </c>
      <c r="O360" s="30"/>
      <c r="P360" s="1330" t="s">
        <v>0</v>
      </c>
      <c r="Q360" s="932" t="s">
        <v>145</v>
      </c>
      <c r="R360" s="141">
        <f>IF($O$22="",0,$O$22)</f>
        <v>7450</v>
      </c>
      <c r="S360" s="933">
        <f>R360*IF(M347="",0,M347)</f>
        <v>0</v>
      </c>
    </row>
    <row r="361" spans="1:20" s="18" customFormat="1" ht="14.25" hidden="1" customHeight="1" x14ac:dyDescent="0.2">
      <c r="A361" s="1347"/>
      <c r="B361" s="1333" t="s">
        <v>111</v>
      </c>
      <c r="C361" s="1335" t="s">
        <v>743</v>
      </c>
      <c r="D361" s="1337" t="s">
        <v>226</v>
      </c>
      <c r="E361" s="1339" t="s">
        <v>133</v>
      </c>
      <c r="F361" s="1014" t="s">
        <v>6</v>
      </c>
      <c r="G361" s="1340" t="s">
        <v>5</v>
      </c>
      <c r="H361" s="1339" t="s">
        <v>119</v>
      </c>
      <c r="I361" s="1339" t="s">
        <v>657</v>
      </c>
      <c r="J361" s="1339" t="s">
        <v>4</v>
      </c>
      <c r="K361" s="1339" t="s">
        <v>3</v>
      </c>
      <c r="L361" s="1339" t="s">
        <v>2</v>
      </c>
      <c r="M361" s="1339" t="s">
        <v>95</v>
      </c>
      <c r="N361" s="1369"/>
      <c r="O361" s="1338" t="s">
        <v>109</v>
      </c>
      <c r="P361" s="1331"/>
      <c r="Q361" s="456"/>
      <c r="R361" s="11"/>
      <c r="S361" s="11"/>
    </row>
    <row r="362" spans="1:20" s="18" customFormat="1" ht="14.25" hidden="1" customHeight="1" x14ac:dyDescent="0.2">
      <c r="A362" s="1347"/>
      <c r="B362" s="1333"/>
      <c r="C362" s="1335"/>
      <c r="D362" s="1338"/>
      <c r="E362" s="1339"/>
      <c r="F362" s="1343" t="str">
        <f>I354</f>
        <v>Zuschläge / Zulagen / o.ä.:</v>
      </c>
      <c r="G362" s="1340"/>
      <c r="H362" s="1342" t="s">
        <v>117</v>
      </c>
      <c r="I362" s="1339"/>
      <c r="J362" s="1342"/>
      <c r="K362" s="1342"/>
      <c r="L362" s="1342"/>
      <c r="M362" s="1339"/>
      <c r="N362" s="1369"/>
      <c r="O362" s="1338"/>
      <c r="P362" s="1331"/>
      <c r="Q362" s="456"/>
      <c r="R362" s="1306" t="str">
        <f>Q354</f>
        <v>BBG anteilig 2025</v>
      </c>
      <c r="S362" s="1306"/>
    </row>
    <row r="363" spans="1:20" s="18" customFormat="1" hidden="1" x14ac:dyDescent="0.2">
      <c r="A363" s="1347"/>
      <c r="B363" s="1333"/>
      <c r="C363" s="1335"/>
      <c r="D363" s="1338"/>
      <c r="E363" s="1339"/>
      <c r="F363" s="1343"/>
      <c r="G363" s="1340"/>
      <c r="H363" s="39" t="str">
        <f>'päd.Personal - Leitung'!$H$27</f>
        <v>(7,30% + Zusatz)</v>
      </c>
      <c r="I363" s="39" t="str">
        <f>$I$267</f>
        <v xml:space="preserve"> (2024: 18,60%)</v>
      </c>
      <c r="J363" s="39" t="str">
        <f>'päd.Personal - Leitung'!$I$27</f>
        <v xml:space="preserve"> (2024: 9,30%)</v>
      </c>
      <c r="K363" s="39" t="str">
        <f>'päd.Personal - Leitung'!$J$27</f>
        <v>(2024: 1,30%)</v>
      </c>
      <c r="L363" s="39" t="str">
        <f>'päd.Personal - Leitung'!$K$27</f>
        <v>(2024: 1,700%)</v>
      </c>
      <c r="M363" s="1339"/>
      <c r="N363" s="39" t="str">
        <f>$N$267</f>
        <v xml:space="preserve"> (2024: 20%)</v>
      </c>
      <c r="O363" s="1338"/>
      <c r="P363" s="1331"/>
      <c r="Q363" s="456"/>
      <c r="R363" s="1307" t="s">
        <v>659</v>
      </c>
      <c r="S363" s="1307"/>
    </row>
    <row r="364" spans="1:20" s="18" customFormat="1" hidden="1" x14ac:dyDescent="0.2">
      <c r="A364" s="1347"/>
      <c r="B364" s="1334"/>
      <c r="C364" s="1336"/>
      <c r="D364" s="45"/>
      <c r="E364" s="45"/>
      <c r="F364" s="1344"/>
      <c r="G364" s="1341"/>
      <c r="H364" s="74"/>
      <c r="I364" s="19"/>
      <c r="J364" s="99">
        <f>'päd.Personal - Leitung'!$I$28</f>
        <v>0</v>
      </c>
      <c r="K364" s="99">
        <f>'päd.Personal - Leitung'!$J$28</f>
        <v>0</v>
      </c>
      <c r="L364" s="40">
        <f>'päd.Personal - Leitung'!$K$28</f>
        <v>0</v>
      </c>
      <c r="M364" s="19"/>
      <c r="N364" s="19"/>
      <c r="O364" s="19"/>
      <c r="P364" s="1332"/>
      <c r="Q364" s="456"/>
      <c r="R364" s="935" t="s">
        <v>144</v>
      </c>
      <c r="S364" s="935" t="s">
        <v>145</v>
      </c>
    </row>
    <row r="365" spans="1:20" s="18" customFormat="1" hidden="1" x14ac:dyDescent="0.2">
      <c r="A365" s="76" t="str">
        <f>'päd.Personal - Leitung'!$A$29</f>
        <v>Jan 2025</v>
      </c>
      <c r="B365" s="22">
        <f>ROUND(IF(P342=0,0,(LOOKUP(2,1/(A350:A353=A365),G350:G353))*P342*4.348)*50%,2)</f>
        <v>0</v>
      </c>
      <c r="C365" s="21">
        <f>ROUND(IFERROR((LOOKUP(2,1/(A356=A365),E356)),0)+IFERROR((LOOKUP(2,1/(A357=A365),E357)),0),2)</f>
        <v>0</v>
      </c>
      <c r="D365" s="21">
        <f>ROUND(IF(B365=0,0,D364/M343*P342*50%),2)</f>
        <v>0</v>
      </c>
      <c r="E365" s="21">
        <f>ROUND(IF(B365=0,0,E364/N339*P342*50%),2)</f>
        <v>0</v>
      </c>
      <c r="F365" s="22">
        <f>ROUND(IF(P342=0,0,(LOOKUP(2,1/(A350:A353=A365),I350:I353))/N339*P342)*50%,2)</f>
        <v>0</v>
      </c>
      <c r="G365" s="25">
        <f>SUM(B365+C365+E365+F365)</f>
        <v>0</v>
      </c>
      <c r="H365" s="831">
        <f>ROUND(SUM(B365:F365)*H364,2)</f>
        <v>0</v>
      </c>
      <c r="I365" s="64">
        <f>ROUND(IF((SUM(B365:F365)*80%)&gt;((S365)*90%),((((S365)*90%)-((SUM(B365:F365)-C365))*I364)+((SUM(B365:F365)-C365)*I364)*80%),((SUM(B365:F365)-C365)*I364)*80%),2)</f>
        <v>0</v>
      </c>
      <c r="J365" s="831">
        <f>ROUND(SUM(B365:F365)*J364,2)</f>
        <v>0</v>
      </c>
      <c r="K365" s="831">
        <f>ROUND(SUM(B365:F365)*K364,2)</f>
        <v>0</v>
      </c>
      <c r="L365" s="831">
        <f>ROUND(SUM(B365:F365)*L364,2)</f>
        <v>0</v>
      </c>
      <c r="M365" s="831">
        <f>ROUND((SUM(B365:F365)-C365)*M364,2)</f>
        <v>0</v>
      </c>
      <c r="N365" s="21">
        <f>ROUND((B365+E365+F365)*N364,2)</f>
        <v>0</v>
      </c>
      <c r="O365" s="21">
        <f>ROUND(SUM(B365+C365+F365)*O364,2)</f>
        <v>0</v>
      </c>
      <c r="P365" s="25">
        <f>SUM(G365:O365)</f>
        <v>0</v>
      </c>
      <c r="Q365" s="456"/>
      <c r="R365" s="140">
        <f>ROUND(IF(M343="",R359,R359/M343*P342),2)</f>
        <v>5175</v>
      </c>
      <c r="S365" s="140">
        <f>ROUND(IF(M343="",R360,R360/M343*P342),2)</f>
        <v>7450</v>
      </c>
    </row>
    <row r="366" spans="1:20" s="18" customFormat="1" hidden="1" x14ac:dyDescent="0.2">
      <c r="A366" s="76" t="str">
        <f>'päd.Personal - Leitung'!$A$30</f>
        <v>Feb 2025</v>
      </c>
      <c r="B366" s="22">
        <f>ROUND(IF(P343=0,0,IFERROR((((LOOKUP(2,1/(A350:A353=A366),G350:G353))*P343*4.348)*50%),B365/P342*P343)),2)</f>
        <v>0</v>
      </c>
      <c r="C366" s="21">
        <f>ROUND(IFERROR((LOOKUP(2,1/(A356=A366),E356)),0)+IFERROR((LOOKUP(2,1/(A357=A366),E357)),0),2)</f>
        <v>0</v>
      </c>
      <c r="D366" s="21">
        <f>ROUND(IF(B366=0,0,D364/M343*P343*50%),2)</f>
        <v>0</v>
      </c>
      <c r="E366" s="21">
        <f>ROUND(IF(B366=0,0,E364/N339*P343*50%),2)</f>
        <v>0</v>
      </c>
      <c r="F366" s="22">
        <f>ROUND(IF(P343=0,0,IFERROR((((LOOKUP(2,1/(A350:A353=A366),I350:I353))/N339*P343)*50%),F365/P342*P343)),2)</f>
        <v>0</v>
      </c>
      <c r="G366" s="25">
        <f t="shared" ref="G366:G376" si="57">SUM(B366+C366+E366+F366)</f>
        <v>0</v>
      </c>
      <c r="H366" s="831">
        <f>ROUND(SUM(B366:F366)*H364,2)</f>
        <v>0</v>
      </c>
      <c r="I366" s="64">
        <f>ROUND(IF((SUM(B366:F366)*80%)&gt;((SUM(S362:S366))*90%),((((SUM(S362:S366))*90%)-((SUM(B366:F366)-C366))*I364)+((SUM(B366:F366)-C366)*I364)*80%),((SUM(B366:F366)-C366)*I364)*80%),2)</f>
        <v>0</v>
      </c>
      <c r="J366" s="831">
        <f>ROUND(SUM(B366:F366)*J364,2)</f>
        <v>0</v>
      </c>
      <c r="K366" s="831">
        <f>ROUND(SUM(B366:F366)*K364,2)</f>
        <v>0</v>
      </c>
      <c r="L366" s="831">
        <f>ROUND(SUM(B366:F366)*L364,2)</f>
        <v>0</v>
      </c>
      <c r="M366" s="831">
        <f>ROUND((SUM(B366:F366)-C366)*M364,2)</f>
        <v>0</v>
      </c>
      <c r="N366" s="21">
        <f>ROUND((B366+E366+F366)*N364,2)</f>
        <v>0</v>
      </c>
      <c r="O366" s="21">
        <f>ROUND(SUM(B366+C366+F366)*O364,2)</f>
        <v>0</v>
      </c>
      <c r="P366" s="25">
        <f t="shared" ref="P366:P368" si="58">SUM(G366:O366)</f>
        <v>0</v>
      </c>
      <c r="Q366" s="456"/>
      <c r="R366" s="140">
        <f>ROUND(IF(M343="",R359,R359/M343*P343),2)</f>
        <v>5175</v>
      </c>
      <c r="S366" s="140">
        <f>ROUND(IF(M343="",R360,R360/M343*P343),2)</f>
        <v>7450</v>
      </c>
    </row>
    <row r="367" spans="1:20" s="18" customFormat="1" hidden="1" x14ac:dyDescent="0.2">
      <c r="A367" s="76" t="str">
        <f>'päd.Personal - Leitung'!$A$31</f>
        <v>Mrz 2025</v>
      </c>
      <c r="B367" s="22">
        <f>ROUND(IF(P344=0,0,IFERROR((((LOOKUP(2,1/(A350:A353=A367),G350:G353))*P344*4.348)*50%),B366/P343*P344)),2)</f>
        <v>0</v>
      </c>
      <c r="C367" s="21">
        <f>ROUND(IFERROR((LOOKUP(2,1/(A356=A367),E356)),0)+IFERROR((LOOKUP(2,1/(A357=A367),E357)),0),2)</f>
        <v>0</v>
      </c>
      <c r="D367" s="21">
        <f>ROUND(IF(B367=0,0,D364/M343*P344*50%),2)</f>
        <v>0</v>
      </c>
      <c r="E367" s="21">
        <f>ROUND(IF(B367=0,0,E364/N339*P344*50%),2)</f>
        <v>0</v>
      </c>
      <c r="F367" s="22">
        <f>ROUND(IF(P344=0,0,IFERROR((((LOOKUP(2,1/(A350:A353=A367),I350:I353))/N339*P344)*50%),F366/P343*P344)),2)</f>
        <v>0</v>
      </c>
      <c r="G367" s="25">
        <f t="shared" si="57"/>
        <v>0</v>
      </c>
      <c r="H367" s="831">
        <f>ROUND(SUM(B367:F367)*H364,2)</f>
        <v>0</v>
      </c>
      <c r="I367" s="64">
        <f>ROUND(IF((SUM(B366:F367)*80%)&gt;((SUM(S362:S367))*90%),((((SUM(S362:S367))*90%)-((SUM(B366:F367)-C367))*I364)+((SUM(B367:F367)-C367)*I364)*80%),((SUM(B367:F367)-C367)*I364)*80%),2)</f>
        <v>0</v>
      </c>
      <c r="J367" s="831">
        <f>ROUND(SUM(B367:F367)*J364,2)</f>
        <v>0</v>
      </c>
      <c r="K367" s="831">
        <f>ROUND(SUM(B367:F367)*K364,2)</f>
        <v>0</v>
      </c>
      <c r="L367" s="831">
        <f>ROUND(SUM(B367:F367)*L364,2)</f>
        <v>0</v>
      </c>
      <c r="M367" s="831">
        <f>ROUND((SUM(B367:F367)-C367)*M364,2)</f>
        <v>0</v>
      </c>
      <c r="N367" s="21">
        <f>ROUND((B367+E367+F367)*N364,2)</f>
        <v>0</v>
      </c>
      <c r="O367" s="21">
        <f>ROUND(SUM(B367+C367+F367)*O364,2)</f>
        <v>0</v>
      </c>
      <c r="P367" s="25">
        <f t="shared" si="58"/>
        <v>0</v>
      </c>
      <c r="Q367" s="456"/>
      <c r="R367" s="140">
        <f>ROUND(IF(M343="",R359,R359/M343*P344),2)</f>
        <v>5175</v>
      </c>
      <c r="S367" s="140">
        <f>ROUND(IF(M343="",R360,R360/M343*P344),2)</f>
        <v>7450</v>
      </c>
    </row>
    <row r="368" spans="1:20" s="18" customFormat="1" hidden="1" x14ac:dyDescent="0.2">
      <c r="A368" s="76" t="str">
        <f>'päd.Personal - Leitung'!$A$32</f>
        <v>Apr 2025</v>
      </c>
      <c r="B368" s="22">
        <f>ROUND(IF(P345=0,0,IFERROR((((LOOKUP(2,1/(A350:A353=A368),G350:G353))*P345*4.348)*50%),B367/P344*P345)),2)</f>
        <v>0</v>
      </c>
      <c r="C368" s="21">
        <f>ROUND(IFERROR((LOOKUP(2,1/(A356=A368),E356)),0)+IFERROR((LOOKUP(2,1/(A357=A368),E357)),0),2)</f>
        <v>0</v>
      </c>
      <c r="D368" s="21">
        <f>ROUND(IF(B368=0,0,D364/M343*P345*50%),2)</f>
        <v>0</v>
      </c>
      <c r="E368" s="21">
        <f>ROUND(IF(B368=0,0,E364/N339*P345*50%),2)</f>
        <v>0</v>
      </c>
      <c r="F368" s="22">
        <f>ROUND(IF(P345=0,0,IFERROR((((LOOKUP(2,1/(A350:A353=A368),I350:I353))/N339*P345)*50%),F367/P344*P345)),2)</f>
        <v>0</v>
      </c>
      <c r="G368" s="25">
        <f t="shared" si="57"/>
        <v>0</v>
      </c>
      <c r="H368" s="831">
        <f>ROUND(SUM(B368:F368)*H364,2)</f>
        <v>0</v>
      </c>
      <c r="I368" s="64">
        <f>ROUND(IF((SUM(B366:F368)*80%)&gt;((SUM(S362:S368))*90%),((((SUM(S362:S368))*90%)-((SUM(B366:F368)-C368))*I364)+((SUM(B368:F368)-C368)*I364)*80%),((SUM(B368:F368)-C368)*I364)*80%),2)</f>
        <v>0</v>
      </c>
      <c r="J368" s="831">
        <f>ROUND(SUM(B368:F368)*J364,2)</f>
        <v>0</v>
      </c>
      <c r="K368" s="831">
        <f>ROUND(SUM(B368:F368)*K364,2)</f>
        <v>0</v>
      </c>
      <c r="L368" s="831">
        <f>ROUND(SUM(B368:F368)*L364,2)</f>
        <v>0</v>
      </c>
      <c r="M368" s="831">
        <f>ROUND((SUM(B368:F368)-C368)*M364,2)</f>
        <v>0</v>
      </c>
      <c r="N368" s="21">
        <f>ROUND((B368+E368+F368)*N364,2)</f>
        <v>0</v>
      </c>
      <c r="O368" s="21">
        <f>ROUND(SUM(B368+C368+F368)*O364,2)</f>
        <v>0</v>
      </c>
      <c r="P368" s="25">
        <f t="shared" si="58"/>
        <v>0</v>
      </c>
      <c r="Q368" s="456"/>
      <c r="R368" s="140">
        <f>ROUND(IF(M343="",R359,R359/M343*P345),2)</f>
        <v>5175</v>
      </c>
      <c r="S368" s="140">
        <f>ROUND(IF(M343="",R360,R360/M343*P345),2)</f>
        <v>7450</v>
      </c>
    </row>
    <row r="369" spans="1:19" s="18" customFormat="1" hidden="1" x14ac:dyDescent="0.2">
      <c r="A369" s="76" t="str">
        <f>'päd.Personal - Leitung'!$A$33</f>
        <v>Mai 2025</v>
      </c>
      <c r="B369" s="22">
        <f>ROUND(IF(P346=0,0,IFERROR((((LOOKUP(2,1/(A350:A353=A369),G350:G353))*P346*4.348)*50%),B368/P345*P346)),2)</f>
        <v>0</v>
      </c>
      <c r="C369" s="21">
        <f>ROUND(IFERROR((LOOKUP(2,1/(A356=A369),E356)),0)+IFERROR((LOOKUP(2,1/(A357=A369),E357)),0),2)</f>
        <v>0</v>
      </c>
      <c r="D369" s="21">
        <f>ROUND(IF(B369=0,0,D364/M343*P346*50%),2)</f>
        <v>0</v>
      </c>
      <c r="E369" s="21">
        <f>ROUND(IF(B369=0,0,E364/N339*P346*50%),2)</f>
        <v>0</v>
      </c>
      <c r="F369" s="22">
        <f>ROUND(IF(P346=0,0,IFERROR((((LOOKUP(2,1/(A350:A353=A369),I350:I353))/N339*P346)*50%),F368/P345*P346)),2)</f>
        <v>0</v>
      </c>
      <c r="G369" s="25">
        <f t="shared" si="57"/>
        <v>0</v>
      </c>
      <c r="H369" s="831">
        <f>ROUND(SUM(B369:F369)*H364,2)</f>
        <v>0</v>
      </c>
      <c r="I369" s="64">
        <f>ROUND(IF((SUM(B366:F369)*80%)&gt;((SUM(S362:S369))*90%),((((SUM(S362:S369))*90%)-((SUM(B366:F369)-C369))*I364)+((SUM(B369:F369)-C369)*I364)*80%),((SUM(B369:F369)-C369)*I364)*80%),2)</f>
        <v>0</v>
      </c>
      <c r="J369" s="831">
        <f>ROUND(SUM(B369:F369)*J364,2)</f>
        <v>0</v>
      </c>
      <c r="K369" s="831">
        <f>ROUND(SUM(B369:F369)*K364,2)</f>
        <v>0</v>
      </c>
      <c r="L369" s="831">
        <f>ROUND(SUM(B369:F369)*L364,2)</f>
        <v>0</v>
      </c>
      <c r="M369" s="831">
        <f>ROUND((SUM(B369:F369)-C369)*M364,2)</f>
        <v>0</v>
      </c>
      <c r="N369" s="21">
        <f>ROUND((B369+E369+F369)*N364,2)</f>
        <v>0</v>
      </c>
      <c r="O369" s="21">
        <f>ROUND(SUM(B369+C369+F369)*O364,2)</f>
        <v>0</v>
      </c>
      <c r="P369" s="25">
        <f t="shared" ref="P369:P376" si="59">SUM(G369:O369)</f>
        <v>0</v>
      </c>
      <c r="Q369" s="456"/>
      <c r="R369" s="140">
        <f>ROUND(IF(M343="",R359,R359/M343*P346),2)</f>
        <v>5175</v>
      </c>
      <c r="S369" s="140">
        <f>ROUND(IF(M343="",R360,R360/M343*P346),2)</f>
        <v>7450</v>
      </c>
    </row>
    <row r="370" spans="1:19" s="18" customFormat="1" hidden="1" x14ac:dyDescent="0.2">
      <c r="A370" s="76" t="str">
        <f>'päd.Personal - Leitung'!$A$34</f>
        <v>Jun 2025</v>
      </c>
      <c r="B370" s="22">
        <f>ROUND(IF(P347=0,0,IFERROR((((LOOKUP(2,1/(A350:A353=A370),G350:G353))*P347*4.348)*50%),B369/P346*P347)),2)</f>
        <v>0</v>
      </c>
      <c r="C370" s="21">
        <f>ROUND(IFERROR((LOOKUP(2,1/(A356=A370),E356)),0)+IFERROR((LOOKUP(2,1/(A357=A370),E357)),0),2)</f>
        <v>0</v>
      </c>
      <c r="D370" s="21">
        <f>ROUND(IF(B370=0,0,D364/M343*P347*50%),2)</f>
        <v>0</v>
      </c>
      <c r="E370" s="21">
        <f>ROUND(IF(B370=0,0,E364/N339*P347*50%),2)</f>
        <v>0</v>
      </c>
      <c r="F370" s="22">
        <f>ROUND(IF(P347=0,0,IFERROR((((LOOKUP(2,1/(A350:A353=A370),I350:I353))/N339*P347)*50%),F369/P346*P347)),2)</f>
        <v>0</v>
      </c>
      <c r="G370" s="25">
        <f t="shared" si="57"/>
        <v>0</v>
      </c>
      <c r="H370" s="831">
        <f>ROUND(SUM(B370:F370)*H364,2)</f>
        <v>0</v>
      </c>
      <c r="I370" s="64">
        <f>ROUND(IF((SUM(B366:F370)*80%)&gt;((SUM(S362:S370))*90%),((((SUM(S362:S370))*90%)-((SUM(B366:F370)-C370))*I364)+((SUM(B370:F370)-C370)*I364)*80%),((SUM(B370:F370)-C370)*I364)*80%),2)</f>
        <v>0</v>
      </c>
      <c r="J370" s="831">
        <f>ROUND(SUM(B370:F370)*J364,2)</f>
        <v>0</v>
      </c>
      <c r="K370" s="831">
        <f>ROUND(SUM(B370:F370)*K364,2)</f>
        <v>0</v>
      </c>
      <c r="L370" s="831">
        <f>ROUND(SUM(B370:F370)*L364,2)</f>
        <v>0</v>
      </c>
      <c r="M370" s="831">
        <f>ROUND((SUM(B370:F370)-C370)*M364,2)</f>
        <v>0</v>
      </c>
      <c r="N370" s="21">
        <f>ROUND((B370+E370+F370)*N364,2)</f>
        <v>0</v>
      </c>
      <c r="O370" s="21">
        <f>ROUND(SUM(B370+C370+F370)*O364,2)</f>
        <v>0</v>
      </c>
      <c r="P370" s="25">
        <f t="shared" si="59"/>
        <v>0</v>
      </c>
      <c r="Q370" s="456"/>
      <c r="R370" s="140">
        <f>ROUND(IF(M343="",R359,R359/M343*P347),2)</f>
        <v>5175</v>
      </c>
      <c r="S370" s="140">
        <f>ROUND(IF(M343="",R360,R360/M343*P347),2)</f>
        <v>7450</v>
      </c>
    </row>
    <row r="371" spans="1:19" s="18" customFormat="1" hidden="1" x14ac:dyDescent="0.2">
      <c r="A371" s="76" t="str">
        <f>'päd.Personal - Leitung'!$A$35</f>
        <v>Jul 2025</v>
      </c>
      <c r="B371" s="22">
        <f>ROUND(IF(P348=0,0,IFERROR((((LOOKUP(2,1/(A350:A353=A371),G350:G353))*P348*4.348)*50%),B370/P347*P348)),2)</f>
        <v>0</v>
      </c>
      <c r="C371" s="21">
        <f>ROUND(IFERROR((LOOKUP(2,1/(A356=A371),E356)),0)+IFERROR((LOOKUP(2,1/(A357=A371),E357)),0),2)</f>
        <v>0</v>
      </c>
      <c r="D371" s="21">
        <f>ROUND(IF(B371=0,0,D364/M343*P348*50%),2)</f>
        <v>0</v>
      </c>
      <c r="E371" s="21">
        <f>ROUND(IF(B371=0,0,E364/N339*P348*50%),2)</f>
        <v>0</v>
      </c>
      <c r="F371" s="22">
        <f>ROUND(IF(P348=0,0,IFERROR((((LOOKUP(2,1/(A350:A353=A371),I350:I353))/N339*P348)*50%),F370/P347*P348)),2)</f>
        <v>0</v>
      </c>
      <c r="G371" s="25">
        <f t="shared" si="57"/>
        <v>0</v>
      </c>
      <c r="H371" s="831">
        <f>ROUND(SUM(B371:F371)*H364,2)</f>
        <v>0</v>
      </c>
      <c r="I371" s="64">
        <f>ROUND(IF((SUM(B366:F371)*80%)&gt;((SUM(S362:S371))*90%),((((SUM(S362:S371))*90%)-((SUM(B366:F371)-C371))*I364)+((SUM(B371:F371)-C371)*I364)*80%),((SUM(B371:F371)-C371)*I364)*80%),2)</f>
        <v>0</v>
      </c>
      <c r="J371" s="831">
        <f>ROUND(SUM(B371:F371)*J364,2)</f>
        <v>0</v>
      </c>
      <c r="K371" s="831">
        <f>ROUND(SUM(B371:F371)*K364,2)</f>
        <v>0</v>
      </c>
      <c r="L371" s="831">
        <f>ROUND(SUM(B371:F371)*L364,2)</f>
        <v>0</v>
      </c>
      <c r="M371" s="831">
        <f>ROUND((SUM(B371:F371)-C371)*M364,2)</f>
        <v>0</v>
      </c>
      <c r="N371" s="21">
        <f>ROUND((B371+E371+F371)*N364,2)</f>
        <v>0</v>
      </c>
      <c r="O371" s="21">
        <f>ROUND(SUM(B371+C371+F371)*O364,2)</f>
        <v>0</v>
      </c>
      <c r="P371" s="25">
        <f t="shared" si="59"/>
        <v>0</v>
      </c>
      <c r="Q371" s="456"/>
      <c r="R371" s="140">
        <f>ROUND(IF(M343="",R359,R359/M343*P348),2)</f>
        <v>5175</v>
      </c>
      <c r="S371" s="140">
        <f>ROUND(IF(M343="",R360,R360/M343*P348),2)</f>
        <v>7450</v>
      </c>
    </row>
    <row r="372" spans="1:19" s="18" customFormat="1" hidden="1" x14ac:dyDescent="0.2">
      <c r="A372" s="76" t="str">
        <f>'päd.Personal - Leitung'!$A$36</f>
        <v>Aug 2025</v>
      </c>
      <c r="B372" s="22">
        <f>ROUND(IF(P349=0,0,IFERROR((((LOOKUP(2,1/(A350:A353=A372),G350:G353))*P349*4.348)*50%),B371/P348*P349)),2)</f>
        <v>0</v>
      </c>
      <c r="C372" s="21">
        <f>ROUND(IFERROR((LOOKUP(2,1/(A356=A372),E356)),0)+IFERROR((LOOKUP(2,1/(A357=A372),E357)),0),2)</f>
        <v>0</v>
      </c>
      <c r="D372" s="21">
        <f>ROUND(IF(B372=0,0,D364/M343*P349*50%),2)</f>
        <v>0</v>
      </c>
      <c r="E372" s="21">
        <f>ROUND(IF(B372=0,0,E364/N339*P349*50%),2)</f>
        <v>0</v>
      </c>
      <c r="F372" s="22">
        <f>ROUND(IF(P349=0,0,IFERROR((((LOOKUP(2,1/(A350:A353=A372),I350:I353))/N339*P349)*50%),F371/P348*P349)),2)</f>
        <v>0</v>
      </c>
      <c r="G372" s="25">
        <f t="shared" si="57"/>
        <v>0</v>
      </c>
      <c r="H372" s="831">
        <f>ROUND(SUM(B372:F372)*H364,2)</f>
        <v>0</v>
      </c>
      <c r="I372" s="64">
        <f>ROUND(IF((SUM(B366:F372)*80%)&gt;((SUM(S362:S372))*90%),((((SUM(S362:S372))*90%)-((SUM(B366:F372)-C372))*I364)+((SUM(B372:F372)-C372)*I364)*80%),((SUM(B372:F372)-C372)*I364)*80%),2)</f>
        <v>0</v>
      </c>
      <c r="J372" s="831">
        <f>ROUND(SUM(B372:F372)*J364,2)</f>
        <v>0</v>
      </c>
      <c r="K372" s="831">
        <f>ROUND(SUM(B372:F372)*K364,2)</f>
        <v>0</v>
      </c>
      <c r="L372" s="831">
        <f>ROUND(SUM(B372:F372)*L364,2)</f>
        <v>0</v>
      </c>
      <c r="M372" s="831">
        <f>ROUND((SUM(B372:F372)-C372)*M364,2)</f>
        <v>0</v>
      </c>
      <c r="N372" s="21">
        <f>ROUND((B372+E372+F372)*N364,2)</f>
        <v>0</v>
      </c>
      <c r="O372" s="21">
        <f>ROUND(SUM(B372+C372+F372)*O364,2)</f>
        <v>0</v>
      </c>
      <c r="P372" s="25">
        <f t="shared" si="59"/>
        <v>0</v>
      </c>
      <c r="Q372" s="456"/>
      <c r="R372" s="140">
        <f>ROUND(IF(M343="",R359,R359/M343*P349),2)</f>
        <v>5175</v>
      </c>
      <c r="S372" s="140">
        <f>ROUND(IF(M343="",R360,R360/M343*P349),2)</f>
        <v>7450</v>
      </c>
    </row>
    <row r="373" spans="1:19" s="18" customFormat="1" hidden="1" x14ac:dyDescent="0.2">
      <c r="A373" s="76" t="str">
        <f>'päd.Personal - Leitung'!$A$37</f>
        <v>Sep 2025</v>
      </c>
      <c r="B373" s="22">
        <f>ROUND(IF(P350=0,0,IFERROR((((LOOKUP(2,1/(A350:A353=A373),G350:G353))*P350*4.348)*50%),B372/P349*P350)),2)</f>
        <v>0</v>
      </c>
      <c r="C373" s="21">
        <f>ROUND(IFERROR((LOOKUP(2,1/(A356=A373),E356)),0)+IFERROR((LOOKUP(2,1/(A357=A373),E357)),0),2)</f>
        <v>0</v>
      </c>
      <c r="D373" s="21">
        <f>ROUND(IF(B373=0,0,D364/M343*P350*50%),2)</f>
        <v>0</v>
      </c>
      <c r="E373" s="21">
        <f>ROUND(IF(B373=0,0,E364/N339*P350*50%),2)</f>
        <v>0</v>
      </c>
      <c r="F373" s="22">
        <f>ROUND(IF(P350=0,0,IFERROR((((LOOKUP(2,1/(A350:A353=A373),I350:I353))/N339*P350)*50%),F372/P349*P350)),2)</f>
        <v>0</v>
      </c>
      <c r="G373" s="25">
        <f t="shared" si="57"/>
        <v>0</v>
      </c>
      <c r="H373" s="831">
        <f>ROUND(SUM(B373:F373)*H364,2)</f>
        <v>0</v>
      </c>
      <c r="I373" s="64">
        <f>ROUND(IF((SUM(B366:F373)*80%)&gt;((SUM(S362:S373))*90%),((((SUM(S362:S373))*90%)-((SUM(B366:F373)-C373))*I364)+((SUM(B373:F373)-C373)*I364)*80%),((SUM(B373:F373)-C373)*I364)*80%),2)</f>
        <v>0</v>
      </c>
      <c r="J373" s="831">
        <f>ROUND(SUM(B373:F373)*J364,2)</f>
        <v>0</v>
      </c>
      <c r="K373" s="831">
        <f>ROUND(SUM(B373:F373)*K364,2)</f>
        <v>0</v>
      </c>
      <c r="L373" s="831">
        <f>ROUND(SUM(B373:F373)*L364,2)</f>
        <v>0</v>
      </c>
      <c r="M373" s="831">
        <f>ROUND((SUM(B373:F373)-C373)*M364,2)</f>
        <v>0</v>
      </c>
      <c r="N373" s="21">
        <f>ROUND((B373+E373+F373)*N364,2)</f>
        <v>0</v>
      </c>
      <c r="O373" s="21">
        <f>ROUND(SUM(B373+C373+F373)*O364,2)</f>
        <v>0</v>
      </c>
      <c r="P373" s="25">
        <f t="shared" si="59"/>
        <v>0</v>
      </c>
      <c r="Q373" s="456"/>
      <c r="R373" s="140">
        <f>ROUND(IF(M343="",R359,R359/M343*P350),2)</f>
        <v>5175</v>
      </c>
      <c r="S373" s="140">
        <f>ROUND(IF(M343="",R360,R360/M343*P350),2)</f>
        <v>7450</v>
      </c>
    </row>
    <row r="374" spans="1:19" s="18" customFormat="1" hidden="1" x14ac:dyDescent="0.2">
      <c r="A374" s="76" t="str">
        <f>'päd.Personal - Leitung'!$A$38</f>
        <v>Okt 2025</v>
      </c>
      <c r="B374" s="22">
        <f>ROUND(IF(P351=0,0,IFERROR((((LOOKUP(2,1/(A350:A353=A374),G350:G353))*P351*4.348)*50%),B373/P350*P351)),2)</f>
        <v>0</v>
      </c>
      <c r="C374" s="21">
        <f>ROUND(IFERROR((LOOKUP(2,1/(A356=A374),E356)),0)+IFERROR((LOOKUP(2,1/(A357=A374),E357)),0),2)</f>
        <v>0</v>
      </c>
      <c r="D374" s="21">
        <f>ROUND(IF(B374=0,0,D364/M343*P351*50%),2)</f>
        <v>0</v>
      </c>
      <c r="E374" s="21">
        <f>ROUND(IF(B374=0,0,E364/N339*P351*50%),2)</f>
        <v>0</v>
      </c>
      <c r="F374" s="22">
        <f>ROUND(IF(P351=0,0,IFERROR((((LOOKUP(2,1/(A350:A353=A374),I350:I353))/N339*P351)*50%),F373/P350*P351)),2)</f>
        <v>0</v>
      </c>
      <c r="G374" s="25">
        <f t="shared" si="57"/>
        <v>0</v>
      </c>
      <c r="H374" s="831">
        <f>ROUND(SUM(B374:F374)*H364,2)</f>
        <v>0</v>
      </c>
      <c r="I374" s="64">
        <f>ROUND(IF((SUM(B366:F374)*80%)&gt;((SUM(S362:S374))*90%),((((SUM(S362:S374))*90%)-((SUM(B366:F374)-C374))*I364)+((SUM(B374:F374)-C374)*I364)*80%),((SUM(B374:F374)-C374)*I364)*80%),2)</f>
        <v>0</v>
      </c>
      <c r="J374" s="831">
        <f>ROUND(SUM(B374:F374)*J364,2)</f>
        <v>0</v>
      </c>
      <c r="K374" s="831">
        <f>ROUND(SUM(B374:F374)*K364,2)</f>
        <v>0</v>
      </c>
      <c r="L374" s="831">
        <f>ROUND(SUM(B374:F374)*L364,2)</f>
        <v>0</v>
      </c>
      <c r="M374" s="831">
        <f>ROUND((SUM(B374:F374)-C374)*M364,2)</f>
        <v>0</v>
      </c>
      <c r="N374" s="21">
        <f>ROUND((B374+E374+F374)*N364,2)</f>
        <v>0</v>
      </c>
      <c r="O374" s="21">
        <f>ROUND(SUM(B374+C374+F374)*O364,2)</f>
        <v>0</v>
      </c>
      <c r="P374" s="25">
        <f t="shared" si="59"/>
        <v>0</v>
      </c>
      <c r="Q374" s="936"/>
      <c r="R374" s="140">
        <f>ROUND(IF(M343="",R359,R359/M343*P351),2)</f>
        <v>5175</v>
      </c>
      <c r="S374" s="140">
        <f>ROUND(IF(M343="",R360,R360/M343*P351),2)</f>
        <v>7450</v>
      </c>
    </row>
    <row r="375" spans="1:19" s="18" customFormat="1" hidden="1" x14ac:dyDescent="0.2">
      <c r="A375" s="76" t="str">
        <f>'päd.Personal - Leitung'!$A$39</f>
        <v>Nov 2025</v>
      </c>
      <c r="B375" s="22">
        <f>ROUND(IF(P352=0,0,IFERROR((((LOOKUP(2,1/(A350:A353=A375),G350:G353))*P352*4.348)*50%),B374/P351*P352)),2)</f>
        <v>0</v>
      </c>
      <c r="C375" s="21">
        <f>ROUND(IFERROR((LOOKUP(2,1/(A356=A375),E356)),0)+(IFERROR((LOOKUP(2,1/(A357=A375),E357)),0)),2)</f>
        <v>0</v>
      </c>
      <c r="D375" s="21">
        <f>ROUND(IF(B375=0,0,D364/M343*P352*50%),2)</f>
        <v>0</v>
      </c>
      <c r="E375" s="21">
        <f>ROUND(IF(B375=0,0,E364/N339*P352*50%),2)</f>
        <v>0</v>
      </c>
      <c r="F375" s="22">
        <f>ROUND(IF(P352=0,0,IFERROR((((LOOKUP(2,1/(A350:A353=A375),I350:I353))/N339*P352)*50%),F374/P351*P352)),2)</f>
        <v>0</v>
      </c>
      <c r="G375" s="25">
        <f t="shared" si="57"/>
        <v>0</v>
      </c>
      <c r="H375" s="831">
        <f>ROUND(SUM(B375:F375)*H364,2)</f>
        <v>0</v>
      </c>
      <c r="I375" s="64">
        <f>ROUND(IF((SUM(B366:F375)*80%)&gt;((SUM(S362:S375))*90%),((((SUM(S362:S375))*90%)-((SUM(B366:F375)-C375))*I364)+((SUM(B375:F375)-C375)*I364)*80%),((SUM(B375:F375)-C375)*I364)*80%),2)</f>
        <v>0</v>
      </c>
      <c r="J375" s="831">
        <f>ROUND(SUM(B375:F375)*J364,2)</f>
        <v>0</v>
      </c>
      <c r="K375" s="831">
        <f>ROUND(SUM(B375:F375)*K364,2)</f>
        <v>0</v>
      </c>
      <c r="L375" s="831">
        <f>ROUND(SUM(B375:F375)*L364,2)</f>
        <v>0</v>
      </c>
      <c r="M375" s="831">
        <f>ROUND((SUM(B375:F375)-C375)*M364,2)</f>
        <v>0</v>
      </c>
      <c r="N375" s="21">
        <f>ROUND((B375+E375+F375)*N364,2)</f>
        <v>0</v>
      </c>
      <c r="O375" s="21">
        <f>ROUND(SUM(B375+C375+F375)*O364,2)</f>
        <v>0</v>
      </c>
      <c r="P375" s="25">
        <f t="shared" si="59"/>
        <v>0</v>
      </c>
      <c r="Q375" s="11"/>
      <c r="R375" s="140">
        <f>ROUND(IF(M343="",R359,R359/M343*P352),2)</f>
        <v>5175</v>
      </c>
      <c r="S375" s="140">
        <f>ROUND(IF(M343="",R360,R360/M343*P352),2)</f>
        <v>7450</v>
      </c>
    </row>
    <row r="376" spans="1:19" s="18" customFormat="1" hidden="1" x14ac:dyDescent="0.2">
      <c r="A376" s="76" t="str">
        <f>'päd.Personal - Leitung'!$A$40</f>
        <v>Dez 2025</v>
      </c>
      <c r="B376" s="22">
        <f>ROUND(IF(P353=0,0,IFERROR((((LOOKUP(2,1/(A350:A353=A376),G350:G353))*P353*4.348)*50%),B375/P352*P353)),2)</f>
        <v>0</v>
      </c>
      <c r="C376" s="21">
        <f>ROUND(IFERROR((LOOKUP(2,1/(A356=A376),E356)),0)+IFERROR((LOOKUP(2,1/(A357=A376),E357)),0),2)</f>
        <v>0</v>
      </c>
      <c r="D376" s="21">
        <f>ROUND(IF(B376=0,0,D364/M343*P353*50%),2)</f>
        <v>0</v>
      </c>
      <c r="E376" s="21">
        <f>ROUND(IF(B376=0,0,E364/N339*P353*50%),2)</f>
        <v>0</v>
      </c>
      <c r="F376" s="22">
        <f>ROUND(IF(P353=0,0,IFERROR((((LOOKUP(2,1/(A350:A353=A376),I350:I353))/N339*P353)*50%),F375/P352*P353)),2)</f>
        <v>0</v>
      </c>
      <c r="G376" s="25">
        <f t="shared" si="57"/>
        <v>0</v>
      </c>
      <c r="H376" s="831">
        <f>ROUND(SUM(B376:F376)*H364,2)</f>
        <v>0</v>
      </c>
      <c r="I376" s="64">
        <f>ROUND(IF((SUM(B366:F376)*80%)&gt;((SUM(S362:S376))*90%),((((SUM(S362:S376))*90%)-((SUM(B366:F376)-C376))*I364)+((SUM(B376:F376)-C376)*I364)*80%),((SUM(B376:F376)-C376)*I364)*80%),2)</f>
        <v>0</v>
      </c>
      <c r="J376" s="831">
        <f>ROUND(SUM(B376:F376)*J364,2)</f>
        <v>0</v>
      </c>
      <c r="K376" s="831">
        <f>ROUND(SUM(B376:F376)*K364,2)</f>
        <v>0</v>
      </c>
      <c r="L376" s="831">
        <f>ROUND(SUM(B376:F376)*L364,2)</f>
        <v>0</v>
      </c>
      <c r="M376" s="831">
        <f>ROUND((SUM(B376:F376)-C376)*M364,2)</f>
        <v>0</v>
      </c>
      <c r="N376" s="21">
        <f>ROUND((B376+E376+F376)*N364,2)</f>
        <v>0</v>
      </c>
      <c r="O376" s="21">
        <f>ROUND(SUM(B376+C376+F376)*O364,2)</f>
        <v>0</v>
      </c>
      <c r="P376" s="25">
        <f t="shared" si="59"/>
        <v>0</v>
      </c>
      <c r="Q376" s="11"/>
      <c r="R376" s="140">
        <f>ROUND(IF(M343="",R359,R359/M343*P353),2)</f>
        <v>5175</v>
      </c>
      <c r="S376" s="140">
        <f>ROUND(IF(M343="",R360,R360/M343*P353),2)</f>
        <v>7450</v>
      </c>
    </row>
    <row r="377" spans="1:19" s="18" customFormat="1" hidden="1" x14ac:dyDescent="0.2">
      <c r="A377" s="2" t="s">
        <v>1</v>
      </c>
      <c r="B377" s="25">
        <f t="shared" ref="B377:G377" si="60">SUM(B365:B376)</f>
        <v>0</v>
      </c>
      <c r="C377" s="25">
        <f t="shared" si="60"/>
        <v>0</v>
      </c>
      <c r="D377" s="25">
        <f t="shared" si="60"/>
        <v>0</v>
      </c>
      <c r="E377" s="25">
        <f t="shared" si="60"/>
        <v>0</v>
      </c>
      <c r="F377" s="25">
        <f t="shared" si="60"/>
        <v>0</v>
      </c>
      <c r="G377" s="25">
        <f t="shared" si="60"/>
        <v>0</v>
      </c>
      <c r="H377" s="1309">
        <f>SUM(H365:M376)</f>
        <v>0</v>
      </c>
      <c r="I377" s="1310"/>
      <c r="J377" s="1310"/>
      <c r="K377" s="1310"/>
      <c r="L377" s="1310"/>
      <c r="M377" s="1310"/>
      <c r="N377" s="25">
        <f>SUM(N365:N376)</f>
        <v>0</v>
      </c>
      <c r="O377" s="25">
        <f>SUM(O365:O376)</f>
        <v>0</v>
      </c>
      <c r="P377" s="25">
        <f>SUM(P365:P376)</f>
        <v>0</v>
      </c>
    </row>
    <row r="378" spans="1:19" s="18" customFormat="1" hidden="1" x14ac:dyDescent="0.2">
      <c r="O378" s="14"/>
      <c r="Q378" s="1021"/>
      <c r="R378" s="1021"/>
      <c r="S378" s="1021"/>
    </row>
    <row r="379" spans="1:19" ht="14.25" hidden="1" customHeight="1" x14ac:dyDescent="0.2">
      <c r="B379" s="906"/>
      <c r="H379" s="905"/>
      <c r="I379" s="62"/>
      <c r="J379" s="914" t="s">
        <v>123</v>
      </c>
      <c r="L379" s="900" t="s">
        <v>124</v>
      </c>
      <c r="M379" s="1003"/>
      <c r="N379" s="902" t="s">
        <v>125</v>
      </c>
      <c r="O379" s="1004"/>
      <c r="P379" s="25">
        <f>ROUND(IF(M379="",0,G377*M379*O379/1000),2)</f>
        <v>0</v>
      </c>
      <c r="Q379" s="1015"/>
      <c r="R379" s="1022"/>
      <c r="S379" s="1016"/>
    </row>
    <row r="380" spans="1:19" ht="14.25" hidden="1" customHeight="1" x14ac:dyDescent="0.2">
      <c r="H380" s="907"/>
      <c r="I380" s="42"/>
      <c r="M380" s="915" t="s">
        <v>129</v>
      </c>
      <c r="N380" s="80" t="s">
        <v>125</v>
      </c>
      <c r="O380" s="1007"/>
      <c r="P380" s="25">
        <f>ROUND(IF(O380="",0,G377*O380/1000),2)</f>
        <v>0</v>
      </c>
      <c r="Q380" s="1023"/>
      <c r="R380" s="65"/>
      <c r="S380" s="1017"/>
    </row>
    <row r="381" spans="1:19" ht="14.25" hidden="1" customHeight="1" x14ac:dyDescent="0.2">
      <c r="H381" s="912" t="s">
        <v>126</v>
      </c>
      <c r="I381" s="1013" t="s">
        <v>127</v>
      </c>
      <c r="J381" s="1005"/>
      <c r="K381" s="902" t="s">
        <v>128</v>
      </c>
      <c r="L381" s="1006"/>
      <c r="M381" s="16"/>
      <c r="N381" s="900" t="s">
        <v>132</v>
      </c>
      <c r="O381" s="1008"/>
      <c r="P381" s="25">
        <f>ROUND(IF(J381="",0,(J381*L381/O381)/M345*M346),2)</f>
        <v>0</v>
      </c>
      <c r="Q381" s="1023"/>
      <c r="R381" s="66"/>
      <c r="S381" s="1016"/>
    </row>
    <row r="382" spans="1:19" ht="14.25" hidden="1" customHeight="1" x14ac:dyDescent="0.2">
      <c r="D382" s="16"/>
      <c r="I382" s="16"/>
      <c r="J382" s="16"/>
      <c r="K382" s="63"/>
      <c r="L382" s="67"/>
      <c r="M382" s="915" t="s">
        <v>130</v>
      </c>
      <c r="N382" s="80" t="s">
        <v>131</v>
      </c>
      <c r="O382" s="904"/>
      <c r="P382" s="21">
        <f>ROUND(IF(G377=0,0,O382/M343*M344),2)</f>
        <v>0</v>
      </c>
      <c r="Q382" s="1023"/>
      <c r="R382" s="1018"/>
      <c r="S382" s="1024"/>
    </row>
    <row r="383" spans="1:19" ht="14.25" hidden="1" customHeight="1" x14ac:dyDescent="0.2">
      <c r="A383" s="16"/>
      <c r="B383" s="16"/>
      <c r="I383" s="905"/>
      <c r="J383" s="961" t="s">
        <v>176</v>
      </c>
      <c r="K383" s="1312"/>
      <c r="L383" s="1312"/>
      <c r="M383" s="1312"/>
      <c r="N383" s="80" t="s">
        <v>131</v>
      </c>
      <c r="O383" s="904"/>
      <c r="P383" s="21">
        <f>ROUND(IF(G377=0,0,O383/M343*M344),2)</f>
        <v>0</v>
      </c>
      <c r="Q383" s="1023"/>
      <c r="R383" s="1019"/>
      <c r="S383" s="1020"/>
    </row>
    <row r="384" spans="1:19" ht="14.25" hidden="1" customHeight="1" x14ac:dyDescent="0.2">
      <c r="A384" s="908"/>
      <c r="B384" s="908"/>
      <c r="C384" s="1013"/>
      <c r="D384" s="1013"/>
      <c r="I384" s="913"/>
      <c r="J384" s="913"/>
      <c r="K384" s="916"/>
      <c r="L384" s="27"/>
      <c r="M384" s="27"/>
      <c r="N384" s="27"/>
      <c r="O384" s="26" t="s">
        <v>0</v>
      </c>
      <c r="P384" s="25">
        <f>P377+SUM(P379:P383)</f>
        <v>0</v>
      </c>
    </row>
    <row r="385" spans="1:19" s="10" customFormat="1" ht="13.5" hidden="1" customHeight="1" x14ac:dyDescent="0.2">
      <c r="A385" s="1321" t="s">
        <v>17</v>
      </c>
      <c r="B385" s="1321"/>
      <c r="C385" s="1321"/>
      <c r="D385" s="1320" t="str">
        <f>IF('päd.Personal - Leitung'!$D$1="","",'päd.Personal - Leitung'!$D$1)</f>
        <v/>
      </c>
      <c r="E385" s="1320"/>
      <c r="F385" s="1320"/>
      <c r="G385" s="1320"/>
      <c r="H385" s="1320"/>
      <c r="I385" s="1320"/>
      <c r="J385" s="1320"/>
      <c r="K385" s="1320"/>
      <c r="L385" s="1320"/>
      <c r="M385" s="1320"/>
      <c r="N385" s="1320"/>
    </row>
    <row r="386" spans="1:19" s="10" customFormat="1" ht="15" hidden="1" customHeight="1" x14ac:dyDescent="0.2">
      <c r="A386" s="1321" t="s">
        <v>16</v>
      </c>
      <c r="B386" s="1321"/>
      <c r="C386" s="1321" t="s">
        <v>14</v>
      </c>
      <c r="D386" s="1320" t="str">
        <f>IF('päd.Personal - Leitung'!$D$2="","",'päd.Personal - Leitung'!$D$2)</f>
        <v/>
      </c>
      <c r="E386" s="1320"/>
      <c r="F386" s="1320"/>
      <c r="G386" s="1320"/>
      <c r="H386" s="1320"/>
      <c r="I386" s="1320"/>
      <c r="J386" s="1320"/>
      <c r="K386" s="1320"/>
      <c r="L386" s="1320"/>
      <c r="M386" s="1320"/>
      <c r="N386" s="1320"/>
    </row>
    <row r="387" spans="1:19" s="10" customFormat="1" ht="15" hidden="1" customHeight="1" x14ac:dyDescent="0.2">
      <c r="A387" s="1321" t="s">
        <v>15</v>
      </c>
      <c r="B387" s="1321"/>
      <c r="C387" s="1321" t="s">
        <v>14</v>
      </c>
      <c r="D387" s="1320" t="str">
        <f>IF('päd.Personal - Leitung'!$D$3="","",'päd.Personal - Leitung'!$D$3)</f>
        <v/>
      </c>
      <c r="E387" s="1320"/>
      <c r="F387" s="1320"/>
      <c r="G387" s="1320"/>
      <c r="H387" s="1320"/>
      <c r="I387" s="1320"/>
      <c r="J387" s="1320"/>
      <c r="K387" s="1321" t="s">
        <v>100</v>
      </c>
      <c r="L387" s="1321"/>
      <c r="M387" s="1321"/>
      <c r="N387" s="38" t="str">
        <f>IF('päd.Personal - Leitung'!$N$3="","",'päd.Personal - Leitung'!$N$3)</f>
        <v/>
      </c>
    </row>
    <row r="388" spans="1:19" s="923" customFormat="1" ht="7.5" hidden="1" customHeight="1" x14ac:dyDescent="0.15">
      <c r="A388" s="1353"/>
      <c r="B388" s="1353"/>
      <c r="C388" s="1353"/>
      <c r="D388" s="1354"/>
      <c r="E388" s="1354"/>
      <c r="F388" s="1354"/>
      <c r="G388" s="1354"/>
      <c r="H388" s="1354"/>
      <c r="I388" s="1354"/>
      <c r="J388" s="1354"/>
      <c r="K388" s="922"/>
      <c r="L388" s="922"/>
      <c r="M388" s="922"/>
      <c r="N388" s="922"/>
      <c r="O388" s="922"/>
      <c r="P388" s="922"/>
    </row>
    <row r="389" spans="1:19" s="18" customFormat="1" hidden="1" x14ac:dyDescent="0.2">
      <c r="A389" s="1355" t="s">
        <v>209</v>
      </c>
      <c r="B389" s="1355"/>
      <c r="C389" s="1355"/>
      <c r="D389" s="1355"/>
      <c r="E389" s="1355"/>
      <c r="F389" s="1355"/>
      <c r="G389" s="1355"/>
      <c r="H389" s="1355"/>
      <c r="I389" s="1355"/>
      <c r="J389" s="1355"/>
      <c r="K389" s="1355"/>
      <c r="L389" s="1355"/>
      <c r="M389" s="1355"/>
      <c r="N389" s="52"/>
      <c r="O389" s="138">
        <f>'päd.Personal - Leitung'!$O$5</f>
        <v>2025</v>
      </c>
      <c r="P389" s="52" t="s">
        <v>140</v>
      </c>
    </row>
    <row r="390" spans="1:19" s="8" customFormat="1" ht="13.5" hidden="1" customHeight="1" x14ac:dyDescent="0.25">
      <c r="B390" s="29"/>
      <c r="C390" s="29"/>
      <c r="D390" s="3" t="s">
        <v>210</v>
      </c>
      <c r="E390" s="28"/>
      <c r="F390" s="28"/>
      <c r="G390" s="28"/>
      <c r="H390" s="28"/>
      <c r="I390" s="24"/>
      <c r="K390" s="1327" t="s">
        <v>13</v>
      </c>
      <c r="L390" s="1327"/>
      <c r="M390" s="131"/>
      <c r="O390" s="928" t="str">
        <f>A413</f>
        <v>Jan 2025</v>
      </c>
      <c r="P390" s="68">
        <f>IF(M392="","",M392)</f>
        <v>0</v>
      </c>
    </row>
    <row r="391" spans="1:19" s="5" customFormat="1" ht="13.5" hidden="1" customHeight="1" x14ac:dyDescent="0.25">
      <c r="A391" s="1328" t="s">
        <v>754</v>
      </c>
      <c r="B391" s="1328"/>
      <c r="C391" s="1328"/>
      <c r="D391" s="1329"/>
      <c r="E391" s="1329"/>
      <c r="F391" s="1329"/>
      <c r="G391" s="1329"/>
      <c r="H391" s="1329"/>
      <c r="I391" s="1329"/>
      <c r="K391" s="1327" t="s">
        <v>101</v>
      </c>
      <c r="L391" s="1327"/>
      <c r="M391" s="101"/>
      <c r="O391" s="928" t="str">
        <f t="shared" ref="O391:O401" si="61">A414</f>
        <v>Feb 2025</v>
      </c>
      <c r="P391" s="69">
        <f t="shared" ref="P391:P401" si="62">IF(P390="","",P390)</f>
        <v>0</v>
      </c>
    </row>
    <row r="392" spans="1:19" ht="13.5" hidden="1" customHeight="1" x14ac:dyDescent="0.2">
      <c r="A392" s="1328" t="s">
        <v>12</v>
      </c>
      <c r="B392" s="1328"/>
      <c r="C392" s="1328"/>
      <c r="D392" s="1345"/>
      <c r="E392" s="1345"/>
      <c r="F392" s="1345"/>
      <c r="G392" s="1345"/>
      <c r="H392" s="1345"/>
      <c r="I392" s="1345"/>
      <c r="K392" s="1327" t="s">
        <v>149</v>
      </c>
      <c r="L392" s="1327"/>
      <c r="M392" s="101">
        <f>IF((M393+M394)&gt;M391,0,M391-M393-M394)</f>
        <v>0</v>
      </c>
      <c r="O392" s="928" t="str">
        <f t="shared" si="61"/>
        <v>Mrz 2025</v>
      </c>
      <c r="P392" s="69">
        <f t="shared" si="62"/>
        <v>0</v>
      </c>
    </row>
    <row r="393" spans="1:19" ht="13.5" hidden="1" customHeight="1" x14ac:dyDescent="0.2">
      <c r="A393" s="1328" t="s">
        <v>11</v>
      </c>
      <c r="B393" s="1328"/>
      <c r="C393" s="1328"/>
      <c r="D393" s="1345"/>
      <c r="E393" s="1345"/>
      <c r="F393" s="1345"/>
      <c r="G393" s="1345"/>
      <c r="H393" s="1345"/>
      <c r="I393" s="1345"/>
      <c r="K393" s="1327" t="s">
        <v>150</v>
      </c>
      <c r="L393" s="1327"/>
      <c r="M393" s="101"/>
      <c r="O393" s="928" t="str">
        <f t="shared" si="61"/>
        <v>Apr 2025</v>
      </c>
      <c r="P393" s="69">
        <f t="shared" si="62"/>
        <v>0</v>
      </c>
    </row>
    <row r="394" spans="1:19" ht="13.5" hidden="1" customHeight="1" x14ac:dyDescent="0.2">
      <c r="A394" s="1328" t="s">
        <v>18</v>
      </c>
      <c r="B394" s="1328"/>
      <c r="C394" s="1328"/>
      <c r="D394" s="1345"/>
      <c r="E394" s="1345"/>
      <c r="F394" s="1345"/>
      <c r="G394" s="1345"/>
      <c r="H394" s="1345"/>
      <c r="I394" s="1345"/>
      <c r="K394" s="1327" t="s">
        <v>222</v>
      </c>
      <c r="L394" s="1327"/>
      <c r="M394" s="101"/>
      <c r="O394" s="928" t="str">
        <f t="shared" si="61"/>
        <v>Mai 2025</v>
      </c>
      <c r="P394" s="69">
        <f t="shared" si="62"/>
        <v>0</v>
      </c>
    </row>
    <row r="395" spans="1:19" ht="13.5" hidden="1" customHeight="1" x14ac:dyDescent="0.2">
      <c r="B395" s="6"/>
      <c r="C395" s="1012" t="s">
        <v>147</v>
      </c>
      <c r="D395" s="1324"/>
      <c r="E395" s="1324"/>
      <c r="F395" s="1359" t="s">
        <v>108</v>
      </c>
      <c r="G395" s="1359"/>
      <c r="H395" s="1361"/>
      <c r="I395" s="1361"/>
      <c r="K395" s="1327" t="s">
        <v>94</v>
      </c>
      <c r="L395" s="1327"/>
      <c r="M395" s="15" t="str">
        <f>IF(IF((COUNTIF(B413:B424,"&gt;0"))=0,0,(COUNTIF(B413:B424,"&gt;0")))&gt;Grundlagen!$C$26,Grundlagen!$C$26,IF((COUNTIF(B413:B424,"&gt;0"))=0,"",(COUNTIF(B413:B424,"&gt;0"))))</f>
        <v/>
      </c>
      <c r="O395" s="928" t="str">
        <f t="shared" si="61"/>
        <v>Jun 2025</v>
      </c>
      <c r="P395" s="69">
        <f t="shared" si="62"/>
        <v>0</v>
      </c>
    </row>
    <row r="396" spans="1:19" ht="13.5" hidden="1" customHeight="1" x14ac:dyDescent="0.2">
      <c r="F396" s="1359" t="s">
        <v>213</v>
      </c>
      <c r="G396" s="1359"/>
      <c r="H396" s="1361"/>
      <c r="I396" s="1361"/>
      <c r="M396" s="102" t="str">
        <f>IF((SUM(F398:F401))=0,"",IF(P402&gt;M392,M392,IF(M392="","",IF(M395="","",P402))))</f>
        <v/>
      </c>
      <c r="O396" s="928" t="str">
        <f t="shared" si="61"/>
        <v>Jul 2025</v>
      </c>
      <c r="P396" s="69">
        <f t="shared" si="62"/>
        <v>0</v>
      </c>
    </row>
    <row r="397" spans="1:19" s="46" customFormat="1" ht="13.5" hidden="1" customHeight="1" x14ac:dyDescent="0.2">
      <c r="A397" s="54" t="s">
        <v>134</v>
      </c>
      <c r="B397" s="1356" t="s">
        <v>135</v>
      </c>
      <c r="C397" s="1356"/>
      <c r="D397" s="55" t="s">
        <v>136</v>
      </c>
      <c r="E397" s="56" t="s">
        <v>137</v>
      </c>
      <c r="F397" s="57" t="str">
        <f>CONCATENATE("Entg. ",N387," h/Wo")</f>
        <v>Entg.  h/Wo</v>
      </c>
      <c r="G397" s="58" t="s">
        <v>138</v>
      </c>
      <c r="I397" s="58" t="s">
        <v>139</v>
      </c>
      <c r="K397" s="970"/>
      <c r="L397" s="970"/>
      <c r="M397" s="59"/>
      <c r="N397" s="968" t="str">
        <f>IF(A399="","",A399)</f>
        <v/>
      </c>
      <c r="O397" s="928" t="str">
        <f t="shared" si="61"/>
        <v>Aug 2025</v>
      </c>
      <c r="P397" s="69">
        <f t="shared" si="62"/>
        <v>0</v>
      </c>
      <c r="Q397" s="1027"/>
      <c r="R397" s="1025"/>
      <c r="S397" s="1025"/>
    </row>
    <row r="398" spans="1:19" s="46" customFormat="1" ht="13.5" hidden="1" customHeight="1" x14ac:dyDescent="0.25">
      <c r="A398" s="48" t="str">
        <f>A413</f>
        <v>Jan 2025</v>
      </c>
      <c r="B398" s="1357" t="str">
        <f>IF($D$3="","",$D$3)</f>
        <v/>
      </c>
      <c r="C398" s="1358"/>
      <c r="D398" s="132"/>
      <c r="E398" s="132"/>
      <c r="F398" s="71"/>
      <c r="G398" s="50">
        <f>IF(N387="",0,F398/N387/4.348)</f>
        <v>0</v>
      </c>
      <c r="I398" s="51">
        <f>SUM(J398:M398)</f>
        <v>0</v>
      </c>
      <c r="J398" s="70"/>
      <c r="K398" s="70"/>
      <c r="L398" s="70"/>
      <c r="M398" s="70"/>
      <c r="N398" s="983"/>
      <c r="O398" s="928" t="str">
        <f t="shared" si="61"/>
        <v>Sep 2025</v>
      </c>
      <c r="P398" s="69">
        <f t="shared" si="62"/>
        <v>0</v>
      </c>
      <c r="Q398" s="1026"/>
      <c r="R398" s="829"/>
      <c r="S398" s="1028"/>
    </row>
    <row r="399" spans="1:19" s="46" customFormat="1" ht="13.5" hidden="1" customHeight="1" x14ac:dyDescent="0.25">
      <c r="A399" s="49"/>
      <c r="B399" s="1322" t="str">
        <f>IF(A399="","",B398)</f>
        <v/>
      </c>
      <c r="C399" s="1323"/>
      <c r="D399" s="132"/>
      <c r="E399" s="132"/>
      <c r="F399" s="71"/>
      <c r="G399" s="50">
        <f>IF(N387="",0,F399/N387/4.348)</f>
        <v>0</v>
      </c>
      <c r="I399" s="51">
        <f t="shared" ref="I399:I401" si="63">SUM(J399:M399)</f>
        <v>0</v>
      </c>
      <c r="J399" s="70"/>
      <c r="K399" s="70"/>
      <c r="L399" s="70"/>
      <c r="M399" s="70"/>
      <c r="N399" s="983"/>
      <c r="O399" s="928" t="str">
        <f t="shared" si="61"/>
        <v>Okt 2025</v>
      </c>
      <c r="P399" s="69">
        <f t="shared" si="62"/>
        <v>0</v>
      </c>
      <c r="Q399" s="1026"/>
      <c r="R399" s="829"/>
      <c r="S399" s="1028"/>
    </row>
    <row r="400" spans="1:19" s="46" customFormat="1" ht="13.5" hidden="1" customHeight="1" x14ac:dyDescent="0.25">
      <c r="A400" s="49"/>
      <c r="B400" s="1322" t="str">
        <f>IF(A400="","",B399)</f>
        <v/>
      </c>
      <c r="C400" s="1323"/>
      <c r="D400" s="132"/>
      <c r="E400" s="132"/>
      <c r="F400" s="71"/>
      <c r="G400" s="50">
        <f>IF(N387="",0,F400/N387/4.348)</f>
        <v>0</v>
      </c>
      <c r="I400" s="51">
        <f t="shared" si="63"/>
        <v>0</v>
      </c>
      <c r="J400" s="70"/>
      <c r="K400" s="70"/>
      <c r="L400" s="70"/>
      <c r="M400" s="70"/>
      <c r="N400" s="983"/>
      <c r="O400" s="928" t="str">
        <f t="shared" si="61"/>
        <v>Nov 2025</v>
      </c>
      <c r="P400" s="69">
        <f t="shared" si="62"/>
        <v>0</v>
      </c>
      <c r="Q400" s="828"/>
      <c r="R400" s="829"/>
      <c r="S400" s="829"/>
    </row>
    <row r="401" spans="1:20" s="46" customFormat="1" ht="13.5" hidden="1" customHeight="1" x14ac:dyDescent="0.25">
      <c r="A401" s="49"/>
      <c r="B401" s="1322" t="str">
        <f>IF(A401="","",B400)</f>
        <v/>
      </c>
      <c r="C401" s="1323"/>
      <c r="D401" s="132"/>
      <c r="E401" s="132"/>
      <c r="F401" s="71"/>
      <c r="G401" s="50">
        <f>IF(N387="",0,F401/N387/4.348)</f>
        <v>0</v>
      </c>
      <c r="I401" s="51">
        <f t="shared" si="63"/>
        <v>0</v>
      </c>
      <c r="J401" s="70"/>
      <c r="K401" s="70"/>
      <c r="L401" s="70"/>
      <c r="M401" s="70"/>
      <c r="N401" s="983"/>
      <c r="O401" s="928" t="str">
        <f t="shared" si="61"/>
        <v>Dez 2025</v>
      </c>
      <c r="P401" s="69">
        <f t="shared" si="62"/>
        <v>0</v>
      </c>
      <c r="Q401" s="276"/>
      <c r="R401" s="827"/>
      <c r="S401" s="827"/>
    </row>
    <row r="402" spans="1:20" s="46" customFormat="1" ht="13.5" hidden="1" customHeight="1" x14ac:dyDescent="0.25">
      <c r="B402" s="972"/>
      <c r="C402" s="972"/>
      <c r="E402" s="972"/>
      <c r="F402" s="972"/>
      <c r="I402" s="930" t="s">
        <v>730</v>
      </c>
      <c r="J402" s="982"/>
      <c r="K402" s="982"/>
      <c r="L402" s="982"/>
      <c r="M402" s="982"/>
      <c r="N402" s="994"/>
      <c r="O402" s="126" t="s">
        <v>221</v>
      </c>
      <c r="P402" s="127">
        <f>IF(M395="",0,((IF(SUMIF(B413,"&gt;0"),P390,0))+(IF(SUMIF(B414,"&gt;0"),P391,0))+(IF(SUMIF(B415,"&gt;0"),P392,0))+(IF(SUMIF(B416,"&gt;0"),P393,0))+(IF(SUMIF(B417,"&gt;0"),P394,0))+(IF(SUMIF(B418,"&gt;0"),P395,0))+(IF(SUMIF(B419,"&gt;0"),P396,0))+(IF(SUMIF(B420,"&gt;0"),P397,0))+(IF(SUMIF(B421,"&gt;0"),P398,0))+(IF(SUMIF(B422,"&gt;0"),P399,0))+(IF(SUMIF(B423,"&gt;0"),P400,0))+(IF(SUMIF(B424,"&gt;0"),P401,0)))/Grundlagen!$C$26)</f>
        <v>0</v>
      </c>
      <c r="Q402" s="1009" t="str">
        <f>CONCATENATE("BBG"," anteilig ",O404)</f>
        <v>BBG anteilig 2025</v>
      </c>
      <c r="R402" s="931" t="s">
        <v>659</v>
      </c>
      <c r="S402" s="931" t="s">
        <v>398</v>
      </c>
      <c r="T402" s="107"/>
    </row>
    <row r="403" spans="1:20" s="46" customFormat="1" ht="13.5" hidden="1" customHeight="1" x14ac:dyDescent="0.2">
      <c r="A403" s="924" t="s">
        <v>732</v>
      </c>
      <c r="D403" s="55" t="s">
        <v>369</v>
      </c>
      <c r="E403" s="56" t="s">
        <v>368</v>
      </c>
      <c r="F403" s="58"/>
      <c r="J403" s="61"/>
      <c r="Q403" s="932" t="s">
        <v>144</v>
      </c>
      <c r="R403" s="140">
        <f>IF(M392=0,R407,IF(M391="",R407,(SUM(R413:R424)/M395)))</f>
        <v>5175</v>
      </c>
      <c r="S403" s="933">
        <f>IF(M392=0,S407,IF(M391="",S407,SUM(R413:R424)))</f>
        <v>0</v>
      </c>
      <c r="T403" s="107"/>
    </row>
    <row r="404" spans="1:20" s="46" customFormat="1" ht="13.5" hidden="1" customHeight="1" x14ac:dyDescent="0.25">
      <c r="A404" s="60"/>
      <c r="B404" s="1314" t="str">
        <f>IF($B$20="","",$B$20)</f>
        <v>Jahressonderzahlung (JSZ)</v>
      </c>
      <c r="C404" s="1315"/>
      <c r="D404" s="926"/>
      <c r="E404" s="929" t="str">
        <f>IF(A404="","",ROUND((((SUM(B419:B421)+SUM(F419:F421))/3)*D404)/Grundlagen!$C$26*M395,2))</f>
        <v/>
      </c>
      <c r="N404" s="917" t="s">
        <v>736</v>
      </c>
      <c r="O404" s="918">
        <f>P404+1</f>
        <v>2025</v>
      </c>
      <c r="P404" s="918" t="s">
        <v>721</v>
      </c>
      <c r="Q404" s="932" t="s">
        <v>145</v>
      </c>
      <c r="R404" s="140">
        <f>IF(M392=0,R408,IF(M391="",R408,(SUM(S413:S424)/M395)))</f>
        <v>7450</v>
      </c>
      <c r="S404" s="933">
        <f>IF(M392=0,S408,IF(M391="",S408,SUM(S413:S424)))</f>
        <v>0</v>
      </c>
      <c r="T404" s="109"/>
    </row>
    <row r="405" spans="1:20" s="18" customFormat="1" ht="14.25" hidden="1" customHeight="1" x14ac:dyDescent="0.2">
      <c r="A405" s="60"/>
      <c r="B405" s="1314" t="str">
        <f>IF($B$21="","",$B$21)</f>
        <v>Leistungsentgelt (LOB)</v>
      </c>
      <c r="C405" s="1315"/>
      <c r="D405" s="926"/>
      <c r="E405" s="929" t="str">
        <f>IF(A405="","",ROUND(((B425+F425)*D405)/Grundlagen!$C$26*M395,2))</f>
        <v/>
      </c>
      <c r="F405" s="1"/>
      <c r="N405" s="139" t="s">
        <v>144</v>
      </c>
      <c r="O405" s="141">
        <f>'päd.Personal - Leitung'!$O$21</f>
        <v>5175</v>
      </c>
      <c r="P405" s="141">
        <f>'päd.Personal - Leitung'!$P$21</f>
        <v>5175</v>
      </c>
      <c r="Q405" s="11"/>
      <c r="R405" s="11"/>
      <c r="S405" s="11"/>
      <c r="T405" s="109"/>
    </row>
    <row r="406" spans="1:20" s="18" customFormat="1" ht="14.25" hidden="1" customHeight="1" x14ac:dyDescent="0.2">
      <c r="A406" s="1"/>
      <c r="B406" s="1"/>
      <c r="C406" s="925" t="s">
        <v>731</v>
      </c>
      <c r="D406" s="1"/>
      <c r="E406" s="1"/>
      <c r="F406" s="1"/>
      <c r="N406" s="139" t="s">
        <v>145</v>
      </c>
      <c r="O406" s="899">
        <f>'päd.Personal - Leitung'!$O$22</f>
        <v>7450</v>
      </c>
      <c r="P406" s="899">
        <f>'päd.Personal - Leitung'!$P$22</f>
        <v>7450</v>
      </c>
      <c r="Q406" s="1009" t="str">
        <f>CONCATENATE("BBG"," ",O404)</f>
        <v>BBG 2025</v>
      </c>
      <c r="R406" s="11"/>
      <c r="S406" s="11"/>
      <c r="T406" s="109"/>
    </row>
    <row r="407" spans="1:20" s="18" customFormat="1" ht="14.25" hidden="1" customHeight="1" x14ac:dyDescent="0.2">
      <c r="A407" s="53" t="s">
        <v>141</v>
      </c>
      <c r="Q407" s="932" t="s">
        <v>144</v>
      </c>
      <c r="R407" s="141">
        <f>IF($O$21="",0,$O$21)</f>
        <v>5175</v>
      </c>
      <c r="S407" s="933">
        <f>R407*IF(M395="",0,M395)</f>
        <v>0</v>
      </c>
    </row>
    <row r="408" spans="1:20" s="18" customFormat="1" ht="14.25" hidden="1" customHeight="1" x14ac:dyDescent="0.2">
      <c r="A408" s="1346"/>
      <c r="B408" s="1348" t="s">
        <v>8</v>
      </c>
      <c r="C408" s="1349"/>
      <c r="D408" s="1349"/>
      <c r="E408" s="1349"/>
      <c r="F408" s="1349"/>
      <c r="G408" s="1350"/>
      <c r="H408" s="1351" t="s">
        <v>113</v>
      </c>
      <c r="I408" s="1352"/>
      <c r="J408" s="1352"/>
      <c r="K408" s="1352"/>
      <c r="L408" s="1352"/>
      <c r="M408" s="1352"/>
      <c r="N408" s="1368" t="s">
        <v>658</v>
      </c>
      <c r="O408" s="30"/>
      <c r="P408" s="1330" t="s">
        <v>0</v>
      </c>
      <c r="Q408" s="932" t="s">
        <v>145</v>
      </c>
      <c r="R408" s="141">
        <f>IF($O$22="",0,$O$22)</f>
        <v>7450</v>
      </c>
      <c r="S408" s="933">
        <f>R408*IF(M395="",0,M395)</f>
        <v>0</v>
      </c>
    </row>
    <row r="409" spans="1:20" s="18" customFormat="1" ht="14.25" hidden="1" customHeight="1" x14ac:dyDescent="0.2">
      <c r="A409" s="1347"/>
      <c r="B409" s="1333" t="s">
        <v>111</v>
      </c>
      <c r="C409" s="1335" t="s">
        <v>743</v>
      </c>
      <c r="D409" s="1337" t="s">
        <v>226</v>
      </c>
      <c r="E409" s="1339" t="s">
        <v>133</v>
      </c>
      <c r="F409" s="1014" t="s">
        <v>6</v>
      </c>
      <c r="G409" s="1340" t="s">
        <v>5</v>
      </c>
      <c r="H409" s="1339" t="s">
        <v>119</v>
      </c>
      <c r="I409" s="1339" t="s">
        <v>657</v>
      </c>
      <c r="J409" s="1339" t="s">
        <v>4</v>
      </c>
      <c r="K409" s="1339" t="s">
        <v>3</v>
      </c>
      <c r="L409" s="1339" t="s">
        <v>2</v>
      </c>
      <c r="M409" s="1339" t="s">
        <v>95</v>
      </c>
      <c r="N409" s="1369"/>
      <c r="O409" s="1338" t="s">
        <v>109</v>
      </c>
      <c r="P409" s="1331"/>
      <c r="Q409" s="456"/>
      <c r="R409" s="11"/>
      <c r="S409" s="11"/>
    </row>
    <row r="410" spans="1:20" s="18" customFormat="1" ht="14.25" hidden="1" customHeight="1" x14ac:dyDescent="0.2">
      <c r="A410" s="1347"/>
      <c r="B410" s="1333"/>
      <c r="C410" s="1335"/>
      <c r="D410" s="1338"/>
      <c r="E410" s="1339"/>
      <c r="F410" s="1343" t="str">
        <f>I402</f>
        <v>Zuschläge / Zulagen / o.ä.:</v>
      </c>
      <c r="G410" s="1340"/>
      <c r="H410" s="1342" t="s">
        <v>117</v>
      </c>
      <c r="I410" s="1339"/>
      <c r="J410" s="1342"/>
      <c r="K410" s="1342"/>
      <c r="L410" s="1342"/>
      <c r="M410" s="1339"/>
      <c r="N410" s="1369"/>
      <c r="O410" s="1338"/>
      <c r="P410" s="1331"/>
      <c r="Q410" s="456"/>
      <c r="R410" s="1306" t="str">
        <f>Q402</f>
        <v>BBG anteilig 2025</v>
      </c>
      <c r="S410" s="1306"/>
    </row>
    <row r="411" spans="1:20" s="18" customFormat="1" hidden="1" x14ac:dyDescent="0.2">
      <c r="A411" s="1347"/>
      <c r="B411" s="1333"/>
      <c r="C411" s="1335"/>
      <c r="D411" s="1338"/>
      <c r="E411" s="1339"/>
      <c r="F411" s="1343"/>
      <c r="G411" s="1340"/>
      <c r="H411" s="39" t="str">
        <f>'päd.Personal - Leitung'!$H$27</f>
        <v>(7,30% + Zusatz)</v>
      </c>
      <c r="I411" s="39" t="str">
        <f>$I$267</f>
        <v xml:space="preserve"> (2024: 18,60%)</v>
      </c>
      <c r="J411" s="39" t="str">
        <f>'päd.Personal - Leitung'!$I$27</f>
        <v xml:space="preserve"> (2024: 9,30%)</v>
      </c>
      <c r="K411" s="39" t="str">
        <f>'päd.Personal - Leitung'!$J$27</f>
        <v>(2024: 1,30%)</v>
      </c>
      <c r="L411" s="39" t="str">
        <f>'päd.Personal - Leitung'!$K$27</f>
        <v>(2024: 1,700%)</v>
      </c>
      <c r="M411" s="1339"/>
      <c r="N411" s="39" t="str">
        <f>$N$267</f>
        <v xml:space="preserve"> (2024: 20%)</v>
      </c>
      <c r="O411" s="1338"/>
      <c r="P411" s="1331"/>
      <c r="Q411" s="456"/>
      <c r="R411" s="1307" t="s">
        <v>659</v>
      </c>
      <c r="S411" s="1307"/>
    </row>
    <row r="412" spans="1:20" s="18" customFormat="1" hidden="1" x14ac:dyDescent="0.2">
      <c r="A412" s="1347"/>
      <c r="B412" s="1334"/>
      <c r="C412" s="1336"/>
      <c r="D412" s="45"/>
      <c r="E412" s="45"/>
      <c r="F412" s="1344"/>
      <c r="G412" s="1341"/>
      <c r="H412" s="74"/>
      <c r="I412" s="19"/>
      <c r="J412" s="99">
        <f>'päd.Personal - Leitung'!$I$28</f>
        <v>0</v>
      </c>
      <c r="K412" s="99">
        <f>'päd.Personal - Leitung'!$J$28</f>
        <v>0</v>
      </c>
      <c r="L412" s="40">
        <f>'päd.Personal - Leitung'!$K$28</f>
        <v>0</v>
      </c>
      <c r="M412" s="19"/>
      <c r="N412" s="19"/>
      <c r="O412" s="19"/>
      <c r="P412" s="1332"/>
      <c r="Q412" s="456"/>
      <c r="R412" s="935" t="s">
        <v>144</v>
      </c>
      <c r="S412" s="935" t="s">
        <v>145</v>
      </c>
    </row>
    <row r="413" spans="1:20" s="18" customFormat="1" hidden="1" x14ac:dyDescent="0.2">
      <c r="A413" s="76" t="str">
        <f>'päd.Personal - Leitung'!$A$29</f>
        <v>Jan 2025</v>
      </c>
      <c r="B413" s="22">
        <f>ROUND(IF(P390=0,0,(LOOKUP(2,1/(A398:A401=A413),G398:G401))*P390*4.348)*50%,2)</f>
        <v>0</v>
      </c>
      <c r="C413" s="21">
        <f>ROUND(IFERROR((LOOKUP(2,1/(A404=A413),E404)),0)+IFERROR((LOOKUP(2,1/(A405=A413),E405)),0),2)</f>
        <v>0</v>
      </c>
      <c r="D413" s="21">
        <f>ROUND(IF(B413=0,0,D412/M391*P390*50%),2)</f>
        <v>0</v>
      </c>
      <c r="E413" s="21">
        <f>ROUND(IF(B413=0,0,E412/N387*P390*50%),2)</f>
        <v>0</v>
      </c>
      <c r="F413" s="22">
        <f>ROUND(IF(P390=0,0,(LOOKUP(2,1/(A398:A401=A413),I398:I401))/N387*P390)*50%,2)</f>
        <v>0</v>
      </c>
      <c r="G413" s="25">
        <f>SUM(B413+C413+E413+F413)</f>
        <v>0</v>
      </c>
      <c r="H413" s="831">
        <f>ROUND(SUM(B413:F413)*H412,2)</f>
        <v>0</v>
      </c>
      <c r="I413" s="64">
        <f>ROUND(IF((SUM(B413:F413)*80%)&gt;((S413)*90%),((((S413)*90%)-((SUM(B413:F413)-C413))*I412)+((SUM(B413:F413)-C413)*I412)*80%),((SUM(B413:F413)-C413)*I412)*80%),2)</f>
        <v>0</v>
      </c>
      <c r="J413" s="831">
        <f>ROUND(SUM(B413:F413)*J412,2)</f>
        <v>0</v>
      </c>
      <c r="K413" s="831">
        <f>ROUND(SUM(B413:F413)*K412,2)</f>
        <v>0</v>
      </c>
      <c r="L413" s="831">
        <f>ROUND(SUM(B413:F413)*L412,2)</f>
        <v>0</v>
      </c>
      <c r="M413" s="831">
        <f>ROUND((SUM(B413:F413)-C413)*M412,2)</f>
        <v>0</v>
      </c>
      <c r="N413" s="21">
        <f>ROUND((B413+E413+F413)*N412,2)</f>
        <v>0</v>
      </c>
      <c r="O413" s="21">
        <f>ROUND(SUM(B413+C413+F413)*O412,2)</f>
        <v>0</v>
      </c>
      <c r="P413" s="25">
        <f>SUM(G413:O413)</f>
        <v>0</v>
      </c>
      <c r="Q413" s="456"/>
      <c r="R413" s="140">
        <f>ROUND(IF(M391="",R407,R407/M391*P390),2)</f>
        <v>5175</v>
      </c>
      <c r="S413" s="140">
        <f>ROUND(IF(M391="",R408,R408/M391*P390),2)</f>
        <v>7450</v>
      </c>
    </row>
    <row r="414" spans="1:20" s="18" customFormat="1" hidden="1" x14ac:dyDescent="0.2">
      <c r="A414" s="76" t="str">
        <f>'päd.Personal - Leitung'!$A$30</f>
        <v>Feb 2025</v>
      </c>
      <c r="B414" s="22">
        <f>ROUND(IF(P391=0,0,IFERROR((((LOOKUP(2,1/(A398:A401=A414),G398:G401))*P391*4.348)*50%),B413/P390*P391)),2)</f>
        <v>0</v>
      </c>
      <c r="C414" s="21">
        <f>ROUND(IFERROR((LOOKUP(2,1/(A404=A414),E404)),0)+IFERROR((LOOKUP(2,1/(A405=A414),E405)),0),2)</f>
        <v>0</v>
      </c>
      <c r="D414" s="21">
        <f>ROUND(IF(B414=0,0,D412/M391*P391*50%),2)</f>
        <v>0</v>
      </c>
      <c r="E414" s="21">
        <f>ROUND(IF(B414=0,0,E412/N387*P391*50%),2)</f>
        <v>0</v>
      </c>
      <c r="F414" s="22">
        <f>ROUND(IF(P391=0,0,IFERROR((((LOOKUP(2,1/(A398:A401=A414),I398:I401))/N387*P391)*50%),F413/P390*P391)),2)</f>
        <v>0</v>
      </c>
      <c r="G414" s="25">
        <f t="shared" ref="G414:G424" si="64">SUM(B414+C414+E414+F414)</f>
        <v>0</v>
      </c>
      <c r="H414" s="831">
        <f>ROUND(SUM(B414:F414)*H412,2)</f>
        <v>0</v>
      </c>
      <c r="I414" s="64">
        <f>ROUND(IF((SUM(B414:F414)*80%)&gt;((SUM(S410:S414))*90%),((((SUM(S410:S414))*90%)-((SUM(B414:F414)-C414))*I412)+((SUM(B414:F414)-C414)*I412)*80%),((SUM(B414:F414)-C414)*I412)*80%),2)</f>
        <v>0</v>
      </c>
      <c r="J414" s="831">
        <f>ROUND(SUM(B414:F414)*J412,2)</f>
        <v>0</v>
      </c>
      <c r="K414" s="831">
        <f>ROUND(SUM(B414:F414)*K412,2)</f>
        <v>0</v>
      </c>
      <c r="L414" s="831">
        <f>ROUND(SUM(B414:F414)*L412,2)</f>
        <v>0</v>
      </c>
      <c r="M414" s="831">
        <f>ROUND((SUM(B414:F414)-C414)*M412,2)</f>
        <v>0</v>
      </c>
      <c r="N414" s="21">
        <f>ROUND((B414+E414+F414)*N412,2)</f>
        <v>0</v>
      </c>
      <c r="O414" s="21">
        <f>ROUND(SUM(B414+C414+F414)*O412,2)</f>
        <v>0</v>
      </c>
      <c r="P414" s="25">
        <f t="shared" ref="P414:P416" si="65">SUM(G414:O414)</f>
        <v>0</v>
      </c>
      <c r="Q414" s="456"/>
      <c r="R414" s="140">
        <f>ROUND(IF(M391="",R407,R407/M391*P391),2)</f>
        <v>5175</v>
      </c>
      <c r="S414" s="140">
        <f>ROUND(IF(M391="",R408,R408/M391*P391),2)</f>
        <v>7450</v>
      </c>
    </row>
    <row r="415" spans="1:20" s="18" customFormat="1" hidden="1" x14ac:dyDescent="0.2">
      <c r="A415" s="76" t="str">
        <f>'päd.Personal - Leitung'!$A$31</f>
        <v>Mrz 2025</v>
      </c>
      <c r="B415" s="22">
        <f>ROUND(IF(P392=0,0,IFERROR((((LOOKUP(2,1/(A398:A401=A415),G398:G401))*P392*4.348)*50%),B414/P391*P392)),2)</f>
        <v>0</v>
      </c>
      <c r="C415" s="21">
        <f>ROUND(IFERROR((LOOKUP(2,1/(A404=A415),E404)),0)+IFERROR((LOOKUP(2,1/(A405=A415),E405)),0),2)</f>
        <v>0</v>
      </c>
      <c r="D415" s="21">
        <f>ROUND(IF(B415=0,0,D412/M391*P392*50%),2)</f>
        <v>0</v>
      </c>
      <c r="E415" s="21">
        <f>ROUND(IF(B415=0,0,E412/N387*P392*50%),2)</f>
        <v>0</v>
      </c>
      <c r="F415" s="22">
        <f>ROUND(IF(P392=0,0,IFERROR((((LOOKUP(2,1/(A398:A401=A415),I398:I401))/N387*P392)*50%),F414/P391*P392)),2)</f>
        <v>0</v>
      </c>
      <c r="G415" s="25">
        <f t="shared" si="64"/>
        <v>0</v>
      </c>
      <c r="H415" s="831">
        <f>ROUND(SUM(B415:F415)*H412,2)</f>
        <v>0</v>
      </c>
      <c r="I415" s="64">
        <f>ROUND(IF((SUM(B414:F415)*80%)&gt;((SUM(S410:S415))*90%),((((SUM(S410:S415))*90%)-((SUM(B414:F415)-C415))*I412)+((SUM(B415:F415)-C415)*I412)*80%),((SUM(B415:F415)-C415)*I412)*80%),2)</f>
        <v>0</v>
      </c>
      <c r="J415" s="831">
        <f>ROUND(SUM(B415:F415)*J412,2)</f>
        <v>0</v>
      </c>
      <c r="K415" s="831">
        <f>ROUND(SUM(B415:F415)*K412,2)</f>
        <v>0</v>
      </c>
      <c r="L415" s="831">
        <f>ROUND(SUM(B415:F415)*L412,2)</f>
        <v>0</v>
      </c>
      <c r="M415" s="831">
        <f>ROUND((SUM(B415:F415)-C415)*M412,2)</f>
        <v>0</v>
      </c>
      <c r="N415" s="21">
        <f>ROUND((B415+E415+F415)*N412,2)</f>
        <v>0</v>
      </c>
      <c r="O415" s="21">
        <f>ROUND(SUM(B415+C415+F415)*O412,2)</f>
        <v>0</v>
      </c>
      <c r="P415" s="25">
        <f t="shared" si="65"/>
        <v>0</v>
      </c>
      <c r="Q415" s="456"/>
      <c r="R415" s="140">
        <f>ROUND(IF(M391="",R407,R407/M391*P392),2)</f>
        <v>5175</v>
      </c>
      <c r="S415" s="140">
        <f>ROUND(IF(M391="",R408,R408/M391*P392),2)</f>
        <v>7450</v>
      </c>
    </row>
    <row r="416" spans="1:20" s="18" customFormat="1" hidden="1" x14ac:dyDescent="0.2">
      <c r="A416" s="76" t="str">
        <f>'päd.Personal - Leitung'!$A$32</f>
        <v>Apr 2025</v>
      </c>
      <c r="B416" s="22">
        <f>ROUND(IF(P393=0,0,IFERROR((((LOOKUP(2,1/(A398:A401=A416),G398:G401))*P393*4.348)*50%),B415/P392*P393)),2)</f>
        <v>0</v>
      </c>
      <c r="C416" s="21">
        <f>ROUND(IFERROR((LOOKUP(2,1/(A404=A416),E404)),0)+IFERROR((LOOKUP(2,1/(A405=A416),E405)),0),2)</f>
        <v>0</v>
      </c>
      <c r="D416" s="21">
        <f>ROUND(IF(B416=0,0,D412/M391*P393*50%),2)</f>
        <v>0</v>
      </c>
      <c r="E416" s="21">
        <f>ROUND(IF(B416=0,0,E412/N387*P393*50%),2)</f>
        <v>0</v>
      </c>
      <c r="F416" s="22">
        <f>ROUND(IF(P393=0,0,IFERROR((((LOOKUP(2,1/(A398:A401=A416),I398:I401))/N387*P393)*50%),F415/P392*P393)),2)</f>
        <v>0</v>
      </c>
      <c r="G416" s="25">
        <f t="shared" si="64"/>
        <v>0</v>
      </c>
      <c r="H416" s="831">
        <f>ROUND(SUM(B416:F416)*H412,2)</f>
        <v>0</v>
      </c>
      <c r="I416" s="64">
        <f>ROUND(IF((SUM(B414:F416)*80%)&gt;((SUM(S410:S416))*90%),((((SUM(S410:S416))*90%)-((SUM(B414:F416)-C416))*I412)+((SUM(B416:F416)-C416)*I412)*80%),((SUM(B416:F416)-C416)*I412)*80%),2)</f>
        <v>0</v>
      </c>
      <c r="J416" s="831">
        <f>ROUND(SUM(B416:F416)*J412,2)</f>
        <v>0</v>
      </c>
      <c r="K416" s="831">
        <f>ROUND(SUM(B416:F416)*K412,2)</f>
        <v>0</v>
      </c>
      <c r="L416" s="831">
        <f>ROUND(SUM(B416:F416)*L412,2)</f>
        <v>0</v>
      </c>
      <c r="M416" s="831">
        <f>ROUND((SUM(B416:F416)-C416)*M412,2)</f>
        <v>0</v>
      </c>
      <c r="N416" s="21">
        <f>ROUND((B416+E416+F416)*N412,2)</f>
        <v>0</v>
      </c>
      <c r="O416" s="21">
        <f>ROUND(SUM(B416+C416+F416)*O412,2)</f>
        <v>0</v>
      </c>
      <c r="P416" s="25">
        <f t="shared" si="65"/>
        <v>0</v>
      </c>
      <c r="Q416" s="456"/>
      <c r="R416" s="140">
        <f>ROUND(IF(M391="",R407,R407/M391*P393),2)</f>
        <v>5175</v>
      </c>
      <c r="S416" s="140">
        <f>ROUND(IF(M391="",R408,R408/M391*P393),2)</f>
        <v>7450</v>
      </c>
    </row>
    <row r="417" spans="1:19" s="18" customFormat="1" hidden="1" x14ac:dyDescent="0.2">
      <c r="A417" s="76" t="str">
        <f>'päd.Personal - Leitung'!$A$33</f>
        <v>Mai 2025</v>
      </c>
      <c r="B417" s="22">
        <f>ROUND(IF(P394=0,0,IFERROR((((LOOKUP(2,1/(A398:A401=A417),G398:G401))*P394*4.348)*50%),B416/P393*P394)),2)</f>
        <v>0</v>
      </c>
      <c r="C417" s="21">
        <f>ROUND(IFERROR((LOOKUP(2,1/(A404=A417),E404)),0)+IFERROR((LOOKUP(2,1/(A405=A417),E405)),0),2)</f>
        <v>0</v>
      </c>
      <c r="D417" s="21">
        <f>ROUND(IF(B417=0,0,D412/M391*P394*50%),2)</f>
        <v>0</v>
      </c>
      <c r="E417" s="21">
        <f>ROUND(IF(B417=0,0,E412/N387*P394*50%),2)</f>
        <v>0</v>
      </c>
      <c r="F417" s="22">
        <f>ROUND(IF(P394=0,0,IFERROR((((LOOKUP(2,1/(A398:A401=A417),I398:I401))/N387*P394)*50%),F416/P393*P394)),2)</f>
        <v>0</v>
      </c>
      <c r="G417" s="25">
        <f t="shared" si="64"/>
        <v>0</v>
      </c>
      <c r="H417" s="831">
        <f>ROUND(SUM(B417:F417)*H412,2)</f>
        <v>0</v>
      </c>
      <c r="I417" s="64">
        <f>ROUND(IF((SUM(B414:F417)*80%)&gt;((SUM(S410:S417))*90%),((((SUM(S410:S417))*90%)-((SUM(B414:F417)-C417))*I412)+((SUM(B417:F417)-C417)*I412)*80%),((SUM(B417:F417)-C417)*I412)*80%),2)</f>
        <v>0</v>
      </c>
      <c r="J417" s="831">
        <f>ROUND(SUM(B417:F417)*J412,2)</f>
        <v>0</v>
      </c>
      <c r="K417" s="831">
        <f>ROUND(SUM(B417:F417)*K412,2)</f>
        <v>0</v>
      </c>
      <c r="L417" s="831">
        <f>ROUND(SUM(B417:F417)*L412,2)</f>
        <v>0</v>
      </c>
      <c r="M417" s="831">
        <f>ROUND((SUM(B417:F417)-C417)*M412,2)</f>
        <v>0</v>
      </c>
      <c r="N417" s="21">
        <f>ROUND((B417+E417+F417)*N412,2)</f>
        <v>0</v>
      </c>
      <c r="O417" s="21">
        <f>ROUND(SUM(B417+C417+F417)*O412,2)</f>
        <v>0</v>
      </c>
      <c r="P417" s="25">
        <f t="shared" ref="P417:P424" si="66">SUM(G417:O417)</f>
        <v>0</v>
      </c>
      <c r="Q417" s="456"/>
      <c r="R417" s="140">
        <f>ROUND(IF(M391="",R407,R407/M391*P394),2)</f>
        <v>5175</v>
      </c>
      <c r="S417" s="140">
        <f>ROUND(IF(M391="",R408,R408/M391*P394),2)</f>
        <v>7450</v>
      </c>
    </row>
    <row r="418" spans="1:19" s="18" customFormat="1" hidden="1" x14ac:dyDescent="0.2">
      <c r="A418" s="76" t="str">
        <f>'päd.Personal - Leitung'!$A$34</f>
        <v>Jun 2025</v>
      </c>
      <c r="B418" s="22">
        <f>ROUND(IF(P395=0,0,IFERROR((((LOOKUP(2,1/(A398:A401=A418),G398:G401))*P395*4.348)*50%),B417/P394*P395)),2)</f>
        <v>0</v>
      </c>
      <c r="C418" s="21">
        <f>ROUND(IFERROR((LOOKUP(2,1/(A404=A418),E404)),0)+IFERROR((LOOKUP(2,1/(A405=A418),E405)),0),2)</f>
        <v>0</v>
      </c>
      <c r="D418" s="21">
        <f>ROUND(IF(B418=0,0,D412/M391*P395*50%),2)</f>
        <v>0</v>
      </c>
      <c r="E418" s="21">
        <f>ROUND(IF(B418=0,0,E412/N387*P395*50%),2)</f>
        <v>0</v>
      </c>
      <c r="F418" s="22">
        <f>ROUND(IF(P395=0,0,IFERROR((((LOOKUP(2,1/(A398:A401=A418),I398:I401))/N387*P395)*50%),F417/P394*P395)),2)</f>
        <v>0</v>
      </c>
      <c r="G418" s="25">
        <f t="shared" si="64"/>
        <v>0</v>
      </c>
      <c r="H418" s="831">
        <f>ROUND(SUM(B418:F418)*H412,2)</f>
        <v>0</v>
      </c>
      <c r="I418" s="64">
        <f>ROUND(IF((SUM(B414:F418)*80%)&gt;((SUM(S410:S418))*90%),((((SUM(S410:S418))*90%)-((SUM(B414:F418)-C418))*I412)+((SUM(B418:F418)-C418)*I412)*80%),((SUM(B418:F418)-C418)*I412)*80%),2)</f>
        <v>0</v>
      </c>
      <c r="J418" s="831">
        <f>ROUND(SUM(B418:F418)*J412,2)</f>
        <v>0</v>
      </c>
      <c r="K418" s="831">
        <f>ROUND(SUM(B418:F418)*K412,2)</f>
        <v>0</v>
      </c>
      <c r="L418" s="831">
        <f>ROUND(SUM(B418:F418)*L412,2)</f>
        <v>0</v>
      </c>
      <c r="M418" s="831">
        <f>ROUND((SUM(B418:F418)-C418)*M412,2)</f>
        <v>0</v>
      </c>
      <c r="N418" s="21">
        <f>ROUND((B418+E418+F418)*N412,2)</f>
        <v>0</v>
      </c>
      <c r="O418" s="21">
        <f>ROUND(SUM(B418+C418+F418)*O412,2)</f>
        <v>0</v>
      </c>
      <c r="P418" s="25">
        <f t="shared" si="66"/>
        <v>0</v>
      </c>
      <c r="Q418" s="456"/>
      <c r="R418" s="140">
        <f>ROUND(IF(M391="",R407,R407/M391*P395),2)</f>
        <v>5175</v>
      </c>
      <c r="S418" s="140">
        <f>ROUND(IF(M391="",R408,R408/M391*P395),2)</f>
        <v>7450</v>
      </c>
    </row>
    <row r="419" spans="1:19" s="18" customFormat="1" hidden="1" x14ac:dyDescent="0.2">
      <c r="A419" s="76" t="str">
        <f>'päd.Personal - Leitung'!$A$35</f>
        <v>Jul 2025</v>
      </c>
      <c r="B419" s="22">
        <f>ROUND(IF(P396=0,0,IFERROR((((LOOKUP(2,1/(A398:A401=A419),G398:G401))*P396*4.348)*50%),B418/P395*P396)),2)</f>
        <v>0</v>
      </c>
      <c r="C419" s="21">
        <f>ROUND(IFERROR((LOOKUP(2,1/(A404=A419),E404)),0)+IFERROR((LOOKUP(2,1/(A405=A419),E405)),0),2)</f>
        <v>0</v>
      </c>
      <c r="D419" s="21">
        <f>ROUND(IF(B419=0,0,D412/M391*P396*50%),2)</f>
        <v>0</v>
      </c>
      <c r="E419" s="21">
        <f>ROUND(IF(B419=0,0,E412/N387*P396*50%),2)</f>
        <v>0</v>
      </c>
      <c r="F419" s="22">
        <f>ROUND(IF(P396=0,0,IFERROR((((LOOKUP(2,1/(A398:A401=A419),I398:I401))/N387*P396)*50%),F418/P395*P396)),2)</f>
        <v>0</v>
      </c>
      <c r="G419" s="25">
        <f t="shared" si="64"/>
        <v>0</v>
      </c>
      <c r="H419" s="831">
        <f>ROUND(SUM(B419:F419)*H412,2)</f>
        <v>0</v>
      </c>
      <c r="I419" s="64">
        <f>ROUND(IF((SUM(B414:F419)*80%)&gt;((SUM(S410:S419))*90%),((((SUM(S410:S419))*90%)-((SUM(B414:F419)-C419))*I412)+((SUM(B419:F419)-C419)*I412)*80%),((SUM(B419:F419)-C419)*I412)*80%),2)</f>
        <v>0</v>
      </c>
      <c r="J419" s="831">
        <f>ROUND(SUM(B419:F419)*J412,2)</f>
        <v>0</v>
      </c>
      <c r="K419" s="831">
        <f>ROUND(SUM(B419:F419)*K412,2)</f>
        <v>0</v>
      </c>
      <c r="L419" s="831">
        <f>ROUND(SUM(B419:F419)*L412,2)</f>
        <v>0</v>
      </c>
      <c r="M419" s="831">
        <f>ROUND((SUM(B419:F419)-C419)*M412,2)</f>
        <v>0</v>
      </c>
      <c r="N419" s="21">
        <f>ROUND((B419+E419+F419)*N412,2)</f>
        <v>0</v>
      </c>
      <c r="O419" s="21">
        <f>ROUND(SUM(B419+C419+F419)*O412,2)</f>
        <v>0</v>
      </c>
      <c r="P419" s="25">
        <f t="shared" si="66"/>
        <v>0</v>
      </c>
      <c r="Q419" s="456"/>
      <c r="R419" s="140">
        <f>ROUND(IF(M391="",R407,R407/M391*P396),2)</f>
        <v>5175</v>
      </c>
      <c r="S419" s="140">
        <f>ROUND(IF(M391="",R408,R408/M391*P396),2)</f>
        <v>7450</v>
      </c>
    </row>
    <row r="420" spans="1:19" s="18" customFormat="1" hidden="1" x14ac:dyDescent="0.2">
      <c r="A420" s="76" t="str">
        <f>'päd.Personal - Leitung'!$A$36</f>
        <v>Aug 2025</v>
      </c>
      <c r="B420" s="22">
        <f>ROUND(IF(P397=0,0,IFERROR((((LOOKUP(2,1/(A398:A401=A420),G398:G401))*P397*4.348)*50%),B419/P396*P397)),2)</f>
        <v>0</v>
      </c>
      <c r="C420" s="21">
        <f>ROUND(IFERROR((LOOKUP(2,1/(A404=A420),E404)),0)+IFERROR((LOOKUP(2,1/(A405=A420),E405)),0),2)</f>
        <v>0</v>
      </c>
      <c r="D420" s="21">
        <f>ROUND(IF(B420=0,0,D412/M391*P397*50%),2)</f>
        <v>0</v>
      </c>
      <c r="E420" s="21">
        <f>ROUND(IF(B420=0,0,E412/N387*P397*50%),2)</f>
        <v>0</v>
      </c>
      <c r="F420" s="22">
        <f>ROUND(IF(P397=0,0,IFERROR((((LOOKUP(2,1/(A398:A401=A420),I398:I401))/N387*P397)*50%),F419/P396*P397)),2)</f>
        <v>0</v>
      </c>
      <c r="G420" s="25">
        <f t="shared" si="64"/>
        <v>0</v>
      </c>
      <c r="H420" s="831">
        <f>ROUND(SUM(B420:F420)*H412,2)</f>
        <v>0</v>
      </c>
      <c r="I420" s="64">
        <f>ROUND(IF((SUM(B414:F420)*80%)&gt;((SUM(S410:S420))*90%),((((SUM(S410:S420))*90%)-((SUM(B414:F420)-C420))*I412)+((SUM(B420:F420)-C420)*I412)*80%),((SUM(B420:F420)-C420)*I412)*80%),2)</f>
        <v>0</v>
      </c>
      <c r="J420" s="831">
        <f>ROUND(SUM(B420:F420)*J412,2)</f>
        <v>0</v>
      </c>
      <c r="K420" s="831">
        <f>ROUND(SUM(B420:F420)*K412,2)</f>
        <v>0</v>
      </c>
      <c r="L420" s="831">
        <f>ROUND(SUM(B420:F420)*L412,2)</f>
        <v>0</v>
      </c>
      <c r="M420" s="831">
        <f>ROUND((SUM(B420:F420)-C420)*M412,2)</f>
        <v>0</v>
      </c>
      <c r="N420" s="21">
        <f>ROUND((B420+E420+F420)*N412,2)</f>
        <v>0</v>
      </c>
      <c r="O420" s="21">
        <f>ROUND(SUM(B420+C420+F420)*O412,2)</f>
        <v>0</v>
      </c>
      <c r="P420" s="25">
        <f t="shared" si="66"/>
        <v>0</v>
      </c>
      <c r="Q420" s="456"/>
      <c r="R420" s="140">
        <f>ROUND(IF(M391="",R407,R407/M391*P397),2)</f>
        <v>5175</v>
      </c>
      <c r="S420" s="140">
        <f>ROUND(IF(M391="",R408,R408/M391*P397),2)</f>
        <v>7450</v>
      </c>
    </row>
    <row r="421" spans="1:19" s="18" customFormat="1" hidden="1" x14ac:dyDescent="0.2">
      <c r="A421" s="76" t="str">
        <f>'päd.Personal - Leitung'!$A$37</f>
        <v>Sep 2025</v>
      </c>
      <c r="B421" s="22">
        <f>ROUND(IF(P398=0,0,IFERROR((((LOOKUP(2,1/(A398:A401=A421),G398:G401))*P398*4.348)*50%),B420/P397*P398)),2)</f>
        <v>0</v>
      </c>
      <c r="C421" s="21">
        <f>ROUND(IFERROR((LOOKUP(2,1/(A404=A421),E404)),0)+IFERROR((LOOKUP(2,1/(A405=A421),E405)),0),2)</f>
        <v>0</v>
      </c>
      <c r="D421" s="21">
        <f>ROUND(IF(B421=0,0,D412/M391*P398*50%),2)</f>
        <v>0</v>
      </c>
      <c r="E421" s="21">
        <f>ROUND(IF(B421=0,0,E412/N387*P398*50%),2)</f>
        <v>0</v>
      </c>
      <c r="F421" s="22">
        <f>ROUND(IF(P398=0,0,IFERROR((((LOOKUP(2,1/(A398:A401=A421),I398:I401))/N387*P398)*50%),F420/P397*P398)),2)</f>
        <v>0</v>
      </c>
      <c r="G421" s="25">
        <f t="shared" si="64"/>
        <v>0</v>
      </c>
      <c r="H421" s="831">
        <f>ROUND(SUM(B421:F421)*H412,2)</f>
        <v>0</v>
      </c>
      <c r="I421" s="64">
        <f>ROUND(IF((SUM(B414:F421)*80%)&gt;((SUM(S410:S421))*90%),((((SUM(S410:S421))*90%)-((SUM(B414:F421)-C421))*I412)+((SUM(B421:F421)-C421)*I412)*80%),((SUM(B421:F421)-C421)*I412)*80%),2)</f>
        <v>0</v>
      </c>
      <c r="J421" s="831">
        <f>ROUND(SUM(B421:F421)*J412,2)</f>
        <v>0</v>
      </c>
      <c r="K421" s="831">
        <f>ROUND(SUM(B421:F421)*K412,2)</f>
        <v>0</v>
      </c>
      <c r="L421" s="831">
        <f>ROUND(SUM(B421:F421)*L412,2)</f>
        <v>0</v>
      </c>
      <c r="M421" s="831">
        <f>ROUND((SUM(B421:F421)-C421)*M412,2)</f>
        <v>0</v>
      </c>
      <c r="N421" s="21">
        <f>ROUND((B421+E421+F421)*N412,2)</f>
        <v>0</v>
      </c>
      <c r="O421" s="21">
        <f>ROUND(SUM(B421+C421+F421)*O412,2)</f>
        <v>0</v>
      </c>
      <c r="P421" s="25">
        <f t="shared" si="66"/>
        <v>0</v>
      </c>
      <c r="Q421" s="456"/>
      <c r="R421" s="140">
        <f>ROUND(IF(M391="",R407,R407/M391*P398),2)</f>
        <v>5175</v>
      </c>
      <c r="S421" s="140">
        <f>ROUND(IF(M391="",R408,R408/M391*P398),2)</f>
        <v>7450</v>
      </c>
    </row>
    <row r="422" spans="1:19" s="18" customFormat="1" hidden="1" x14ac:dyDescent="0.2">
      <c r="A422" s="76" t="str">
        <f>'päd.Personal - Leitung'!$A$38</f>
        <v>Okt 2025</v>
      </c>
      <c r="B422" s="22">
        <f>ROUND(IF(P399=0,0,IFERROR((((LOOKUP(2,1/(A398:A401=A422),G398:G401))*P399*4.348)*50%),B421/P398*P399)),2)</f>
        <v>0</v>
      </c>
      <c r="C422" s="21">
        <f>ROUND(IFERROR((LOOKUP(2,1/(A404=A422),E404)),0)+IFERROR((LOOKUP(2,1/(A405=A422),E405)),0),2)</f>
        <v>0</v>
      </c>
      <c r="D422" s="21">
        <f>ROUND(IF(B422=0,0,D412/M391*P399*50%),2)</f>
        <v>0</v>
      </c>
      <c r="E422" s="21">
        <f>ROUND(IF(B422=0,0,E412/N387*P399*50%),2)</f>
        <v>0</v>
      </c>
      <c r="F422" s="22">
        <f>ROUND(IF(P399=0,0,IFERROR((((LOOKUP(2,1/(A398:A401=A422),I398:I401))/N387*P399)*50%),F421/P398*P399)),2)</f>
        <v>0</v>
      </c>
      <c r="G422" s="25">
        <f t="shared" si="64"/>
        <v>0</v>
      </c>
      <c r="H422" s="831">
        <f>ROUND(SUM(B422:F422)*H412,2)</f>
        <v>0</v>
      </c>
      <c r="I422" s="64">
        <f>ROUND(IF((SUM(B414:F422)*80%)&gt;((SUM(S410:S422))*90%),((((SUM(S410:S422))*90%)-((SUM(B414:F422)-C422))*I412)+((SUM(B422:F422)-C422)*I412)*80%),((SUM(B422:F422)-C422)*I412)*80%),2)</f>
        <v>0</v>
      </c>
      <c r="J422" s="831">
        <f>ROUND(SUM(B422:F422)*J412,2)</f>
        <v>0</v>
      </c>
      <c r="K422" s="831">
        <f>ROUND(SUM(B422:F422)*K412,2)</f>
        <v>0</v>
      </c>
      <c r="L422" s="831">
        <f>ROUND(SUM(B422:F422)*L412,2)</f>
        <v>0</v>
      </c>
      <c r="M422" s="831">
        <f>ROUND((SUM(B422:F422)-C422)*M412,2)</f>
        <v>0</v>
      </c>
      <c r="N422" s="21">
        <f>ROUND((B422+E422+F422)*N412,2)</f>
        <v>0</v>
      </c>
      <c r="O422" s="21">
        <f>ROUND(SUM(B422+C422+F422)*O412,2)</f>
        <v>0</v>
      </c>
      <c r="P422" s="25">
        <f t="shared" si="66"/>
        <v>0</v>
      </c>
      <c r="Q422" s="936"/>
      <c r="R422" s="140">
        <f>ROUND(IF(M391="",R407,R407/M391*P399),2)</f>
        <v>5175</v>
      </c>
      <c r="S422" s="140">
        <f>ROUND(IF(M391="",R408,R408/M391*P399),2)</f>
        <v>7450</v>
      </c>
    </row>
    <row r="423" spans="1:19" s="18" customFormat="1" hidden="1" x14ac:dyDescent="0.2">
      <c r="A423" s="76" t="str">
        <f>'päd.Personal - Leitung'!$A$39</f>
        <v>Nov 2025</v>
      </c>
      <c r="B423" s="22">
        <f>ROUND(IF(P400=0,0,IFERROR((((LOOKUP(2,1/(A398:A401=A423),G398:G401))*P400*4.348)*50%),B422/P399*P400)),2)</f>
        <v>0</v>
      </c>
      <c r="C423" s="21">
        <f>ROUND(IFERROR((LOOKUP(2,1/(A404=A423),E404)),0)+(IFERROR((LOOKUP(2,1/(A405=A423),E405)),0)),2)</f>
        <v>0</v>
      </c>
      <c r="D423" s="21">
        <f>ROUND(IF(B423=0,0,D412/M391*P400*50%),2)</f>
        <v>0</v>
      </c>
      <c r="E423" s="21">
        <f>ROUND(IF(B423=0,0,E412/N387*P400*50%),2)</f>
        <v>0</v>
      </c>
      <c r="F423" s="22">
        <f>ROUND(IF(P400=0,0,IFERROR((((LOOKUP(2,1/(A398:A401=A423),I398:I401))/N387*P400)*50%),F422/P399*P400)),2)</f>
        <v>0</v>
      </c>
      <c r="G423" s="25">
        <f t="shared" si="64"/>
        <v>0</v>
      </c>
      <c r="H423" s="831">
        <f>ROUND(SUM(B423:F423)*H412,2)</f>
        <v>0</v>
      </c>
      <c r="I423" s="64">
        <f>ROUND(IF((SUM(B414:F423)*80%)&gt;((SUM(S410:S423))*90%),((((SUM(S410:S423))*90%)-((SUM(B414:F423)-C423))*I412)+((SUM(B423:F423)-C423)*I412)*80%),((SUM(B423:F423)-C423)*I412)*80%),2)</f>
        <v>0</v>
      </c>
      <c r="J423" s="831">
        <f>ROUND(SUM(B423:F423)*J412,2)</f>
        <v>0</v>
      </c>
      <c r="K423" s="831">
        <f>ROUND(SUM(B423:F423)*K412,2)</f>
        <v>0</v>
      </c>
      <c r="L423" s="831">
        <f>ROUND(SUM(B423:F423)*L412,2)</f>
        <v>0</v>
      </c>
      <c r="M423" s="831">
        <f>ROUND((SUM(B423:F423)-C423)*M412,2)</f>
        <v>0</v>
      </c>
      <c r="N423" s="21">
        <f>ROUND((B423+E423+F423)*N412,2)</f>
        <v>0</v>
      </c>
      <c r="O423" s="21">
        <f>ROUND(SUM(B423+C423+F423)*O412,2)</f>
        <v>0</v>
      </c>
      <c r="P423" s="25">
        <f t="shared" si="66"/>
        <v>0</v>
      </c>
      <c r="Q423" s="11"/>
      <c r="R423" s="140">
        <f>ROUND(IF(M391="",R407,R407/M391*P400),2)</f>
        <v>5175</v>
      </c>
      <c r="S423" s="140">
        <f>ROUND(IF(M391="",R408,R408/M391*P400),2)</f>
        <v>7450</v>
      </c>
    </row>
    <row r="424" spans="1:19" s="18" customFormat="1" hidden="1" x14ac:dyDescent="0.2">
      <c r="A424" s="76" t="str">
        <f>'päd.Personal - Leitung'!$A$40</f>
        <v>Dez 2025</v>
      </c>
      <c r="B424" s="22">
        <f>ROUND(IF(P401=0,0,IFERROR((((LOOKUP(2,1/(A398:A401=A424),G398:G401))*P401*4.348)*50%),B423/P400*P401)),2)</f>
        <v>0</v>
      </c>
      <c r="C424" s="21">
        <f>ROUND(IFERROR((LOOKUP(2,1/(A404=A424),E404)),0)+IFERROR((LOOKUP(2,1/(A405=A424),E405)),0),2)</f>
        <v>0</v>
      </c>
      <c r="D424" s="21">
        <f>ROUND(IF(B424=0,0,D412/M391*P401*50%),2)</f>
        <v>0</v>
      </c>
      <c r="E424" s="21">
        <f>ROUND(IF(B424=0,0,E412/N387*P401*50%),2)</f>
        <v>0</v>
      </c>
      <c r="F424" s="22">
        <f>ROUND(IF(P401=0,0,IFERROR((((LOOKUP(2,1/(A398:A401=A424),I398:I401))/N387*P401)*50%),F423/P400*P401)),2)</f>
        <v>0</v>
      </c>
      <c r="G424" s="25">
        <f t="shared" si="64"/>
        <v>0</v>
      </c>
      <c r="H424" s="831">
        <f>ROUND(SUM(B424:F424)*H412,2)</f>
        <v>0</v>
      </c>
      <c r="I424" s="64">
        <f>ROUND(IF((SUM(B414:F424)*80%)&gt;((SUM(S410:S424))*90%),((((SUM(S410:S424))*90%)-((SUM(B414:F424)-C424))*I412)+((SUM(B424:F424)-C424)*I412)*80%),((SUM(B424:F424)-C424)*I412)*80%),2)</f>
        <v>0</v>
      </c>
      <c r="J424" s="831">
        <f>ROUND(SUM(B424:F424)*J412,2)</f>
        <v>0</v>
      </c>
      <c r="K424" s="831">
        <f>ROUND(SUM(B424:F424)*K412,2)</f>
        <v>0</v>
      </c>
      <c r="L424" s="831">
        <f>ROUND(SUM(B424:F424)*L412,2)</f>
        <v>0</v>
      </c>
      <c r="M424" s="831">
        <f>ROUND((SUM(B424:F424)-C424)*M412,2)</f>
        <v>0</v>
      </c>
      <c r="N424" s="21">
        <f>ROUND((B424+E424+F424)*N412,2)</f>
        <v>0</v>
      </c>
      <c r="O424" s="21">
        <f>ROUND(SUM(B424+C424+F424)*O412,2)</f>
        <v>0</v>
      </c>
      <c r="P424" s="25">
        <f t="shared" si="66"/>
        <v>0</v>
      </c>
      <c r="Q424" s="11"/>
      <c r="R424" s="140">
        <f>ROUND(IF(M391="",R407,R407/M391*P401),2)</f>
        <v>5175</v>
      </c>
      <c r="S424" s="140">
        <f>ROUND(IF(M391="",R408,R408/M391*P401),2)</f>
        <v>7450</v>
      </c>
    </row>
    <row r="425" spans="1:19" s="18" customFormat="1" hidden="1" x14ac:dyDescent="0.2">
      <c r="A425" s="2" t="s">
        <v>1</v>
      </c>
      <c r="B425" s="25">
        <f t="shared" ref="B425" si="67">SUM(B413:B424)</f>
        <v>0</v>
      </c>
      <c r="C425" s="25">
        <f t="shared" ref="C425" si="68">SUM(C413:C424)</f>
        <v>0</v>
      </c>
      <c r="D425" s="25">
        <f t="shared" ref="D425" si="69">SUM(D413:D424)</f>
        <v>0</v>
      </c>
      <c r="E425" s="25">
        <f t="shared" ref="E425" si="70">SUM(E413:E424)</f>
        <v>0</v>
      </c>
      <c r="F425" s="25">
        <f t="shared" ref="F425" si="71">SUM(F413:F424)</f>
        <v>0</v>
      </c>
      <c r="G425" s="25">
        <f t="shared" ref="G425" si="72">SUM(G413:G424)</f>
        <v>0</v>
      </c>
      <c r="H425" s="1309">
        <f>SUM(H413:M424)</f>
        <v>0</v>
      </c>
      <c r="I425" s="1310"/>
      <c r="J425" s="1310"/>
      <c r="K425" s="1310"/>
      <c r="L425" s="1310"/>
      <c r="M425" s="1310"/>
      <c r="N425" s="25">
        <f>SUM(N413:N424)</f>
        <v>0</v>
      </c>
      <c r="O425" s="25">
        <f>SUM(O413:O424)</f>
        <v>0</v>
      </c>
      <c r="P425" s="25">
        <f>SUM(P413:P424)</f>
        <v>0</v>
      </c>
    </row>
    <row r="426" spans="1:19" s="18" customFormat="1" hidden="1" x14ac:dyDescent="0.2">
      <c r="O426" s="14"/>
      <c r="Q426" s="1021"/>
      <c r="R426" s="1021"/>
      <c r="S426" s="1021"/>
    </row>
    <row r="427" spans="1:19" ht="14.25" hidden="1" customHeight="1" x14ac:dyDescent="0.2">
      <c r="B427" s="906"/>
      <c r="H427" s="905"/>
      <c r="I427" s="62"/>
      <c r="J427" s="914" t="s">
        <v>123</v>
      </c>
      <c r="L427" s="900" t="s">
        <v>124</v>
      </c>
      <c r="M427" s="1003"/>
      <c r="N427" s="902" t="s">
        <v>125</v>
      </c>
      <c r="O427" s="1004"/>
      <c r="P427" s="25">
        <f>ROUND(IF(M427="",0,G425*M427*O427/1000),2)</f>
        <v>0</v>
      </c>
      <c r="Q427" s="1015"/>
      <c r="R427" s="1022"/>
      <c r="S427" s="1016"/>
    </row>
    <row r="428" spans="1:19" ht="14.25" hidden="1" customHeight="1" x14ac:dyDescent="0.2">
      <c r="H428" s="907"/>
      <c r="I428" s="42"/>
      <c r="M428" s="915" t="s">
        <v>129</v>
      </c>
      <c r="N428" s="80" t="s">
        <v>125</v>
      </c>
      <c r="O428" s="1007"/>
      <c r="P428" s="25">
        <f>ROUND(IF(O428="",0,G425*O428/1000),2)</f>
        <v>0</v>
      </c>
      <c r="Q428" s="1023"/>
      <c r="R428" s="65"/>
      <c r="S428" s="1017"/>
    </row>
    <row r="429" spans="1:19" ht="14.25" hidden="1" customHeight="1" x14ac:dyDescent="0.2">
      <c r="H429" s="912" t="s">
        <v>126</v>
      </c>
      <c r="I429" s="1013" t="s">
        <v>127</v>
      </c>
      <c r="J429" s="1005"/>
      <c r="K429" s="902" t="s">
        <v>128</v>
      </c>
      <c r="L429" s="1006"/>
      <c r="M429" s="16"/>
      <c r="N429" s="900" t="s">
        <v>132</v>
      </c>
      <c r="O429" s="1008"/>
      <c r="P429" s="25">
        <f>ROUND(IF(J429="",0,(J429*L429/O429)/M393*M394),2)</f>
        <v>0</v>
      </c>
      <c r="Q429" s="1023"/>
      <c r="R429" s="66"/>
      <c r="S429" s="1016"/>
    </row>
    <row r="430" spans="1:19" ht="14.25" hidden="1" customHeight="1" x14ac:dyDescent="0.2">
      <c r="D430" s="16"/>
      <c r="I430" s="16"/>
      <c r="J430" s="16"/>
      <c r="K430" s="63"/>
      <c r="L430" s="67"/>
      <c r="M430" s="915" t="s">
        <v>130</v>
      </c>
      <c r="N430" s="80" t="s">
        <v>131</v>
      </c>
      <c r="O430" s="904"/>
      <c r="P430" s="21">
        <f>ROUND(IF(G425=0,0,O430/M391*M392),2)</f>
        <v>0</v>
      </c>
      <c r="Q430" s="1023"/>
      <c r="R430" s="1018"/>
      <c r="S430" s="1024"/>
    </row>
    <row r="431" spans="1:19" ht="14.25" hidden="1" customHeight="1" x14ac:dyDescent="0.2">
      <c r="A431" s="16"/>
      <c r="B431" s="16"/>
      <c r="I431" s="905"/>
      <c r="J431" s="961" t="s">
        <v>176</v>
      </c>
      <c r="K431" s="1312"/>
      <c r="L431" s="1312"/>
      <c r="M431" s="1312"/>
      <c r="N431" s="80" t="s">
        <v>131</v>
      </c>
      <c r="O431" s="904"/>
      <c r="P431" s="21">
        <f>ROUND(IF(G425=0,0,O431/M391*M392),2)</f>
        <v>0</v>
      </c>
      <c r="Q431" s="1023"/>
      <c r="R431" s="1019"/>
      <c r="S431" s="1020"/>
    </row>
    <row r="432" spans="1:19" ht="14.25" hidden="1" customHeight="1" x14ac:dyDescent="0.2">
      <c r="A432" s="908"/>
      <c r="B432" s="908"/>
      <c r="C432" s="1013"/>
      <c r="D432" s="1013"/>
      <c r="I432" s="913"/>
      <c r="J432" s="913"/>
      <c r="K432" s="916"/>
      <c r="L432" s="27"/>
      <c r="M432" s="27"/>
      <c r="N432" s="27"/>
      <c r="O432" s="26" t="s">
        <v>0</v>
      </c>
      <c r="P432" s="25">
        <f>P425+SUM(P427:P431)</f>
        <v>0</v>
      </c>
    </row>
  </sheetData>
  <sheetProtection algorithmName="SHA-512" hashValue="gq5dfJZfsNrPHJFdbdDqru3ZxJ3y3QLKT/JztY5uUHcmpivOGGJMw5OJU93BTVjztGJbkaCc5OmAk8IebRrAQw==" saltValue="MVROkrpz60bDRjF6XWNUow==" spinCount="100000" sheet="1" objects="1" scenarios="1"/>
  <mergeCells count="527">
    <mergeCell ref="R410:S410"/>
    <mergeCell ref="R411:S411"/>
    <mergeCell ref="H425:M425"/>
    <mergeCell ref="K431:M431"/>
    <mergeCell ref="P408:P412"/>
    <mergeCell ref="B409:B412"/>
    <mergeCell ref="C409:C412"/>
    <mergeCell ref="D409:D411"/>
    <mergeCell ref="E409:E411"/>
    <mergeCell ref="G409:G412"/>
    <mergeCell ref="H409:H410"/>
    <mergeCell ref="I409:I410"/>
    <mergeCell ref="J409:J410"/>
    <mergeCell ref="K409:K410"/>
    <mergeCell ref="L409:L410"/>
    <mergeCell ref="M409:M411"/>
    <mergeCell ref="O409:O411"/>
    <mergeCell ref="F410:F412"/>
    <mergeCell ref="N408:N410"/>
    <mergeCell ref="A9:C9"/>
    <mergeCell ref="A4:C4"/>
    <mergeCell ref="A7:C7"/>
    <mergeCell ref="A10:C10"/>
    <mergeCell ref="D9:I9"/>
    <mergeCell ref="D10:I10"/>
    <mergeCell ref="B16:C16"/>
    <mergeCell ref="A50:C50"/>
    <mergeCell ref="D49:N49"/>
    <mergeCell ref="D50:N50"/>
    <mergeCell ref="H11:I11"/>
    <mergeCell ref="B13:C13"/>
    <mergeCell ref="B14:C14"/>
    <mergeCell ref="B15:C15"/>
    <mergeCell ref="B17:C17"/>
    <mergeCell ref="A24:A28"/>
    <mergeCell ref="D11:E11"/>
    <mergeCell ref="F11:G11"/>
    <mergeCell ref="A1:C1"/>
    <mergeCell ref="A2:C2"/>
    <mergeCell ref="A3:C3"/>
    <mergeCell ref="A8:C8"/>
    <mergeCell ref="D1:N1"/>
    <mergeCell ref="D2:N2"/>
    <mergeCell ref="D3:J3"/>
    <mergeCell ref="K3:M3"/>
    <mergeCell ref="D4:J4"/>
    <mergeCell ref="A5:J5"/>
    <mergeCell ref="D7:I7"/>
    <mergeCell ref="D8:I8"/>
    <mergeCell ref="K6:L6"/>
    <mergeCell ref="K7:L7"/>
    <mergeCell ref="K8:L8"/>
    <mergeCell ref="A106:C106"/>
    <mergeCell ref="A193:C193"/>
    <mergeCell ref="D193:N193"/>
    <mergeCell ref="A194:C194"/>
    <mergeCell ref="D194:N194"/>
    <mergeCell ref="A195:C195"/>
    <mergeCell ref="D195:J195"/>
    <mergeCell ref="K195:M195"/>
    <mergeCell ref="D196:J196"/>
    <mergeCell ref="A145:C145"/>
    <mergeCell ref="D145:N145"/>
    <mergeCell ref="D155:E155"/>
    <mergeCell ref="A154:C154"/>
    <mergeCell ref="D154:I154"/>
    <mergeCell ref="F155:G155"/>
    <mergeCell ref="H155:I155"/>
    <mergeCell ref="K153:L153"/>
    <mergeCell ref="B159:C159"/>
    <mergeCell ref="B160:C160"/>
    <mergeCell ref="B161:C161"/>
    <mergeCell ref="A153:C153"/>
    <mergeCell ref="D153:I153"/>
    <mergeCell ref="B157:C157"/>
    <mergeCell ref="K151:L151"/>
    <mergeCell ref="D100:J100"/>
    <mergeCell ref="A101:J101"/>
    <mergeCell ref="A103:C103"/>
    <mergeCell ref="D103:I103"/>
    <mergeCell ref="A104:C104"/>
    <mergeCell ref="D104:I104"/>
    <mergeCell ref="K103:L103"/>
    <mergeCell ref="K104:L104"/>
    <mergeCell ref="A105:C105"/>
    <mergeCell ref="D105:I105"/>
    <mergeCell ref="D59:E59"/>
    <mergeCell ref="F59:G59"/>
    <mergeCell ref="H59:I59"/>
    <mergeCell ref="B61:C61"/>
    <mergeCell ref="B62:C62"/>
    <mergeCell ref="B63:C63"/>
    <mergeCell ref="A49:C49"/>
    <mergeCell ref="A56:C56"/>
    <mergeCell ref="D56:I56"/>
    <mergeCell ref="A57:C57"/>
    <mergeCell ref="D57:I57"/>
    <mergeCell ref="A58:C58"/>
    <mergeCell ref="D58:I58"/>
    <mergeCell ref="D51:J51"/>
    <mergeCell ref="A52:C52"/>
    <mergeCell ref="D52:J52"/>
    <mergeCell ref="A53:J53"/>
    <mergeCell ref="A55:C55"/>
    <mergeCell ref="D55:I55"/>
    <mergeCell ref="A51:C51"/>
    <mergeCell ref="B64:C64"/>
    <mergeCell ref="B65:C65"/>
    <mergeCell ref="B68:C68"/>
    <mergeCell ref="I68:K68"/>
    <mergeCell ref="A72:A76"/>
    <mergeCell ref="H73:H74"/>
    <mergeCell ref="I73:I74"/>
    <mergeCell ref="J73:J74"/>
    <mergeCell ref="K73:K74"/>
    <mergeCell ref="B69:C69"/>
    <mergeCell ref="I69:K69"/>
    <mergeCell ref="B72:G72"/>
    <mergeCell ref="H72:N72"/>
    <mergeCell ref="K106:L106"/>
    <mergeCell ref="B116:C116"/>
    <mergeCell ref="I116:K116"/>
    <mergeCell ref="B117:C117"/>
    <mergeCell ref="I117:K117"/>
    <mergeCell ref="P72:P76"/>
    <mergeCell ref="B73:B76"/>
    <mergeCell ref="C73:C76"/>
    <mergeCell ref="D73:D75"/>
    <mergeCell ref="E73:E75"/>
    <mergeCell ref="G73:G76"/>
    <mergeCell ref="L73:L74"/>
    <mergeCell ref="M73:M74"/>
    <mergeCell ref="N73:N74"/>
    <mergeCell ref="O73:O75"/>
    <mergeCell ref="F74:F76"/>
    <mergeCell ref="A97:C97"/>
    <mergeCell ref="D97:N97"/>
    <mergeCell ref="A98:C98"/>
    <mergeCell ref="D98:N98"/>
    <mergeCell ref="A99:C99"/>
    <mergeCell ref="D99:J99"/>
    <mergeCell ref="K99:M99"/>
    <mergeCell ref="A100:C100"/>
    <mergeCell ref="B109:C109"/>
    <mergeCell ref="B110:C110"/>
    <mergeCell ref="B111:C111"/>
    <mergeCell ref="B112:C112"/>
    <mergeCell ref="B113:C113"/>
    <mergeCell ref="K152:L152"/>
    <mergeCell ref="A146:C146"/>
    <mergeCell ref="D146:N146"/>
    <mergeCell ref="A147:C147"/>
    <mergeCell ref="D147:J147"/>
    <mergeCell ref="K147:M147"/>
    <mergeCell ref="A148:C148"/>
    <mergeCell ref="D148:J148"/>
    <mergeCell ref="A149:J149"/>
    <mergeCell ref="A151:C151"/>
    <mergeCell ref="D151:I151"/>
    <mergeCell ref="A152:C152"/>
    <mergeCell ref="D152:I152"/>
    <mergeCell ref="H137:N137"/>
    <mergeCell ref="K143:M143"/>
    <mergeCell ref="K150:L150"/>
    <mergeCell ref="A120:A124"/>
    <mergeCell ref="B121:B124"/>
    <mergeCell ref="C121:C124"/>
    <mergeCell ref="D203:E203"/>
    <mergeCell ref="F203:G203"/>
    <mergeCell ref="H203:I203"/>
    <mergeCell ref="A202:C202"/>
    <mergeCell ref="B205:C205"/>
    <mergeCell ref="B206:C206"/>
    <mergeCell ref="B120:G120"/>
    <mergeCell ref="H120:N120"/>
    <mergeCell ref="P120:P124"/>
    <mergeCell ref="D121:D123"/>
    <mergeCell ref="E121:E123"/>
    <mergeCell ref="K154:L154"/>
    <mergeCell ref="A197:J197"/>
    <mergeCell ref="A199:C199"/>
    <mergeCell ref="D199:I199"/>
    <mergeCell ref="A200:C200"/>
    <mergeCell ref="D200:I200"/>
    <mergeCell ref="A196:C196"/>
    <mergeCell ref="A201:C201"/>
    <mergeCell ref="D201:I201"/>
    <mergeCell ref="D202:I202"/>
    <mergeCell ref="A168:A172"/>
    <mergeCell ref="B168:G168"/>
    <mergeCell ref="H168:N168"/>
    <mergeCell ref="A245:M245"/>
    <mergeCell ref="A247:C247"/>
    <mergeCell ref="D247:I247"/>
    <mergeCell ref="A248:C248"/>
    <mergeCell ref="D248:I248"/>
    <mergeCell ref="K239:M239"/>
    <mergeCell ref="A241:C241"/>
    <mergeCell ref="D241:N241"/>
    <mergeCell ref="A242:C242"/>
    <mergeCell ref="D242:N242"/>
    <mergeCell ref="A243:C243"/>
    <mergeCell ref="D243:J243"/>
    <mergeCell ref="K243:M243"/>
    <mergeCell ref="A244:C244"/>
    <mergeCell ref="D244:J244"/>
    <mergeCell ref="K246:L246"/>
    <mergeCell ref="K247:L247"/>
    <mergeCell ref="K248:L248"/>
    <mergeCell ref="A249:C249"/>
    <mergeCell ref="D249:I249"/>
    <mergeCell ref="A250:C250"/>
    <mergeCell ref="D250:I250"/>
    <mergeCell ref="D251:E251"/>
    <mergeCell ref="F251:G251"/>
    <mergeCell ref="H251:I251"/>
    <mergeCell ref="K249:L249"/>
    <mergeCell ref="K250:L250"/>
    <mergeCell ref="K251:L251"/>
    <mergeCell ref="F252:G252"/>
    <mergeCell ref="H252:I252"/>
    <mergeCell ref="B253:C253"/>
    <mergeCell ref="B254:C254"/>
    <mergeCell ref="B255:C255"/>
    <mergeCell ref="B256:C256"/>
    <mergeCell ref="B257:C257"/>
    <mergeCell ref="B260:C260"/>
    <mergeCell ref="B261:C261"/>
    <mergeCell ref="P264:P268"/>
    <mergeCell ref="K265:K266"/>
    <mergeCell ref="L265:L266"/>
    <mergeCell ref="M265:M267"/>
    <mergeCell ref="O265:O267"/>
    <mergeCell ref="F266:F268"/>
    <mergeCell ref="H281:M281"/>
    <mergeCell ref="A289:C289"/>
    <mergeCell ref="D289:N289"/>
    <mergeCell ref="A264:A268"/>
    <mergeCell ref="B264:G264"/>
    <mergeCell ref="H264:M264"/>
    <mergeCell ref="N264:N266"/>
    <mergeCell ref="B265:B268"/>
    <mergeCell ref="C265:C268"/>
    <mergeCell ref="D265:D267"/>
    <mergeCell ref="E265:E267"/>
    <mergeCell ref="G265:G268"/>
    <mergeCell ref="H265:H266"/>
    <mergeCell ref="I265:I266"/>
    <mergeCell ref="J265:J266"/>
    <mergeCell ref="A290:C290"/>
    <mergeCell ref="D290:N290"/>
    <mergeCell ref="A291:C291"/>
    <mergeCell ref="D291:J291"/>
    <mergeCell ref="K291:M291"/>
    <mergeCell ref="K287:M287"/>
    <mergeCell ref="A292:C292"/>
    <mergeCell ref="D292:J292"/>
    <mergeCell ref="A293:M293"/>
    <mergeCell ref="A295:C295"/>
    <mergeCell ref="D295:I295"/>
    <mergeCell ref="A296:C296"/>
    <mergeCell ref="D296:I296"/>
    <mergeCell ref="K294:L294"/>
    <mergeCell ref="K295:L295"/>
    <mergeCell ref="K296:L296"/>
    <mergeCell ref="A297:C297"/>
    <mergeCell ref="D297:I297"/>
    <mergeCell ref="A298:C298"/>
    <mergeCell ref="D298:I298"/>
    <mergeCell ref="D299:E299"/>
    <mergeCell ref="F299:G299"/>
    <mergeCell ref="H299:I299"/>
    <mergeCell ref="K297:L297"/>
    <mergeCell ref="K298:L298"/>
    <mergeCell ref="K299:L299"/>
    <mergeCell ref="F300:G300"/>
    <mergeCell ref="H300:I300"/>
    <mergeCell ref="B301:C301"/>
    <mergeCell ref="B302:C302"/>
    <mergeCell ref="B303:C303"/>
    <mergeCell ref="B304:C304"/>
    <mergeCell ref="B305:C305"/>
    <mergeCell ref="B308:C308"/>
    <mergeCell ref="B309:C309"/>
    <mergeCell ref="A312:A316"/>
    <mergeCell ref="B312:G312"/>
    <mergeCell ref="P312:P316"/>
    <mergeCell ref="K313:K314"/>
    <mergeCell ref="L313:L314"/>
    <mergeCell ref="M313:M315"/>
    <mergeCell ref="O313:O315"/>
    <mergeCell ref="F314:F316"/>
    <mergeCell ref="H329:M329"/>
    <mergeCell ref="A337:C337"/>
    <mergeCell ref="D337:N337"/>
    <mergeCell ref="H312:M312"/>
    <mergeCell ref="N312:N314"/>
    <mergeCell ref="B313:B316"/>
    <mergeCell ref="C313:C316"/>
    <mergeCell ref="D313:D315"/>
    <mergeCell ref="E313:E315"/>
    <mergeCell ref="G313:G316"/>
    <mergeCell ref="H313:H314"/>
    <mergeCell ref="I313:I314"/>
    <mergeCell ref="J313:J314"/>
    <mergeCell ref="A338:C338"/>
    <mergeCell ref="D338:N338"/>
    <mergeCell ref="A339:C339"/>
    <mergeCell ref="D339:J339"/>
    <mergeCell ref="K339:M339"/>
    <mergeCell ref="K335:M335"/>
    <mergeCell ref="A340:C340"/>
    <mergeCell ref="D340:J340"/>
    <mergeCell ref="A341:M341"/>
    <mergeCell ref="A343:C343"/>
    <mergeCell ref="D343:I343"/>
    <mergeCell ref="A344:C344"/>
    <mergeCell ref="D344:I344"/>
    <mergeCell ref="K342:L342"/>
    <mergeCell ref="K343:L343"/>
    <mergeCell ref="K344:L344"/>
    <mergeCell ref="A345:C345"/>
    <mergeCell ref="D345:I345"/>
    <mergeCell ref="A346:C346"/>
    <mergeCell ref="D346:I346"/>
    <mergeCell ref="D347:E347"/>
    <mergeCell ref="F347:G347"/>
    <mergeCell ref="H347:I347"/>
    <mergeCell ref="K345:L345"/>
    <mergeCell ref="K346:L346"/>
    <mergeCell ref="K347:L347"/>
    <mergeCell ref="F348:G348"/>
    <mergeCell ref="H348:I348"/>
    <mergeCell ref="B349:C349"/>
    <mergeCell ref="B350:C350"/>
    <mergeCell ref="B351:C351"/>
    <mergeCell ref="B352:C352"/>
    <mergeCell ref="B353:C353"/>
    <mergeCell ref="B356:C356"/>
    <mergeCell ref="B357:C357"/>
    <mergeCell ref="A360:A364"/>
    <mergeCell ref="B360:G360"/>
    <mergeCell ref="K383:M383"/>
    <mergeCell ref="A388:C388"/>
    <mergeCell ref="D388:J388"/>
    <mergeCell ref="A389:M389"/>
    <mergeCell ref="P360:P364"/>
    <mergeCell ref="K361:K362"/>
    <mergeCell ref="L361:L362"/>
    <mergeCell ref="M361:M363"/>
    <mergeCell ref="O361:O363"/>
    <mergeCell ref="F362:F364"/>
    <mergeCell ref="H377:M377"/>
    <mergeCell ref="A385:C385"/>
    <mergeCell ref="D385:N385"/>
    <mergeCell ref="H360:M360"/>
    <mergeCell ref="N360:N362"/>
    <mergeCell ref="B361:B364"/>
    <mergeCell ref="C361:C364"/>
    <mergeCell ref="D361:D363"/>
    <mergeCell ref="E361:E363"/>
    <mergeCell ref="G361:G364"/>
    <mergeCell ref="H361:H362"/>
    <mergeCell ref="I361:I362"/>
    <mergeCell ref="J361:J362"/>
    <mergeCell ref="B404:C404"/>
    <mergeCell ref="B405:C405"/>
    <mergeCell ref="A408:A412"/>
    <mergeCell ref="B408:G408"/>
    <mergeCell ref="H408:M408"/>
    <mergeCell ref="B401:C401"/>
    <mergeCell ref="A394:C394"/>
    <mergeCell ref="D394:I394"/>
    <mergeCell ref="D395:E395"/>
    <mergeCell ref="F395:G395"/>
    <mergeCell ref="H395:I395"/>
    <mergeCell ref="K394:L394"/>
    <mergeCell ref="K395:L395"/>
    <mergeCell ref="F396:G396"/>
    <mergeCell ref="H396:I396"/>
    <mergeCell ref="R266:S266"/>
    <mergeCell ref="R267:S267"/>
    <mergeCell ref="R314:S314"/>
    <mergeCell ref="R74:S74"/>
    <mergeCell ref="R75:S75"/>
    <mergeCell ref="B397:C397"/>
    <mergeCell ref="B398:C398"/>
    <mergeCell ref="B399:C399"/>
    <mergeCell ref="B400:C400"/>
    <mergeCell ref="K393:L393"/>
    <mergeCell ref="A391:C391"/>
    <mergeCell ref="D391:I391"/>
    <mergeCell ref="A392:C392"/>
    <mergeCell ref="D392:I392"/>
    <mergeCell ref="K390:L390"/>
    <mergeCell ref="K391:L391"/>
    <mergeCell ref="K392:L392"/>
    <mergeCell ref="A393:C393"/>
    <mergeCell ref="D393:I393"/>
    <mergeCell ref="A386:C386"/>
    <mergeCell ref="D386:N386"/>
    <mergeCell ref="A387:C387"/>
    <mergeCell ref="D387:J387"/>
    <mergeCell ref="K387:M387"/>
    <mergeCell ref="R315:S315"/>
    <mergeCell ref="R362:S362"/>
    <mergeCell ref="R363:S363"/>
    <mergeCell ref="K9:L9"/>
    <mergeCell ref="K10:L10"/>
    <mergeCell ref="B20:C20"/>
    <mergeCell ref="I20:K20"/>
    <mergeCell ref="B21:C21"/>
    <mergeCell ref="I21:K21"/>
    <mergeCell ref="B24:G24"/>
    <mergeCell ref="H24:N24"/>
    <mergeCell ref="B25:B28"/>
    <mergeCell ref="C25:C28"/>
    <mergeCell ref="D25:D27"/>
    <mergeCell ref="E25:E27"/>
    <mergeCell ref="G25:G28"/>
    <mergeCell ref="H25:H26"/>
    <mergeCell ref="I25:I26"/>
    <mergeCell ref="J25:J26"/>
    <mergeCell ref="K25:K26"/>
    <mergeCell ref="L25:L26"/>
    <mergeCell ref="M25:M26"/>
    <mergeCell ref="N25:N26"/>
    <mergeCell ref="F26:F28"/>
    <mergeCell ref="U27:U28"/>
    <mergeCell ref="V27:V28"/>
    <mergeCell ref="H41:N41"/>
    <mergeCell ref="K47:M47"/>
    <mergeCell ref="K54:L54"/>
    <mergeCell ref="K55:L55"/>
    <mergeCell ref="K56:L56"/>
    <mergeCell ref="K57:L57"/>
    <mergeCell ref="K58:L58"/>
    <mergeCell ref="P24:P28"/>
    <mergeCell ref="O25:O27"/>
    <mergeCell ref="R26:S26"/>
    <mergeCell ref="R27:S27"/>
    <mergeCell ref="K51:M51"/>
    <mergeCell ref="U75:U76"/>
    <mergeCell ref="V75:V76"/>
    <mergeCell ref="H89:N89"/>
    <mergeCell ref="K95:M95"/>
    <mergeCell ref="K102:L102"/>
    <mergeCell ref="F122:F124"/>
    <mergeCell ref="R122:S122"/>
    <mergeCell ref="R123:S123"/>
    <mergeCell ref="U123:U124"/>
    <mergeCell ref="V123:V124"/>
    <mergeCell ref="G121:G124"/>
    <mergeCell ref="H121:H122"/>
    <mergeCell ref="I121:I122"/>
    <mergeCell ref="J121:J122"/>
    <mergeCell ref="K121:K122"/>
    <mergeCell ref="L121:L122"/>
    <mergeCell ref="M121:M122"/>
    <mergeCell ref="N121:N122"/>
    <mergeCell ref="O121:O123"/>
    <mergeCell ref="D106:I106"/>
    <mergeCell ref="D107:E107"/>
    <mergeCell ref="F107:G107"/>
    <mergeCell ref="H107:I107"/>
    <mergeCell ref="K105:L105"/>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O169:O171"/>
    <mergeCell ref="F170:F172"/>
    <mergeCell ref="B158:C158"/>
    <mergeCell ref="F218:F220"/>
    <mergeCell ref="U171:U172"/>
    <mergeCell ref="V171:V172"/>
    <mergeCell ref="H185:N185"/>
    <mergeCell ref="K191:M191"/>
    <mergeCell ref="K198:L198"/>
    <mergeCell ref="K199:L199"/>
    <mergeCell ref="K200:L200"/>
    <mergeCell ref="K201:L201"/>
    <mergeCell ref="K202:L202"/>
    <mergeCell ref="U219:U220"/>
    <mergeCell ref="V219:V220"/>
    <mergeCell ref="B164:C164"/>
    <mergeCell ref="I164:K164"/>
    <mergeCell ref="B165:C165"/>
    <mergeCell ref="I165:K165"/>
    <mergeCell ref="R170:S170"/>
    <mergeCell ref="R171:S171"/>
    <mergeCell ref="R218:S218"/>
    <mergeCell ref="R219:S219"/>
    <mergeCell ref="B207:C207"/>
    <mergeCell ref="B208:C208"/>
    <mergeCell ref="B209:C209"/>
    <mergeCell ref="H233:N233"/>
    <mergeCell ref="B212:C212"/>
    <mergeCell ref="I212:K212"/>
    <mergeCell ref="B213:C213"/>
    <mergeCell ref="I213:K213"/>
    <mergeCell ref="A216:A220"/>
    <mergeCell ref="B216:G216"/>
    <mergeCell ref="H216:N216"/>
    <mergeCell ref="P216:P220"/>
    <mergeCell ref="B217:B220"/>
    <mergeCell ref="C217:C220"/>
    <mergeCell ref="D217:D219"/>
    <mergeCell ref="E217:E219"/>
    <mergeCell ref="G217:G220"/>
    <mergeCell ref="H217:H218"/>
    <mergeCell ref="I217:I218"/>
    <mergeCell ref="J217:J218"/>
    <mergeCell ref="K217:K218"/>
    <mergeCell ref="L217:L218"/>
    <mergeCell ref="M217:M218"/>
    <mergeCell ref="N217:N218"/>
    <mergeCell ref="O217:O219"/>
  </mergeCells>
  <dataValidations count="1">
    <dataValidation type="list" allowBlank="1" showInputMessage="1" showErrorMessage="1" sqref="A15:A17 A20:A21 A63:A65 A68:A69 A111:A113 A116:A117 A159:A161 A164:A165 A207:A209 A212:A213 A260:A261 A308:A309 A356:A357 A404:A405">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Wirtschaftskraft/Haushaltshilfe/Küchenkraft&amp;R&amp;G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'päd.Personal - Leitung'!$A$29:$A$40</xm:f>
          </x14:formula1>
          <xm:sqref>A255:A257 A351:A353 A303:A305 A399:A401</xm:sqref>
        </x14:dataValidation>
        <x14:dataValidation type="list" allowBlank="1" showInputMessage="1" showErrorMessage="1">
          <x14:formula1>
            <xm:f>Grundlagen!$P$8:$P$9</xm:f>
          </x14:formula1>
          <xm:sqref>H20 H68 H116 H164 H212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3" tint="0.39997558519241921"/>
  </sheetPr>
  <dimension ref="A1:P144"/>
  <sheetViews>
    <sheetView showGridLines="0" view="pageLayout" zoomScaleNormal="100" workbookViewId="0">
      <selection activeCell="H32" sqref="H32"/>
    </sheetView>
  </sheetViews>
  <sheetFormatPr baseColWidth="10" defaultRowHeight="14.25" x14ac:dyDescent="0.2"/>
  <cols>
    <col min="1" max="1" width="9.42578125" style="18" customWidth="1"/>
    <col min="2" max="2" width="12.7109375" style="18" customWidth="1"/>
    <col min="3" max="3" width="11.42578125" style="18"/>
    <col min="4" max="4" width="10.5703125" style="18" customWidth="1"/>
    <col min="5" max="5" width="11.140625" style="18" customWidth="1"/>
    <col min="6" max="6" width="11.42578125" style="18" customWidth="1"/>
    <col min="7" max="7" width="10.140625" style="18" customWidth="1"/>
    <col min="8" max="8" width="11.5703125" style="18" customWidth="1"/>
    <col min="9" max="11" width="11.42578125" style="18"/>
    <col min="12" max="13" width="11.140625" style="18" customWidth="1"/>
    <col min="14" max="14" width="11.42578125" style="18" customWidth="1"/>
    <col min="15" max="15" width="11.5703125" style="18" customWidth="1"/>
    <col min="16" max="16" width="10.85546875" style="18" customWidth="1"/>
    <col min="17" max="16384" width="11.42578125" style="18"/>
  </cols>
  <sheetData>
    <row r="1" spans="1:16" s="10" customFormat="1" ht="13.5" customHeight="1" x14ac:dyDescent="0.2">
      <c r="A1" s="1321" t="s">
        <v>17</v>
      </c>
      <c r="B1" s="1321"/>
      <c r="C1" s="1321"/>
      <c r="D1" s="1320" t="str">
        <f>IF('päd.Personal - Leitung'!$D$1="","",'päd.Personal - Leitung'!$D$1)</f>
        <v/>
      </c>
      <c r="E1" s="1320"/>
      <c r="F1" s="1320"/>
      <c r="G1" s="1320"/>
      <c r="H1" s="1320"/>
      <c r="I1" s="1320"/>
      <c r="J1" s="1320"/>
      <c r="K1" s="1320"/>
      <c r="L1" s="1320"/>
      <c r="M1" s="1320"/>
      <c r="N1" s="1320"/>
    </row>
    <row r="2" spans="1:16" s="10" customFormat="1" ht="15" customHeight="1" x14ac:dyDescent="0.2">
      <c r="A2" s="1321" t="s">
        <v>16</v>
      </c>
      <c r="B2" s="1321"/>
      <c r="C2" s="1321" t="s">
        <v>14</v>
      </c>
      <c r="D2" s="1320" t="str">
        <f>IF('päd.Personal - Leitung'!$D$2="","",'päd.Personal - Leitung'!$D$2)</f>
        <v/>
      </c>
      <c r="E2" s="1320"/>
      <c r="F2" s="1320"/>
      <c r="G2" s="1320"/>
      <c r="H2" s="1320"/>
      <c r="I2" s="1320"/>
      <c r="J2" s="1320"/>
      <c r="K2" s="1320"/>
      <c r="L2" s="1320"/>
      <c r="M2" s="1320"/>
      <c r="N2" s="1320"/>
    </row>
    <row r="3" spans="1:16" s="10" customFormat="1" ht="15" customHeight="1" x14ac:dyDescent="0.2">
      <c r="A3" s="1321" t="s">
        <v>15</v>
      </c>
      <c r="B3" s="1321"/>
      <c r="C3" s="1321" t="s">
        <v>14</v>
      </c>
      <c r="D3" s="1320" t="str">
        <f>IF('päd.Personal - Leitung'!$D$3="","",'päd.Personal - Leitung'!$D$3)</f>
        <v/>
      </c>
      <c r="E3" s="1320"/>
      <c r="F3" s="1320"/>
      <c r="G3" s="1320"/>
      <c r="H3" s="1320"/>
      <c r="I3" s="1320"/>
      <c r="J3" s="1320"/>
      <c r="K3" s="1321" t="s">
        <v>100</v>
      </c>
      <c r="L3" s="1321"/>
      <c r="M3" s="1321"/>
      <c r="N3" s="38" t="str">
        <f>IF('päd.Personal - Leitung'!$N$3="","",'päd.Personal - Leitung'!$N$3)</f>
        <v/>
      </c>
    </row>
    <row r="4" spans="1:16" s="923" customFormat="1" ht="7.5" customHeight="1" x14ac:dyDescent="0.15">
      <c r="A4" s="1353"/>
      <c r="B4" s="1353"/>
      <c r="C4" s="1353"/>
      <c r="D4" s="1354"/>
      <c r="E4" s="1354"/>
      <c r="F4" s="1354"/>
      <c r="G4" s="1354"/>
      <c r="H4" s="1354"/>
      <c r="I4" s="1354"/>
      <c r="J4" s="1354"/>
      <c r="K4" s="922"/>
      <c r="L4" s="922"/>
      <c r="M4" s="922"/>
      <c r="N4" s="922"/>
      <c r="O4" s="922"/>
      <c r="P4" s="922"/>
    </row>
    <row r="5" spans="1:16" s="13" customFormat="1" ht="13.5" customHeight="1" x14ac:dyDescent="0.2">
      <c r="A5" s="1355" t="s">
        <v>211</v>
      </c>
      <c r="B5" s="1355"/>
      <c r="C5" s="1355"/>
      <c r="D5" s="1355"/>
      <c r="E5" s="1355"/>
      <c r="F5" s="1355"/>
      <c r="G5" s="1355"/>
      <c r="H5" s="1355"/>
      <c r="I5" s="1355"/>
      <c r="J5" s="1355"/>
      <c r="K5" s="1355"/>
      <c r="L5" s="7"/>
      <c r="M5" s="7"/>
      <c r="N5" s="52"/>
      <c r="O5" s="138">
        <f>'päd.Personal - Leitung'!$O$5</f>
        <v>2025</v>
      </c>
      <c r="P5" s="52" t="s">
        <v>140</v>
      </c>
    </row>
    <row r="6" spans="1:16" s="8" customFormat="1" ht="13.5" customHeight="1" x14ac:dyDescent="0.25">
      <c r="B6" s="29"/>
      <c r="C6" s="29"/>
      <c r="D6" s="3" t="s">
        <v>177</v>
      </c>
      <c r="E6" s="28"/>
      <c r="F6" s="28"/>
      <c r="G6" s="28"/>
      <c r="H6" s="28"/>
      <c r="I6" s="24"/>
      <c r="J6" s="1370"/>
      <c r="K6" s="1370"/>
      <c r="L6" s="81"/>
      <c r="O6" s="928" t="str">
        <f>A29</f>
        <v>Jan 2025</v>
      </c>
      <c r="P6" s="68">
        <f>IF(M8="","",M8)</f>
        <v>0</v>
      </c>
    </row>
    <row r="7" spans="1:16" s="5" customFormat="1" ht="13.5" customHeight="1" x14ac:dyDescent="0.25">
      <c r="A7" s="1328" t="s">
        <v>754</v>
      </c>
      <c r="B7" s="1328"/>
      <c r="C7" s="1328"/>
      <c r="D7" s="1329"/>
      <c r="E7" s="1329"/>
      <c r="F7" s="1329"/>
      <c r="G7" s="1329"/>
      <c r="H7" s="1329"/>
      <c r="I7" s="1329"/>
      <c r="K7" s="1327" t="s">
        <v>101</v>
      </c>
      <c r="L7" s="1327"/>
      <c r="M7" s="101"/>
      <c r="O7" s="928" t="str">
        <f t="shared" ref="O7:O17" si="0">A30</f>
        <v>Feb 2025</v>
      </c>
      <c r="P7" s="69">
        <f t="shared" ref="P7:P17" si="1">IF(P6="","",P6)</f>
        <v>0</v>
      </c>
    </row>
    <row r="8" spans="1:16" s="1" customFormat="1" ht="13.5" customHeight="1" x14ac:dyDescent="0.2">
      <c r="A8" s="1328" t="s">
        <v>12</v>
      </c>
      <c r="B8" s="1328"/>
      <c r="C8" s="1328"/>
      <c r="D8" s="1345"/>
      <c r="E8" s="1345"/>
      <c r="F8" s="1345"/>
      <c r="G8" s="1345"/>
      <c r="H8" s="1345"/>
      <c r="I8" s="1345"/>
      <c r="K8" s="1327" t="s">
        <v>149</v>
      </c>
      <c r="L8" s="1327"/>
      <c r="M8" s="101">
        <f>IF((M9+M10)&gt;M7,0,M7-M9-M10)</f>
        <v>0</v>
      </c>
      <c r="O8" s="928" t="str">
        <f t="shared" si="0"/>
        <v>Mrz 2025</v>
      </c>
      <c r="P8" s="69">
        <f t="shared" si="1"/>
        <v>0</v>
      </c>
    </row>
    <row r="9" spans="1:16" s="1" customFormat="1" ht="13.5" customHeight="1" x14ac:dyDescent="0.2">
      <c r="A9" s="1328" t="s">
        <v>77</v>
      </c>
      <c r="B9" s="1328"/>
      <c r="C9" s="1328"/>
      <c r="D9" s="1345"/>
      <c r="E9" s="1345"/>
      <c r="F9" s="1345"/>
      <c r="G9" s="1345"/>
      <c r="H9" s="1345"/>
      <c r="I9" s="1345"/>
      <c r="K9" s="1327" t="s">
        <v>150</v>
      </c>
      <c r="L9" s="1327"/>
      <c r="M9" s="101"/>
      <c r="O9" s="928" t="str">
        <f t="shared" si="0"/>
        <v>Apr 2025</v>
      </c>
      <c r="P9" s="69">
        <f t="shared" si="1"/>
        <v>0</v>
      </c>
    </row>
    <row r="10" spans="1:16" s="1" customFormat="1" ht="13.5" customHeight="1" x14ac:dyDescent="0.2">
      <c r="A10" s="1328" t="s">
        <v>18</v>
      </c>
      <c r="B10" s="1328"/>
      <c r="C10" s="1328"/>
      <c r="D10" s="1345"/>
      <c r="E10" s="1345"/>
      <c r="F10" s="1345"/>
      <c r="G10" s="1345"/>
      <c r="H10" s="1345"/>
      <c r="I10" s="1345"/>
      <c r="K10" s="1327" t="s">
        <v>222</v>
      </c>
      <c r="L10" s="1327"/>
      <c r="M10" s="101"/>
      <c r="O10" s="928" t="str">
        <f t="shared" si="0"/>
        <v>Mai 2025</v>
      </c>
      <c r="P10" s="69">
        <f t="shared" si="1"/>
        <v>0</v>
      </c>
    </row>
    <row r="11" spans="1:16" s="1" customFormat="1" ht="13.5" customHeight="1" x14ac:dyDescent="0.2">
      <c r="B11" s="6"/>
      <c r="C11" s="1012" t="s">
        <v>147</v>
      </c>
      <c r="D11" s="1324"/>
      <c r="E11" s="1324"/>
      <c r="F11" s="1359" t="s">
        <v>103</v>
      </c>
      <c r="G11" s="1359"/>
      <c r="H11" s="1361"/>
      <c r="I11" s="1361"/>
      <c r="K11" s="1327" t="s">
        <v>94</v>
      </c>
      <c r="L11" s="1327"/>
      <c r="M11" s="15" t="str">
        <f>IF(IF((COUNTIF(B29:B40,"&gt;0"))=0,0,(COUNTIF(B29:B40,"&gt;0")))&gt;Grundlagen!$C$26,Grundlagen!$C$26,IF((COUNTIF(B29:B40,"&gt;0"))=0,"",(COUNTIF(B29:B40,"&gt;0"))))</f>
        <v/>
      </c>
      <c r="O11" s="928" t="str">
        <f t="shared" si="0"/>
        <v>Jun 2025</v>
      </c>
      <c r="P11" s="69">
        <f t="shared" si="1"/>
        <v>0</v>
      </c>
    </row>
    <row r="12" spans="1:16" s="1" customFormat="1" ht="13.5" customHeight="1" x14ac:dyDescent="0.2">
      <c r="M12" s="102" t="str">
        <f>IF((SUM(E14:F17))=0,"",IF(P18&gt;M8,M8,IF(M8="","",IF(M11="","",P18))))</f>
        <v/>
      </c>
      <c r="O12" s="928" t="str">
        <f t="shared" si="0"/>
        <v>Jul 2025</v>
      </c>
      <c r="P12" s="69">
        <f t="shared" si="1"/>
        <v>0</v>
      </c>
    </row>
    <row r="13" spans="1:16" s="109" customFormat="1" ht="14.25" customHeight="1" x14ac:dyDescent="0.25">
      <c r="A13" s="103" t="s">
        <v>170</v>
      </c>
      <c r="B13" s="56"/>
      <c r="C13" s="104"/>
      <c r="D13" s="56"/>
      <c r="E13" s="1394" t="s">
        <v>171</v>
      </c>
      <c r="F13" s="1394"/>
      <c r="G13" s="58" t="s">
        <v>138</v>
      </c>
      <c r="H13" s="86"/>
      <c r="I13" s="105"/>
      <c r="L13" s="107"/>
      <c r="M13" s="106"/>
      <c r="N13" s="108"/>
      <c r="O13" s="928" t="str">
        <f t="shared" si="0"/>
        <v>Aug 2025</v>
      </c>
      <c r="P13" s="69">
        <f t="shared" si="1"/>
        <v>0</v>
      </c>
    </row>
    <row r="14" spans="1:16" s="109" customFormat="1" ht="14.25" customHeight="1" x14ac:dyDescent="0.25">
      <c r="A14" s="48" t="str">
        <f>A29</f>
        <v>Jan 2025</v>
      </c>
      <c r="B14" s="1398"/>
      <c r="C14" s="1399"/>
      <c r="D14" s="1400"/>
      <c r="E14" s="1386"/>
      <c r="F14" s="1387"/>
      <c r="G14" s="110">
        <f>IF(E14="",0,IF(E14=ROUND(J14*M7*(52/12),0),J14,ROUNDDOWN(IF(M8=0,0,E14/M7/(52/12)),2)))</f>
        <v>0</v>
      </c>
      <c r="H14" s="1055"/>
      <c r="I14" s="941" t="s">
        <v>752</v>
      </c>
      <c r="J14" s="1057">
        <v>12.82</v>
      </c>
      <c r="O14" s="928" t="str">
        <f t="shared" si="0"/>
        <v>Sep 2025</v>
      </c>
      <c r="P14" s="69">
        <f t="shared" si="1"/>
        <v>0</v>
      </c>
    </row>
    <row r="15" spans="1:16" s="109" customFormat="1" ht="14.25" customHeight="1" x14ac:dyDescent="0.25">
      <c r="A15" s="49"/>
      <c r="B15" s="1398"/>
      <c r="C15" s="1399"/>
      <c r="D15" s="1400"/>
      <c r="E15" s="1386"/>
      <c r="F15" s="1387"/>
      <c r="G15" s="110">
        <f>IF(E15="",0,IF(E15=ROUND(J14*M7*(52/12),0),J14,ROUNDDOWN(IF(M8=0,0,E15/M7/(52/12)),2)))</f>
        <v>0</v>
      </c>
      <c r="H15" s="58"/>
      <c r="J15" s="1056" t="s">
        <v>751</v>
      </c>
      <c r="O15" s="928" t="str">
        <f t="shared" si="0"/>
        <v>Okt 2025</v>
      </c>
      <c r="P15" s="69">
        <f t="shared" si="1"/>
        <v>0</v>
      </c>
    </row>
    <row r="16" spans="1:16" s="109" customFormat="1" ht="14.25" customHeight="1" x14ac:dyDescent="0.25">
      <c r="A16" s="49"/>
      <c r="B16" s="1398"/>
      <c r="C16" s="1399"/>
      <c r="D16" s="1400"/>
      <c r="E16" s="1386"/>
      <c r="F16" s="1387"/>
      <c r="G16" s="110">
        <f>IF(E16="",0,IF(E16=ROUND(J14*M7*(52/12),0),J14,ROUNDDOWN(IF(M8=0,0,E16/M7/(52/12)),2)))</f>
        <v>0</v>
      </c>
      <c r="H16" s="85"/>
      <c r="O16" s="928" t="str">
        <f t="shared" si="0"/>
        <v>Nov 2025</v>
      </c>
      <c r="P16" s="69">
        <f t="shared" si="1"/>
        <v>0</v>
      </c>
    </row>
    <row r="17" spans="1:16" s="85" customFormat="1" ht="14.25" customHeight="1" x14ac:dyDescent="0.25">
      <c r="A17" s="49"/>
      <c r="B17" s="1398"/>
      <c r="C17" s="1399"/>
      <c r="D17" s="1400"/>
      <c r="E17" s="1386"/>
      <c r="F17" s="1387"/>
      <c r="G17" s="110">
        <f>IF(E17="",0,IF(E17=ROUND(J14*M7*(52/12),0),J14,ROUNDDOWN(IF(M8=0,0,E17/M7/(52/12)),2)))</f>
        <v>0</v>
      </c>
      <c r="H17" s="86"/>
      <c r="O17" s="928" t="str">
        <f t="shared" si="0"/>
        <v>Dez 2025</v>
      </c>
      <c r="P17" s="69">
        <f t="shared" si="1"/>
        <v>0</v>
      </c>
    </row>
    <row r="18" spans="1:16" s="85" customFormat="1" ht="12" customHeight="1" x14ac:dyDescent="0.25">
      <c r="A18" s="46"/>
      <c r="B18" s="972"/>
      <c r="C18" s="972"/>
      <c r="D18" s="46"/>
      <c r="E18" s="972"/>
      <c r="F18" s="972"/>
      <c r="G18" s="88"/>
      <c r="H18" s="86"/>
      <c r="O18" s="126" t="s">
        <v>221</v>
      </c>
      <c r="P18" s="127">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924" t="s">
        <v>732</v>
      </c>
      <c r="D19" s="55" t="s">
        <v>369</v>
      </c>
      <c r="E19" s="56" t="s">
        <v>368</v>
      </c>
      <c r="F19" s="58"/>
      <c r="J19" s="61"/>
    </row>
    <row r="20" spans="1:16" s="46" customFormat="1" ht="13.5" customHeight="1" x14ac:dyDescent="0.25">
      <c r="A20" s="60"/>
      <c r="B20" s="1314" t="str">
        <f>IF('päd.Personal - Leitung'!$B$20="","",'päd.Personal - Leitung'!$B$20)</f>
        <v>Jahressonderzahlung (JSZ)</v>
      </c>
      <c r="C20" s="1315"/>
      <c r="D20" s="926"/>
      <c r="E20" s="929" t="str">
        <f>IF(A20="","",ROUND((((SUM(B35:B37)+SUM(F35:F37))/3)*D20)/Grundlagen!$C$26*M11,2))</f>
        <v/>
      </c>
      <c r="G20" s="986"/>
      <c r="H20" s="995"/>
      <c r="I20" s="988"/>
      <c r="J20" s="988"/>
      <c r="K20" s="988"/>
      <c r="L20" s="989"/>
      <c r="M20" s="989"/>
      <c r="N20" s="984"/>
      <c r="O20" s="990"/>
      <c r="P20" s="990"/>
    </row>
    <row r="21" spans="1:16" s="1" customFormat="1" ht="14.25" customHeight="1" x14ac:dyDescent="0.2">
      <c r="A21" s="60"/>
      <c r="B21" s="1314" t="str">
        <f>IF('päd.Personal - Leitung'!$B$21="","",'päd.Personal - Leitung'!$B$21)</f>
        <v>Leistungsentgelt (LOB)</v>
      </c>
      <c r="C21" s="1315"/>
      <c r="D21" s="926"/>
      <c r="E21" s="929" t="str">
        <f>IF(A21="","",ROUND(((B41+F41)*D21)/Grundlagen!$C$26*M11,2))</f>
        <v/>
      </c>
      <c r="G21" s="986"/>
      <c r="H21" s="987"/>
      <c r="I21" s="988"/>
      <c r="J21" s="988"/>
      <c r="K21" s="988"/>
      <c r="L21" s="991"/>
      <c r="M21" s="991"/>
      <c r="N21" s="985"/>
      <c r="O21" s="65"/>
      <c r="P21" s="65"/>
    </row>
    <row r="22" spans="1:16" s="1" customFormat="1" ht="12" customHeight="1" x14ac:dyDescent="0.2">
      <c r="C22" s="925" t="s">
        <v>731</v>
      </c>
      <c r="L22" s="991"/>
      <c r="M22" s="991"/>
      <c r="N22" s="985"/>
      <c r="O22" s="992"/>
      <c r="P22" s="992"/>
    </row>
    <row r="23" spans="1:16" ht="14.25" customHeight="1" x14ac:dyDescent="0.2">
      <c r="A23" s="53" t="s">
        <v>141</v>
      </c>
    </row>
    <row r="24" spans="1:16" ht="14.25" customHeight="1" x14ac:dyDescent="0.2">
      <c r="A24" s="1346"/>
      <c r="B24" s="1348" t="s">
        <v>8</v>
      </c>
      <c r="C24" s="1349"/>
      <c r="D24" s="1349"/>
      <c r="E24" s="1349"/>
      <c r="F24" s="1349"/>
      <c r="G24" s="1350"/>
      <c r="H24" s="1351" t="s">
        <v>7</v>
      </c>
      <c r="I24" s="1352"/>
      <c r="J24" s="1352"/>
      <c r="K24" s="1352"/>
      <c r="L24" s="1352"/>
      <c r="M24" s="1352"/>
      <c r="N24" s="1010"/>
      <c r="O24" s="30"/>
      <c r="P24" s="1330" t="s">
        <v>0</v>
      </c>
    </row>
    <row r="25" spans="1:16" ht="14.25" customHeight="1" x14ac:dyDescent="0.2">
      <c r="A25" s="1347"/>
      <c r="B25" s="1333" t="s">
        <v>111</v>
      </c>
      <c r="C25" s="1335" t="s">
        <v>743</v>
      </c>
      <c r="D25" s="1337" t="s">
        <v>226</v>
      </c>
      <c r="E25" s="1339" t="s">
        <v>133</v>
      </c>
      <c r="F25" s="1014" t="s">
        <v>6</v>
      </c>
      <c r="G25" s="1340" t="s">
        <v>5</v>
      </c>
      <c r="H25" s="1339" t="s">
        <v>119</v>
      </c>
      <c r="I25" s="1339" t="s">
        <v>4</v>
      </c>
      <c r="J25" s="1339" t="s">
        <v>178</v>
      </c>
      <c r="K25" s="1339" t="s">
        <v>114</v>
      </c>
      <c r="L25" s="1339" t="s">
        <v>115</v>
      </c>
      <c r="M25" s="1339" t="s">
        <v>116</v>
      </c>
      <c r="N25" s="1014" t="s">
        <v>6</v>
      </c>
      <c r="O25" s="1338" t="s">
        <v>109</v>
      </c>
      <c r="P25" s="1331"/>
    </row>
    <row r="26" spans="1:16" ht="14.25" customHeight="1" x14ac:dyDescent="0.2">
      <c r="A26" s="1347"/>
      <c r="B26" s="1333"/>
      <c r="C26" s="1335"/>
      <c r="D26" s="1338"/>
      <c r="E26" s="1339"/>
      <c r="F26" s="1401" t="str">
        <f>IF(H14=0,"","siehe Zuschläge / Zulagen")</f>
        <v/>
      </c>
      <c r="G26" s="1340"/>
      <c r="H26" s="1342" t="s">
        <v>117</v>
      </c>
      <c r="I26" s="1342"/>
      <c r="J26" s="1342"/>
      <c r="K26" s="1342"/>
      <c r="L26" s="1342"/>
      <c r="M26" s="1342"/>
      <c r="N26" s="1401"/>
      <c r="O26" s="1338"/>
      <c r="P26" s="1331"/>
    </row>
    <row r="27" spans="1:16" x14ac:dyDescent="0.2">
      <c r="A27" s="1347"/>
      <c r="B27" s="1333"/>
      <c r="C27" s="1335"/>
      <c r="D27" s="1338"/>
      <c r="E27" s="1339"/>
      <c r="F27" s="1401"/>
      <c r="G27" s="1340"/>
      <c r="H27" s="89" t="s">
        <v>725</v>
      </c>
      <c r="I27" s="1011" t="s">
        <v>726</v>
      </c>
      <c r="J27" s="1011" t="s">
        <v>727</v>
      </c>
      <c r="K27" s="1011" t="s">
        <v>728</v>
      </c>
      <c r="L27" s="1011" t="s">
        <v>729</v>
      </c>
      <c r="M27" s="1011" t="s">
        <v>719</v>
      </c>
      <c r="N27" s="1401"/>
      <c r="O27" s="1338"/>
      <c r="P27" s="1331"/>
    </row>
    <row r="28" spans="1:16" x14ac:dyDescent="0.2">
      <c r="A28" s="1347"/>
      <c r="B28" s="1334"/>
      <c r="C28" s="1336"/>
      <c r="D28" s="45"/>
      <c r="E28" s="45"/>
      <c r="F28" s="45"/>
      <c r="G28" s="1341"/>
      <c r="H28" s="19"/>
      <c r="I28" s="19"/>
      <c r="J28" s="19"/>
      <c r="K28" s="19"/>
      <c r="L28" s="19"/>
      <c r="M28" s="19"/>
      <c r="N28" s="45"/>
      <c r="O28" s="19"/>
      <c r="P28" s="1332"/>
    </row>
    <row r="29" spans="1:16" x14ac:dyDescent="0.2">
      <c r="A29" s="76" t="str">
        <f>'päd.Personal - Leitung'!$A$29</f>
        <v>Jan 2025</v>
      </c>
      <c r="B29" s="22">
        <f>ROUND(IF(P6=0,0,(LOOKUP(2,1/(A14:A17=A29),E14:E17))/M7*P6),2)</f>
        <v>0</v>
      </c>
      <c r="C29" s="21">
        <f>ROUND(IFERROR(((LOOKUP(2,1/(A20=A29),((SUM(B35:B37)+SUM(F35:F37))/3)*D20))),0)+IFERROR(((LOOKUP(2,1/(A21=A29),(B41+F41)*D21))),0),2)</f>
        <v>0</v>
      </c>
      <c r="D29" s="21">
        <f>IF(B29=0,0,D28/M7*P6)</f>
        <v>0</v>
      </c>
      <c r="E29" s="21">
        <f>IF(B29=0,0,E28/M7*P6)</f>
        <v>0</v>
      </c>
      <c r="F29" s="21">
        <f>IF(B29=0,0,F28/M7*P6)</f>
        <v>0</v>
      </c>
      <c r="G29" s="25">
        <f>SUM(B29+C29+E29+F29)</f>
        <v>0</v>
      </c>
      <c r="H29" s="64">
        <f>ROUND(SUM(B29:F29)*H28,2)</f>
        <v>0</v>
      </c>
      <c r="I29" s="64">
        <f>ROUND(SUM(B29:F29)*I28,2)</f>
        <v>0</v>
      </c>
      <c r="J29" s="64">
        <f>ROUND(SUM(B29:F29)*J28,2)</f>
        <v>0</v>
      </c>
      <c r="K29" s="25">
        <f>ROUND((B29+SUM(D29:F29))*K28,2)</f>
        <v>0</v>
      </c>
      <c r="L29" s="25">
        <f>ROUND((B29+SUM(D29:F29))*L28,2)</f>
        <v>0</v>
      </c>
      <c r="M29" s="64">
        <f>ROUND(SUM(B29:F29)*M28,2)</f>
        <v>0</v>
      </c>
      <c r="N29" s="21">
        <f>IF(B29=0,0,N28/M7*P6)</f>
        <v>0</v>
      </c>
      <c r="O29" s="21">
        <f>ROUND(SUM(B29+C29+F29)*O28,2)</f>
        <v>0</v>
      </c>
      <c r="P29" s="25">
        <f>SUM(G29:O29)</f>
        <v>0</v>
      </c>
    </row>
    <row r="30" spans="1:16" x14ac:dyDescent="0.2">
      <c r="A30" s="76" t="str">
        <f>'päd.Personal - Leitung'!$A$30</f>
        <v>Feb 2025</v>
      </c>
      <c r="B30" s="22">
        <f>ROUND(IF(P7=0,0,IFERROR(((LOOKUP(2,1/(A14:A17=A30),E14:E17))/M7*P7),B29/P7*P7)),2)</f>
        <v>0</v>
      </c>
      <c r="C30" s="21">
        <f>ROUND(IFERROR(((LOOKUP(2,1/(A20=A30),((SUM(B35:B37)+SUM(F35:F37))/3)*D20))),0)+IFERROR(((LOOKUP(2,1/(A21=A30),(B41+F41)*D21))),0),2)</f>
        <v>0</v>
      </c>
      <c r="D30" s="21">
        <f>IF(B30=0,0,D28/M7*P7)</f>
        <v>0</v>
      </c>
      <c r="E30" s="21">
        <f>IF(B30=0,0,E28/M7*P7)</f>
        <v>0</v>
      </c>
      <c r="F30" s="21">
        <f>IF(B30=0,0,F28/M7*P7)</f>
        <v>0</v>
      </c>
      <c r="G30" s="25">
        <f t="shared" ref="G30:G40" si="2">SUM(B30+C30+E30+F30)</f>
        <v>0</v>
      </c>
      <c r="H30" s="64">
        <f>ROUND(SUM(B30:F30)*H28,2)</f>
        <v>0</v>
      </c>
      <c r="I30" s="64">
        <f>ROUND(SUM(B30:F30)*I28,2)</f>
        <v>0</v>
      </c>
      <c r="J30" s="64">
        <f>ROUND(SUM(B30:F30)*J28,2)</f>
        <v>0</v>
      </c>
      <c r="K30" s="25">
        <f>ROUND((B30+SUM(D30:F30))*K28,2)</f>
        <v>0</v>
      </c>
      <c r="L30" s="25">
        <f>ROUND((B30+SUM(D30:F30))*L28,2)</f>
        <v>0</v>
      </c>
      <c r="M30" s="64">
        <f>ROUND(SUM(B30:F30)*M28,2)</f>
        <v>0</v>
      </c>
      <c r="N30" s="21">
        <f>IF(B30=0,0,N28/M7*P7)</f>
        <v>0</v>
      </c>
      <c r="O30" s="21">
        <f>ROUND(SUM(B30+C30+F30)*O28,2)</f>
        <v>0</v>
      </c>
      <c r="P30" s="25">
        <f>SUM(G30:O30)</f>
        <v>0</v>
      </c>
    </row>
    <row r="31" spans="1:16" x14ac:dyDescent="0.2">
      <c r="A31" s="76" t="str">
        <f>'päd.Personal - Leitung'!$A$31</f>
        <v>Mrz 2025</v>
      </c>
      <c r="B31" s="22">
        <f>ROUND(IF(P8=0,0,IFERROR(((LOOKUP(2,1/(A14:A17=A31),E14:E17))/M7*P8),B30/P8*P8)),2)</f>
        <v>0</v>
      </c>
      <c r="C31" s="21">
        <f>ROUND(IFERROR(((LOOKUP(2,1/(A20=A31),((SUM(B35:B37)+SUM(F35:F37))/3)*D20))),0)+IFERROR(((LOOKUP(2,1/(A21=A31),(B41+F41)*D21))),0),2)</f>
        <v>0</v>
      </c>
      <c r="D31" s="21">
        <f>IF(B31=0,0,D28/M7*P8)</f>
        <v>0</v>
      </c>
      <c r="E31" s="21">
        <f>IF(B31=0,0,E28/M7*P8)</f>
        <v>0</v>
      </c>
      <c r="F31" s="21">
        <f>IF(B31=0,0,F28/M7*P8)</f>
        <v>0</v>
      </c>
      <c r="G31" s="25">
        <f t="shared" si="2"/>
        <v>0</v>
      </c>
      <c r="H31" s="64">
        <f>ROUND(SUM(B31:F31)*H28,2)</f>
        <v>0</v>
      </c>
      <c r="I31" s="64">
        <f>ROUND(SUM(B31:F31)*I28,2)</f>
        <v>0</v>
      </c>
      <c r="J31" s="64">
        <f>ROUND(SUM(B31:F31)*J28,2)</f>
        <v>0</v>
      </c>
      <c r="K31" s="25">
        <f>ROUND((B31+SUM(D31:F31))*K28,2)</f>
        <v>0</v>
      </c>
      <c r="L31" s="25">
        <f>ROUND((B31+SUM(D31:F31))*L28,2)</f>
        <v>0</v>
      </c>
      <c r="M31" s="64">
        <f>ROUND(SUM(B31:F31)*M28,2)</f>
        <v>0</v>
      </c>
      <c r="N31" s="21">
        <f>IF(B31=0,0,N28/M7*P8)</f>
        <v>0</v>
      </c>
      <c r="O31" s="21">
        <f>ROUND(SUM(B31+C31+F31)*O28,2)</f>
        <v>0</v>
      </c>
      <c r="P31" s="25">
        <f t="shared" ref="P31" si="3">SUM(G31:O31)</f>
        <v>0</v>
      </c>
    </row>
    <row r="32" spans="1:16" x14ac:dyDescent="0.2">
      <c r="A32" s="76" t="str">
        <f>'päd.Personal - Leitung'!$A$32</f>
        <v>Apr 2025</v>
      </c>
      <c r="B32" s="22">
        <f>ROUND(IF(P9=0,0,IFERROR(((LOOKUP(2,1/(A14:A17=A32),E14:E17))/M7*P9),B31/P9*P9)),2)</f>
        <v>0</v>
      </c>
      <c r="C32" s="21">
        <f>ROUND(IFERROR(((LOOKUP(2,1/(A20=A32),((SUM(B35:B37)+SUM(F35:F37))/3)*D20))),0)+IFERROR(((LOOKUP(2,1/(A21=A32),(B41+F41)*D21))),0),2)</f>
        <v>0</v>
      </c>
      <c r="D32" s="21">
        <f>IF(B32=0,0,D28/M7*P9)</f>
        <v>0</v>
      </c>
      <c r="E32" s="21">
        <f>IF(B32=0,0,E28/M7*P9)</f>
        <v>0</v>
      </c>
      <c r="F32" s="21">
        <f>IF(B32=0,0,F28/M7*P9)</f>
        <v>0</v>
      </c>
      <c r="G32" s="25">
        <f t="shared" si="2"/>
        <v>0</v>
      </c>
      <c r="H32" s="64">
        <f>ROUND(SUM(B32:F32)*H28,2)</f>
        <v>0</v>
      </c>
      <c r="I32" s="64">
        <f>ROUND(SUM(B32:F32)*I28,2)</f>
        <v>0</v>
      </c>
      <c r="J32" s="64">
        <f>ROUND(SUM(B32:F32)*J28,2)</f>
        <v>0</v>
      </c>
      <c r="K32" s="25">
        <f>ROUND((B32+SUM(D32:F32))*K28,2)</f>
        <v>0</v>
      </c>
      <c r="L32" s="25">
        <f>ROUND((B32+SUM(D32:F32))*L28,2)</f>
        <v>0</v>
      </c>
      <c r="M32" s="64">
        <f>ROUND(SUM(B32:F32)*M28,2)</f>
        <v>0</v>
      </c>
      <c r="N32" s="21">
        <f>IF(B32=0,0,N28/M7*P9)</f>
        <v>0</v>
      </c>
      <c r="O32" s="21">
        <f>ROUND(SUM(B32+C32+F32)*O28,2)</f>
        <v>0</v>
      </c>
      <c r="P32" s="25">
        <f>SUM(G32:O32)</f>
        <v>0</v>
      </c>
    </row>
    <row r="33" spans="1:16" x14ac:dyDescent="0.2">
      <c r="A33" s="76" t="str">
        <f>'päd.Personal - Leitung'!$A$33</f>
        <v>Mai 2025</v>
      </c>
      <c r="B33" s="22">
        <f>ROUND(IF(P10=0,0,IFERROR(((LOOKUP(2,1/(A14:A17=A33),E14:E17))/M7*P10),B32/P10*P10)),2)</f>
        <v>0</v>
      </c>
      <c r="C33" s="21">
        <f>ROUND(IFERROR(((LOOKUP(2,1/(A20=A33),((SUM(B35:B37)+SUM(F35:F37))/3)*D20))),0)+IFERROR(((LOOKUP(2,1/(A21=A33),(B41+F41)*D21))),0),2)</f>
        <v>0</v>
      </c>
      <c r="D33" s="21">
        <f>IF(B33=0,0,D28/M7*P10)</f>
        <v>0</v>
      </c>
      <c r="E33" s="21">
        <f>IF(B33=0,0,E28/M7*P10)</f>
        <v>0</v>
      </c>
      <c r="F33" s="21">
        <f>IF(B33=0,0,F28/M7*P10)</f>
        <v>0</v>
      </c>
      <c r="G33" s="25">
        <f t="shared" si="2"/>
        <v>0</v>
      </c>
      <c r="H33" s="64">
        <f>ROUND(SUM(B33:F33)*H28,2)</f>
        <v>0</v>
      </c>
      <c r="I33" s="64">
        <f>ROUND(SUM(B33:F33)*I28,2)</f>
        <v>0</v>
      </c>
      <c r="J33" s="64">
        <f>ROUND(SUM(B33:F33)*J28,2)</f>
        <v>0</v>
      </c>
      <c r="K33" s="25">
        <f>ROUND((B33+SUM(D33:F33))*K28,2)</f>
        <v>0</v>
      </c>
      <c r="L33" s="25">
        <f>ROUND((B33+SUM(D33:F33))*L28,2)</f>
        <v>0</v>
      </c>
      <c r="M33" s="64">
        <f>ROUND(SUM(B33:F33)*M28,2)</f>
        <v>0</v>
      </c>
      <c r="N33" s="21">
        <f>IF(B33=0,0,N28/M7*P10)</f>
        <v>0</v>
      </c>
      <c r="O33" s="21">
        <f>ROUND(SUM(B33+C33+F33)*O28,2)</f>
        <v>0</v>
      </c>
      <c r="P33" s="25">
        <f t="shared" ref="P33" si="4">SUM(G33:O33)</f>
        <v>0</v>
      </c>
    </row>
    <row r="34" spans="1:16" x14ac:dyDescent="0.2">
      <c r="A34" s="76" t="str">
        <f>'päd.Personal - Leitung'!$A$34</f>
        <v>Jun 2025</v>
      </c>
      <c r="B34" s="22">
        <f>ROUND(IF(P11=0,0,IFERROR(((LOOKUP(2,1/(A14:A17=A34),E14:E17))/M7*P11),B33/P11*P11)),2)</f>
        <v>0</v>
      </c>
      <c r="C34" s="21">
        <f>ROUND(IFERROR(((LOOKUP(2,1/(A20=A34),((SUM(B35:B37)+SUM(F35:F37))/3)*D20))),0)+IFERROR(((LOOKUP(2,1/(A21=A34),(B41+F41)*D21))),0),2)</f>
        <v>0</v>
      </c>
      <c r="D34" s="21">
        <f>IF(B34=0,0,D28/M7*P11)</f>
        <v>0</v>
      </c>
      <c r="E34" s="21">
        <f>IF(B34=0,0,E28/M7*P11)</f>
        <v>0</v>
      </c>
      <c r="F34" s="21">
        <f>IF(B34=0,0,F28/M7*P11)</f>
        <v>0</v>
      </c>
      <c r="G34" s="25">
        <f t="shared" si="2"/>
        <v>0</v>
      </c>
      <c r="H34" s="64">
        <f>ROUND(SUM(B34:F34)*H28,2)</f>
        <v>0</v>
      </c>
      <c r="I34" s="64">
        <f>ROUND(SUM(B34:F34)*I28,2)</f>
        <v>0</v>
      </c>
      <c r="J34" s="64">
        <f>ROUND(SUM(B34:F34)*J28,2)</f>
        <v>0</v>
      </c>
      <c r="K34" s="25">
        <f>ROUND((B34+SUM(D34:F34))*K28,2)</f>
        <v>0</v>
      </c>
      <c r="L34" s="25">
        <f>ROUND((B34+SUM(D34:F34))*L28,2)</f>
        <v>0</v>
      </c>
      <c r="M34" s="64">
        <f>ROUND(SUM(B34:F34)*M28,2)</f>
        <v>0</v>
      </c>
      <c r="N34" s="21">
        <f>IF(B34=0,0,N28/M7*P11)</f>
        <v>0</v>
      </c>
      <c r="O34" s="21">
        <f>ROUND(SUM(B34+C34+F34)*O28,2)</f>
        <v>0</v>
      </c>
      <c r="P34" s="25">
        <f t="shared" ref="P34:P35" si="5">SUM(G34:O34)</f>
        <v>0</v>
      </c>
    </row>
    <row r="35" spans="1:16" x14ac:dyDescent="0.2">
      <c r="A35" s="76" t="str">
        <f>'päd.Personal - Leitung'!$A$35</f>
        <v>Jul 2025</v>
      </c>
      <c r="B35" s="22">
        <f>ROUND(IF(P12=0,0,IFERROR(((LOOKUP(2,1/(A14:A17=A35),E14:E17))/M7*P12),B34/P12*P12)),2)</f>
        <v>0</v>
      </c>
      <c r="C35" s="21">
        <f>ROUND(IFERROR(((LOOKUP(2,1/(A20=A35),((SUM(B35:B37)+SUM(F35:F37))/3)*D20))),0)+IFERROR(((LOOKUP(2,1/(A21=A35),(B41+F41)*D21))),0),2)</f>
        <v>0</v>
      </c>
      <c r="D35" s="21">
        <f>IF(B35=0,0,D28/M7*P12)</f>
        <v>0</v>
      </c>
      <c r="E35" s="21">
        <f>IF(B35=0,0,E28/M7*P12)</f>
        <v>0</v>
      </c>
      <c r="F35" s="21">
        <f>IF(B35=0,0,F28/M7*P12)</f>
        <v>0</v>
      </c>
      <c r="G35" s="25">
        <f t="shared" si="2"/>
        <v>0</v>
      </c>
      <c r="H35" s="64">
        <f>ROUND(SUM(B35:F35)*H28,2)</f>
        <v>0</v>
      </c>
      <c r="I35" s="64">
        <f>ROUND(SUM(B35:F35)*I28,2)</f>
        <v>0</v>
      </c>
      <c r="J35" s="64">
        <f>ROUND(SUM(B35:F35)*J28,2)</f>
        <v>0</v>
      </c>
      <c r="K35" s="25">
        <f>ROUND((B35+SUM(D35:F35))*K28,2)</f>
        <v>0</v>
      </c>
      <c r="L35" s="25">
        <f>ROUND((B35+SUM(D35:F35))*L28,2)</f>
        <v>0</v>
      </c>
      <c r="M35" s="64">
        <f>ROUND(SUM(B35:F35)*M28,2)</f>
        <v>0</v>
      </c>
      <c r="N35" s="21">
        <f>IF(B35=0,0,N28/M7*P12)</f>
        <v>0</v>
      </c>
      <c r="O35" s="21">
        <f>ROUND(SUM(B35+C35+F35)*O28,2)</f>
        <v>0</v>
      </c>
      <c r="P35" s="25">
        <f t="shared" si="5"/>
        <v>0</v>
      </c>
    </row>
    <row r="36" spans="1:16" x14ac:dyDescent="0.2">
      <c r="A36" s="76" t="str">
        <f>'päd.Personal - Leitung'!$A$36</f>
        <v>Aug 2025</v>
      </c>
      <c r="B36" s="22">
        <f>ROUND(IF(P13=0,0,IFERROR(((LOOKUP(2,1/(A14:A17=A36),E14:E17))/M7*P13),B35/P13*P13)),2)</f>
        <v>0</v>
      </c>
      <c r="C36" s="21">
        <f>ROUND(IFERROR(((LOOKUP(2,1/(A20=A36),((SUM(B35:B37)+SUM(F35:F37))/3)*D20))),0)+IFERROR(((LOOKUP(2,1/(A21=A36),(B41+F41)*D21))),0),2)</f>
        <v>0</v>
      </c>
      <c r="D36" s="21">
        <f>IF(B36=0,0,D28/M7*P13)</f>
        <v>0</v>
      </c>
      <c r="E36" s="21">
        <f>IF(B36=0,0,E28/M7*P13)</f>
        <v>0</v>
      </c>
      <c r="F36" s="21">
        <f>IF(B36=0,0,F28/M7*P13)</f>
        <v>0</v>
      </c>
      <c r="G36" s="25">
        <f t="shared" si="2"/>
        <v>0</v>
      </c>
      <c r="H36" s="64">
        <f>ROUND(SUM(B36:F36)*H28,2)</f>
        <v>0</v>
      </c>
      <c r="I36" s="64">
        <f>ROUND(SUM(B36:F36)*I28,2)</f>
        <v>0</v>
      </c>
      <c r="J36" s="64">
        <f>ROUND(SUM(B36:F36)*J28,2)</f>
        <v>0</v>
      </c>
      <c r="K36" s="25">
        <f>ROUND((B36+SUM(D36:F36))*K28,2)</f>
        <v>0</v>
      </c>
      <c r="L36" s="25">
        <f>ROUND((B36+SUM(D36:F36))*L28,2)</f>
        <v>0</v>
      </c>
      <c r="M36" s="64">
        <f>ROUND(SUM(B36:F36)*M28,2)</f>
        <v>0</v>
      </c>
      <c r="N36" s="21">
        <f>IF(B36=0,0,N28/M7*P13)</f>
        <v>0</v>
      </c>
      <c r="O36" s="21">
        <f>ROUND(SUM(B36+C36+F36)*O28,2)</f>
        <v>0</v>
      </c>
      <c r="P36" s="25">
        <f>SUM(G36:O36)</f>
        <v>0</v>
      </c>
    </row>
    <row r="37" spans="1:16" x14ac:dyDescent="0.2">
      <c r="A37" s="76" t="str">
        <f>'päd.Personal - Leitung'!$A$37</f>
        <v>Sep 2025</v>
      </c>
      <c r="B37" s="22">
        <f>ROUND(IF(P14=0,0,IFERROR(((LOOKUP(2,1/(A14:A17=A37),E14:E17))/M7*P14),B36/P14*P14)),2)</f>
        <v>0</v>
      </c>
      <c r="C37" s="21">
        <f>ROUND(IFERROR(((LOOKUP(2,1/(A20=A37),((SUM(B35:B37)+SUM(F35:F37))/3)*D20))),0)+IFERROR(((LOOKUP(2,1/(A21=A37),(B41+F41)*D21))),0),2)</f>
        <v>0</v>
      </c>
      <c r="D37" s="21">
        <f>IF(B37=0,0,D28/M7*P14)</f>
        <v>0</v>
      </c>
      <c r="E37" s="21">
        <f>IF(B37=0,0,E28/M7*P14)</f>
        <v>0</v>
      </c>
      <c r="F37" s="21">
        <f>IF(B37=0,0,F28/M7*P14)</f>
        <v>0</v>
      </c>
      <c r="G37" s="25">
        <f t="shared" si="2"/>
        <v>0</v>
      </c>
      <c r="H37" s="64">
        <f>ROUND(SUM(B37:F37)*H28,2)</f>
        <v>0</v>
      </c>
      <c r="I37" s="64">
        <f>ROUND(SUM(B37:F37)*I28,2)</f>
        <v>0</v>
      </c>
      <c r="J37" s="64">
        <f>ROUND(SUM(B37:F37)*J28,2)</f>
        <v>0</v>
      </c>
      <c r="K37" s="25">
        <f>ROUND((B37+SUM(D37:F37))*K28,2)</f>
        <v>0</v>
      </c>
      <c r="L37" s="25">
        <f>ROUND((B37+SUM(D37:F37))*L28,2)</f>
        <v>0</v>
      </c>
      <c r="M37" s="64">
        <f>ROUND(SUM(B37:F37)*M28,2)</f>
        <v>0</v>
      </c>
      <c r="N37" s="21">
        <f>IF(B37=0,0,N28/M7*P14)</f>
        <v>0</v>
      </c>
      <c r="O37" s="21">
        <f>ROUND(SUM(B37+C37+F37)*O28,2)</f>
        <v>0</v>
      </c>
      <c r="P37" s="25">
        <f>SUM(G37:O37)</f>
        <v>0</v>
      </c>
    </row>
    <row r="38" spans="1:16" x14ac:dyDescent="0.2">
      <c r="A38" s="76" t="str">
        <f>'päd.Personal - Leitung'!$A$38</f>
        <v>Okt 2025</v>
      </c>
      <c r="B38" s="22">
        <f>ROUND(IF(P15=0,0,IFERROR(((LOOKUP(2,1/(A14:A17=A38),E14:E17))/M7*P15),B37/P15*P15)),2)</f>
        <v>0</v>
      </c>
      <c r="C38" s="21">
        <f>ROUND(IFERROR(((LOOKUP(2,1/(A20=A38),((SUM(B35:B37)+SUM(F35:F37))/3)*D20))),0)+IFERROR(((LOOKUP(2,1/(A21=A38),(B41+F41)*D21))),0),2)</f>
        <v>0</v>
      </c>
      <c r="D38" s="21">
        <f>IF(B38=0,0,D28/M7*P15)</f>
        <v>0</v>
      </c>
      <c r="E38" s="21">
        <f>IF(B38=0,0,E28/M7*P15)</f>
        <v>0</v>
      </c>
      <c r="F38" s="21">
        <f>IF(B38=0,0,F28/M7*P15)</f>
        <v>0</v>
      </c>
      <c r="G38" s="25">
        <f t="shared" si="2"/>
        <v>0</v>
      </c>
      <c r="H38" s="64">
        <f>ROUND(SUM(B38:F38)*H28,2)</f>
        <v>0</v>
      </c>
      <c r="I38" s="64">
        <f>ROUND(SUM(B38:F38)*I28,2)</f>
        <v>0</v>
      </c>
      <c r="J38" s="64">
        <f>ROUND(SUM(B38:F38)*J28,2)</f>
        <v>0</v>
      </c>
      <c r="K38" s="25">
        <f>ROUND((B38+SUM(D38:F38))*K28,2)</f>
        <v>0</v>
      </c>
      <c r="L38" s="25">
        <f>ROUND((B38+SUM(D38:F38))*L28,2)</f>
        <v>0</v>
      </c>
      <c r="M38" s="64">
        <f>ROUND(SUM(B38:F38)*M28,2)</f>
        <v>0</v>
      </c>
      <c r="N38" s="21">
        <f>IF(B38=0,0,N28/M7*P15)</f>
        <v>0</v>
      </c>
      <c r="O38" s="21">
        <f>ROUND(SUM(B38+C38+F38)*O28,2)</f>
        <v>0</v>
      </c>
      <c r="P38" s="25">
        <f>SUM(G38:O38)</f>
        <v>0</v>
      </c>
    </row>
    <row r="39" spans="1:16" x14ac:dyDescent="0.2">
      <c r="A39" s="76" t="str">
        <f>'päd.Personal - Leitung'!$A$39</f>
        <v>Nov 2025</v>
      </c>
      <c r="B39" s="22">
        <f>ROUND(IF(P16=0,0,IFERROR(((LOOKUP(2,1/(A14:A17=A39),E14:E17))/M7*P16),B38/P16*P16)),2)</f>
        <v>0</v>
      </c>
      <c r="C39" s="21">
        <f>ROUND(IFERROR(((LOOKUP(2,1/(A20=A39),((SUM(B35:B37)+SUM(F35:F37))/3)*D20))),0)+IFERROR(((LOOKUP(2,1/(A21=A39),(B41+F41)*D21))),0),2)</f>
        <v>0</v>
      </c>
      <c r="D39" s="21">
        <f>IF(B39=0,0,D28/M7*P16)</f>
        <v>0</v>
      </c>
      <c r="E39" s="21">
        <f>IF(B39=0,0,E28/M7*P16)</f>
        <v>0</v>
      </c>
      <c r="F39" s="21">
        <f>IF(B39=0,0,F28/M7*P16)</f>
        <v>0</v>
      </c>
      <c r="G39" s="25">
        <f t="shared" si="2"/>
        <v>0</v>
      </c>
      <c r="H39" s="64">
        <f>ROUND(SUM(B39:F39)*H28,2)</f>
        <v>0</v>
      </c>
      <c r="I39" s="64">
        <f>ROUND(SUM(B39:F39)*I28,2)</f>
        <v>0</v>
      </c>
      <c r="J39" s="64">
        <f>ROUND(SUM(B39:F39)*J28,2)</f>
        <v>0</v>
      </c>
      <c r="K39" s="25">
        <f>ROUND((B39+SUM(D39:F39))*K28,2)</f>
        <v>0</v>
      </c>
      <c r="L39" s="25">
        <f>ROUND((B39+SUM(D39:F39))*L28,2)</f>
        <v>0</v>
      </c>
      <c r="M39" s="64">
        <f>ROUND(SUM(B39:F39)*M28,2)</f>
        <v>0</v>
      </c>
      <c r="N39" s="21">
        <f>IF(B39=0,0,N28/M7*P16)</f>
        <v>0</v>
      </c>
      <c r="O39" s="21">
        <f>ROUND(SUM(B39+C39+F39)*O28,2)</f>
        <v>0</v>
      </c>
      <c r="P39" s="25">
        <f>SUM(G39:O39)</f>
        <v>0</v>
      </c>
    </row>
    <row r="40" spans="1:16" x14ac:dyDescent="0.2">
      <c r="A40" s="76" t="str">
        <f>'päd.Personal - Leitung'!$A$40</f>
        <v>Dez 2025</v>
      </c>
      <c r="B40" s="22">
        <f>ROUND(IF(P17=0,0,IFERROR(((LOOKUP(2,1/(A14:A17=A40),E14:E17))/M7*P17),B39/P17*P17)),2)</f>
        <v>0</v>
      </c>
      <c r="C40" s="21">
        <f>ROUND(IFERROR(((LOOKUP(2,1/(A20=A40),((SUM(B35:B37)+SUM(F35:F37))/3)*D20))),0)+IFERROR(((LOOKUP(2,1/(A21=A40),(B41+F41)*D21))),0),2)</f>
        <v>0</v>
      </c>
      <c r="D40" s="21">
        <f>IF(B40=0,0,D28/M7*P17)</f>
        <v>0</v>
      </c>
      <c r="E40" s="21">
        <f>IF(B40=0,0,E28/M7*P17)</f>
        <v>0</v>
      </c>
      <c r="F40" s="21">
        <f>IF(B40=0,0,F28/M7*P17)</f>
        <v>0</v>
      </c>
      <c r="G40" s="25">
        <f t="shared" si="2"/>
        <v>0</v>
      </c>
      <c r="H40" s="64">
        <f>ROUND(SUM(B40:F40)*H28,2)</f>
        <v>0</v>
      </c>
      <c r="I40" s="64">
        <f>ROUND(SUM(B40:F40)*I28,2)</f>
        <v>0</v>
      </c>
      <c r="J40" s="64">
        <f>ROUND(SUM(B40:F40)*J28,2)</f>
        <v>0</v>
      </c>
      <c r="K40" s="25">
        <f>ROUND((B40+SUM(D40:F40))*K28,2)</f>
        <v>0</v>
      </c>
      <c r="L40" s="25">
        <f>ROUND((B40+SUM(D40:F40))*L28,2)</f>
        <v>0</v>
      </c>
      <c r="M40" s="64">
        <f>ROUND(SUM(B40:F40)*M28,2)</f>
        <v>0</v>
      </c>
      <c r="N40" s="21">
        <f>IF(B40=0,0,N28/M7*P17)</f>
        <v>0</v>
      </c>
      <c r="O40" s="21">
        <f>ROUND(SUM(B40+C40+F40)*O28,2)</f>
        <v>0</v>
      </c>
      <c r="P40" s="25">
        <f>SUM(G40:O40)</f>
        <v>0</v>
      </c>
    </row>
    <row r="41" spans="1:16" x14ac:dyDescent="0.2">
      <c r="A41" s="2" t="s">
        <v>1</v>
      </c>
      <c r="B41" s="25">
        <f>SUM(B29:B40)</f>
        <v>0</v>
      </c>
      <c r="C41" s="25">
        <f t="shared" ref="C41:F41" si="6">SUM(C29:C40)</f>
        <v>0</v>
      </c>
      <c r="D41" s="25">
        <f t="shared" si="6"/>
        <v>0</v>
      </c>
      <c r="E41" s="25">
        <f t="shared" si="6"/>
        <v>0</v>
      </c>
      <c r="F41" s="25">
        <f t="shared" si="6"/>
        <v>0</v>
      </c>
      <c r="G41" s="25">
        <f>SUM(G29:G40)</f>
        <v>0</v>
      </c>
      <c r="H41" s="1309">
        <f>SUM(H29:M40)</f>
        <v>0</v>
      </c>
      <c r="I41" s="1310"/>
      <c r="J41" s="1310"/>
      <c r="K41" s="1310"/>
      <c r="L41" s="1310"/>
      <c r="M41" s="1311"/>
      <c r="N41" s="25">
        <f>SUM(N29:N40)</f>
        <v>0</v>
      </c>
      <c r="O41" s="25">
        <f>SUM(O29:O40)</f>
        <v>0</v>
      </c>
      <c r="P41" s="25">
        <f>SUM(P29:P40)</f>
        <v>0</v>
      </c>
    </row>
    <row r="42" spans="1:16" ht="12" customHeight="1" x14ac:dyDescent="0.2"/>
    <row r="43" spans="1:16" s="905" customFormat="1" ht="14.25" customHeight="1" x14ac:dyDescent="0.2">
      <c r="A43" s="906"/>
      <c r="B43" s="906"/>
      <c r="C43" s="906"/>
      <c r="E43" s="984"/>
      <c r="F43" s="1031"/>
      <c r="G43" s="907"/>
      <c r="H43" s="907"/>
      <c r="I43" s="907"/>
      <c r="J43" s="914" t="s">
        <v>123</v>
      </c>
      <c r="K43" s="1"/>
      <c r="L43" s="900" t="s">
        <v>124</v>
      </c>
      <c r="M43" s="1032"/>
      <c r="N43" s="902" t="s">
        <v>125</v>
      </c>
      <c r="O43" s="1033"/>
      <c r="P43" s="25">
        <f>ROUND(IF(M43="",0,G41*M43*O43/1000),2)</f>
        <v>0</v>
      </c>
    </row>
    <row r="44" spans="1:16" s="1" customFormat="1" ht="14.25" customHeight="1" x14ac:dyDescent="0.2">
      <c r="H44" s="905"/>
      <c r="I44" s="62"/>
      <c r="M44" s="915" t="s">
        <v>129</v>
      </c>
      <c r="N44" s="80" t="s">
        <v>125</v>
      </c>
      <c r="O44" s="1034"/>
      <c r="P44" s="25">
        <f>ROUND(IF(O44="",0,G41*O44/1000),2)</f>
        <v>0</v>
      </c>
    </row>
    <row r="45" spans="1:16" s="1" customFormat="1" ht="14.25" customHeight="1" x14ac:dyDescent="0.2">
      <c r="B45" s="906"/>
      <c r="H45" s="996" t="s">
        <v>126</v>
      </c>
      <c r="I45" s="1013" t="s">
        <v>127</v>
      </c>
      <c r="J45" s="1037"/>
      <c r="K45" s="902" t="s">
        <v>128</v>
      </c>
      <c r="L45" s="1036"/>
      <c r="M45" s="16"/>
      <c r="N45" s="900" t="s">
        <v>132</v>
      </c>
      <c r="O45" s="1035"/>
      <c r="P45" s="25">
        <f>ROUND(IF(J45="",0,(J45*L45/O45)/M7*M8),2)</f>
        <v>0</v>
      </c>
    </row>
    <row r="46" spans="1:16" s="1" customFormat="1" ht="14.25" customHeight="1" x14ac:dyDescent="0.2">
      <c r="K46" s="63"/>
      <c r="L46" s="67"/>
      <c r="M46" s="915" t="s">
        <v>130</v>
      </c>
      <c r="N46" s="80" t="s">
        <v>131</v>
      </c>
      <c r="O46" s="904"/>
      <c r="P46" s="21">
        <f>ROUND(IF(G41=0,0,O46/M7*M8),2)</f>
        <v>0</v>
      </c>
    </row>
    <row r="47" spans="1:16" s="1" customFormat="1" ht="14.25" customHeight="1" x14ac:dyDescent="0.2">
      <c r="I47" s="16"/>
      <c r="J47" s="961" t="s">
        <v>176</v>
      </c>
      <c r="K47" s="1312"/>
      <c r="L47" s="1312"/>
      <c r="M47" s="1312"/>
      <c r="N47" s="80" t="s">
        <v>131</v>
      </c>
      <c r="O47" s="904"/>
      <c r="P47" s="21">
        <f>ROUND(IF(M12="",0,O47/M7*M8),2)</f>
        <v>0</v>
      </c>
    </row>
    <row r="48" spans="1:16" s="1" customFormat="1" ht="14.25" customHeight="1" x14ac:dyDescent="0.2">
      <c r="D48" s="16"/>
      <c r="I48" s="905"/>
      <c r="O48" s="26" t="s">
        <v>0</v>
      </c>
      <c r="P48" s="82">
        <f>P41+SUM(P43:P47)</f>
        <v>0</v>
      </c>
    </row>
    <row r="49" spans="1:16" s="10" customFormat="1" ht="13.5" customHeight="1" x14ac:dyDescent="0.2">
      <c r="A49" s="1321" t="s">
        <v>17</v>
      </c>
      <c r="B49" s="1321"/>
      <c r="C49" s="1321"/>
      <c r="D49" s="1320" t="str">
        <f>IF('päd.Personal - Leitung'!$D$1="","",'päd.Personal - Leitung'!$D$1)</f>
        <v/>
      </c>
      <c r="E49" s="1320"/>
      <c r="F49" s="1320"/>
      <c r="G49" s="1320"/>
      <c r="H49" s="1320"/>
      <c r="I49" s="1320"/>
      <c r="J49" s="1320"/>
      <c r="K49" s="1320"/>
      <c r="L49" s="1320"/>
      <c r="M49" s="1320"/>
      <c r="N49" s="1320"/>
    </row>
    <row r="50" spans="1:16" s="10" customFormat="1" ht="15" customHeight="1" x14ac:dyDescent="0.2">
      <c r="A50" s="1321" t="s">
        <v>16</v>
      </c>
      <c r="B50" s="1321"/>
      <c r="C50" s="1321" t="s">
        <v>14</v>
      </c>
      <c r="D50" s="1320" t="str">
        <f>IF('päd.Personal - Leitung'!$D$2="","",'päd.Personal - Leitung'!$D$2)</f>
        <v/>
      </c>
      <c r="E50" s="1320"/>
      <c r="F50" s="1320"/>
      <c r="G50" s="1320"/>
      <c r="H50" s="1320"/>
      <c r="I50" s="1320"/>
      <c r="J50" s="1320"/>
      <c r="K50" s="1320"/>
      <c r="L50" s="1320"/>
      <c r="M50" s="1320"/>
      <c r="N50" s="1320"/>
    </row>
    <row r="51" spans="1:16" s="10" customFormat="1" ht="15" customHeight="1" x14ac:dyDescent="0.2">
      <c r="A51" s="1321" t="s">
        <v>15</v>
      </c>
      <c r="B51" s="1321"/>
      <c r="C51" s="1321" t="s">
        <v>14</v>
      </c>
      <c r="D51" s="1320" t="str">
        <f>IF('päd.Personal - Leitung'!$D$3="","",'päd.Personal - Leitung'!$D$3)</f>
        <v/>
      </c>
      <c r="E51" s="1320"/>
      <c r="F51" s="1320"/>
      <c r="G51" s="1320"/>
      <c r="H51" s="1320"/>
      <c r="I51" s="1320"/>
      <c r="J51" s="1320"/>
      <c r="K51" s="1321" t="s">
        <v>100</v>
      </c>
      <c r="L51" s="1321"/>
      <c r="M51" s="1321"/>
      <c r="N51" s="38" t="str">
        <f>IF('päd.Personal - Leitung'!$N$3="","",'päd.Personal - Leitung'!$N$3)</f>
        <v/>
      </c>
    </row>
    <row r="52" spans="1:16" s="923" customFormat="1" ht="7.5" customHeight="1" x14ac:dyDescent="0.15">
      <c r="A52" s="1353"/>
      <c r="B52" s="1353"/>
      <c r="C52" s="1353"/>
      <c r="D52" s="1354"/>
      <c r="E52" s="1354"/>
      <c r="F52" s="1354"/>
      <c r="G52" s="1354"/>
      <c r="H52" s="1354"/>
      <c r="I52" s="1354"/>
      <c r="J52" s="1354"/>
      <c r="K52" s="922"/>
      <c r="L52" s="922"/>
      <c r="M52" s="922"/>
      <c r="N52" s="922"/>
      <c r="O52" s="922"/>
      <c r="P52" s="922"/>
    </row>
    <row r="53" spans="1:16" s="13" customFormat="1" ht="13.5" customHeight="1" x14ac:dyDescent="0.2">
      <c r="A53" s="1355" t="s">
        <v>212</v>
      </c>
      <c r="B53" s="1355"/>
      <c r="C53" s="1355"/>
      <c r="D53" s="1355"/>
      <c r="E53" s="1355"/>
      <c r="F53" s="1355"/>
      <c r="G53" s="1355"/>
      <c r="H53" s="1355"/>
      <c r="I53" s="1355"/>
      <c r="J53" s="1355"/>
      <c r="K53" s="1355"/>
      <c r="L53" s="7"/>
      <c r="M53" s="7"/>
      <c r="N53" s="52"/>
      <c r="O53" s="138">
        <f>'päd.Personal - Leitung'!$O$5</f>
        <v>2025</v>
      </c>
      <c r="P53" s="52" t="s">
        <v>140</v>
      </c>
    </row>
    <row r="54" spans="1:16" s="8" customFormat="1" ht="13.5" customHeight="1" x14ac:dyDescent="0.25">
      <c r="B54" s="29"/>
      <c r="C54" s="29"/>
      <c r="D54" s="3" t="s">
        <v>179</v>
      </c>
      <c r="E54" s="28"/>
      <c r="F54" s="28"/>
      <c r="G54" s="28"/>
      <c r="H54" s="28"/>
      <c r="I54" s="24"/>
      <c r="J54" s="1370"/>
      <c r="K54" s="1370"/>
      <c r="L54" s="81"/>
      <c r="O54" s="928" t="str">
        <f>A77</f>
        <v>Jan 2025</v>
      </c>
      <c r="P54" s="68">
        <f>IF(M56="","",M56)</f>
        <v>0</v>
      </c>
    </row>
    <row r="55" spans="1:16" s="5" customFormat="1" ht="13.5" customHeight="1" x14ac:dyDescent="0.25">
      <c r="A55" s="1328" t="s">
        <v>754</v>
      </c>
      <c r="B55" s="1328"/>
      <c r="C55" s="1328"/>
      <c r="D55" s="1329"/>
      <c r="E55" s="1329"/>
      <c r="F55" s="1329"/>
      <c r="G55" s="1329"/>
      <c r="H55" s="1329"/>
      <c r="I55" s="1329"/>
      <c r="K55" s="1327" t="s">
        <v>101</v>
      </c>
      <c r="L55" s="1327"/>
      <c r="M55" s="101"/>
      <c r="O55" s="928" t="str">
        <f t="shared" ref="O55:O65" si="7">A78</f>
        <v>Feb 2025</v>
      </c>
      <c r="P55" s="69">
        <f t="shared" ref="P55:P65" si="8">IF(P54="","",P54)</f>
        <v>0</v>
      </c>
    </row>
    <row r="56" spans="1:16" s="1" customFormat="1" ht="13.5" customHeight="1" x14ac:dyDescent="0.2">
      <c r="A56" s="1328" t="s">
        <v>12</v>
      </c>
      <c r="B56" s="1328"/>
      <c r="C56" s="1328"/>
      <c r="D56" s="1345"/>
      <c r="E56" s="1345"/>
      <c r="F56" s="1345"/>
      <c r="G56" s="1345"/>
      <c r="H56" s="1345"/>
      <c r="I56" s="1345"/>
      <c r="K56" s="1327" t="s">
        <v>149</v>
      </c>
      <c r="L56" s="1327"/>
      <c r="M56" s="101">
        <f>IF((M57+M58)&gt;M55,0,M55-M57-M58)</f>
        <v>0</v>
      </c>
      <c r="O56" s="928" t="str">
        <f t="shared" si="7"/>
        <v>Mrz 2025</v>
      </c>
      <c r="P56" s="69">
        <f t="shared" si="8"/>
        <v>0</v>
      </c>
    </row>
    <row r="57" spans="1:16" s="1" customFormat="1" ht="13.5" customHeight="1" x14ac:dyDescent="0.2">
      <c r="A57" s="1328" t="s">
        <v>77</v>
      </c>
      <c r="B57" s="1328"/>
      <c r="C57" s="1328"/>
      <c r="D57" s="1345"/>
      <c r="E57" s="1345"/>
      <c r="F57" s="1345"/>
      <c r="G57" s="1345"/>
      <c r="H57" s="1345"/>
      <c r="I57" s="1345"/>
      <c r="K57" s="1327" t="s">
        <v>150</v>
      </c>
      <c r="L57" s="1327"/>
      <c r="M57" s="101"/>
      <c r="O57" s="928" t="str">
        <f t="shared" si="7"/>
        <v>Apr 2025</v>
      </c>
      <c r="P57" s="69">
        <f t="shared" si="8"/>
        <v>0</v>
      </c>
    </row>
    <row r="58" spans="1:16" s="1" customFormat="1" ht="13.5" customHeight="1" x14ac:dyDescent="0.2">
      <c r="A58" s="1328" t="s">
        <v>18</v>
      </c>
      <c r="B58" s="1328"/>
      <c r="C58" s="1328"/>
      <c r="D58" s="1345"/>
      <c r="E58" s="1345"/>
      <c r="F58" s="1345"/>
      <c r="G58" s="1345"/>
      <c r="H58" s="1345"/>
      <c r="I58" s="1345"/>
      <c r="K58" s="1327" t="s">
        <v>222</v>
      </c>
      <c r="L58" s="1327"/>
      <c r="M58" s="101"/>
      <c r="O58" s="928" t="str">
        <f t="shared" si="7"/>
        <v>Mai 2025</v>
      </c>
      <c r="P58" s="69">
        <f t="shared" si="8"/>
        <v>0</v>
      </c>
    </row>
    <row r="59" spans="1:16" s="1" customFormat="1" ht="13.5" customHeight="1" x14ac:dyDescent="0.2">
      <c r="B59" s="6"/>
      <c r="C59" s="1012" t="s">
        <v>147</v>
      </c>
      <c r="D59" s="1324"/>
      <c r="E59" s="1324"/>
      <c r="F59" s="1359" t="s">
        <v>103</v>
      </c>
      <c r="G59" s="1359"/>
      <c r="H59" s="1361"/>
      <c r="I59" s="1361"/>
      <c r="K59" s="1327" t="s">
        <v>94</v>
      </c>
      <c r="L59" s="1327"/>
      <c r="M59" s="15" t="str">
        <f>IF(IF((COUNTIF(B77:B88,"&gt;0"))=0,0,(COUNTIF(B77:B88,"&gt;0")))&gt;Grundlagen!$C$26,Grundlagen!$C$26,IF((COUNTIF(B77:B88,"&gt;0"))=0,"",(COUNTIF(B77:B88,"&gt;0"))))</f>
        <v/>
      </c>
      <c r="O59" s="928" t="str">
        <f t="shared" si="7"/>
        <v>Jun 2025</v>
      </c>
      <c r="P59" s="69">
        <f t="shared" si="8"/>
        <v>0</v>
      </c>
    </row>
    <row r="60" spans="1:16" s="1" customFormat="1" ht="13.5" customHeight="1" x14ac:dyDescent="0.2">
      <c r="M60" s="102" t="str">
        <f>IF((SUM(E62:F65))=0,"",IF(P66&gt;M56,M56,IF(M56="","",IF(M59="","",P66))))</f>
        <v/>
      </c>
      <c r="O60" s="928" t="str">
        <f t="shared" si="7"/>
        <v>Jul 2025</v>
      </c>
      <c r="P60" s="69">
        <f t="shared" si="8"/>
        <v>0</v>
      </c>
    </row>
    <row r="61" spans="1:16" s="109" customFormat="1" ht="14.25" customHeight="1" x14ac:dyDescent="0.25">
      <c r="A61" s="103" t="s">
        <v>170</v>
      </c>
      <c r="B61" s="56"/>
      <c r="C61" s="104"/>
      <c r="D61" s="56"/>
      <c r="E61" s="1394" t="s">
        <v>171</v>
      </c>
      <c r="F61" s="1394"/>
      <c r="G61" s="58" t="s">
        <v>138</v>
      </c>
      <c r="H61" s="86"/>
      <c r="I61" s="105"/>
      <c r="L61" s="107"/>
      <c r="M61" s="106"/>
      <c r="N61" s="108"/>
      <c r="O61" s="928" t="str">
        <f t="shared" si="7"/>
        <v>Aug 2025</v>
      </c>
      <c r="P61" s="69">
        <f t="shared" si="8"/>
        <v>0</v>
      </c>
    </row>
    <row r="62" spans="1:16" s="109" customFormat="1" ht="14.25" customHeight="1" x14ac:dyDescent="0.25">
      <c r="A62" s="48" t="str">
        <f>A77</f>
        <v>Jan 2025</v>
      </c>
      <c r="B62" s="1398"/>
      <c r="C62" s="1399"/>
      <c r="D62" s="1400"/>
      <c r="E62" s="1386"/>
      <c r="F62" s="1387"/>
      <c r="G62" s="110">
        <f>IF(E62="",0,IF(E62=ROUND(J62*M55*(52/12),0),J62,ROUNDDOWN(IF(M56=0,0,E62/M55/(52/12)),2)))</f>
        <v>0</v>
      </c>
      <c r="H62" s="1055"/>
      <c r="I62" s="941" t="str">
        <f>I14</f>
        <v>Mindestlohn 2025:</v>
      </c>
      <c r="J62" s="1057">
        <f>J14</f>
        <v>12.82</v>
      </c>
      <c r="O62" s="928" t="str">
        <f t="shared" si="7"/>
        <v>Sep 2025</v>
      </c>
      <c r="P62" s="69">
        <f t="shared" si="8"/>
        <v>0</v>
      </c>
    </row>
    <row r="63" spans="1:16" s="109" customFormat="1" ht="14.25" customHeight="1" x14ac:dyDescent="0.25">
      <c r="A63" s="49"/>
      <c r="B63" s="1398"/>
      <c r="C63" s="1399"/>
      <c r="D63" s="1400"/>
      <c r="E63" s="1386"/>
      <c r="F63" s="1387"/>
      <c r="G63" s="110">
        <f>IF(E63="",0,IF(E63=ROUND(J62*M55*(52/12),0),J62,ROUNDDOWN(IF(M56=0,0,E63/M55/(52/12)),2)))</f>
        <v>0</v>
      </c>
      <c r="H63" s="58"/>
      <c r="J63" s="1056" t="str">
        <f>J15</f>
        <v>für max. 10 h/W</v>
      </c>
      <c r="O63" s="928" t="str">
        <f t="shared" si="7"/>
        <v>Okt 2025</v>
      </c>
      <c r="P63" s="69">
        <f t="shared" si="8"/>
        <v>0</v>
      </c>
    </row>
    <row r="64" spans="1:16" s="109" customFormat="1" ht="14.25" customHeight="1" x14ac:dyDescent="0.25">
      <c r="A64" s="49"/>
      <c r="B64" s="1398"/>
      <c r="C64" s="1399"/>
      <c r="D64" s="1400"/>
      <c r="E64" s="1386"/>
      <c r="F64" s="1387"/>
      <c r="G64" s="110">
        <f>IF(E64="",0,IF(E64=ROUND(J62*M55*(52/12),0),J62,ROUNDDOWN(IF(M56=0,0,E64/M55/(52/12)),2)))</f>
        <v>0</v>
      </c>
      <c r="H64" s="85"/>
      <c r="O64" s="928" t="str">
        <f t="shared" si="7"/>
        <v>Nov 2025</v>
      </c>
      <c r="P64" s="69">
        <f t="shared" si="8"/>
        <v>0</v>
      </c>
    </row>
    <row r="65" spans="1:16" s="85" customFormat="1" ht="14.25" customHeight="1" x14ac:dyDescent="0.25">
      <c r="A65" s="49"/>
      <c r="B65" s="1398"/>
      <c r="C65" s="1399"/>
      <c r="D65" s="1400"/>
      <c r="E65" s="1386"/>
      <c r="F65" s="1387"/>
      <c r="G65" s="110">
        <f>IF(E65="",0,IF(E65=ROUND(J62*M55*(52/12),0),J62,ROUNDDOWN(IF(M56=0,0,E65/M55/(52/12)),2)))</f>
        <v>0</v>
      </c>
      <c r="H65" s="86"/>
      <c r="O65" s="928" t="str">
        <f t="shared" si="7"/>
        <v>Dez 2025</v>
      </c>
      <c r="P65" s="69">
        <f t="shared" si="8"/>
        <v>0</v>
      </c>
    </row>
    <row r="66" spans="1:16" s="85" customFormat="1" ht="12" customHeight="1" x14ac:dyDescent="0.25">
      <c r="A66" s="46"/>
      <c r="B66" s="972"/>
      <c r="C66" s="972"/>
      <c r="D66" s="46"/>
      <c r="E66" s="972"/>
      <c r="F66" s="972"/>
      <c r="G66" s="88"/>
      <c r="H66" s="86"/>
      <c r="O66" s="126" t="s">
        <v>221</v>
      </c>
      <c r="P66" s="127">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924" t="s">
        <v>732</v>
      </c>
      <c r="D67" s="55" t="s">
        <v>369</v>
      </c>
      <c r="E67" s="56" t="s">
        <v>368</v>
      </c>
      <c r="F67" s="58"/>
      <c r="J67" s="61"/>
    </row>
    <row r="68" spans="1:16" s="46" customFormat="1" ht="13.5" customHeight="1" x14ac:dyDescent="0.25">
      <c r="A68" s="60"/>
      <c r="B68" s="1314" t="str">
        <f>IF('päd.Personal - Leitung'!$B$20="","",'päd.Personal - Leitung'!$B$20)</f>
        <v>Jahressonderzahlung (JSZ)</v>
      </c>
      <c r="C68" s="1315"/>
      <c r="D68" s="926"/>
      <c r="E68" s="929" t="str">
        <f>IF(A68="","",ROUND((((SUM(B83:B85)+SUM(F83:F85))/3)*D68)/Grundlagen!$C$26*M59,2))</f>
        <v/>
      </c>
      <c r="G68" s="986"/>
      <c r="H68" s="995"/>
      <c r="I68" s="988"/>
      <c r="J68" s="988"/>
      <c r="K68" s="988"/>
      <c r="L68" s="989"/>
      <c r="M68" s="989"/>
      <c r="N68" s="984"/>
      <c r="O68" s="990"/>
      <c r="P68" s="990"/>
    </row>
    <row r="69" spans="1:16" s="1" customFormat="1" ht="14.25" customHeight="1" x14ac:dyDescent="0.2">
      <c r="A69" s="60"/>
      <c r="B69" s="1314" t="str">
        <f>IF('päd.Personal - Leitung'!$B$21="","",'päd.Personal - Leitung'!$B$21)</f>
        <v>Leistungsentgelt (LOB)</v>
      </c>
      <c r="C69" s="1315"/>
      <c r="D69" s="926"/>
      <c r="E69" s="929" t="str">
        <f>IF(A69="","",ROUND(((B89+F89)*D69)/Grundlagen!$C$26*M59,2))</f>
        <v/>
      </c>
      <c r="G69" s="986"/>
      <c r="H69" s="987"/>
      <c r="I69" s="988"/>
      <c r="J69" s="988"/>
      <c r="K69" s="988"/>
      <c r="L69" s="991"/>
      <c r="M69" s="991"/>
      <c r="N69" s="985"/>
      <c r="O69" s="65"/>
      <c r="P69" s="65"/>
    </row>
    <row r="70" spans="1:16" s="1" customFormat="1" ht="12" customHeight="1" x14ac:dyDescent="0.2">
      <c r="C70" s="925" t="s">
        <v>731</v>
      </c>
      <c r="L70" s="991"/>
      <c r="M70" s="991"/>
      <c r="N70" s="985"/>
      <c r="O70" s="992"/>
      <c r="P70" s="992"/>
    </row>
    <row r="71" spans="1:16" ht="14.25" customHeight="1" x14ac:dyDescent="0.2">
      <c r="A71" s="53" t="s">
        <v>141</v>
      </c>
    </row>
    <row r="72" spans="1:16" ht="14.25" customHeight="1" x14ac:dyDescent="0.2">
      <c r="A72" s="1346"/>
      <c r="B72" s="1348" t="s">
        <v>8</v>
      </c>
      <c r="C72" s="1349"/>
      <c r="D72" s="1349"/>
      <c r="E72" s="1349"/>
      <c r="F72" s="1349"/>
      <c r="G72" s="1350"/>
      <c r="H72" s="1351" t="s">
        <v>7</v>
      </c>
      <c r="I72" s="1352"/>
      <c r="J72" s="1352"/>
      <c r="K72" s="1352"/>
      <c r="L72" s="1352"/>
      <c r="M72" s="1352"/>
      <c r="N72" s="1010"/>
      <c r="O72" s="30"/>
      <c r="P72" s="1330" t="s">
        <v>0</v>
      </c>
    </row>
    <row r="73" spans="1:16" ht="14.25" customHeight="1" x14ac:dyDescent="0.2">
      <c r="A73" s="1347"/>
      <c r="B73" s="1333" t="s">
        <v>111</v>
      </c>
      <c r="C73" s="1335" t="s">
        <v>743</v>
      </c>
      <c r="D73" s="1337" t="s">
        <v>226</v>
      </c>
      <c r="E73" s="1339" t="s">
        <v>133</v>
      </c>
      <c r="F73" s="1014" t="s">
        <v>6</v>
      </c>
      <c r="G73" s="1340" t="s">
        <v>5</v>
      </c>
      <c r="H73" s="1339" t="s">
        <v>119</v>
      </c>
      <c r="I73" s="1339" t="s">
        <v>4</v>
      </c>
      <c r="J73" s="1339" t="s">
        <v>178</v>
      </c>
      <c r="K73" s="1339" t="s">
        <v>114</v>
      </c>
      <c r="L73" s="1339" t="s">
        <v>115</v>
      </c>
      <c r="M73" s="1339" t="s">
        <v>116</v>
      </c>
      <c r="N73" s="1014" t="s">
        <v>6</v>
      </c>
      <c r="O73" s="1338" t="s">
        <v>109</v>
      </c>
      <c r="P73" s="1331"/>
    </row>
    <row r="74" spans="1:16" ht="14.25" customHeight="1" x14ac:dyDescent="0.2">
      <c r="A74" s="1347"/>
      <c r="B74" s="1333"/>
      <c r="C74" s="1335"/>
      <c r="D74" s="1338"/>
      <c r="E74" s="1339"/>
      <c r="F74" s="1401" t="str">
        <f>IF(H62=0,"","siehe Zuschläge / Zulagen")</f>
        <v/>
      </c>
      <c r="G74" s="1340"/>
      <c r="H74" s="1342" t="s">
        <v>117</v>
      </c>
      <c r="I74" s="1342"/>
      <c r="J74" s="1342"/>
      <c r="K74" s="1342"/>
      <c r="L74" s="1342"/>
      <c r="M74" s="1342"/>
      <c r="N74" s="1401"/>
      <c r="O74" s="1338"/>
      <c r="P74" s="1331"/>
    </row>
    <row r="75" spans="1:16" x14ac:dyDescent="0.2">
      <c r="A75" s="1347"/>
      <c r="B75" s="1333"/>
      <c r="C75" s="1335"/>
      <c r="D75" s="1338"/>
      <c r="E75" s="1339"/>
      <c r="F75" s="1401"/>
      <c r="G75" s="1340"/>
      <c r="H75" s="89" t="s">
        <v>725</v>
      </c>
      <c r="I75" s="1011" t="s">
        <v>726</v>
      </c>
      <c r="J75" s="1011" t="s">
        <v>727</v>
      </c>
      <c r="K75" s="1011" t="s">
        <v>728</v>
      </c>
      <c r="L75" s="1011" t="s">
        <v>729</v>
      </c>
      <c r="M75" s="1011" t="s">
        <v>719</v>
      </c>
      <c r="N75" s="1401"/>
      <c r="O75" s="1338"/>
      <c r="P75" s="1331"/>
    </row>
    <row r="76" spans="1:16" x14ac:dyDescent="0.2">
      <c r="A76" s="1347"/>
      <c r="B76" s="1334"/>
      <c r="C76" s="1336"/>
      <c r="D76" s="45"/>
      <c r="E76" s="45"/>
      <c r="F76" s="45"/>
      <c r="G76" s="1341"/>
      <c r="H76" s="19"/>
      <c r="I76" s="19"/>
      <c r="J76" s="19"/>
      <c r="K76" s="19"/>
      <c r="L76" s="19"/>
      <c r="M76" s="19"/>
      <c r="N76" s="45"/>
      <c r="O76" s="19"/>
      <c r="P76" s="1332"/>
    </row>
    <row r="77" spans="1:16" x14ac:dyDescent="0.2">
      <c r="A77" s="76" t="str">
        <f>'päd.Personal - Leitung'!$A$29</f>
        <v>Jan 2025</v>
      </c>
      <c r="B77" s="22">
        <f>ROUND(IF(P54=0,0,(LOOKUP(2,1/(A62:A65=A77),E62:E65))/M55*P54),2)</f>
        <v>0</v>
      </c>
      <c r="C77" s="21">
        <f>ROUND(IFERROR(((LOOKUP(2,1/(A68=A77),((SUM(B83:B85)+SUM(F83:F85))/3)*D68))),0)+IFERROR(((LOOKUP(2,1/(A69=A77),(B89+F89)*D69))),0),2)</f>
        <v>0</v>
      </c>
      <c r="D77" s="21">
        <f>IF(B77=0,0,D76/M55*P54)</f>
        <v>0</v>
      </c>
      <c r="E77" s="21">
        <f>IF(B77=0,0,E76/M55*P54)</f>
        <v>0</v>
      </c>
      <c r="F77" s="21">
        <f>IF(B77=0,0,F76/M55*P54)</f>
        <v>0</v>
      </c>
      <c r="G77" s="25">
        <f>SUM(B77+C77+E77+F77)</f>
        <v>0</v>
      </c>
      <c r="H77" s="64">
        <f>ROUND(SUM(B77:F77)*H76,2)</f>
        <v>0</v>
      </c>
      <c r="I77" s="64">
        <f>ROUND(SUM(B77:F77)*I76,2)</f>
        <v>0</v>
      </c>
      <c r="J77" s="64">
        <f>ROUND(SUM(B77:F77)*J76,2)</f>
        <v>0</v>
      </c>
      <c r="K77" s="25">
        <f>ROUND((B77+SUM(D77:F77))*K76,2)</f>
        <v>0</v>
      </c>
      <c r="L77" s="25">
        <f>ROUND((B77+SUM(D77:F77))*L76,2)</f>
        <v>0</v>
      </c>
      <c r="M77" s="64">
        <f>ROUND(SUM(B77:F77)*M76,2)</f>
        <v>0</v>
      </c>
      <c r="N77" s="21">
        <f>IF(B77=0,0,N76/M55*P54)</f>
        <v>0</v>
      </c>
      <c r="O77" s="21">
        <f>ROUND(SUM(B77+C77+F77)*O76,2)</f>
        <v>0</v>
      </c>
      <c r="P77" s="25">
        <f>SUM(G77:O77)</f>
        <v>0</v>
      </c>
    </row>
    <row r="78" spans="1:16" x14ac:dyDescent="0.2">
      <c r="A78" s="76" t="str">
        <f>'päd.Personal - Leitung'!$A$30</f>
        <v>Feb 2025</v>
      </c>
      <c r="B78" s="22">
        <f>ROUND(IF(P55=0,0,IFERROR(((LOOKUP(2,1/(A62:A65=A78),E62:E65))/M55*P55),B77/P55*P55)),2)</f>
        <v>0</v>
      </c>
      <c r="C78" s="21">
        <f>ROUND(IFERROR(((LOOKUP(2,1/(A68=A78),((SUM(B83:B85)+SUM(F83:F85))/3)*D68))),0)+IFERROR(((LOOKUP(2,1/(A69=A78),(B89+F89)*D69))),0),2)</f>
        <v>0</v>
      </c>
      <c r="D78" s="21">
        <f>IF(B78=0,0,D76/M55*P55)</f>
        <v>0</v>
      </c>
      <c r="E78" s="21">
        <f>IF(B78=0,0,E76/M55*P55)</f>
        <v>0</v>
      </c>
      <c r="F78" s="21">
        <f>IF(B78=0,0,F76/M55*P55)</f>
        <v>0</v>
      </c>
      <c r="G78" s="25">
        <f t="shared" ref="G78:G88" si="9">SUM(B78+C78+E78+F78)</f>
        <v>0</v>
      </c>
      <c r="H78" s="64">
        <f>ROUND(SUM(B78:F78)*H76,2)</f>
        <v>0</v>
      </c>
      <c r="I78" s="64">
        <f>ROUND(SUM(B78:F78)*I76,2)</f>
        <v>0</v>
      </c>
      <c r="J78" s="64">
        <f>ROUND(SUM(B78:F78)*J76,2)</f>
        <v>0</v>
      </c>
      <c r="K78" s="25">
        <f>ROUND((B78+SUM(D78:F78))*K76,2)</f>
        <v>0</v>
      </c>
      <c r="L78" s="25">
        <f>ROUND((B78+SUM(D78:F78))*L76,2)</f>
        <v>0</v>
      </c>
      <c r="M78" s="64">
        <f>ROUND(SUM(B78:F78)*M76,2)</f>
        <v>0</v>
      </c>
      <c r="N78" s="21">
        <f>IF(B78=0,0,N76/M55*P55)</f>
        <v>0</v>
      </c>
      <c r="O78" s="21">
        <f>ROUND(SUM(B78+C78+F78)*O76,2)</f>
        <v>0</v>
      </c>
      <c r="P78" s="25">
        <f>SUM(G78:O78)</f>
        <v>0</v>
      </c>
    </row>
    <row r="79" spans="1:16" x14ac:dyDescent="0.2">
      <c r="A79" s="76" t="str">
        <f>'päd.Personal - Leitung'!$A$31</f>
        <v>Mrz 2025</v>
      </c>
      <c r="B79" s="22">
        <f>ROUND(IF(P56=0,0,IFERROR(((LOOKUP(2,1/(A62:A65=A79),E62:E65))/M55*P56),B78/P56*P56)),2)</f>
        <v>0</v>
      </c>
      <c r="C79" s="21">
        <f>ROUND(IFERROR(((LOOKUP(2,1/(A68=A79),((SUM(B83:B85)+SUM(F83:F85))/3)*D68))),0)+IFERROR(((LOOKUP(2,1/(A69=A79),(B89+F89)*D69))),0),2)</f>
        <v>0</v>
      </c>
      <c r="D79" s="21">
        <f>IF(B79=0,0,D76/M55*P56)</f>
        <v>0</v>
      </c>
      <c r="E79" s="21">
        <f>IF(B79=0,0,E76/M55*P56)</f>
        <v>0</v>
      </c>
      <c r="F79" s="21">
        <f>IF(B79=0,0,F76/M55*P56)</f>
        <v>0</v>
      </c>
      <c r="G79" s="25">
        <f t="shared" si="9"/>
        <v>0</v>
      </c>
      <c r="H79" s="64">
        <f>ROUND(SUM(B79:F79)*H76,2)</f>
        <v>0</v>
      </c>
      <c r="I79" s="64">
        <f>ROUND(SUM(B79:F79)*I76,2)</f>
        <v>0</v>
      </c>
      <c r="J79" s="64">
        <f>ROUND(SUM(B79:F79)*J76,2)</f>
        <v>0</v>
      </c>
      <c r="K79" s="25">
        <f>ROUND((B79+SUM(D79:F79))*K76,2)</f>
        <v>0</v>
      </c>
      <c r="L79" s="25">
        <f>ROUND((B79+SUM(D79:F79))*L76,2)</f>
        <v>0</v>
      </c>
      <c r="M79" s="64">
        <f>ROUND(SUM(B79:F79)*M76,2)</f>
        <v>0</v>
      </c>
      <c r="N79" s="21">
        <f>IF(B79=0,0,N76/M55*P56)</f>
        <v>0</v>
      </c>
      <c r="O79" s="21">
        <f>ROUND(SUM(B79+C79+F79)*O76,2)</f>
        <v>0</v>
      </c>
      <c r="P79" s="25">
        <f t="shared" ref="P79" si="10">SUM(G79:O79)</f>
        <v>0</v>
      </c>
    </row>
    <row r="80" spans="1:16" x14ac:dyDescent="0.2">
      <c r="A80" s="76" t="str">
        <f>'päd.Personal - Leitung'!$A$32</f>
        <v>Apr 2025</v>
      </c>
      <c r="B80" s="22">
        <f>ROUND(IF(P57=0,0,IFERROR(((LOOKUP(2,1/(A62:A65=A80),E62:E65))/M55*P57),B79/P57*P57)),2)</f>
        <v>0</v>
      </c>
      <c r="C80" s="21">
        <f>ROUND(IFERROR(((LOOKUP(2,1/(A68=A80),((SUM(B83:B85)+SUM(F83:F85))/3)*D68))),0)+IFERROR(((LOOKUP(2,1/(A69=A80),(B89+F89)*D69))),0),2)</f>
        <v>0</v>
      </c>
      <c r="D80" s="21">
        <f>IF(B80=0,0,D76/M55*P57)</f>
        <v>0</v>
      </c>
      <c r="E80" s="21">
        <f>IF(B80=0,0,E76/M55*P57)</f>
        <v>0</v>
      </c>
      <c r="F80" s="21">
        <f>IF(B80=0,0,F76/M55*P57)</f>
        <v>0</v>
      </c>
      <c r="G80" s="25">
        <f t="shared" si="9"/>
        <v>0</v>
      </c>
      <c r="H80" s="64">
        <f>ROUND(SUM(B80:F80)*H76,2)</f>
        <v>0</v>
      </c>
      <c r="I80" s="64">
        <f>ROUND(SUM(B80:F80)*I76,2)</f>
        <v>0</v>
      </c>
      <c r="J80" s="64">
        <f>ROUND(SUM(B80:F80)*J76,2)</f>
        <v>0</v>
      </c>
      <c r="K80" s="25">
        <f>ROUND((B80+SUM(D80:F80))*K76,2)</f>
        <v>0</v>
      </c>
      <c r="L80" s="25">
        <f>ROUND((B80+SUM(D80:F80))*L76,2)</f>
        <v>0</v>
      </c>
      <c r="M80" s="64">
        <f>ROUND(SUM(B80:F80)*M76,2)</f>
        <v>0</v>
      </c>
      <c r="N80" s="21">
        <f>IF(B80=0,0,N76/M55*P57)</f>
        <v>0</v>
      </c>
      <c r="O80" s="21">
        <f>ROUND(SUM(B80+C80+F80)*O76,2)</f>
        <v>0</v>
      </c>
      <c r="P80" s="25">
        <f>SUM(G80:O80)</f>
        <v>0</v>
      </c>
    </row>
    <row r="81" spans="1:16" x14ac:dyDescent="0.2">
      <c r="A81" s="76" t="str">
        <f>'päd.Personal - Leitung'!$A$33</f>
        <v>Mai 2025</v>
      </c>
      <c r="B81" s="22">
        <f>ROUND(IF(P58=0,0,IFERROR(((LOOKUP(2,1/(A62:A65=A81),E62:E65))/M55*P58),B80/P58*P58)),2)</f>
        <v>0</v>
      </c>
      <c r="C81" s="21">
        <f>ROUND(IFERROR(((LOOKUP(2,1/(A68=A81),((SUM(B83:B85)+SUM(F83:F85))/3)*D68))),0)+IFERROR(((LOOKUP(2,1/(A69=A81),(B89+F89)*D69))),0),2)</f>
        <v>0</v>
      </c>
      <c r="D81" s="21">
        <f>IF(B81=0,0,D76/M55*P58)</f>
        <v>0</v>
      </c>
      <c r="E81" s="21">
        <f>IF(B81=0,0,E76/M55*P58)</f>
        <v>0</v>
      </c>
      <c r="F81" s="21">
        <f>IF(B81=0,0,F76/M55*P58)</f>
        <v>0</v>
      </c>
      <c r="G81" s="25">
        <f t="shared" si="9"/>
        <v>0</v>
      </c>
      <c r="H81" s="64">
        <f>ROUND(SUM(B81:F81)*H76,2)</f>
        <v>0</v>
      </c>
      <c r="I81" s="64">
        <f>ROUND(SUM(B81:F81)*I76,2)</f>
        <v>0</v>
      </c>
      <c r="J81" s="64">
        <f>ROUND(SUM(B81:F81)*J76,2)</f>
        <v>0</v>
      </c>
      <c r="K81" s="25">
        <f>ROUND((B81+SUM(D81:F81))*K76,2)</f>
        <v>0</v>
      </c>
      <c r="L81" s="25">
        <f>ROUND((B81+SUM(D81:F81))*L76,2)</f>
        <v>0</v>
      </c>
      <c r="M81" s="64">
        <f>ROUND(SUM(B81:F81)*M76,2)</f>
        <v>0</v>
      </c>
      <c r="N81" s="21">
        <f>IF(B81=0,0,N76/M55*P58)</f>
        <v>0</v>
      </c>
      <c r="O81" s="21">
        <f>ROUND(SUM(B81+C81+F81)*O76,2)</f>
        <v>0</v>
      </c>
      <c r="P81" s="25">
        <f t="shared" ref="P81" si="11">SUM(G81:O81)</f>
        <v>0</v>
      </c>
    </row>
    <row r="82" spans="1:16" x14ac:dyDescent="0.2">
      <c r="A82" s="76" t="str">
        <f>'päd.Personal - Leitung'!$A$34</f>
        <v>Jun 2025</v>
      </c>
      <c r="B82" s="22">
        <f>ROUND(IF(P59=0,0,IFERROR(((LOOKUP(2,1/(A62:A65=A82),E62:E65))/M55*P59),B81/P59*P59)),2)</f>
        <v>0</v>
      </c>
      <c r="C82" s="21">
        <f>ROUND(IFERROR(((LOOKUP(2,1/(A68=A82),((SUM(B83:B85)+SUM(F83:F85))/3)*D68))),0)+IFERROR(((LOOKUP(2,1/(A69=A82),(B89+F89)*D69))),0),2)</f>
        <v>0</v>
      </c>
      <c r="D82" s="21">
        <f>IF(B82=0,0,D76/M55*P59)</f>
        <v>0</v>
      </c>
      <c r="E82" s="21">
        <f>IF(B82=0,0,E76/M55*P59)</f>
        <v>0</v>
      </c>
      <c r="F82" s="21">
        <f>IF(B82=0,0,F76/M55*P59)</f>
        <v>0</v>
      </c>
      <c r="G82" s="25">
        <f t="shared" si="9"/>
        <v>0</v>
      </c>
      <c r="H82" s="64">
        <f>ROUND(SUM(B82:F82)*H76,2)</f>
        <v>0</v>
      </c>
      <c r="I82" s="64">
        <f>ROUND(SUM(B82:F82)*I76,2)</f>
        <v>0</v>
      </c>
      <c r="J82" s="64">
        <f>ROUND(SUM(B82:F82)*J76,2)</f>
        <v>0</v>
      </c>
      <c r="K82" s="25">
        <f>ROUND((B82+SUM(D82:F82))*K76,2)</f>
        <v>0</v>
      </c>
      <c r="L82" s="25">
        <f>ROUND((B82+SUM(D82:F82))*L76,2)</f>
        <v>0</v>
      </c>
      <c r="M82" s="64">
        <f>ROUND(SUM(B82:F82)*M76,2)</f>
        <v>0</v>
      </c>
      <c r="N82" s="21">
        <f>IF(B82=0,0,N76/M55*P59)</f>
        <v>0</v>
      </c>
      <c r="O82" s="21">
        <f>ROUND(SUM(B82+C82+F82)*O76,2)</f>
        <v>0</v>
      </c>
      <c r="P82" s="25">
        <f t="shared" ref="P82:P83" si="12">SUM(G82:O82)</f>
        <v>0</v>
      </c>
    </row>
    <row r="83" spans="1:16" x14ac:dyDescent="0.2">
      <c r="A83" s="76" t="str">
        <f>'päd.Personal - Leitung'!$A$35</f>
        <v>Jul 2025</v>
      </c>
      <c r="B83" s="22">
        <f>ROUND(IF(P60=0,0,IFERROR(((LOOKUP(2,1/(A62:A65=A83),E62:E65))/M55*P60),B82/P60*P60)),2)</f>
        <v>0</v>
      </c>
      <c r="C83" s="21">
        <f>ROUND(IFERROR(((LOOKUP(2,1/(A68=A83),((SUM(B83:B85)+SUM(F83:F85))/3)*D68))),0)+IFERROR(((LOOKUP(2,1/(A69=A83),(B89+F89)*D69))),0),2)</f>
        <v>0</v>
      </c>
      <c r="D83" s="21">
        <f>IF(B83=0,0,D76/M55*P60)</f>
        <v>0</v>
      </c>
      <c r="E83" s="21">
        <f>IF(B83=0,0,E76/M55*P60)</f>
        <v>0</v>
      </c>
      <c r="F83" s="21">
        <f>IF(B83=0,0,F76/M55*P60)</f>
        <v>0</v>
      </c>
      <c r="G83" s="25">
        <f t="shared" si="9"/>
        <v>0</v>
      </c>
      <c r="H83" s="64">
        <f>ROUND(SUM(B83:F83)*H76,2)</f>
        <v>0</v>
      </c>
      <c r="I83" s="64">
        <f>ROUND(SUM(B83:F83)*I76,2)</f>
        <v>0</v>
      </c>
      <c r="J83" s="64">
        <f>ROUND(SUM(B83:F83)*J76,2)</f>
        <v>0</v>
      </c>
      <c r="K83" s="25">
        <f>ROUND((B83+SUM(D83:F83))*K76,2)</f>
        <v>0</v>
      </c>
      <c r="L83" s="25">
        <f>ROUND((B83+SUM(D83:F83))*L76,2)</f>
        <v>0</v>
      </c>
      <c r="M83" s="64">
        <f>ROUND(SUM(B83:F83)*M76,2)</f>
        <v>0</v>
      </c>
      <c r="N83" s="21">
        <f>IF(B83=0,0,N76/M55*P60)</f>
        <v>0</v>
      </c>
      <c r="O83" s="21">
        <f>ROUND(SUM(B83+C83+F83)*O76,2)</f>
        <v>0</v>
      </c>
      <c r="P83" s="25">
        <f t="shared" si="12"/>
        <v>0</v>
      </c>
    </row>
    <row r="84" spans="1:16" x14ac:dyDescent="0.2">
      <c r="A84" s="76" t="str">
        <f>'päd.Personal - Leitung'!$A$36</f>
        <v>Aug 2025</v>
      </c>
      <c r="B84" s="22">
        <f>ROUND(IF(P61=0,0,IFERROR(((LOOKUP(2,1/(A62:A65=A84),E62:E65))/M55*P61),B83/P61*P61)),2)</f>
        <v>0</v>
      </c>
      <c r="C84" s="21">
        <f>ROUND(IFERROR(((LOOKUP(2,1/(A68=A84),((SUM(B83:B85)+SUM(F83:F85))/3)*D68))),0)+IFERROR(((LOOKUP(2,1/(A69=A84),(B89+F89)*D69))),0),2)</f>
        <v>0</v>
      </c>
      <c r="D84" s="21">
        <f>IF(B84=0,0,D76/M55*P61)</f>
        <v>0</v>
      </c>
      <c r="E84" s="21">
        <f>IF(B84=0,0,E76/M55*P61)</f>
        <v>0</v>
      </c>
      <c r="F84" s="21">
        <f>IF(B84=0,0,F76/M55*P61)</f>
        <v>0</v>
      </c>
      <c r="G84" s="25">
        <f t="shared" si="9"/>
        <v>0</v>
      </c>
      <c r="H84" s="64">
        <f>ROUND(SUM(B84:F84)*H76,2)</f>
        <v>0</v>
      </c>
      <c r="I84" s="64">
        <f>ROUND(SUM(B84:F84)*I76,2)</f>
        <v>0</v>
      </c>
      <c r="J84" s="64">
        <f>ROUND(SUM(B84:F84)*J76,2)</f>
        <v>0</v>
      </c>
      <c r="K84" s="25">
        <f>ROUND((B84+SUM(D84:F84))*K76,2)</f>
        <v>0</v>
      </c>
      <c r="L84" s="25">
        <f>ROUND((B84+SUM(D84:F84))*L76,2)</f>
        <v>0</v>
      </c>
      <c r="M84" s="64">
        <f>ROUND(SUM(B84:F84)*M76,2)</f>
        <v>0</v>
      </c>
      <c r="N84" s="21">
        <f>IF(B84=0,0,N76/M55*P61)</f>
        <v>0</v>
      </c>
      <c r="O84" s="21">
        <f>ROUND(SUM(B84+C84+F84)*O76,2)</f>
        <v>0</v>
      </c>
      <c r="P84" s="25">
        <f>SUM(G84:O84)</f>
        <v>0</v>
      </c>
    </row>
    <row r="85" spans="1:16" x14ac:dyDescent="0.2">
      <c r="A85" s="76" t="str">
        <f>'päd.Personal - Leitung'!$A$37</f>
        <v>Sep 2025</v>
      </c>
      <c r="B85" s="22">
        <f>ROUND(IF(P62=0,0,IFERROR(((LOOKUP(2,1/(A62:A65=A85),E62:E65))/M55*P62),B84/P62*P62)),2)</f>
        <v>0</v>
      </c>
      <c r="C85" s="21">
        <f>ROUND(IFERROR(((LOOKUP(2,1/(A68=A85),((SUM(B83:B85)+SUM(F83:F85))/3)*D68))),0)+IFERROR(((LOOKUP(2,1/(A69=A85),(B89+F89)*D69))),0),2)</f>
        <v>0</v>
      </c>
      <c r="D85" s="21">
        <f>IF(B85=0,0,D76/M55*P62)</f>
        <v>0</v>
      </c>
      <c r="E85" s="21">
        <f>IF(B85=0,0,E76/M55*P62)</f>
        <v>0</v>
      </c>
      <c r="F85" s="21">
        <f>IF(B85=0,0,F76/M55*P62)</f>
        <v>0</v>
      </c>
      <c r="G85" s="25">
        <f t="shared" si="9"/>
        <v>0</v>
      </c>
      <c r="H85" s="64">
        <f>ROUND(SUM(B85:F85)*H76,2)</f>
        <v>0</v>
      </c>
      <c r="I85" s="64">
        <f>ROUND(SUM(B85:F85)*I76,2)</f>
        <v>0</v>
      </c>
      <c r="J85" s="64">
        <f>ROUND(SUM(B85:F85)*J76,2)</f>
        <v>0</v>
      </c>
      <c r="K85" s="25">
        <f>ROUND((B85+SUM(D85:F85))*K76,2)</f>
        <v>0</v>
      </c>
      <c r="L85" s="25">
        <f>ROUND((B85+SUM(D85:F85))*L76,2)</f>
        <v>0</v>
      </c>
      <c r="M85" s="64">
        <f>ROUND(SUM(B85:F85)*M76,2)</f>
        <v>0</v>
      </c>
      <c r="N85" s="21">
        <f>IF(B85=0,0,N76/M55*P62)</f>
        <v>0</v>
      </c>
      <c r="O85" s="21">
        <f>ROUND(SUM(B85+C85+F85)*O76,2)</f>
        <v>0</v>
      </c>
      <c r="P85" s="25">
        <f>SUM(G85:O85)</f>
        <v>0</v>
      </c>
    </row>
    <row r="86" spans="1:16" x14ac:dyDescent="0.2">
      <c r="A86" s="76" t="str">
        <f>'päd.Personal - Leitung'!$A$38</f>
        <v>Okt 2025</v>
      </c>
      <c r="B86" s="22">
        <f>ROUND(IF(P63=0,0,IFERROR(((LOOKUP(2,1/(A62:A65=A86),E62:E65))/M55*P63),B85/P63*P63)),2)</f>
        <v>0</v>
      </c>
      <c r="C86" s="21">
        <f>ROUND(IFERROR(((LOOKUP(2,1/(A68=A86),((SUM(B83:B85)+SUM(F83:F85))/3)*D68))),0)+IFERROR(((LOOKUP(2,1/(A69=A86),(B89+F89)*D69))),0),2)</f>
        <v>0</v>
      </c>
      <c r="D86" s="21">
        <f>IF(B86=0,0,D76/M55*P63)</f>
        <v>0</v>
      </c>
      <c r="E86" s="21">
        <f>IF(B86=0,0,E76/M55*P63)</f>
        <v>0</v>
      </c>
      <c r="F86" s="21">
        <f>IF(B86=0,0,F76/M55*P63)</f>
        <v>0</v>
      </c>
      <c r="G86" s="25">
        <f t="shared" si="9"/>
        <v>0</v>
      </c>
      <c r="H86" s="64">
        <f>ROUND(SUM(B86:F86)*H76,2)</f>
        <v>0</v>
      </c>
      <c r="I86" s="64">
        <f>ROUND(SUM(B86:F86)*I76,2)</f>
        <v>0</v>
      </c>
      <c r="J86" s="64">
        <f>ROUND(SUM(B86:F86)*J76,2)</f>
        <v>0</v>
      </c>
      <c r="K86" s="25">
        <f>ROUND((B86+SUM(D86:F86))*K76,2)</f>
        <v>0</v>
      </c>
      <c r="L86" s="25">
        <f>ROUND((B86+SUM(D86:F86))*L76,2)</f>
        <v>0</v>
      </c>
      <c r="M86" s="64">
        <f>ROUND(SUM(B86:F86)*M76,2)</f>
        <v>0</v>
      </c>
      <c r="N86" s="21">
        <f>IF(B86=0,0,N76/M55*P63)</f>
        <v>0</v>
      </c>
      <c r="O86" s="21">
        <f>ROUND(SUM(B86+C86+F86)*O76,2)</f>
        <v>0</v>
      </c>
      <c r="P86" s="25">
        <f>SUM(G86:O86)</f>
        <v>0</v>
      </c>
    </row>
    <row r="87" spans="1:16" x14ac:dyDescent="0.2">
      <c r="A87" s="76" t="str">
        <f>'päd.Personal - Leitung'!$A$39</f>
        <v>Nov 2025</v>
      </c>
      <c r="B87" s="22">
        <f>ROUND(IF(P64=0,0,IFERROR(((LOOKUP(2,1/(A62:A65=A87),E62:E65))/M55*P64),B86/P64*P64)),2)</f>
        <v>0</v>
      </c>
      <c r="C87" s="21">
        <f>ROUND(IFERROR(((LOOKUP(2,1/(A68=A87),((SUM(B83:B85)+SUM(F83:F85))/3)*D68))),0)+IFERROR(((LOOKUP(2,1/(A69=A87),(B89+F89)*D69))),0),2)</f>
        <v>0</v>
      </c>
      <c r="D87" s="21">
        <f>IF(B87=0,0,D76/M55*P64)</f>
        <v>0</v>
      </c>
      <c r="E87" s="21">
        <f>IF(B87=0,0,E76/M55*P64)</f>
        <v>0</v>
      </c>
      <c r="F87" s="21">
        <f>IF(B87=0,0,F76/M55*P64)</f>
        <v>0</v>
      </c>
      <c r="G87" s="25">
        <f t="shared" si="9"/>
        <v>0</v>
      </c>
      <c r="H87" s="64">
        <f>ROUND(SUM(B87:F87)*H76,2)</f>
        <v>0</v>
      </c>
      <c r="I87" s="64">
        <f>ROUND(SUM(B87:F87)*I76,2)</f>
        <v>0</v>
      </c>
      <c r="J87" s="64">
        <f>ROUND(SUM(B87:F87)*J76,2)</f>
        <v>0</v>
      </c>
      <c r="K87" s="25">
        <f>ROUND((B87+SUM(D87:F87))*K76,2)</f>
        <v>0</v>
      </c>
      <c r="L87" s="25">
        <f>ROUND((B87+SUM(D87:F87))*L76,2)</f>
        <v>0</v>
      </c>
      <c r="M87" s="64">
        <f>ROUND(SUM(B87:F87)*M76,2)</f>
        <v>0</v>
      </c>
      <c r="N87" s="21">
        <f>IF(B87=0,0,N76/M55*P64)</f>
        <v>0</v>
      </c>
      <c r="O87" s="21">
        <f>ROUND(SUM(B87+C87+F87)*O76,2)</f>
        <v>0</v>
      </c>
      <c r="P87" s="25">
        <f>SUM(G87:O87)</f>
        <v>0</v>
      </c>
    </row>
    <row r="88" spans="1:16" x14ac:dyDescent="0.2">
      <c r="A88" s="76" t="str">
        <f>'päd.Personal - Leitung'!$A$40</f>
        <v>Dez 2025</v>
      </c>
      <c r="B88" s="22">
        <f>ROUND(IF(P65=0,0,IFERROR(((LOOKUP(2,1/(A62:A65=A88),E62:E65))/M55*P65),B87/P65*P65)),2)</f>
        <v>0</v>
      </c>
      <c r="C88" s="21">
        <f>ROUND(IFERROR(((LOOKUP(2,1/(A68=A88),((SUM(B83:B85)+SUM(F83:F85))/3)*D68))),0)+IFERROR(((LOOKUP(2,1/(A69=A88),(B89+F89)*D69))),0),2)</f>
        <v>0</v>
      </c>
      <c r="D88" s="21">
        <f>IF(B88=0,0,D76/M55*P65)</f>
        <v>0</v>
      </c>
      <c r="E88" s="21">
        <f>IF(B88=0,0,E76/M55*P65)</f>
        <v>0</v>
      </c>
      <c r="F88" s="21">
        <f>IF(B88=0,0,F76/M55*P65)</f>
        <v>0</v>
      </c>
      <c r="G88" s="25">
        <f t="shared" si="9"/>
        <v>0</v>
      </c>
      <c r="H88" s="64">
        <f>ROUND(SUM(B88:F88)*H76,2)</f>
        <v>0</v>
      </c>
      <c r="I88" s="64">
        <f>ROUND(SUM(B88:F88)*I76,2)</f>
        <v>0</v>
      </c>
      <c r="J88" s="64">
        <f>ROUND(SUM(B88:F88)*J76,2)</f>
        <v>0</v>
      </c>
      <c r="K88" s="25">
        <f>ROUND((B88+SUM(D88:F88))*K76,2)</f>
        <v>0</v>
      </c>
      <c r="L88" s="25">
        <f>ROUND((B88+SUM(D88:F88))*L76,2)</f>
        <v>0</v>
      </c>
      <c r="M88" s="64">
        <f>ROUND(SUM(B88:F88)*M76,2)</f>
        <v>0</v>
      </c>
      <c r="N88" s="21">
        <f>IF(B88=0,0,N76/M55*P65)</f>
        <v>0</v>
      </c>
      <c r="O88" s="21">
        <f>ROUND(SUM(B88+C88+F88)*O76,2)</f>
        <v>0</v>
      </c>
      <c r="P88" s="25">
        <f>SUM(G88:O88)</f>
        <v>0</v>
      </c>
    </row>
    <row r="89" spans="1:16" x14ac:dyDescent="0.2">
      <c r="A89" s="2" t="s">
        <v>1</v>
      </c>
      <c r="B89" s="25">
        <f>SUM(B77:B88)</f>
        <v>0</v>
      </c>
      <c r="C89" s="25">
        <f t="shared" ref="C89:F89" si="13">SUM(C77:C88)</f>
        <v>0</v>
      </c>
      <c r="D89" s="25">
        <f t="shared" si="13"/>
        <v>0</v>
      </c>
      <c r="E89" s="25">
        <f t="shared" si="13"/>
        <v>0</v>
      </c>
      <c r="F89" s="25">
        <f t="shared" si="13"/>
        <v>0</v>
      </c>
      <c r="G89" s="25">
        <f>SUM(G77:G88)</f>
        <v>0</v>
      </c>
      <c r="H89" s="1309">
        <f>SUM(H77:M88)</f>
        <v>0</v>
      </c>
      <c r="I89" s="1310"/>
      <c r="J89" s="1310"/>
      <c r="K89" s="1310"/>
      <c r="L89" s="1310"/>
      <c r="M89" s="1311"/>
      <c r="N89" s="25">
        <f>SUM(N77:N88)</f>
        <v>0</v>
      </c>
      <c r="O89" s="25">
        <f>SUM(O77:O88)</f>
        <v>0</v>
      </c>
      <c r="P89" s="25">
        <f>SUM(P77:P88)</f>
        <v>0</v>
      </c>
    </row>
    <row r="90" spans="1:16" ht="12" customHeight="1" x14ac:dyDescent="0.2"/>
    <row r="91" spans="1:16" s="905" customFormat="1" ht="14.25" customHeight="1" x14ac:dyDescent="0.2">
      <c r="A91" s="906"/>
      <c r="B91" s="906"/>
      <c r="C91" s="906"/>
      <c r="E91" s="984"/>
      <c r="F91" s="1031"/>
      <c r="G91" s="907"/>
      <c r="H91" s="907"/>
      <c r="I91" s="907"/>
      <c r="J91" s="914" t="s">
        <v>123</v>
      </c>
      <c r="K91" s="1"/>
      <c r="L91" s="900" t="s">
        <v>124</v>
      </c>
      <c r="M91" s="1032" t="str">
        <f>IF(IF(M60="","",$M$43)=0,"",IF(M60="","",$M$43))</f>
        <v/>
      </c>
      <c r="N91" s="902" t="s">
        <v>125</v>
      </c>
      <c r="O91" s="1033" t="str">
        <f>IF(IF(M60="","",$O$43)=0,"",IF(M60="","",$O$43))</f>
        <v/>
      </c>
      <c r="P91" s="25">
        <f>ROUND(IF(M91="",0,G89*M91*O91/1000),2)</f>
        <v>0</v>
      </c>
    </row>
    <row r="92" spans="1:16" s="1" customFormat="1" ht="14.25" customHeight="1" x14ac:dyDescent="0.2">
      <c r="H92" s="905"/>
      <c r="I92" s="62"/>
      <c r="M92" s="915" t="s">
        <v>129</v>
      </c>
      <c r="N92" s="80" t="s">
        <v>125</v>
      </c>
      <c r="O92" s="1034" t="str">
        <f>IF(IF(M60="","",$O$44)=0,"",IF(M60="","",$O$44))</f>
        <v/>
      </c>
      <c r="P92" s="25">
        <f>ROUND(IF(O92="",0,G89*O92/1000),2)</f>
        <v>0</v>
      </c>
    </row>
    <row r="93" spans="1:16" s="1" customFormat="1" ht="14.25" customHeight="1" x14ac:dyDescent="0.2">
      <c r="B93" s="906"/>
      <c r="H93" s="996" t="s">
        <v>126</v>
      </c>
      <c r="I93" s="1013" t="s">
        <v>127</v>
      </c>
      <c r="J93" s="1037" t="str">
        <f>IF(IF(M60="","",$J$45)=0,"",IF(M60="","",$J$45))</f>
        <v/>
      </c>
      <c r="K93" s="902" t="s">
        <v>128</v>
      </c>
      <c r="L93" s="1036" t="str">
        <f>IF(IF(M60="","",$L$45)=0,"",IF(M60="","",$L$45))</f>
        <v/>
      </c>
      <c r="M93" s="16"/>
      <c r="N93" s="900" t="s">
        <v>132</v>
      </c>
      <c r="O93" s="1035" t="str">
        <f>IF(IF(M60="","",$O$45)=0,"",IF(M60="","",$O$45))</f>
        <v/>
      </c>
      <c r="P93" s="25">
        <f>ROUND(IF(J93="",0,(J93*L93/O93)/M55*M56),2)</f>
        <v>0</v>
      </c>
    </row>
    <row r="94" spans="1:16" s="1" customFormat="1" ht="14.25" customHeight="1" x14ac:dyDescent="0.2">
      <c r="K94" s="63"/>
      <c r="L94" s="67"/>
      <c r="M94" s="915" t="s">
        <v>130</v>
      </c>
      <c r="N94" s="80" t="s">
        <v>131</v>
      </c>
      <c r="O94" s="904">
        <f>IF(IF(M60="",0,$O$46)=0,0,IF(M60="",0,$O$46))</f>
        <v>0</v>
      </c>
      <c r="P94" s="21">
        <f>ROUND(IF(G89=0,0,O94/M55*M56),2)</f>
        <v>0</v>
      </c>
    </row>
    <row r="95" spans="1:16" s="1" customFormat="1" ht="14.25" customHeight="1" x14ac:dyDescent="0.2">
      <c r="I95" s="16"/>
      <c r="J95" s="961" t="s">
        <v>176</v>
      </c>
      <c r="K95" s="1312" t="str">
        <f>IF($K$47="","",$K$47)</f>
        <v/>
      </c>
      <c r="L95" s="1312"/>
      <c r="M95" s="1312"/>
      <c r="N95" s="80" t="s">
        <v>131</v>
      </c>
      <c r="O95" s="904">
        <f>IF(IF(M60="",0,$O$47)=0,0,IF(M60="",0,$O$47))</f>
        <v>0</v>
      </c>
      <c r="P95" s="21">
        <f>ROUND(IF(M60="",0,O95/M55*M56),2)</f>
        <v>0</v>
      </c>
    </row>
    <row r="96" spans="1:16" s="1" customFormat="1" ht="14.25" customHeight="1" x14ac:dyDescent="0.2">
      <c r="D96" s="16"/>
      <c r="I96" s="905"/>
      <c r="O96" s="26" t="s">
        <v>0</v>
      </c>
      <c r="P96" s="82">
        <f>P89+SUM(P91:P95)</f>
        <v>0</v>
      </c>
    </row>
    <row r="97" spans="1:16" s="10" customFormat="1" ht="13.5" customHeight="1" x14ac:dyDescent="0.2">
      <c r="A97" s="1321" t="s">
        <v>17</v>
      </c>
      <c r="B97" s="1321"/>
      <c r="C97" s="1321"/>
      <c r="D97" s="1320" t="str">
        <f>IF('päd.Personal - Leitung'!$D$1="","",'päd.Personal - Leitung'!$D$1)</f>
        <v/>
      </c>
      <c r="E97" s="1320"/>
      <c r="F97" s="1320"/>
      <c r="G97" s="1320"/>
      <c r="H97" s="1320"/>
      <c r="I97" s="1320"/>
      <c r="J97" s="1320"/>
      <c r="K97" s="1320"/>
      <c r="L97" s="1320"/>
      <c r="M97" s="1320"/>
      <c r="N97" s="1320"/>
    </row>
    <row r="98" spans="1:16" s="10" customFormat="1" ht="15" customHeight="1" x14ac:dyDescent="0.2">
      <c r="A98" s="1321" t="s">
        <v>16</v>
      </c>
      <c r="B98" s="1321"/>
      <c r="C98" s="1321" t="s">
        <v>14</v>
      </c>
      <c r="D98" s="1320" t="str">
        <f>IF('päd.Personal - Leitung'!$D$2="","",'päd.Personal - Leitung'!$D$2)</f>
        <v/>
      </c>
      <c r="E98" s="1320"/>
      <c r="F98" s="1320"/>
      <c r="G98" s="1320"/>
      <c r="H98" s="1320"/>
      <c r="I98" s="1320"/>
      <c r="J98" s="1320"/>
      <c r="K98" s="1320"/>
      <c r="L98" s="1320"/>
      <c r="M98" s="1320"/>
      <c r="N98" s="1320"/>
    </row>
    <row r="99" spans="1:16" s="10" customFormat="1" ht="15" customHeight="1" x14ac:dyDescent="0.2">
      <c r="A99" s="1321" t="s">
        <v>15</v>
      </c>
      <c r="B99" s="1321"/>
      <c r="C99" s="1321" t="s">
        <v>14</v>
      </c>
      <c r="D99" s="1320" t="str">
        <f>IF('päd.Personal - Leitung'!$D$3="","",'päd.Personal - Leitung'!$D$3)</f>
        <v/>
      </c>
      <c r="E99" s="1320"/>
      <c r="F99" s="1320"/>
      <c r="G99" s="1320"/>
      <c r="H99" s="1320"/>
      <c r="I99" s="1320"/>
      <c r="J99" s="1320"/>
      <c r="K99" s="1321" t="s">
        <v>100</v>
      </c>
      <c r="L99" s="1321"/>
      <c r="M99" s="1321"/>
      <c r="N99" s="38" t="str">
        <f>IF('päd.Personal - Leitung'!$N$3="","",'päd.Personal - Leitung'!$N$3)</f>
        <v/>
      </c>
    </row>
    <row r="100" spans="1:16" s="923" customFormat="1" ht="7.5" customHeight="1" x14ac:dyDescent="0.15">
      <c r="A100" s="1353"/>
      <c r="B100" s="1353"/>
      <c r="C100" s="1353"/>
      <c r="D100" s="1354"/>
      <c r="E100" s="1354"/>
      <c r="F100" s="1354"/>
      <c r="G100" s="1354"/>
      <c r="H100" s="1354"/>
      <c r="I100" s="1354"/>
      <c r="J100" s="1354"/>
      <c r="K100" s="922"/>
      <c r="L100" s="922"/>
      <c r="M100" s="922"/>
      <c r="N100" s="922"/>
      <c r="O100" s="922"/>
      <c r="P100" s="922"/>
    </row>
    <row r="101" spans="1:16" s="13" customFormat="1" ht="13.5" customHeight="1" x14ac:dyDescent="0.2">
      <c r="A101" s="1355" t="s">
        <v>212</v>
      </c>
      <c r="B101" s="1355"/>
      <c r="C101" s="1355"/>
      <c r="D101" s="1355"/>
      <c r="E101" s="1355"/>
      <c r="F101" s="1355"/>
      <c r="G101" s="1355"/>
      <c r="H101" s="1355"/>
      <c r="I101" s="1355"/>
      <c r="J101" s="1355"/>
      <c r="K101" s="1355"/>
      <c r="L101" s="7"/>
      <c r="M101" s="7"/>
      <c r="N101" s="52"/>
      <c r="O101" s="138">
        <f>'päd.Personal - Leitung'!$O$5</f>
        <v>2025</v>
      </c>
      <c r="P101" s="52" t="s">
        <v>140</v>
      </c>
    </row>
    <row r="102" spans="1:16" s="8" customFormat="1" ht="13.5" customHeight="1" x14ac:dyDescent="0.25">
      <c r="B102" s="29"/>
      <c r="C102" s="29"/>
      <c r="D102" s="3" t="s">
        <v>180</v>
      </c>
      <c r="E102" s="28"/>
      <c r="F102" s="28"/>
      <c r="G102" s="28"/>
      <c r="H102" s="28"/>
      <c r="I102" s="24"/>
      <c r="J102" s="1370"/>
      <c r="K102" s="1370"/>
      <c r="L102" s="81"/>
      <c r="O102" s="928" t="str">
        <f>A125</f>
        <v>Jan 2025</v>
      </c>
      <c r="P102" s="68">
        <f>IF(M104="","",M104)</f>
        <v>0</v>
      </c>
    </row>
    <row r="103" spans="1:16" s="5" customFormat="1" ht="13.5" customHeight="1" x14ac:dyDescent="0.25">
      <c r="A103" s="1328" t="s">
        <v>754</v>
      </c>
      <c r="B103" s="1328"/>
      <c r="C103" s="1328"/>
      <c r="D103" s="1329"/>
      <c r="E103" s="1329"/>
      <c r="F103" s="1329"/>
      <c r="G103" s="1329"/>
      <c r="H103" s="1329"/>
      <c r="I103" s="1329"/>
      <c r="K103" s="1327" t="s">
        <v>101</v>
      </c>
      <c r="L103" s="1327"/>
      <c r="M103" s="101"/>
      <c r="O103" s="928" t="str">
        <f t="shared" ref="O103:O113" si="14">A126</f>
        <v>Feb 2025</v>
      </c>
      <c r="P103" s="69">
        <f t="shared" ref="P103:P113" si="15">IF(P102="","",P102)</f>
        <v>0</v>
      </c>
    </row>
    <row r="104" spans="1:16" s="1" customFormat="1" ht="13.5" customHeight="1" x14ac:dyDescent="0.2">
      <c r="A104" s="1328" t="s">
        <v>12</v>
      </c>
      <c r="B104" s="1328"/>
      <c r="C104" s="1328"/>
      <c r="D104" s="1345"/>
      <c r="E104" s="1345"/>
      <c r="F104" s="1345"/>
      <c r="G104" s="1345"/>
      <c r="H104" s="1345"/>
      <c r="I104" s="1345"/>
      <c r="K104" s="1327" t="s">
        <v>149</v>
      </c>
      <c r="L104" s="1327"/>
      <c r="M104" s="101">
        <f>IF((M105+M106)&gt;M103,0,M103-M105-M106)</f>
        <v>0</v>
      </c>
      <c r="O104" s="928" t="str">
        <f t="shared" si="14"/>
        <v>Mrz 2025</v>
      </c>
      <c r="P104" s="69">
        <f t="shared" si="15"/>
        <v>0</v>
      </c>
    </row>
    <row r="105" spans="1:16" s="1" customFormat="1" ht="13.5" customHeight="1" x14ac:dyDescent="0.2">
      <c r="A105" s="1328" t="s">
        <v>77</v>
      </c>
      <c r="B105" s="1328"/>
      <c r="C105" s="1328"/>
      <c r="D105" s="1345"/>
      <c r="E105" s="1345"/>
      <c r="F105" s="1345"/>
      <c r="G105" s="1345"/>
      <c r="H105" s="1345"/>
      <c r="I105" s="1345"/>
      <c r="K105" s="1327" t="s">
        <v>150</v>
      </c>
      <c r="L105" s="1327"/>
      <c r="M105" s="101"/>
      <c r="O105" s="928" t="str">
        <f t="shared" si="14"/>
        <v>Apr 2025</v>
      </c>
      <c r="P105" s="69">
        <f t="shared" si="15"/>
        <v>0</v>
      </c>
    </row>
    <row r="106" spans="1:16" s="1" customFormat="1" ht="13.5" customHeight="1" x14ac:dyDescent="0.2">
      <c r="A106" s="1328" t="s">
        <v>18</v>
      </c>
      <c r="B106" s="1328"/>
      <c r="C106" s="1328"/>
      <c r="D106" s="1345"/>
      <c r="E106" s="1345"/>
      <c r="F106" s="1345"/>
      <c r="G106" s="1345"/>
      <c r="H106" s="1345"/>
      <c r="I106" s="1345"/>
      <c r="K106" s="1327" t="s">
        <v>222</v>
      </c>
      <c r="L106" s="1327"/>
      <c r="M106" s="101"/>
      <c r="O106" s="928" t="str">
        <f t="shared" si="14"/>
        <v>Mai 2025</v>
      </c>
      <c r="P106" s="69">
        <f t="shared" si="15"/>
        <v>0</v>
      </c>
    </row>
    <row r="107" spans="1:16" s="1" customFormat="1" ht="13.5" customHeight="1" x14ac:dyDescent="0.2">
      <c r="B107" s="6"/>
      <c r="C107" s="998" t="s">
        <v>147</v>
      </c>
      <c r="D107" s="1324"/>
      <c r="E107" s="1324"/>
      <c r="F107" s="1359" t="s">
        <v>103</v>
      </c>
      <c r="G107" s="1359"/>
      <c r="H107" s="1361"/>
      <c r="I107" s="1361"/>
      <c r="K107" s="1327" t="s">
        <v>94</v>
      </c>
      <c r="L107" s="1327"/>
      <c r="M107" s="15" t="str">
        <f>IF(IF((COUNTIF(B125:B136,"&gt;0"))=0,0,(COUNTIF(B125:B136,"&gt;0")))&gt;Grundlagen!$C$26,Grundlagen!$C$26,IF((COUNTIF(B125:B136,"&gt;0"))=0,"",(COUNTIF(B125:B136,"&gt;0"))))</f>
        <v/>
      </c>
      <c r="O107" s="928" t="str">
        <f t="shared" si="14"/>
        <v>Jun 2025</v>
      </c>
      <c r="P107" s="69">
        <f t="shared" si="15"/>
        <v>0</v>
      </c>
    </row>
    <row r="108" spans="1:16" s="1" customFormat="1" ht="13.5" customHeight="1" x14ac:dyDescent="0.2">
      <c r="M108" s="102" t="str">
        <f>IF((SUM(E110:F113))=0,"",IF(P114&gt;M104,M104,IF(M104="","",IF(M107="","",P114))))</f>
        <v/>
      </c>
      <c r="O108" s="928" t="str">
        <f t="shared" si="14"/>
        <v>Jul 2025</v>
      </c>
      <c r="P108" s="69">
        <f t="shared" si="15"/>
        <v>0</v>
      </c>
    </row>
    <row r="109" spans="1:16" s="109" customFormat="1" ht="14.25" customHeight="1" x14ac:dyDescent="0.25">
      <c r="A109" s="103" t="s">
        <v>170</v>
      </c>
      <c r="B109" s="56"/>
      <c r="C109" s="104"/>
      <c r="D109" s="56"/>
      <c r="E109" s="1394" t="s">
        <v>171</v>
      </c>
      <c r="F109" s="1394"/>
      <c r="G109" s="58" t="s">
        <v>138</v>
      </c>
      <c r="H109" s="86"/>
      <c r="I109" s="105"/>
      <c r="L109" s="107"/>
      <c r="M109" s="106"/>
      <c r="N109" s="108"/>
      <c r="O109" s="928" t="str">
        <f t="shared" si="14"/>
        <v>Aug 2025</v>
      </c>
      <c r="P109" s="69">
        <f t="shared" si="15"/>
        <v>0</v>
      </c>
    </row>
    <row r="110" spans="1:16" s="109" customFormat="1" ht="14.25" customHeight="1" x14ac:dyDescent="0.25">
      <c r="A110" s="48" t="str">
        <f>A125</f>
        <v>Jan 2025</v>
      </c>
      <c r="B110" s="1398"/>
      <c r="C110" s="1399"/>
      <c r="D110" s="1400"/>
      <c r="E110" s="1386"/>
      <c r="F110" s="1387"/>
      <c r="G110" s="110">
        <f>IF(E110="",0,IF(E110=ROUND(J110*M103*(52/12),0),J110,ROUNDDOWN(IF(M104=0,0,E110/M103/(52/12)),2)))</f>
        <v>0</v>
      </c>
      <c r="H110" s="1055"/>
      <c r="I110" s="941" t="str">
        <f>I14</f>
        <v>Mindestlohn 2025:</v>
      </c>
      <c r="J110" s="1057">
        <f>J14</f>
        <v>12.82</v>
      </c>
      <c r="O110" s="928" t="str">
        <f t="shared" si="14"/>
        <v>Sep 2025</v>
      </c>
      <c r="P110" s="69">
        <f t="shared" si="15"/>
        <v>0</v>
      </c>
    </row>
    <row r="111" spans="1:16" s="109" customFormat="1" ht="14.25" customHeight="1" x14ac:dyDescent="0.25">
      <c r="A111" s="49"/>
      <c r="B111" s="1398"/>
      <c r="C111" s="1399"/>
      <c r="D111" s="1400"/>
      <c r="E111" s="1386"/>
      <c r="F111" s="1387"/>
      <c r="G111" s="110">
        <f>IF(E111="",0,IF(E111=ROUND(J110*M103*(52/12),0),J110,ROUNDDOWN(IF(M104=0,0,E111/M103/(52/12)),2)))</f>
        <v>0</v>
      </c>
      <c r="H111" s="58"/>
      <c r="J111" s="1056" t="str">
        <f>J15</f>
        <v>für max. 10 h/W</v>
      </c>
      <c r="O111" s="928" t="str">
        <f t="shared" si="14"/>
        <v>Okt 2025</v>
      </c>
      <c r="P111" s="69">
        <f t="shared" si="15"/>
        <v>0</v>
      </c>
    </row>
    <row r="112" spans="1:16" s="109" customFormat="1" ht="14.25" customHeight="1" x14ac:dyDescent="0.25">
      <c r="A112" s="49"/>
      <c r="B112" s="1398"/>
      <c r="C112" s="1399"/>
      <c r="D112" s="1400"/>
      <c r="E112" s="1386"/>
      <c r="F112" s="1387"/>
      <c r="G112" s="110">
        <f>IF(E112="",0,IF(E112=ROUND(J110*M103*(52/12),0),J110,ROUNDDOWN(IF(M104=0,0,E112/M103/(52/12)),2)))</f>
        <v>0</v>
      </c>
      <c r="H112" s="85"/>
      <c r="O112" s="928" t="str">
        <f t="shared" si="14"/>
        <v>Nov 2025</v>
      </c>
      <c r="P112" s="69">
        <f t="shared" si="15"/>
        <v>0</v>
      </c>
    </row>
    <row r="113" spans="1:16" s="85" customFormat="1" ht="14.25" customHeight="1" x14ac:dyDescent="0.25">
      <c r="A113" s="49"/>
      <c r="B113" s="1398"/>
      <c r="C113" s="1399"/>
      <c r="D113" s="1400"/>
      <c r="E113" s="1386"/>
      <c r="F113" s="1387"/>
      <c r="G113" s="110">
        <f>IF(E113="",0,IF(E113=ROUND(J110*M103*(52/12),0),J110,ROUNDDOWN(IF(M104=0,0,E113/M103/(52/12)),2)))</f>
        <v>0</v>
      </c>
      <c r="H113" s="86"/>
      <c r="O113" s="928" t="str">
        <f t="shared" si="14"/>
        <v>Dez 2025</v>
      </c>
      <c r="P113" s="69">
        <f t="shared" si="15"/>
        <v>0</v>
      </c>
    </row>
    <row r="114" spans="1:16" s="85" customFormat="1" ht="12" customHeight="1" x14ac:dyDescent="0.25">
      <c r="A114" s="46"/>
      <c r="B114" s="972"/>
      <c r="C114" s="972"/>
      <c r="D114" s="46"/>
      <c r="E114" s="972"/>
      <c r="F114" s="972"/>
      <c r="G114" s="88"/>
      <c r="H114" s="86"/>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924" t="s">
        <v>732</v>
      </c>
      <c r="D115" s="55" t="s">
        <v>369</v>
      </c>
      <c r="E115" s="56" t="s">
        <v>368</v>
      </c>
      <c r="F115" s="58"/>
      <c r="J115" s="61"/>
    </row>
    <row r="116" spans="1:16" s="46" customFormat="1" ht="13.5" customHeight="1" x14ac:dyDescent="0.25">
      <c r="A116" s="60"/>
      <c r="B116" s="1314" t="str">
        <f>IF('päd.Personal - Leitung'!$B$20="","",'päd.Personal - Leitung'!$B$20)</f>
        <v>Jahressonderzahlung (JSZ)</v>
      </c>
      <c r="C116" s="1315"/>
      <c r="D116" s="926"/>
      <c r="E116" s="929" t="str">
        <f>IF(A116="","",ROUND((((SUM(B131:B133)+SUM(F131:F133))/3)*D116)/Grundlagen!$C$26*M107,2))</f>
        <v/>
      </c>
      <c r="G116" s="986"/>
      <c r="H116" s="995"/>
      <c r="I116" s="988"/>
      <c r="J116" s="988"/>
      <c r="K116" s="988"/>
      <c r="L116" s="989"/>
      <c r="M116" s="989"/>
      <c r="N116" s="984"/>
      <c r="O116" s="990"/>
      <c r="P116" s="990"/>
    </row>
    <row r="117" spans="1:16" s="1" customFormat="1" ht="14.25" customHeight="1" x14ac:dyDescent="0.2">
      <c r="A117" s="60"/>
      <c r="B117" s="1314" t="str">
        <f>IF('päd.Personal - Leitung'!$B$21="","",'päd.Personal - Leitung'!$B$21)</f>
        <v>Leistungsentgelt (LOB)</v>
      </c>
      <c r="C117" s="1315"/>
      <c r="D117" s="926"/>
      <c r="E117" s="929" t="str">
        <f>IF(A117="","",ROUND(((B137+F137)*D117)/Grundlagen!$C$26*M107,2))</f>
        <v/>
      </c>
      <c r="G117" s="986"/>
      <c r="H117" s="987"/>
      <c r="I117" s="988"/>
      <c r="J117" s="988"/>
      <c r="K117" s="988"/>
      <c r="L117" s="991"/>
      <c r="M117" s="991"/>
      <c r="N117" s="985"/>
      <c r="O117" s="65"/>
      <c r="P117" s="65"/>
    </row>
    <row r="118" spans="1:16" s="1" customFormat="1" ht="12" customHeight="1" x14ac:dyDescent="0.2">
      <c r="C118" s="925" t="s">
        <v>731</v>
      </c>
      <c r="L118" s="991"/>
      <c r="M118" s="991"/>
      <c r="N118" s="985"/>
      <c r="O118" s="992"/>
      <c r="P118" s="992"/>
    </row>
    <row r="119" spans="1:16" ht="14.25" customHeight="1" x14ac:dyDescent="0.2">
      <c r="A119" s="53" t="s">
        <v>141</v>
      </c>
    </row>
    <row r="120" spans="1:16" ht="14.25" customHeight="1" x14ac:dyDescent="0.2">
      <c r="A120" s="1346"/>
      <c r="B120" s="1348" t="s">
        <v>8</v>
      </c>
      <c r="C120" s="1349"/>
      <c r="D120" s="1349"/>
      <c r="E120" s="1349"/>
      <c r="F120" s="1349"/>
      <c r="G120" s="1350"/>
      <c r="H120" s="1351" t="s">
        <v>7</v>
      </c>
      <c r="I120" s="1352"/>
      <c r="J120" s="1352"/>
      <c r="K120" s="1352"/>
      <c r="L120" s="1352"/>
      <c r="M120" s="1352"/>
      <c r="N120" s="1000"/>
      <c r="O120" s="30"/>
      <c r="P120" s="1330" t="s">
        <v>0</v>
      </c>
    </row>
    <row r="121" spans="1:16" x14ac:dyDescent="0.2">
      <c r="A121" s="1347"/>
      <c r="B121" s="1333" t="s">
        <v>111</v>
      </c>
      <c r="C121" s="1335" t="s">
        <v>743</v>
      </c>
      <c r="D121" s="1337" t="s">
        <v>226</v>
      </c>
      <c r="E121" s="1339" t="s">
        <v>133</v>
      </c>
      <c r="F121" s="1002" t="s">
        <v>6</v>
      </c>
      <c r="G121" s="1340" t="s">
        <v>5</v>
      </c>
      <c r="H121" s="1339" t="s">
        <v>119</v>
      </c>
      <c r="I121" s="1339" t="s">
        <v>4</v>
      </c>
      <c r="J121" s="1339" t="s">
        <v>178</v>
      </c>
      <c r="K121" s="1339" t="s">
        <v>114</v>
      </c>
      <c r="L121" s="1339" t="s">
        <v>115</v>
      </c>
      <c r="M121" s="1339" t="s">
        <v>116</v>
      </c>
      <c r="N121" s="1002" t="s">
        <v>6</v>
      </c>
      <c r="O121" s="1338" t="s">
        <v>109</v>
      </c>
      <c r="P121" s="1331"/>
    </row>
    <row r="122" spans="1:16" x14ac:dyDescent="0.2">
      <c r="A122" s="1347"/>
      <c r="B122" s="1333"/>
      <c r="C122" s="1335"/>
      <c r="D122" s="1338"/>
      <c r="E122" s="1339"/>
      <c r="F122" s="1401" t="str">
        <f>IF(H110=0,"","siehe Zuschläge / Zulagen")</f>
        <v/>
      </c>
      <c r="G122" s="1340"/>
      <c r="H122" s="1342" t="s">
        <v>117</v>
      </c>
      <c r="I122" s="1342"/>
      <c r="J122" s="1342"/>
      <c r="K122" s="1342"/>
      <c r="L122" s="1342"/>
      <c r="M122" s="1342"/>
      <c r="N122" s="1401"/>
      <c r="O122" s="1338"/>
      <c r="P122" s="1331"/>
    </row>
    <row r="123" spans="1:16" x14ac:dyDescent="0.2">
      <c r="A123" s="1347"/>
      <c r="B123" s="1333"/>
      <c r="C123" s="1335"/>
      <c r="D123" s="1338"/>
      <c r="E123" s="1339"/>
      <c r="F123" s="1401"/>
      <c r="G123" s="1340"/>
      <c r="H123" s="89" t="s">
        <v>725</v>
      </c>
      <c r="I123" s="999" t="s">
        <v>726</v>
      </c>
      <c r="J123" s="999" t="s">
        <v>727</v>
      </c>
      <c r="K123" s="999" t="s">
        <v>728</v>
      </c>
      <c r="L123" s="999" t="s">
        <v>729</v>
      </c>
      <c r="M123" s="999" t="s">
        <v>719</v>
      </c>
      <c r="N123" s="1401"/>
      <c r="O123" s="1338"/>
      <c r="P123" s="1331"/>
    </row>
    <row r="124" spans="1:16" x14ac:dyDescent="0.2">
      <c r="A124" s="1347"/>
      <c r="B124" s="1334"/>
      <c r="C124" s="1336"/>
      <c r="D124" s="45"/>
      <c r="E124" s="45"/>
      <c r="F124" s="45"/>
      <c r="G124" s="1341"/>
      <c r="H124" s="19"/>
      <c r="I124" s="19"/>
      <c r="J124" s="19"/>
      <c r="K124" s="19"/>
      <c r="L124" s="19"/>
      <c r="M124" s="19"/>
      <c r="N124" s="45"/>
      <c r="O124" s="19"/>
      <c r="P124" s="1332"/>
    </row>
    <row r="125" spans="1:16" x14ac:dyDescent="0.2">
      <c r="A125" s="76" t="str">
        <f>'päd.Personal - Leitung'!$A$29</f>
        <v>Jan 2025</v>
      </c>
      <c r="B125" s="22">
        <f>ROUND(IF(P102=0,0,(LOOKUP(2,1/(A110:A113=A125),E110:E113))/M103*P102),2)</f>
        <v>0</v>
      </c>
      <c r="C125" s="21">
        <f>ROUND(IFERROR(((LOOKUP(2,1/(A116=A125),((SUM(B131:B133)+SUM(F131:F133))/3)*D116))),0)+IFERROR(((LOOKUP(2,1/(A117=A125),(B137+F137)*D117))),0),2)</f>
        <v>0</v>
      </c>
      <c r="D125" s="21">
        <f>IF(B125=0,0,D124/M103*P102)</f>
        <v>0</v>
      </c>
      <c r="E125" s="21">
        <f>IF(B125=0,0,E124/M103*P102)</f>
        <v>0</v>
      </c>
      <c r="F125" s="21">
        <f>IF(B125=0,0,F124/M103*P102)</f>
        <v>0</v>
      </c>
      <c r="G125" s="25">
        <f>SUM(B125+C125+E125+F125)</f>
        <v>0</v>
      </c>
      <c r="H125" s="64">
        <f>ROUND(SUM(B125:F125)*H124,2)</f>
        <v>0</v>
      </c>
      <c r="I125" s="64">
        <f>ROUND(SUM(B125:F125)*I124,2)</f>
        <v>0</v>
      </c>
      <c r="J125" s="64">
        <f>ROUND(SUM(B125:F125)*J124,2)</f>
        <v>0</v>
      </c>
      <c r="K125" s="25">
        <f>ROUND((B125+SUM(D125:F125))*K124,2)</f>
        <v>0</v>
      </c>
      <c r="L125" s="25">
        <f>ROUND((B125+SUM(D125:F125))*L124,2)</f>
        <v>0</v>
      </c>
      <c r="M125" s="64">
        <f>ROUND(SUM(B125:F125)*M124,2)</f>
        <v>0</v>
      </c>
      <c r="N125" s="21">
        <f>IF(B125=0,0,N124/M103*P102)</f>
        <v>0</v>
      </c>
      <c r="O125" s="21">
        <f>ROUND(SUM(B125+C125+F125)*O124,2)</f>
        <v>0</v>
      </c>
      <c r="P125" s="25">
        <f>SUM(G125:O125)</f>
        <v>0</v>
      </c>
    </row>
    <row r="126" spans="1:16" x14ac:dyDescent="0.2">
      <c r="A126" s="76" t="str">
        <f>'päd.Personal - Leitung'!$A$30</f>
        <v>Feb 2025</v>
      </c>
      <c r="B126" s="22">
        <f>ROUND(IF(P103=0,0,IFERROR(((LOOKUP(2,1/(A110:A113=A126),E110:E113))/M103*P103),B125/P103*P103)),2)</f>
        <v>0</v>
      </c>
      <c r="C126" s="21">
        <f>ROUND(IFERROR(((LOOKUP(2,1/(A116=A126),((SUM(B131:B133)+SUM(F131:F133))/3)*D116))),0)+IFERROR(((LOOKUP(2,1/(A117=A126),(B137+F137)*D117))),0),2)</f>
        <v>0</v>
      </c>
      <c r="D126" s="21">
        <f>IF(B126=0,0,D124/M103*P103)</f>
        <v>0</v>
      </c>
      <c r="E126" s="21">
        <f>IF(B126=0,0,E124/M103*P103)</f>
        <v>0</v>
      </c>
      <c r="F126" s="21">
        <f>IF(B126=0,0,F124/M103*P103)</f>
        <v>0</v>
      </c>
      <c r="G126" s="25">
        <f t="shared" ref="G126:G136" si="16">SUM(B126+C126+E126+F126)</f>
        <v>0</v>
      </c>
      <c r="H126" s="64">
        <f>ROUND(SUM(B126:F126)*H124,2)</f>
        <v>0</v>
      </c>
      <c r="I126" s="64">
        <f>ROUND(SUM(B126:F126)*I124,2)</f>
        <v>0</v>
      </c>
      <c r="J126" s="64">
        <f>ROUND(SUM(B126:F126)*J124,2)</f>
        <v>0</v>
      </c>
      <c r="K126" s="25">
        <f>ROUND((B126+SUM(D126:F126))*K124,2)</f>
        <v>0</v>
      </c>
      <c r="L126" s="25">
        <f>ROUND((B126+SUM(D126:F126))*L124,2)</f>
        <v>0</v>
      </c>
      <c r="M126" s="64">
        <f>ROUND(SUM(B126:F126)*M124,2)</f>
        <v>0</v>
      </c>
      <c r="N126" s="21">
        <f>IF(B126=0,0,N124/M103*P103)</f>
        <v>0</v>
      </c>
      <c r="O126" s="21">
        <f>ROUND(SUM(B126+C126+F126)*O124,2)</f>
        <v>0</v>
      </c>
      <c r="P126" s="25">
        <f>SUM(G126:O126)</f>
        <v>0</v>
      </c>
    </row>
    <row r="127" spans="1:16" x14ac:dyDescent="0.2">
      <c r="A127" s="76" t="str">
        <f>'päd.Personal - Leitung'!$A$31</f>
        <v>Mrz 2025</v>
      </c>
      <c r="B127" s="22">
        <f>ROUND(IF(P104=0,0,IFERROR(((LOOKUP(2,1/(A110:A113=A127),E110:E113))/M103*P104),B126/P104*P104)),2)</f>
        <v>0</v>
      </c>
      <c r="C127" s="21">
        <f>ROUND(IFERROR(((LOOKUP(2,1/(A116=A127),((SUM(B131:B133)+SUM(F131:F133))/3)*D116))),0)+IFERROR(((LOOKUP(2,1/(A117=A127),(B137+F137)*D117))),0),2)</f>
        <v>0</v>
      </c>
      <c r="D127" s="21">
        <f>IF(B127=0,0,D124/M103*P104)</f>
        <v>0</v>
      </c>
      <c r="E127" s="21">
        <f>IF(B127=0,0,E124/M103*P104)</f>
        <v>0</v>
      </c>
      <c r="F127" s="21">
        <f>IF(B127=0,0,F124/M103*P104)</f>
        <v>0</v>
      </c>
      <c r="G127" s="25">
        <f t="shared" si="16"/>
        <v>0</v>
      </c>
      <c r="H127" s="64">
        <f>ROUND(SUM(B127:F127)*H124,2)</f>
        <v>0</v>
      </c>
      <c r="I127" s="64">
        <f>ROUND(SUM(B127:F127)*I124,2)</f>
        <v>0</v>
      </c>
      <c r="J127" s="64">
        <f>ROUND(SUM(B127:F127)*J124,2)</f>
        <v>0</v>
      </c>
      <c r="K127" s="25">
        <f>ROUND((B127+SUM(D127:F127))*K124,2)</f>
        <v>0</v>
      </c>
      <c r="L127" s="25">
        <f>ROUND((B127+SUM(D127:F127))*L124,2)</f>
        <v>0</v>
      </c>
      <c r="M127" s="64">
        <f>ROUND(SUM(B127:F127)*M124,2)</f>
        <v>0</v>
      </c>
      <c r="N127" s="21">
        <f>IF(B127=0,0,N124/M103*P104)</f>
        <v>0</v>
      </c>
      <c r="O127" s="21">
        <f>ROUND(SUM(B127+C127+F127)*O124,2)</f>
        <v>0</v>
      </c>
      <c r="P127" s="25">
        <f t="shared" ref="P127" si="17">SUM(G127:O127)</f>
        <v>0</v>
      </c>
    </row>
    <row r="128" spans="1:16" x14ac:dyDescent="0.2">
      <c r="A128" s="76" t="str">
        <f>'päd.Personal - Leitung'!$A$32</f>
        <v>Apr 2025</v>
      </c>
      <c r="B128" s="22">
        <f>ROUND(IF(P105=0,0,IFERROR(((LOOKUP(2,1/(A110:A113=A128),E110:E113))/M103*P105),B127/P105*P105)),2)</f>
        <v>0</v>
      </c>
      <c r="C128" s="21">
        <f>ROUND(IFERROR(((LOOKUP(2,1/(A116=A128),((SUM(B131:B133)+SUM(F131:F133))/3)*D116))),0)+IFERROR(((LOOKUP(2,1/(A117=A128),(B137+F137)*D117))),0),2)</f>
        <v>0</v>
      </c>
      <c r="D128" s="21">
        <f>IF(B128=0,0,D124/M103*P105)</f>
        <v>0</v>
      </c>
      <c r="E128" s="21">
        <f>IF(B128=0,0,E124/M103*P105)</f>
        <v>0</v>
      </c>
      <c r="F128" s="21">
        <f>IF(B128=0,0,F124/M103*P105)</f>
        <v>0</v>
      </c>
      <c r="G128" s="25">
        <f t="shared" si="16"/>
        <v>0</v>
      </c>
      <c r="H128" s="64">
        <f>ROUND(SUM(B128:F128)*H124,2)</f>
        <v>0</v>
      </c>
      <c r="I128" s="64">
        <f>ROUND(SUM(B128:F128)*I124,2)</f>
        <v>0</v>
      </c>
      <c r="J128" s="64">
        <f>ROUND(SUM(B128:F128)*J124,2)</f>
        <v>0</v>
      </c>
      <c r="K128" s="25">
        <f>ROUND((B128+SUM(D128:F128))*K124,2)</f>
        <v>0</v>
      </c>
      <c r="L128" s="25">
        <f>ROUND((B128+SUM(D128:F128))*L124,2)</f>
        <v>0</v>
      </c>
      <c r="M128" s="64">
        <f>ROUND(SUM(B128:F128)*M124,2)</f>
        <v>0</v>
      </c>
      <c r="N128" s="21">
        <f>IF(B128=0,0,N124/M103*P105)</f>
        <v>0</v>
      </c>
      <c r="O128" s="21">
        <f>ROUND(SUM(B128+C128+F128)*O124,2)</f>
        <v>0</v>
      </c>
      <c r="P128" s="25">
        <f>SUM(G128:O128)</f>
        <v>0</v>
      </c>
    </row>
    <row r="129" spans="1:16" x14ac:dyDescent="0.2">
      <c r="A129" s="76" t="str">
        <f>'päd.Personal - Leitung'!$A$33</f>
        <v>Mai 2025</v>
      </c>
      <c r="B129" s="22">
        <f>ROUND(IF(P106=0,0,IFERROR(((LOOKUP(2,1/(A110:A113=A129),E110:E113))/M103*P106),B128/P106*P106)),2)</f>
        <v>0</v>
      </c>
      <c r="C129" s="21">
        <f>ROUND(IFERROR(((LOOKUP(2,1/(A116=A129),((SUM(B131:B133)+SUM(F131:F133))/3)*D116))),0)+IFERROR(((LOOKUP(2,1/(A117=A129),(B137+F137)*D117))),0),2)</f>
        <v>0</v>
      </c>
      <c r="D129" s="21">
        <f>IF(B129=0,0,D124/M103*P106)</f>
        <v>0</v>
      </c>
      <c r="E129" s="21">
        <f>IF(B129=0,0,E124/M103*P106)</f>
        <v>0</v>
      </c>
      <c r="F129" s="21">
        <f>IF(B129=0,0,F124/M103*P106)</f>
        <v>0</v>
      </c>
      <c r="G129" s="25">
        <f t="shared" si="16"/>
        <v>0</v>
      </c>
      <c r="H129" s="64">
        <f>ROUND(SUM(B129:F129)*H124,2)</f>
        <v>0</v>
      </c>
      <c r="I129" s="64">
        <f>ROUND(SUM(B129:F129)*I124,2)</f>
        <v>0</v>
      </c>
      <c r="J129" s="64">
        <f>ROUND(SUM(B129:F129)*J124,2)</f>
        <v>0</v>
      </c>
      <c r="K129" s="25">
        <f>ROUND((B129+SUM(D129:F129))*K124,2)</f>
        <v>0</v>
      </c>
      <c r="L129" s="25">
        <f>ROUND((B129+SUM(D129:F129))*L124,2)</f>
        <v>0</v>
      </c>
      <c r="M129" s="64">
        <f>ROUND(SUM(B129:F129)*M124,2)</f>
        <v>0</v>
      </c>
      <c r="N129" s="21">
        <f>IF(B129=0,0,N124/M103*P106)</f>
        <v>0</v>
      </c>
      <c r="O129" s="21">
        <f>ROUND(SUM(B129+C129+F129)*O124,2)</f>
        <v>0</v>
      </c>
      <c r="P129" s="25">
        <f t="shared" ref="P129" si="18">SUM(G129:O129)</f>
        <v>0</v>
      </c>
    </row>
    <row r="130" spans="1:16" x14ac:dyDescent="0.2">
      <c r="A130" s="76" t="str">
        <f>'päd.Personal - Leitung'!$A$34</f>
        <v>Jun 2025</v>
      </c>
      <c r="B130" s="22">
        <f>ROUND(IF(P107=0,0,IFERROR(((LOOKUP(2,1/(A110:A113=A130),E110:E113))/M103*P107),B129/P107*P107)),2)</f>
        <v>0</v>
      </c>
      <c r="C130" s="21">
        <f>ROUND(IFERROR(((LOOKUP(2,1/(A116=A130),((SUM(B131:B133)+SUM(F131:F133))/3)*D116))),0)+IFERROR(((LOOKUP(2,1/(A117=A130),(B137+F137)*D117))),0),2)</f>
        <v>0</v>
      </c>
      <c r="D130" s="21">
        <f>IF(B130=0,0,D124/M103*P107)</f>
        <v>0</v>
      </c>
      <c r="E130" s="21">
        <f>IF(B130=0,0,E124/M103*P107)</f>
        <v>0</v>
      </c>
      <c r="F130" s="21">
        <f>IF(B130=0,0,F124/M103*P107)</f>
        <v>0</v>
      </c>
      <c r="G130" s="25">
        <f t="shared" si="16"/>
        <v>0</v>
      </c>
      <c r="H130" s="64">
        <f>ROUND(SUM(B130:F130)*H124,2)</f>
        <v>0</v>
      </c>
      <c r="I130" s="64">
        <f>ROUND(SUM(B130:F130)*I124,2)</f>
        <v>0</v>
      </c>
      <c r="J130" s="64">
        <f>ROUND(SUM(B130:F130)*J124,2)</f>
        <v>0</v>
      </c>
      <c r="K130" s="25">
        <f>ROUND((B130+SUM(D130:F130))*K124,2)</f>
        <v>0</v>
      </c>
      <c r="L130" s="25">
        <f>ROUND((B130+SUM(D130:F130))*L124,2)</f>
        <v>0</v>
      </c>
      <c r="M130" s="64">
        <f>ROUND(SUM(B130:F130)*M124,2)</f>
        <v>0</v>
      </c>
      <c r="N130" s="21">
        <f>IF(B130=0,0,N124/M103*P107)</f>
        <v>0</v>
      </c>
      <c r="O130" s="21">
        <f>ROUND(SUM(B130+C130+F130)*O124,2)</f>
        <v>0</v>
      </c>
      <c r="P130" s="25">
        <f t="shared" ref="P130:P131" si="19">SUM(G130:O130)</f>
        <v>0</v>
      </c>
    </row>
    <row r="131" spans="1:16" x14ac:dyDescent="0.2">
      <c r="A131" s="76" t="str">
        <f>'päd.Personal - Leitung'!$A$35</f>
        <v>Jul 2025</v>
      </c>
      <c r="B131" s="22">
        <f>ROUND(IF(P108=0,0,IFERROR(((LOOKUP(2,1/(A110:A113=A131),E110:E113))/M103*P108),B130/P108*P108)),2)</f>
        <v>0</v>
      </c>
      <c r="C131" s="21">
        <f>ROUND(IFERROR(((LOOKUP(2,1/(A116=A131),((SUM(B131:B133)+SUM(F131:F133))/3)*D116))),0)+IFERROR(((LOOKUP(2,1/(A117=A131),(B137+F137)*D117))),0),2)</f>
        <v>0</v>
      </c>
      <c r="D131" s="21">
        <f>IF(B131=0,0,D124/M103*P108)</f>
        <v>0</v>
      </c>
      <c r="E131" s="21">
        <f>IF(B131=0,0,E124/M103*P108)</f>
        <v>0</v>
      </c>
      <c r="F131" s="21">
        <f>IF(B131=0,0,F124/M103*P108)</f>
        <v>0</v>
      </c>
      <c r="G131" s="25">
        <f t="shared" si="16"/>
        <v>0</v>
      </c>
      <c r="H131" s="64">
        <f>ROUND(SUM(B131:F131)*H124,2)</f>
        <v>0</v>
      </c>
      <c r="I131" s="64">
        <f>ROUND(SUM(B131:F131)*I124,2)</f>
        <v>0</v>
      </c>
      <c r="J131" s="64">
        <f>ROUND(SUM(B131:F131)*J124,2)</f>
        <v>0</v>
      </c>
      <c r="K131" s="25">
        <f>ROUND((B131+SUM(D131:F131))*K124,2)</f>
        <v>0</v>
      </c>
      <c r="L131" s="25">
        <f>ROUND((B131+SUM(D131:F131))*L124,2)</f>
        <v>0</v>
      </c>
      <c r="M131" s="64">
        <f>ROUND(SUM(B131:F131)*M124,2)</f>
        <v>0</v>
      </c>
      <c r="N131" s="21">
        <f>IF(B131=0,0,N124/M103*P108)</f>
        <v>0</v>
      </c>
      <c r="O131" s="21">
        <f>ROUND(SUM(B131+C131+F131)*O124,2)</f>
        <v>0</v>
      </c>
      <c r="P131" s="25">
        <f t="shared" si="19"/>
        <v>0</v>
      </c>
    </row>
    <row r="132" spans="1:16" x14ac:dyDescent="0.2">
      <c r="A132" s="76" t="str">
        <f>'päd.Personal - Leitung'!$A$36</f>
        <v>Aug 2025</v>
      </c>
      <c r="B132" s="22">
        <f>ROUND(IF(P109=0,0,IFERROR(((LOOKUP(2,1/(A110:A113=A132),E110:E113))/M103*P109),B131/P109*P109)),2)</f>
        <v>0</v>
      </c>
      <c r="C132" s="21">
        <f>ROUND(IFERROR(((LOOKUP(2,1/(A116=A132),((SUM(B131:B133)+SUM(F131:F133))/3)*D116))),0)+IFERROR(((LOOKUP(2,1/(A117=A132),(B137+F137)*D117))),0),2)</f>
        <v>0</v>
      </c>
      <c r="D132" s="21">
        <f>IF(B132=0,0,D124/M103*P109)</f>
        <v>0</v>
      </c>
      <c r="E132" s="21">
        <f>IF(B132=0,0,E124/M103*P109)</f>
        <v>0</v>
      </c>
      <c r="F132" s="21">
        <f>IF(B132=0,0,F124/M103*P109)</f>
        <v>0</v>
      </c>
      <c r="G132" s="25">
        <f t="shared" si="16"/>
        <v>0</v>
      </c>
      <c r="H132" s="64">
        <f>ROUND(SUM(B132:F132)*H124,2)</f>
        <v>0</v>
      </c>
      <c r="I132" s="64">
        <f>ROUND(SUM(B132:F132)*I124,2)</f>
        <v>0</v>
      </c>
      <c r="J132" s="64">
        <f>ROUND(SUM(B132:F132)*J124,2)</f>
        <v>0</v>
      </c>
      <c r="K132" s="25">
        <f>ROUND((B132+SUM(D132:F132))*K124,2)</f>
        <v>0</v>
      </c>
      <c r="L132" s="25">
        <f>ROUND((B132+SUM(D132:F132))*L124,2)</f>
        <v>0</v>
      </c>
      <c r="M132" s="64">
        <f>ROUND(SUM(B132:F132)*M124,2)</f>
        <v>0</v>
      </c>
      <c r="N132" s="21">
        <f>IF(B132=0,0,N124/M103*P109)</f>
        <v>0</v>
      </c>
      <c r="O132" s="21">
        <f>ROUND(SUM(B132+C132+F132)*O124,2)</f>
        <v>0</v>
      </c>
      <c r="P132" s="25">
        <f>SUM(G132:O132)</f>
        <v>0</v>
      </c>
    </row>
    <row r="133" spans="1:16" x14ac:dyDescent="0.2">
      <c r="A133" s="76" t="str">
        <f>'päd.Personal - Leitung'!$A$37</f>
        <v>Sep 2025</v>
      </c>
      <c r="B133" s="22">
        <f>ROUND(IF(P110=0,0,IFERROR(((LOOKUP(2,1/(A110:A113=A133),E110:E113))/M103*P110),B132/P110*P110)),2)</f>
        <v>0</v>
      </c>
      <c r="C133" s="21">
        <f>ROUND(IFERROR(((LOOKUP(2,1/(A116=A133),((SUM(B131:B133)+SUM(F131:F133))/3)*D116))),0)+IFERROR(((LOOKUP(2,1/(A117=A133),(B137+F137)*D117))),0),2)</f>
        <v>0</v>
      </c>
      <c r="D133" s="21">
        <f>IF(B133=0,0,D124/M103*P110)</f>
        <v>0</v>
      </c>
      <c r="E133" s="21">
        <f>IF(B133=0,0,E124/M103*P110)</f>
        <v>0</v>
      </c>
      <c r="F133" s="21">
        <f>IF(B133=0,0,F124/M103*P110)</f>
        <v>0</v>
      </c>
      <c r="G133" s="25">
        <f t="shared" si="16"/>
        <v>0</v>
      </c>
      <c r="H133" s="64">
        <f>ROUND(SUM(B133:F133)*H124,2)</f>
        <v>0</v>
      </c>
      <c r="I133" s="64">
        <f>ROUND(SUM(B133:F133)*I124,2)</f>
        <v>0</v>
      </c>
      <c r="J133" s="64">
        <f>ROUND(SUM(B133:F133)*J124,2)</f>
        <v>0</v>
      </c>
      <c r="K133" s="25">
        <f>ROUND((B133+SUM(D133:F133))*K124,2)</f>
        <v>0</v>
      </c>
      <c r="L133" s="25">
        <f>ROUND((B133+SUM(D133:F133))*L124,2)</f>
        <v>0</v>
      </c>
      <c r="M133" s="64">
        <f>ROUND(SUM(B133:F133)*M124,2)</f>
        <v>0</v>
      </c>
      <c r="N133" s="21">
        <f>IF(B133=0,0,N124/M103*P110)</f>
        <v>0</v>
      </c>
      <c r="O133" s="21">
        <f>ROUND(SUM(B133+C133+F133)*O124,2)</f>
        <v>0</v>
      </c>
      <c r="P133" s="25">
        <f>SUM(G133:O133)</f>
        <v>0</v>
      </c>
    </row>
    <row r="134" spans="1:16" x14ac:dyDescent="0.2">
      <c r="A134" s="76" t="str">
        <f>'päd.Personal - Leitung'!$A$38</f>
        <v>Okt 2025</v>
      </c>
      <c r="B134" s="22">
        <f>ROUND(IF(P111=0,0,IFERROR(((LOOKUP(2,1/(A110:A113=A134),E110:E113))/M103*P111),B133/P111*P111)),2)</f>
        <v>0</v>
      </c>
      <c r="C134" s="21">
        <f>ROUND(IFERROR(((LOOKUP(2,1/(A116=A134),((SUM(B131:B133)+SUM(F131:F133))/3)*D116))),0)+IFERROR(((LOOKUP(2,1/(A117=A134),(B137+F137)*D117))),0),2)</f>
        <v>0</v>
      </c>
      <c r="D134" s="21">
        <f>IF(B134=0,0,D124/M103*P111)</f>
        <v>0</v>
      </c>
      <c r="E134" s="21">
        <f>IF(B134=0,0,E124/M103*P111)</f>
        <v>0</v>
      </c>
      <c r="F134" s="21">
        <f>IF(B134=0,0,F124/M103*P111)</f>
        <v>0</v>
      </c>
      <c r="G134" s="25">
        <f t="shared" si="16"/>
        <v>0</v>
      </c>
      <c r="H134" s="64">
        <f>ROUND(SUM(B134:F134)*H124,2)</f>
        <v>0</v>
      </c>
      <c r="I134" s="64">
        <f>ROUND(SUM(B134:F134)*I124,2)</f>
        <v>0</v>
      </c>
      <c r="J134" s="64">
        <f>ROUND(SUM(B134:F134)*J124,2)</f>
        <v>0</v>
      </c>
      <c r="K134" s="25">
        <f>ROUND((B134+SUM(D134:F134))*K124,2)</f>
        <v>0</v>
      </c>
      <c r="L134" s="25">
        <f>ROUND((B134+SUM(D134:F134))*L124,2)</f>
        <v>0</v>
      </c>
      <c r="M134" s="64">
        <f>ROUND(SUM(B134:F134)*M124,2)</f>
        <v>0</v>
      </c>
      <c r="N134" s="21">
        <f>IF(B134=0,0,N124/M103*P111)</f>
        <v>0</v>
      </c>
      <c r="O134" s="21">
        <f>ROUND(SUM(B134+C134+F134)*O124,2)</f>
        <v>0</v>
      </c>
      <c r="P134" s="25">
        <f>SUM(G134:O134)</f>
        <v>0</v>
      </c>
    </row>
    <row r="135" spans="1:16" x14ac:dyDescent="0.2">
      <c r="A135" s="76" t="str">
        <f>'päd.Personal - Leitung'!$A$39</f>
        <v>Nov 2025</v>
      </c>
      <c r="B135" s="22">
        <f>ROUND(IF(P112=0,0,IFERROR(((LOOKUP(2,1/(A110:A113=A135),E110:E113))/M103*P112),B134/P112*P112)),2)</f>
        <v>0</v>
      </c>
      <c r="C135" s="21">
        <f>ROUND(IFERROR(((LOOKUP(2,1/(A116=A135),((SUM(B131:B133)+SUM(F131:F133))/3)*D116))),0)+IFERROR(((LOOKUP(2,1/(A117=A135),(B137+F137)*D117))),0),2)</f>
        <v>0</v>
      </c>
      <c r="D135" s="21">
        <f>IF(B135=0,0,D124/M103*P112)</f>
        <v>0</v>
      </c>
      <c r="E135" s="21">
        <f>IF(B135=0,0,E124/M103*P112)</f>
        <v>0</v>
      </c>
      <c r="F135" s="21">
        <f>IF(B135=0,0,F124/M103*P112)</f>
        <v>0</v>
      </c>
      <c r="G135" s="25">
        <f t="shared" si="16"/>
        <v>0</v>
      </c>
      <c r="H135" s="64">
        <f>ROUND(SUM(B135:F135)*H124,2)</f>
        <v>0</v>
      </c>
      <c r="I135" s="64">
        <f>ROUND(SUM(B135:F135)*I124,2)</f>
        <v>0</v>
      </c>
      <c r="J135" s="64">
        <f>ROUND(SUM(B135:F135)*J124,2)</f>
        <v>0</v>
      </c>
      <c r="K135" s="25">
        <f>ROUND((B135+SUM(D135:F135))*K124,2)</f>
        <v>0</v>
      </c>
      <c r="L135" s="25">
        <f>ROUND((B135+SUM(D135:F135))*L124,2)</f>
        <v>0</v>
      </c>
      <c r="M135" s="64">
        <f>ROUND(SUM(B135:F135)*M124,2)</f>
        <v>0</v>
      </c>
      <c r="N135" s="21">
        <f>IF(B135=0,0,N124/M103*P112)</f>
        <v>0</v>
      </c>
      <c r="O135" s="21">
        <f>ROUND(SUM(B135+C135+F135)*O124,2)</f>
        <v>0</v>
      </c>
      <c r="P135" s="25">
        <f>SUM(G135:O135)</f>
        <v>0</v>
      </c>
    </row>
    <row r="136" spans="1:16" x14ac:dyDescent="0.2">
      <c r="A136" s="76" t="str">
        <f>'päd.Personal - Leitung'!$A$40</f>
        <v>Dez 2025</v>
      </c>
      <c r="B136" s="22">
        <f>ROUND(IF(P113=0,0,IFERROR(((LOOKUP(2,1/(A110:A113=A136),E110:E113))/M103*P113),B135/P113*P113)),2)</f>
        <v>0</v>
      </c>
      <c r="C136" s="21">
        <f>ROUND(IFERROR(((LOOKUP(2,1/(A116=A136),((SUM(B131:B133)+SUM(F131:F133))/3)*D116))),0)+IFERROR(((LOOKUP(2,1/(A117=A136),(B137+F137)*D117))),0),2)</f>
        <v>0</v>
      </c>
      <c r="D136" s="21">
        <f>IF(B136=0,0,D124/M103*P113)</f>
        <v>0</v>
      </c>
      <c r="E136" s="21">
        <f>IF(B136=0,0,E124/M103*P113)</f>
        <v>0</v>
      </c>
      <c r="F136" s="21">
        <f>IF(B136=0,0,F124/M103*P113)</f>
        <v>0</v>
      </c>
      <c r="G136" s="25">
        <f t="shared" si="16"/>
        <v>0</v>
      </c>
      <c r="H136" s="64">
        <f>ROUND(SUM(B136:F136)*H124,2)</f>
        <v>0</v>
      </c>
      <c r="I136" s="64">
        <f>ROUND(SUM(B136:F136)*I124,2)</f>
        <v>0</v>
      </c>
      <c r="J136" s="64">
        <f>ROUND(SUM(B136:F136)*J124,2)</f>
        <v>0</v>
      </c>
      <c r="K136" s="25">
        <f>ROUND((B136+SUM(D136:F136))*K124,2)</f>
        <v>0</v>
      </c>
      <c r="L136" s="25">
        <f>ROUND((B136+SUM(D136:F136))*L124,2)</f>
        <v>0</v>
      </c>
      <c r="M136" s="64">
        <f>ROUND(SUM(B136:F136)*M124,2)</f>
        <v>0</v>
      </c>
      <c r="N136" s="21">
        <f>IF(B136=0,0,N124/M103*P113)</f>
        <v>0</v>
      </c>
      <c r="O136" s="21">
        <f>ROUND(SUM(B136+C136+F136)*O124,2)</f>
        <v>0</v>
      </c>
      <c r="P136" s="25">
        <f>SUM(G136:O136)</f>
        <v>0</v>
      </c>
    </row>
    <row r="137" spans="1:16" x14ac:dyDescent="0.2">
      <c r="A137" s="2" t="s">
        <v>1</v>
      </c>
      <c r="B137" s="25">
        <f>SUM(B125:B136)</f>
        <v>0</v>
      </c>
      <c r="C137" s="25">
        <f t="shared" ref="C137:F137" si="20">SUM(C125:C136)</f>
        <v>0</v>
      </c>
      <c r="D137" s="25">
        <f t="shared" si="20"/>
        <v>0</v>
      </c>
      <c r="E137" s="25">
        <f t="shared" si="20"/>
        <v>0</v>
      </c>
      <c r="F137" s="25">
        <f t="shared" si="20"/>
        <v>0</v>
      </c>
      <c r="G137" s="25">
        <f>SUM(G125:G136)</f>
        <v>0</v>
      </c>
      <c r="H137" s="1309">
        <f>SUM(H125:M136)</f>
        <v>0</v>
      </c>
      <c r="I137" s="1310"/>
      <c r="J137" s="1310"/>
      <c r="K137" s="1310"/>
      <c r="L137" s="1310"/>
      <c r="M137" s="1311"/>
      <c r="N137" s="25">
        <f>SUM(N125:N136)</f>
        <v>0</v>
      </c>
      <c r="O137" s="25">
        <f>SUM(O125:O136)</f>
        <v>0</v>
      </c>
      <c r="P137" s="25">
        <f>SUM(P125:P136)</f>
        <v>0</v>
      </c>
    </row>
    <row r="138" spans="1:16" ht="12" customHeight="1" x14ac:dyDescent="0.2"/>
    <row r="139" spans="1:16" s="905" customFormat="1" ht="14.25" customHeight="1" x14ac:dyDescent="0.2">
      <c r="A139" s="906"/>
      <c r="B139" s="906"/>
      <c r="C139" s="906"/>
      <c r="E139" s="984"/>
      <c r="F139" s="1031"/>
      <c r="G139" s="907"/>
      <c r="H139" s="907"/>
      <c r="I139" s="907"/>
      <c r="J139" s="914" t="s">
        <v>123</v>
      </c>
      <c r="K139" s="1"/>
      <c r="L139" s="900" t="s">
        <v>124</v>
      </c>
      <c r="M139" s="1032" t="str">
        <f>IF(IF(M108="","",$M$43)=0,"",IF(M108="","",$M$43))</f>
        <v/>
      </c>
      <c r="N139" s="902" t="s">
        <v>125</v>
      </c>
      <c r="O139" s="1033" t="str">
        <f>IF(IF(M108="","",$O$43)=0,"",IF(M108="","",$O$43))</f>
        <v/>
      </c>
      <c r="P139" s="25">
        <f>ROUND(IF(M139="",0,G137*M139*O139/1000),2)</f>
        <v>0</v>
      </c>
    </row>
    <row r="140" spans="1:16" s="1" customFormat="1" ht="14.25" customHeight="1" x14ac:dyDescent="0.2">
      <c r="H140" s="905"/>
      <c r="I140" s="62"/>
      <c r="M140" s="915" t="s">
        <v>129</v>
      </c>
      <c r="N140" s="80" t="s">
        <v>125</v>
      </c>
      <c r="O140" s="1034" t="str">
        <f>IF(IF(M108="","",$O$44)=0,"",IF(M108="","",$O$44))</f>
        <v/>
      </c>
      <c r="P140" s="25">
        <f>ROUND(IF(O140="",0,G137*O140/1000),2)</f>
        <v>0</v>
      </c>
    </row>
    <row r="141" spans="1:16" s="1" customFormat="1" ht="14.25" customHeight="1" x14ac:dyDescent="0.2">
      <c r="B141" s="906"/>
      <c r="H141" s="996" t="s">
        <v>126</v>
      </c>
      <c r="I141" s="1013" t="s">
        <v>127</v>
      </c>
      <c r="J141" s="1037" t="str">
        <f>IF(IF(M108="","",$J$45)=0,"",IF(M108="","",$J$45))</f>
        <v/>
      </c>
      <c r="K141" s="902" t="s">
        <v>128</v>
      </c>
      <c r="L141" s="1036" t="str">
        <f>IF(IF(M108="","",$L$45)=0,"",IF(M108="","",$L$45))</f>
        <v/>
      </c>
      <c r="M141" s="16"/>
      <c r="N141" s="900" t="s">
        <v>132</v>
      </c>
      <c r="O141" s="1035" t="str">
        <f>IF(IF(M108="","",$O$45)=0,"",IF(M108="","",$O$45))</f>
        <v/>
      </c>
      <c r="P141" s="25">
        <f>ROUND(IF(J141="",0,(J141*L141/O141)/M103*M104),2)</f>
        <v>0</v>
      </c>
    </row>
    <row r="142" spans="1:16" s="1" customFormat="1" ht="14.25" customHeight="1" x14ac:dyDescent="0.2">
      <c r="K142" s="63"/>
      <c r="L142" s="67"/>
      <c r="M142" s="915" t="s">
        <v>130</v>
      </c>
      <c r="N142" s="80" t="s">
        <v>131</v>
      </c>
      <c r="O142" s="904">
        <f>IF(IF(M108="",0,$O$46)=0,0,IF(M108="",0,$O$46))</f>
        <v>0</v>
      </c>
      <c r="P142" s="21">
        <f>ROUND(IF(G137=0,0,O142/M103*M104),2)</f>
        <v>0</v>
      </c>
    </row>
    <row r="143" spans="1:16" s="1" customFormat="1" ht="14.25" customHeight="1" x14ac:dyDescent="0.2">
      <c r="I143" s="16"/>
      <c r="J143" s="961" t="s">
        <v>176</v>
      </c>
      <c r="K143" s="1312" t="str">
        <f>IF($K$47="","",$K$47)</f>
        <v/>
      </c>
      <c r="L143" s="1312"/>
      <c r="M143" s="1312"/>
      <c r="N143" s="80" t="s">
        <v>131</v>
      </c>
      <c r="O143" s="904">
        <f>IF(IF(M108="",0,$O$47)=0,0,IF(M108="",0,$O$47))</f>
        <v>0</v>
      </c>
      <c r="P143" s="21">
        <f>ROUND(IF(M108="",0,O143/M103*M104),2)</f>
        <v>0</v>
      </c>
    </row>
    <row r="144" spans="1:16" s="1" customFormat="1" ht="14.25" customHeight="1" x14ac:dyDescent="0.2">
      <c r="D144" s="16"/>
      <c r="I144" s="905"/>
      <c r="O144" s="26" t="s">
        <v>0</v>
      </c>
      <c r="P144" s="82">
        <f>P137+SUM(P139:P143)</f>
        <v>0</v>
      </c>
    </row>
  </sheetData>
  <sheetProtection algorithmName="SHA-512" hashValue="Rnn+2KkoCmVUwP0e+PMfSrVK0JH/LeDQYjFiVIC9o8kNWOkBkQxggsF5SbOWK33b6x2YyVsYe1GoSIzUWRz0sQ==" saltValue="H/AtNQaCM+QIJByJJ6O0zA==" spinCount="100000" sheet="1" objects="1" scenarios="1"/>
  <mergeCells count="174">
    <mergeCell ref="D7:I7"/>
    <mergeCell ref="A3:C3"/>
    <mergeCell ref="A8:C8"/>
    <mergeCell ref="A9:C9"/>
    <mergeCell ref="A4:C4"/>
    <mergeCell ref="A7:C7"/>
    <mergeCell ref="D8:I8"/>
    <mergeCell ref="A10:C10"/>
    <mergeCell ref="K7:L7"/>
    <mergeCell ref="K8:L8"/>
    <mergeCell ref="K9:L9"/>
    <mergeCell ref="D9:I9"/>
    <mergeCell ref="D10:I10"/>
    <mergeCell ref="K10:L10"/>
    <mergeCell ref="D1:N1"/>
    <mergeCell ref="D2:N2"/>
    <mergeCell ref="A1:C1"/>
    <mergeCell ref="A2:C2"/>
    <mergeCell ref="D3:J3"/>
    <mergeCell ref="K3:M3"/>
    <mergeCell ref="D4:J4"/>
    <mergeCell ref="A5:K5"/>
    <mergeCell ref="J6:K6"/>
    <mergeCell ref="K47:M47"/>
    <mergeCell ref="J54:K54"/>
    <mergeCell ref="A55:C55"/>
    <mergeCell ref="D55:I55"/>
    <mergeCell ref="K55:L55"/>
    <mergeCell ref="A56:C56"/>
    <mergeCell ref="D56:I56"/>
    <mergeCell ref="K56:L56"/>
    <mergeCell ref="D11:E11"/>
    <mergeCell ref="F11:G11"/>
    <mergeCell ref="H11:I11"/>
    <mergeCell ref="E13:F13"/>
    <mergeCell ref="H41:M41"/>
    <mergeCell ref="A49:C49"/>
    <mergeCell ref="D49:N49"/>
    <mergeCell ref="A50:C50"/>
    <mergeCell ref="D50:N50"/>
    <mergeCell ref="K11:L11"/>
    <mergeCell ref="A24:A28"/>
    <mergeCell ref="H25:H26"/>
    <mergeCell ref="I25:I26"/>
    <mergeCell ref="J25:J26"/>
    <mergeCell ref="P24:P28"/>
    <mergeCell ref="O25:O27"/>
    <mergeCell ref="N26:N27"/>
    <mergeCell ref="B14:D14"/>
    <mergeCell ref="E14:F14"/>
    <mergeCell ref="B15:D15"/>
    <mergeCell ref="E15:F15"/>
    <mergeCell ref="B16:D16"/>
    <mergeCell ref="E16:F16"/>
    <mergeCell ref="B17:D17"/>
    <mergeCell ref="E17:F17"/>
    <mergeCell ref="K25:K26"/>
    <mergeCell ref="L25:L26"/>
    <mergeCell ref="M25:M26"/>
    <mergeCell ref="F26:F27"/>
    <mergeCell ref="B20:C20"/>
    <mergeCell ref="B21:C21"/>
    <mergeCell ref="B24:G24"/>
    <mergeCell ref="H24:M24"/>
    <mergeCell ref="B25:B28"/>
    <mergeCell ref="C25:C28"/>
    <mergeCell ref="D25:D27"/>
    <mergeCell ref="E25:E27"/>
    <mergeCell ref="G25:G28"/>
    <mergeCell ref="A97:C97"/>
    <mergeCell ref="D97:N97"/>
    <mergeCell ref="A98:C98"/>
    <mergeCell ref="A58:C58"/>
    <mergeCell ref="D58:I58"/>
    <mergeCell ref="K58:L58"/>
    <mergeCell ref="A51:C51"/>
    <mergeCell ref="A52:C52"/>
    <mergeCell ref="A57:C57"/>
    <mergeCell ref="D57:I57"/>
    <mergeCell ref="K57:L57"/>
    <mergeCell ref="B65:D65"/>
    <mergeCell ref="E65:F65"/>
    <mergeCell ref="D51:J51"/>
    <mergeCell ref="K51:M51"/>
    <mergeCell ref="D52:J52"/>
    <mergeCell ref="A53:K53"/>
    <mergeCell ref="H59:I59"/>
    <mergeCell ref="K59:L59"/>
    <mergeCell ref="B62:D62"/>
    <mergeCell ref="B63:D63"/>
    <mergeCell ref="E63:F63"/>
    <mergeCell ref="B64:D64"/>
    <mergeCell ref="E64:F64"/>
    <mergeCell ref="A103:C103"/>
    <mergeCell ref="D103:I103"/>
    <mergeCell ref="D107:E107"/>
    <mergeCell ref="F107:G107"/>
    <mergeCell ref="H107:I107"/>
    <mergeCell ref="K95:M95"/>
    <mergeCell ref="B68:C68"/>
    <mergeCell ref="B69:C69"/>
    <mergeCell ref="J102:K102"/>
    <mergeCell ref="A99:C99"/>
    <mergeCell ref="A100:C100"/>
    <mergeCell ref="A72:A76"/>
    <mergeCell ref="B72:G72"/>
    <mergeCell ref="H72:M72"/>
    <mergeCell ref="D98:N98"/>
    <mergeCell ref="D99:J99"/>
    <mergeCell ref="K99:M99"/>
    <mergeCell ref="D100:J100"/>
    <mergeCell ref="A101:K101"/>
    <mergeCell ref="K103:L103"/>
    <mergeCell ref="A104:C104"/>
    <mergeCell ref="D104:I104"/>
    <mergeCell ref="K104:L104"/>
    <mergeCell ref="H89:M89"/>
    <mergeCell ref="E61:F61"/>
    <mergeCell ref="E62:F62"/>
    <mergeCell ref="D59:E59"/>
    <mergeCell ref="F59:G59"/>
    <mergeCell ref="P72:P76"/>
    <mergeCell ref="B73:B76"/>
    <mergeCell ref="C73:C76"/>
    <mergeCell ref="D73:D75"/>
    <mergeCell ref="E73:E75"/>
    <mergeCell ref="G73:G76"/>
    <mergeCell ref="H73:H74"/>
    <mergeCell ref="I73:I74"/>
    <mergeCell ref="J73:J74"/>
    <mergeCell ref="K73:K74"/>
    <mergeCell ref="L73:L74"/>
    <mergeCell ref="M73:M74"/>
    <mergeCell ref="O73:O75"/>
    <mergeCell ref="F74:F75"/>
    <mergeCell ref="N74:N75"/>
    <mergeCell ref="A105:C105"/>
    <mergeCell ref="D105:I105"/>
    <mergeCell ref="K105:L105"/>
    <mergeCell ref="A106:C106"/>
    <mergeCell ref="D106:I106"/>
    <mergeCell ref="K106:L106"/>
    <mergeCell ref="K107:L107"/>
    <mergeCell ref="B110:D110"/>
    <mergeCell ref="B111:D111"/>
    <mergeCell ref="E111:F111"/>
    <mergeCell ref="B112:D112"/>
    <mergeCell ref="E112:F112"/>
    <mergeCell ref="B113:D113"/>
    <mergeCell ref="E113:F113"/>
    <mergeCell ref="B116:C116"/>
    <mergeCell ref="E109:F109"/>
    <mergeCell ref="E110:F110"/>
    <mergeCell ref="H137:M137"/>
    <mergeCell ref="K143:M143"/>
    <mergeCell ref="B117:C117"/>
    <mergeCell ref="A120:A124"/>
    <mergeCell ref="B120:G120"/>
    <mergeCell ref="H120:M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O121:O123"/>
    <mergeCell ref="F122:F123"/>
    <mergeCell ref="N122:N123"/>
  </mergeCells>
  <dataValidations count="1">
    <dataValidation type="list" allowBlank="1" showInputMessage="1" showErrorMessage="1" sqref="A20:A21 A68:A69 A116:A11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sonstige/r Arbeitnehmer/in
&amp;R&amp;G</oddHeader>
    <oddFooter>&amp;L&amp;"Arial,Standard"&amp;7
SV - Sozialversicherung; BAV - Betriebliche Altersvorsorge&amp;C&amp;"Arial,Standard"&amp;8
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A63:A65 A15:A17 A111:A113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0000"/>
  </sheetPr>
  <dimension ref="A1"/>
  <sheetViews>
    <sheetView view="pageLayout" zoomScaleNormal="100" workbookViewId="0"/>
  </sheetViews>
  <sheetFormatPr baseColWidth="10" defaultRowHeight="15" x14ac:dyDescent="0.25"/>
  <cols>
    <col min="1" max="16384" width="11.42578125" style="44"/>
  </cols>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92D050"/>
  </sheetPr>
  <dimension ref="A1:Q151"/>
  <sheetViews>
    <sheetView showGridLines="0" view="pageLayout" zoomScale="90" zoomScaleNormal="90" zoomScalePageLayoutView="90" workbookViewId="0">
      <selection activeCell="E1" sqref="E1:F1"/>
    </sheetView>
  </sheetViews>
  <sheetFormatPr baseColWidth="10" defaultColWidth="2.140625" defaultRowHeight="12.75" x14ac:dyDescent="0.2"/>
  <cols>
    <col min="1" max="1" width="4.28515625" style="601" customWidth="1"/>
    <col min="2" max="2" width="10.5703125" style="493" customWidth="1"/>
    <col min="3" max="4" width="4.7109375" style="666" hidden="1" customWidth="1"/>
    <col min="5" max="5" width="8.42578125" style="494" bestFit="1" customWidth="1"/>
    <col min="6" max="6" width="17.42578125" style="493" customWidth="1"/>
    <col min="7" max="7" width="10.28515625" style="492" customWidth="1"/>
    <col min="8" max="8" width="25.28515625" style="493" customWidth="1"/>
    <col min="9" max="9" width="8.140625" style="512" customWidth="1"/>
    <col min="10" max="10" width="13.28515625" style="495" customWidth="1"/>
    <col min="11" max="13" width="12.28515625" style="497" customWidth="1"/>
    <col min="14" max="15" width="12.28515625" style="495" customWidth="1"/>
    <col min="16" max="16" width="13.85546875" style="495" customWidth="1"/>
    <col min="17" max="17" width="13.140625" style="497" customWidth="1"/>
    <col min="18" max="16384" width="2.140625" style="497"/>
  </cols>
  <sheetData>
    <row r="1" spans="1:17" ht="15" x14ac:dyDescent="0.25">
      <c r="A1" s="1112" t="s">
        <v>577</v>
      </c>
      <c r="B1" s="1113"/>
      <c r="C1" s="604"/>
      <c r="D1" s="604"/>
      <c r="E1" s="1103">
        <f>IF(Grundlagen!$C$4="","",Grundlagen!$C$4)</f>
        <v>2025</v>
      </c>
      <c r="F1" s="1103"/>
      <c r="G1" s="605"/>
      <c r="H1" s="606"/>
      <c r="I1" s="606"/>
      <c r="J1" s="606"/>
    </row>
    <row r="2" spans="1:17" ht="13.5" customHeight="1" x14ac:dyDescent="0.25">
      <c r="A2" s="1112" t="s">
        <v>17</v>
      </c>
      <c r="B2" s="1113"/>
      <c r="C2" s="604"/>
      <c r="D2" s="604"/>
      <c r="E2" s="1114" t="str">
        <f>IF(Grundlagen!$C$6="","",Grundlagen!$C$6)</f>
        <v/>
      </c>
      <c r="F2" s="1114"/>
      <c r="G2" s="1114"/>
      <c r="H2" s="1114"/>
      <c r="I2" s="1114"/>
      <c r="J2" s="1114"/>
      <c r="K2" s="606"/>
    </row>
    <row r="3" spans="1:17" ht="15" customHeight="1" x14ac:dyDescent="0.25">
      <c r="A3" s="1112" t="s">
        <v>16</v>
      </c>
      <c r="B3" s="1113"/>
      <c r="C3" s="604"/>
      <c r="D3" s="604"/>
      <c r="E3" s="1114" t="str">
        <f>IF(Grundlagen!$C$9="","",Grundlagen!$C$9)</f>
        <v/>
      </c>
      <c r="F3" s="1114"/>
      <c r="G3" s="1114"/>
      <c r="H3" s="1114"/>
      <c r="I3" s="1114"/>
      <c r="J3" s="1114"/>
      <c r="K3" s="606"/>
    </row>
    <row r="4" spans="1:17" ht="15" customHeight="1" x14ac:dyDescent="0.25">
      <c r="A4" s="1112" t="s">
        <v>15</v>
      </c>
      <c r="B4" s="1113"/>
      <c r="C4" s="604"/>
      <c r="D4" s="604"/>
      <c r="E4" s="1114" t="str">
        <f>IF(Grundlagen!$C$13="","",Grundlagen!$C$13)</f>
        <v/>
      </c>
      <c r="F4" s="1114"/>
      <c r="G4" s="1114"/>
      <c r="H4" s="1114"/>
      <c r="I4" s="1114"/>
      <c r="J4" s="1114"/>
      <c r="K4" s="606"/>
    </row>
    <row r="5" spans="1:17" s="506" customFormat="1" ht="6.75" customHeight="1" x14ac:dyDescent="0.25">
      <c r="A5" s="499"/>
      <c r="B5" s="607"/>
      <c r="C5" s="604"/>
      <c r="D5" s="604"/>
      <c r="E5" s="605"/>
      <c r="F5" s="502"/>
      <c r="G5" s="503"/>
      <c r="H5" s="504"/>
      <c r="I5" s="504"/>
      <c r="J5" s="505"/>
      <c r="N5" s="505"/>
      <c r="O5" s="505"/>
      <c r="P5" s="505"/>
    </row>
    <row r="6" spans="1:17" x14ac:dyDescent="0.2">
      <c r="A6" s="753" t="s">
        <v>742</v>
      </c>
      <c r="B6" s="508"/>
      <c r="C6" s="608"/>
      <c r="D6" s="608"/>
      <c r="E6" s="510"/>
      <c r="F6" s="508"/>
      <c r="G6" s="511"/>
      <c r="H6" s="508"/>
    </row>
    <row r="7" spans="1:17" s="506" customFormat="1" ht="9" customHeight="1" x14ac:dyDescent="0.25">
      <c r="A7" s="499"/>
      <c r="B7" s="607"/>
      <c r="C7" s="604"/>
      <c r="D7" s="604"/>
      <c r="E7" s="605"/>
      <c r="F7" s="502"/>
      <c r="G7" s="503"/>
      <c r="H7" s="504"/>
      <c r="I7" s="504"/>
      <c r="J7" s="505"/>
      <c r="N7" s="505"/>
      <c r="O7" s="505"/>
      <c r="P7" s="505"/>
    </row>
    <row r="8" spans="1:17" ht="12.75" customHeight="1" x14ac:dyDescent="0.2">
      <c r="A8" s="1115" t="s">
        <v>275</v>
      </c>
      <c r="B8" s="1075" t="s">
        <v>579</v>
      </c>
      <c r="C8" s="609"/>
      <c r="D8" s="609"/>
      <c r="E8" s="1118" t="s">
        <v>580</v>
      </c>
      <c r="F8" s="1118" t="s">
        <v>581</v>
      </c>
      <c r="G8" s="1118" t="s">
        <v>582</v>
      </c>
      <c r="H8" s="1118" t="s">
        <v>583</v>
      </c>
      <c r="I8" s="1121" t="s">
        <v>584</v>
      </c>
      <c r="J8" s="1124" t="s">
        <v>585</v>
      </c>
      <c r="K8" s="1124"/>
      <c r="L8" s="1124"/>
      <c r="M8" s="1124"/>
      <c r="N8" s="1124"/>
      <c r="O8" s="1124"/>
      <c r="P8" s="1124"/>
      <c r="Q8" s="1124"/>
    </row>
    <row r="9" spans="1:17" s="514" customFormat="1" ht="12.75" customHeight="1" x14ac:dyDescent="0.2">
      <c r="A9" s="1116"/>
      <c r="B9" s="1125" t="s">
        <v>755</v>
      </c>
      <c r="C9" s="610"/>
      <c r="D9" s="610"/>
      <c r="E9" s="1119"/>
      <c r="F9" s="1119"/>
      <c r="G9" s="1119"/>
      <c r="H9" s="1119"/>
      <c r="I9" s="1122"/>
      <c r="J9" s="1119" t="s">
        <v>586</v>
      </c>
      <c r="K9" s="1119" t="s">
        <v>587</v>
      </c>
      <c r="L9" s="1119" t="s">
        <v>588</v>
      </c>
      <c r="M9" s="1119" t="s">
        <v>589</v>
      </c>
      <c r="N9" s="1119" t="s">
        <v>590</v>
      </c>
      <c r="O9" s="1119" t="s">
        <v>591</v>
      </c>
      <c r="P9" s="1119" t="s">
        <v>605</v>
      </c>
      <c r="Q9" s="1129" t="s">
        <v>5</v>
      </c>
    </row>
    <row r="10" spans="1:17" s="514" customFormat="1" ht="12.95" customHeight="1" x14ac:dyDescent="0.2">
      <c r="A10" s="1116"/>
      <c r="B10" s="1125"/>
      <c r="C10" s="610"/>
      <c r="D10" s="610"/>
      <c r="E10" s="1119"/>
      <c r="F10" s="1119"/>
      <c r="G10" s="1119"/>
      <c r="H10" s="1119"/>
      <c r="I10" s="1122"/>
      <c r="J10" s="1119"/>
      <c r="K10" s="1119"/>
      <c r="L10" s="1119"/>
      <c r="M10" s="1119"/>
      <c r="N10" s="1119"/>
      <c r="O10" s="1119"/>
      <c r="P10" s="1119"/>
      <c r="Q10" s="1129"/>
    </row>
    <row r="11" spans="1:17" s="514" customFormat="1" ht="12.95" customHeight="1" x14ac:dyDescent="0.2">
      <c r="A11" s="1116"/>
      <c r="B11" s="1125"/>
      <c r="C11" s="610"/>
      <c r="D11" s="610"/>
      <c r="E11" s="1119"/>
      <c r="F11" s="1119"/>
      <c r="G11" s="1125" t="s">
        <v>592</v>
      </c>
      <c r="H11" s="1119"/>
      <c r="I11" s="1122"/>
      <c r="J11" s="1119"/>
      <c r="K11" s="1119"/>
      <c r="L11" s="1119"/>
      <c r="M11" s="1119"/>
      <c r="N11" s="1119"/>
      <c r="O11" s="1119"/>
      <c r="P11" s="1119"/>
      <c r="Q11" s="1129"/>
    </row>
    <row r="12" spans="1:17" s="514" customFormat="1" ht="12.95" customHeight="1" x14ac:dyDescent="0.2">
      <c r="A12" s="1117"/>
      <c r="B12" s="1126"/>
      <c r="C12" s="611"/>
      <c r="D12" s="611"/>
      <c r="E12" s="1120"/>
      <c r="F12" s="1120"/>
      <c r="G12" s="1126"/>
      <c r="H12" s="1120"/>
      <c r="I12" s="1123"/>
      <c r="J12" s="1120"/>
      <c r="K12" s="1120"/>
      <c r="L12" s="1120"/>
      <c r="M12" s="1120"/>
      <c r="N12" s="1120"/>
      <c r="O12" s="1120"/>
      <c r="P12" s="1120"/>
      <c r="Q12" s="1129"/>
    </row>
    <row r="13" spans="1:17" s="514" customFormat="1" x14ac:dyDescent="0.2">
      <c r="A13" s="552"/>
      <c r="B13" s="562"/>
      <c r="C13" s="612"/>
      <c r="D13" s="612"/>
      <c r="E13" s="564"/>
      <c r="F13" s="562"/>
      <c r="G13" s="571"/>
      <c r="H13" s="562"/>
      <c r="I13" s="583"/>
      <c r="J13" s="523"/>
      <c r="N13" s="523"/>
      <c r="O13" s="523"/>
      <c r="P13" s="523"/>
    </row>
    <row r="14" spans="1:17" s="514" customFormat="1" x14ac:dyDescent="0.2">
      <c r="A14" s="570" t="s">
        <v>601</v>
      </c>
      <c r="B14" s="562"/>
      <c r="C14" s="612"/>
      <c r="D14" s="612"/>
      <c r="E14" s="564"/>
      <c r="F14" s="562"/>
      <c r="G14" s="571"/>
      <c r="H14" s="562"/>
      <c r="I14" s="583"/>
      <c r="J14" s="523"/>
      <c r="N14" s="523"/>
      <c r="O14" s="523"/>
      <c r="P14" s="523"/>
    </row>
    <row r="15" spans="1:17" s="109" customFormat="1" ht="28.35" customHeight="1" x14ac:dyDescent="0.25">
      <c r="A15" s="525">
        <v>1</v>
      </c>
      <c r="B15" s="613" t="str">
        <f>IF('päd.Personal - Leitung'!$D$7="","",'päd.Personal - Leitung'!$D$7)</f>
        <v/>
      </c>
      <c r="C15" s="614" t="str">
        <f>IF('päd.Personal - Leitung'!$D$7="","",'päd.Personal - Leitung'!$M$10)</f>
        <v/>
      </c>
      <c r="D15" s="615" t="str">
        <f>IF('päd.Personal - Leitung'!$D$7="","",1)</f>
        <v/>
      </c>
      <c r="E15" s="616" t="str">
        <f>IF('päd.Personal - Leitung'!$D$11="","",'päd.Personal - Leitung'!$D$11)</f>
        <v/>
      </c>
      <c r="F15" s="613" t="str">
        <f>IF('päd.Personal - Leitung'!$D$9="","",'päd.Personal - Leitung'!$D$9)</f>
        <v/>
      </c>
      <c r="G15" s="617" t="str">
        <f>IF('päd.Personal - Leitung'!$M$11="","",'päd.Personal - Leitung'!$M$11)</f>
        <v/>
      </c>
      <c r="H15" s="613" t="str">
        <f>IF('päd.Personal - Leitung'!$D$8="","",'päd.Personal - Leitung'!$D$8)</f>
        <v/>
      </c>
      <c r="I15" s="618" t="str">
        <f>IF('päd.Personal - Leitung'!$M$6="","",'päd.Personal - Leitung'!$M$6)</f>
        <v/>
      </c>
      <c r="J15" s="531">
        <f>'päd.Personal - Leitung'!$G$41</f>
        <v>0</v>
      </c>
      <c r="K15" s="531">
        <f>'päd.Personal - Leitung'!$H$41</f>
        <v>0</v>
      </c>
      <c r="L15" s="531">
        <f>'päd.Personal - Leitung'!$O$41</f>
        <v>0</v>
      </c>
      <c r="M15" s="531">
        <f>'päd.Personal - Leitung'!$P$43+'päd.Personal - Leitung'!$P$45</f>
        <v>0</v>
      </c>
      <c r="N15" s="531">
        <f>'päd.Personal - Leitung'!$P$44</f>
        <v>0</v>
      </c>
      <c r="O15" s="531">
        <f>'päd.Personal - Leitung'!$P$46</f>
        <v>0</v>
      </c>
      <c r="P15" s="532">
        <f>'päd.Personal - Leitung'!$P$47</f>
        <v>0</v>
      </c>
      <c r="Q15" s="533">
        <f>SUM(J15:P15)</f>
        <v>0</v>
      </c>
    </row>
    <row r="16" spans="1:17" s="109" customFormat="1" ht="28.35" customHeight="1" x14ac:dyDescent="0.25">
      <c r="A16" s="525">
        <v>2</v>
      </c>
      <c r="B16" s="613" t="str">
        <f>IF('päd.Personal - Leitung'!$D$55="","",'päd.Personal - Leitung'!$D$55)</f>
        <v/>
      </c>
      <c r="C16" s="614" t="str">
        <f>IF('päd.Personal - Leitung'!$D$55="","",'päd.Personal - Leitung'!$M$58)</f>
        <v/>
      </c>
      <c r="D16" s="615" t="str">
        <f>IF('päd.Personal - Leitung'!$D$55="","",1)</f>
        <v/>
      </c>
      <c r="E16" s="616" t="str">
        <f>IF('päd.Personal - Leitung'!$D$59="","",'päd.Personal - Leitung'!$D$59)</f>
        <v/>
      </c>
      <c r="F16" s="613" t="str">
        <f>IF('päd.Personal - Leitung'!$D$57="","",'päd.Personal - Leitung'!$D$57)</f>
        <v/>
      </c>
      <c r="G16" s="617" t="str">
        <f>IF('päd.Personal - Leitung'!$M$59="","",'päd.Personal - Leitung'!$M$59)</f>
        <v/>
      </c>
      <c r="H16" s="613" t="str">
        <f>IF('päd.Personal - Leitung'!$D$56="","",'päd.Personal - Leitung'!$D$56)</f>
        <v/>
      </c>
      <c r="I16" s="618" t="str">
        <f>IF('päd.Personal - Leitung'!$M$54="","",'päd.Personal - Leitung'!$M$54)</f>
        <v/>
      </c>
      <c r="J16" s="531">
        <f>'päd.Personal - Leitung'!$G$89</f>
        <v>0</v>
      </c>
      <c r="K16" s="531">
        <f>'päd.Personal - Leitung'!$H$89</f>
        <v>0</v>
      </c>
      <c r="L16" s="531">
        <f>'päd.Personal - Leitung'!$O$89</f>
        <v>0</v>
      </c>
      <c r="M16" s="531">
        <f>'päd.Personal - Leitung'!$P$91+'päd.Personal - Leitung'!$P$93</f>
        <v>0</v>
      </c>
      <c r="N16" s="531">
        <f>'päd.Personal - Leitung'!$P$92</f>
        <v>0</v>
      </c>
      <c r="O16" s="531">
        <f>'päd.Personal - Leitung'!$P$94</f>
        <v>0</v>
      </c>
      <c r="P16" s="532">
        <f>'päd.Personal - Leitung'!$P$95</f>
        <v>0</v>
      </c>
      <c r="Q16" s="533">
        <f t="shared" ref="Q16:Q17" si="0">SUM(J16:P16)</f>
        <v>0</v>
      </c>
    </row>
    <row r="17" spans="1:17" s="109" customFormat="1" ht="28.35" customHeight="1" x14ac:dyDescent="0.25">
      <c r="A17" s="525">
        <v>3</v>
      </c>
      <c r="B17" s="613" t="str">
        <f>IF('päd.Personal - Leitung'!$D$103="","",'päd.Personal - Leitung'!$D$103)</f>
        <v/>
      </c>
      <c r="C17" s="614" t="str">
        <f>IF('päd.Personal - Leitung'!$D$103="","",'päd.Personal - Leitung'!$M$106)</f>
        <v/>
      </c>
      <c r="D17" s="615" t="str">
        <f>IF('päd.Personal - Leitung'!$D$103="","",1)</f>
        <v/>
      </c>
      <c r="E17" s="616" t="str">
        <f>IF('päd.Personal - Leitung'!$D$107="","",'päd.Personal - Leitung'!$D$107)</f>
        <v/>
      </c>
      <c r="F17" s="613" t="str">
        <f>IF('päd.Personal - Leitung'!$D$105="","",'päd.Personal - Leitung'!$D$105)</f>
        <v/>
      </c>
      <c r="G17" s="617" t="str">
        <f>IF('päd.Personal - Leitung'!$M$104="","",'päd.Personal - Leitung'!$M$104)</f>
        <v/>
      </c>
      <c r="H17" s="613" t="str">
        <f>IF('päd.Personal - Leitung'!$D$104="","",'päd.Personal - Leitung'!$D$104)</f>
        <v/>
      </c>
      <c r="I17" s="618" t="str">
        <f>IF('päd.Personal - Leitung'!$M$102="","",'päd.Personal - Leitung'!$M$102)</f>
        <v/>
      </c>
      <c r="J17" s="531">
        <f>'päd.Personal - Leitung'!$G$137</f>
        <v>0</v>
      </c>
      <c r="K17" s="531">
        <f>'päd.Personal - Leitung'!$H$137</f>
        <v>0</v>
      </c>
      <c r="L17" s="531">
        <f>'päd.Personal - Leitung'!$O$137</f>
        <v>0</v>
      </c>
      <c r="M17" s="531">
        <f>'päd.Personal - Leitung'!$P$139+'päd.Personal - Leitung'!$P$141</f>
        <v>0</v>
      </c>
      <c r="N17" s="531">
        <f>'päd.Personal - Leitung'!$P$140</f>
        <v>0</v>
      </c>
      <c r="O17" s="531">
        <f>'päd.Personal - Leitung'!$P$142</f>
        <v>0</v>
      </c>
      <c r="P17" s="532">
        <f>'päd.Personal - Leitung'!$P$143</f>
        <v>0</v>
      </c>
      <c r="Q17" s="533">
        <f t="shared" si="0"/>
        <v>0</v>
      </c>
    </row>
    <row r="18" spans="1:17" s="109" customFormat="1" ht="27.75" customHeight="1" thickBot="1" x14ac:dyDescent="0.25">
      <c r="A18" s="977"/>
      <c r="B18" s="619" t="s">
        <v>602</v>
      </c>
      <c r="C18" s="620">
        <f>SUM(C15:C17)</f>
        <v>0</v>
      </c>
      <c r="D18" s="621"/>
      <c r="E18" s="622">
        <f>IF(SUM(D15:D17)=0,0,SUM(D15:D17))</f>
        <v>0</v>
      </c>
      <c r="F18" s="619" t="s">
        <v>263</v>
      </c>
      <c r="G18" s="623">
        <f>SUM(G15:G17)</f>
        <v>0</v>
      </c>
      <c r="H18" s="624">
        <f>'INTERN Personalstunden'!C38</f>
        <v>0</v>
      </c>
      <c r="I18" s="557" t="str">
        <f>IF(H18="","","h max.")</f>
        <v>h max.</v>
      </c>
      <c r="J18" s="558">
        <f>SUM(J15:J17)</f>
        <v>0</v>
      </c>
      <c r="K18" s="558">
        <f t="shared" ref="K18:P18" si="1">SUM(K15:K17)</f>
        <v>0</v>
      </c>
      <c r="L18" s="558">
        <f t="shared" si="1"/>
        <v>0</v>
      </c>
      <c r="M18" s="558">
        <f t="shared" si="1"/>
        <v>0</v>
      </c>
      <c r="N18" s="558">
        <f t="shared" si="1"/>
        <v>0</v>
      </c>
      <c r="O18" s="559">
        <f t="shared" si="1"/>
        <v>0</v>
      </c>
      <c r="P18" s="560">
        <f t="shared" si="1"/>
        <v>0</v>
      </c>
      <c r="Q18" s="561">
        <f>SUM(Q15:Q17)</f>
        <v>0</v>
      </c>
    </row>
    <row r="19" spans="1:17" s="87" customFormat="1" ht="27.75" customHeight="1" thickBot="1" x14ac:dyDescent="0.25">
      <c r="A19" s="572"/>
      <c r="B19" s="625"/>
      <c r="C19" s="621"/>
      <c r="D19" s="621"/>
      <c r="E19" s="626"/>
      <c r="F19" s="625" t="s">
        <v>265</v>
      </c>
      <c r="G19" s="627">
        <f>IF(Grundlagen!$C$16="",0,G18/Grundlagen!$C$16)</f>
        <v>0</v>
      </c>
      <c r="H19" s="628"/>
      <c r="I19" s="629"/>
      <c r="J19" s="1130">
        <f>SUM(J18:L18)</f>
        <v>0</v>
      </c>
      <c r="K19" s="1131"/>
      <c r="L19" s="1132"/>
      <c r="M19" s="1130">
        <f>SUM(M18:N18)</f>
        <v>0</v>
      </c>
      <c r="N19" s="1132"/>
      <c r="O19" s="581"/>
      <c r="P19" s="581"/>
      <c r="Q19" s="575"/>
    </row>
    <row r="20" spans="1:17" s="109" customFormat="1" ht="12.6" customHeight="1" x14ac:dyDescent="0.2">
      <c r="A20" s="552"/>
      <c r="B20" s="562"/>
      <c r="C20" s="612"/>
      <c r="D20" s="612"/>
      <c r="E20" s="564"/>
      <c r="F20" s="562"/>
      <c r="G20" s="571"/>
      <c r="H20" s="562"/>
      <c r="I20" s="583"/>
      <c r="J20" s="523"/>
      <c r="K20" s="523"/>
      <c r="L20" s="523"/>
      <c r="M20" s="523"/>
      <c r="N20" s="523"/>
      <c r="O20" s="523"/>
      <c r="P20" s="523"/>
    </row>
    <row r="21" spans="1:17" s="109" customFormat="1" ht="12.6" customHeight="1" x14ac:dyDescent="0.2">
      <c r="A21" s="570" t="s">
        <v>603</v>
      </c>
      <c r="B21" s="562"/>
      <c r="C21" s="612"/>
      <c r="D21" s="612"/>
      <c r="E21" s="564"/>
      <c r="F21" s="562"/>
      <c r="G21" s="571"/>
      <c r="H21" s="562"/>
      <c r="I21" s="583"/>
      <c r="J21" s="523"/>
      <c r="K21" s="523"/>
      <c r="L21" s="523"/>
      <c r="M21" s="523"/>
      <c r="N21" s="523"/>
      <c r="O21" s="523"/>
      <c r="P21" s="523"/>
    </row>
    <row r="22" spans="1:17" s="109" customFormat="1" ht="27.75" customHeight="1" x14ac:dyDescent="0.25">
      <c r="A22" s="525">
        <v>1</v>
      </c>
      <c r="B22" s="613" t="str">
        <f>IF(B15="","noch 1. lfd.Nr. 1",B15)</f>
        <v>noch 1. lfd.Nr. 1</v>
      </c>
      <c r="C22" s="614"/>
      <c r="D22" s="614"/>
      <c r="E22" s="616" t="str">
        <f>IF('päd.Personal - Erzieher'!$D$11="","",'päd.Personal - Erzieher'!$D$11)</f>
        <v/>
      </c>
      <c r="F22" s="613" t="str">
        <f>IF('päd.Personal - Erzieher'!$D$9="","",'päd.Personal - Erzieher'!$D$9)</f>
        <v/>
      </c>
      <c r="G22" s="617" t="str">
        <f>IF('päd.Personal - Erzieher'!$M$12="","",'päd.Personal - Erzieher'!$M$12)</f>
        <v/>
      </c>
      <c r="H22" s="613" t="str">
        <f>IF('päd.Personal - Erzieher'!$D$8="","",'päd.Personal - Erzieher'!$D$8)</f>
        <v/>
      </c>
      <c r="I22" s="617" t="str">
        <f>IF('päd.Personal - Erzieher'!$M$6="","",'päd.Personal - Erzieher'!$M$6)</f>
        <v/>
      </c>
      <c r="J22" s="531">
        <f>'päd.Personal - Erzieher'!$G$41</f>
        <v>0</v>
      </c>
      <c r="K22" s="531">
        <f>'päd.Personal - Erzieher'!$H$41</f>
        <v>0</v>
      </c>
      <c r="L22" s="531">
        <f>'päd.Personal - Erzieher'!$O$41</f>
        <v>0</v>
      </c>
      <c r="M22" s="531">
        <f>'päd.Personal - Erzieher'!$P$43+'päd.Personal - Erzieher'!$P$45</f>
        <v>0</v>
      </c>
      <c r="N22" s="531">
        <f>'päd.Personal - Erzieher'!$P$44</f>
        <v>0</v>
      </c>
      <c r="O22" s="531">
        <f>'päd.Personal - Erzieher'!$P$46</f>
        <v>0</v>
      </c>
      <c r="P22" s="532">
        <f>'päd.Personal - Erzieher'!$P$47</f>
        <v>0</v>
      </c>
      <c r="Q22" s="533">
        <f>SUM(J22:P22)</f>
        <v>0</v>
      </c>
    </row>
    <row r="23" spans="1:17" s="109" customFormat="1" ht="27.75" customHeight="1" x14ac:dyDescent="0.25">
      <c r="A23" s="525">
        <v>2</v>
      </c>
      <c r="B23" s="613" t="str">
        <f>IF('päd.Personal - Erzieher'!$D$55="","",'päd.Personal - Erzieher'!$D$55)</f>
        <v/>
      </c>
      <c r="C23" s="614" t="str">
        <f>IF('päd.Personal - Erzieher'!$D$55="","",'päd.Personal - Erzieher'!$M$59)</f>
        <v/>
      </c>
      <c r="D23" s="614" t="str">
        <f>IF('päd.Personal - Erzieher'!$D$55="","",1)</f>
        <v/>
      </c>
      <c r="E23" s="616" t="str">
        <f>IF('päd.Personal - Erzieher'!$D$59="","",'päd.Personal - Erzieher'!$D$59)</f>
        <v/>
      </c>
      <c r="F23" s="613" t="str">
        <f>IF('päd.Personal - Erzieher'!$D$57="","",'päd.Personal - Erzieher'!$D$57)</f>
        <v/>
      </c>
      <c r="G23" s="617" t="str">
        <f>IF('päd.Personal - Erzieher'!$M$60="","",'päd.Personal - Erzieher'!$M$60)</f>
        <v/>
      </c>
      <c r="H23" s="613" t="str">
        <f>IF('päd.Personal - Erzieher'!$D$56="","",'päd.Personal - Erzieher'!$D$56)</f>
        <v/>
      </c>
      <c r="I23" s="618" t="str">
        <f>IF('päd.Personal - Erzieher'!$M$54="","",'päd.Personal - Erzieher'!$M$54)</f>
        <v/>
      </c>
      <c r="J23" s="531">
        <f>'päd.Personal - Erzieher'!$G$89</f>
        <v>0</v>
      </c>
      <c r="K23" s="531">
        <f>'päd.Personal - Erzieher'!$H$89</f>
        <v>0</v>
      </c>
      <c r="L23" s="531">
        <f>'päd.Personal - Erzieher'!$O$89</f>
        <v>0</v>
      </c>
      <c r="M23" s="531">
        <f>'päd.Personal - Erzieher'!$P$91+'päd.Personal - Erzieher'!$P$93</f>
        <v>0</v>
      </c>
      <c r="N23" s="531">
        <f>'päd.Personal - Erzieher'!$P$92</f>
        <v>0</v>
      </c>
      <c r="O23" s="531">
        <f>'päd.Personal - Erzieher'!$P$94</f>
        <v>0</v>
      </c>
      <c r="P23" s="532">
        <f>'päd.Personal - Erzieher'!$P$95</f>
        <v>0</v>
      </c>
      <c r="Q23" s="533">
        <f t="shared" ref="Q23:Q37" si="2">SUM(J23:P23)</f>
        <v>0</v>
      </c>
    </row>
    <row r="24" spans="1:17" s="109" customFormat="1" ht="27.75" customHeight="1" x14ac:dyDescent="0.25">
      <c r="A24" s="525">
        <v>3</v>
      </c>
      <c r="B24" s="613" t="str">
        <f>IF('päd.Personal - Erzieher'!$D$103="","",'päd.Personal - Erzieher'!$D$103)</f>
        <v/>
      </c>
      <c r="C24" s="614" t="str">
        <f>IF('päd.Personal - Erzieher'!$D$103="","",'päd.Personal - Erzieher'!$M$107)</f>
        <v/>
      </c>
      <c r="D24" s="614" t="str">
        <f>IF('päd.Personal - Erzieher'!$D$103="","",1)</f>
        <v/>
      </c>
      <c r="E24" s="616" t="str">
        <f>IF('päd.Personal - Erzieher'!$D$107="","",'päd.Personal - Erzieher'!$D$107)</f>
        <v/>
      </c>
      <c r="F24" s="613" t="str">
        <f>IF('päd.Personal - Erzieher'!$D$105="","",'päd.Personal - Erzieher'!$D$105)</f>
        <v/>
      </c>
      <c r="G24" s="617">
        <f>IF('päd.Personal - Erzieher'!$M$104="","",'päd.Personal - Erzieher'!$M$104)</f>
        <v>0</v>
      </c>
      <c r="H24" s="613" t="str">
        <f>IF('päd.Personal - Erzieher'!$D$104="","",'päd.Personal - Erzieher'!$D$104)</f>
        <v/>
      </c>
      <c r="I24" s="618" t="str">
        <f>IF('päd.Personal - Erzieher'!$M$102="","",'päd.Personal - Erzieher'!$M$102)</f>
        <v/>
      </c>
      <c r="J24" s="531">
        <f>'päd.Personal - Erzieher'!$G$137</f>
        <v>0</v>
      </c>
      <c r="K24" s="531">
        <f>'päd.Personal - Erzieher'!$H$137</f>
        <v>0</v>
      </c>
      <c r="L24" s="531">
        <f>'päd.Personal - Erzieher'!$O$137</f>
        <v>0</v>
      </c>
      <c r="M24" s="531">
        <f>'päd.Personal - Erzieher'!$P$139+'päd.Personal - Erzieher'!$P$141</f>
        <v>0</v>
      </c>
      <c r="N24" s="531">
        <f>'päd.Personal - Erzieher'!$P$140</f>
        <v>0</v>
      </c>
      <c r="O24" s="531">
        <f>'päd.Personal - Erzieher'!$P$142</f>
        <v>0</v>
      </c>
      <c r="P24" s="532">
        <f>'päd.Personal - Erzieher'!$P$143</f>
        <v>0</v>
      </c>
      <c r="Q24" s="533">
        <f t="shared" si="2"/>
        <v>0</v>
      </c>
    </row>
    <row r="25" spans="1:17" s="109" customFormat="1" ht="27.75" customHeight="1" x14ac:dyDescent="0.25">
      <c r="A25" s="525">
        <v>4</v>
      </c>
      <c r="B25" s="613" t="str">
        <f>IF('päd.Personal - Erzieher'!$D$151="","",'päd.Personal - Erzieher'!$D$151)</f>
        <v/>
      </c>
      <c r="C25" s="614" t="str">
        <f>IF('päd.Personal - Erzieher'!$D$151="","",'päd.Personal - Erzieher'!$M$155)</f>
        <v/>
      </c>
      <c r="D25" s="614" t="str">
        <f>IF('päd.Personal - Erzieher'!$D$151="","",1)</f>
        <v/>
      </c>
      <c r="E25" s="616" t="str">
        <f>IF('päd.Personal - Erzieher'!$D$155="","",'päd.Personal - Erzieher'!$D$155)</f>
        <v/>
      </c>
      <c r="F25" s="613" t="str">
        <f>IF('päd.Personal - Erzieher'!$D$153="","",'päd.Personal - Erzieher'!$D$153)</f>
        <v/>
      </c>
      <c r="G25" s="617" t="str">
        <f>IF('päd.Personal - Erzieher'!$M$156="","",'päd.Personal - Erzieher'!$M$156)</f>
        <v/>
      </c>
      <c r="H25" s="613" t="str">
        <f>IF('päd.Personal - Erzieher'!$D$152="","",'päd.Personal - Erzieher'!$D$152)</f>
        <v/>
      </c>
      <c r="I25" s="618" t="str">
        <f>IF('päd.Personal - Erzieher'!$M$150="","",'päd.Personal - Erzieher'!$M$150)</f>
        <v/>
      </c>
      <c r="J25" s="531">
        <f>'päd.Personal - Erzieher'!$G$185</f>
        <v>0</v>
      </c>
      <c r="K25" s="531">
        <f>'päd.Personal - Erzieher'!$H$185</f>
        <v>0</v>
      </c>
      <c r="L25" s="531">
        <f>'päd.Personal - Erzieher'!$O$185</f>
        <v>0</v>
      </c>
      <c r="M25" s="531">
        <f>'päd.Personal - Erzieher'!$P$187+'päd.Personal - Erzieher'!$P$189</f>
        <v>0</v>
      </c>
      <c r="N25" s="531">
        <f>'päd.Personal - Erzieher'!$P$188</f>
        <v>0</v>
      </c>
      <c r="O25" s="531">
        <f>'päd.Personal - Erzieher'!$P$190</f>
        <v>0</v>
      </c>
      <c r="P25" s="532">
        <f>'päd.Personal - Erzieher'!$P$191</f>
        <v>0</v>
      </c>
      <c r="Q25" s="533">
        <f t="shared" si="2"/>
        <v>0</v>
      </c>
    </row>
    <row r="26" spans="1:17" s="109" customFormat="1" ht="27.75" customHeight="1" x14ac:dyDescent="0.25">
      <c r="A26" s="525">
        <v>5</v>
      </c>
      <c r="B26" s="613" t="str">
        <f>IF('päd.Personal - Erzieher'!$D$199="","",'päd.Personal - Erzieher'!$D$199)</f>
        <v/>
      </c>
      <c r="C26" s="614" t="str">
        <f>IF('päd.Personal - Erzieher'!$D$199="","",'päd.Personal - Erzieher'!$M$203)</f>
        <v/>
      </c>
      <c r="D26" s="614" t="str">
        <f>IF('päd.Personal - Erzieher'!$D$199="","",1)</f>
        <v/>
      </c>
      <c r="E26" s="616" t="str">
        <f>IF('päd.Personal - Erzieher'!$D$203="","",'päd.Personal - Erzieher'!$D$203)</f>
        <v/>
      </c>
      <c r="F26" s="613" t="str">
        <f>IF('päd.Personal - Erzieher'!$D$201="","",'päd.Personal - Erzieher'!$D$201)</f>
        <v/>
      </c>
      <c r="G26" s="617" t="str">
        <f>IF('päd.Personal - Erzieher'!$M$204="","",'päd.Personal - Erzieher'!$M$204)</f>
        <v/>
      </c>
      <c r="H26" s="613" t="str">
        <f>IF('päd.Personal - Erzieher'!$D$200="","",'päd.Personal - Erzieher'!$D$200)</f>
        <v/>
      </c>
      <c r="I26" s="618" t="str">
        <f>IF('päd.Personal - Erzieher'!$M$198="","",'päd.Personal - Erzieher'!$M$198)</f>
        <v/>
      </c>
      <c r="J26" s="531">
        <f>'päd.Personal - Erzieher'!$G$233</f>
        <v>0</v>
      </c>
      <c r="K26" s="531">
        <f>'päd.Personal - Erzieher'!$H$233</f>
        <v>0</v>
      </c>
      <c r="L26" s="531">
        <f>'päd.Personal - Erzieher'!$O$233</f>
        <v>0</v>
      </c>
      <c r="M26" s="531">
        <f>'päd.Personal - Erzieher'!$P$235+'päd.Personal - Erzieher'!$P$237</f>
        <v>0</v>
      </c>
      <c r="N26" s="531">
        <f>'päd.Personal - Erzieher'!$P$236</f>
        <v>0</v>
      </c>
      <c r="O26" s="531">
        <f>'päd.Personal - Erzieher'!$P$238</f>
        <v>0</v>
      </c>
      <c r="P26" s="532">
        <f>'päd.Personal - Erzieher'!$P$239</f>
        <v>0</v>
      </c>
      <c r="Q26" s="533">
        <f t="shared" si="2"/>
        <v>0</v>
      </c>
    </row>
    <row r="27" spans="1:17" s="109" customFormat="1" ht="27.75" customHeight="1" x14ac:dyDescent="0.25">
      <c r="A27" s="525">
        <v>6</v>
      </c>
      <c r="B27" s="613" t="str">
        <f>IF('päd.Personal - Erzieher'!$D$247="","",'päd.Personal - Erzieher'!$D$247)</f>
        <v/>
      </c>
      <c r="C27" s="614" t="str">
        <f>IF('päd.Personal - Erzieher'!$D$247="","",'päd.Personal - Erzieher'!$M$251)</f>
        <v/>
      </c>
      <c r="D27" s="614" t="str">
        <f>IF('päd.Personal - Erzieher'!$D$247="","",1)</f>
        <v/>
      </c>
      <c r="E27" s="616" t="str">
        <f>IF('päd.Personal - Erzieher'!$D$251="","",'päd.Personal - Erzieher'!$D$251)</f>
        <v/>
      </c>
      <c r="F27" s="613" t="str">
        <f>IF('päd.Personal - Erzieher'!$D$249="","",'päd.Personal - Erzieher'!$D$249)</f>
        <v/>
      </c>
      <c r="G27" s="617" t="str">
        <f>IF('päd.Personal - Erzieher'!$M$252="","",'päd.Personal - Erzieher'!$M$252)</f>
        <v/>
      </c>
      <c r="H27" s="613" t="str">
        <f>IF('päd.Personal - Erzieher'!$D$248="","",'päd.Personal - Erzieher'!$D$248)</f>
        <v/>
      </c>
      <c r="I27" s="618" t="str">
        <f>IF('päd.Personal - Erzieher'!$M$246="","",'päd.Personal - Erzieher'!$M$246)</f>
        <v/>
      </c>
      <c r="J27" s="531">
        <f>'päd.Personal - Erzieher'!$G$281</f>
        <v>0</v>
      </c>
      <c r="K27" s="531">
        <f>'päd.Personal - Erzieher'!$H$281</f>
        <v>0</v>
      </c>
      <c r="L27" s="531">
        <f>'päd.Personal - Erzieher'!$O$281</f>
        <v>0</v>
      </c>
      <c r="M27" s="531">
        <f>'päd.Personal - Erzieher'!$P$283+'päd.Personal - Erzieher'!$P$285</f>
        <v>0</v>
      </c>
      <c r="N27" s="531">
        <f>'päd.Personal - Erzieher'!$P$284</f>
        <v>0</v>
      </c>
      <c r="O27" s="531">
        <f>'päd.Personal - Erzieher'!$P$286</f>
        <v>0</v>
      </c>
      <c r="P27" s="532">
        <f>'päd.Personal - Erzieher'!$P$287</f>
        <v>0</v>
      </c>
      <c r="Q27" s="533">
        <f t="shared" si="2"/>
        <v>0</v>
      </c>
    </row>
    <row r="28" spans="1:17" s="109" customFormat="1" ht="27.75" customHeight="1" x14ac:dyDescent="0.25">
      <c r="A28" s="525">
        <v>7</v>
      </c>
      <c r="B28" s="613" t="str">
        <f>IF('päd.Personal - Erzieher'!$D$295="","",'päd.Personal - Erzieher'!$D$295)</f>
        <v/>
      </c>
      <c r="C28" s="614" t="str">
        <f>IF('päd.Personal - Erzieher'!$D$295="","",'päd.Personal - Erzieher'!$M$299)</f>
        <v/>
      </c>
      <c r="D28" s="614" t="str">
        <f>IF('päd.Personal - Erzieher'!$D$295="","",1)</f>
        <v/>
      </c>
      <c r="E28" s="616" t="str">
        <f>IF('päd.Personal - Erzieher'!$D$299="","",'päd.Personal - Erzieher'!$D$299)</f>
        <v/>
      </c>
      <c r="F28" s="613" t="str">
        <f>IF('päd.Personal - Erzieher'!$D$297="","",'päd.Personal - Erzieher'!$D$297)</f>
        <v/>
      </c>
      <c r="G28" s="617" t="str">
        <f>IF('päd.Personal - Erzieher'!$M$300="","",'päd.Personal - Erzieher'!$M$300)</f>
        <v/>
      </c>
      <c r="H28" s="613" t="str">
        <f>IF('päd.Personal - Erzieher'!$D$296="","",'päd.Personal - Erzieher'!$D$296)</f>
        <v/>
      </c>
      <c r="I28" s="618" t="str">
        <f>IF('päd.Personal - Erzieher'!$M$294="","",'päd.Personal - Erzieher'!$M$294)</f>
        <v/>
      </c>
      <c r="J28" s="531">
        <f>'päd.Personal - Erzieher'!$G$329</f>
        <v>0</v>
      </c>
      <c r="K28" s="531">
        <f>'päd.Personal - Erzieher'!$H$329</f>
        <v>0</v>
      </c>
      <c r="L28" s="531">
        <f>'päd.Personal - Erzieher'!$O$329</f>
        <v>0</v>
      </c>
      <c r="M28" s="531">
        <f>'päd.Personal - Erzieher'!$P$331+'päd.Personal - Erzieher'!$P$333</f>
        <v>0</v>
      </c>
      <c r="N28" s="531">
        <f>'päd.Personal - Erzieher'!$P$332</f>
        <v>0</v>
      </c>
      <c r="O28" s="531">
        <f>'päd.Personal - Erzieher'!$P$334</f>
        <v>0</v>
      </c>
      <c r="P28" s="532">
        <f>'päd.Personal - Erzieher'!$P$335</f>
        <v>0</v>
      </c>
      <c r="Q28" s="533">
        <f t="shared" si="2"/>
        <v>0</v>
      </c>
    </row>
    <row r="29" spans="1:17" s="109" customFormat="1" ht="27.75" customHeight="1" x14ac:dyDescent="0.25">
      <c r="A29" s="525">
        <v>8</v>
      </c>
      <c r="B29" s="613" t="str">
        <f>IF('päd.Personal - Erzieher'!$D$343="","",'päd.Personal - Erzieher'!$D$343)</f>
        <v/>
      </c>
      <c r="C29" s="614" t="str">
        <f>IF('päd.Personal - Erzieher'!$D$343="","",'päd.Personal - Erzieher'!$M$347)</f>
        <v/>
      </c>
      <c r="D29" s="614" t="str">
        <f>IF('päd.Personal - Erzieher'!$D$343="","",1)</f>
        <v/>
      </c>
      <c r="E29" s="616" t="str">
        <f>IF('päd.Personal - Erzieher'!$D$347="","",'päd.Personal - Erzieher'!$D$347)</f>
        <v/>
      </c>
      <c r="F29" s="613" t="str">
        <f>IF('päd.Personal - Erzieher'!$D$345="","",'päd.Personal - Erzieher'!$D$345)</f>
        <v/>
      </c>
      <c r="G29" s="617" t="str">
        <f>IF('päd.Personal - Erzieher'!$M$348="","",'päd.Personal - Erzieher'!$M$348)</f>
        <v/>
      </c>
      <c r="H29" s="613" t="str">
        <f>IF('päd.Personal - Erzieher'!$D$344="","",'päd.Personal - Erzieher'!$D$344)</f>
        <v/>
      </c>
      <c r="I29" s="618" t="str">
        <f>IF('päd.Personal - Erzieher'!$M$342="","",'päd.Personal - Erzieher'!$M$342)</f>
        <v/>
      </c>
      <c r="J29" s="531">
        <f>'päd.Personal - Erzieher'!$G$377</f>
        <v>0</v>
      </c>
      <c r="K29" s="531">
        <f>'päd.Personal - Erzieher'!$H$377</f>
        <v>0</v>
      </c>
      <c r="L29" s="531">
        <f>'päd.Personal - Erzieher'!$O$377</f>
        <v>0</v>
      </c>
      <c r="M29" s="531">
        <f>'päd.Personal - Erzieher'!$P$379+'päd.Personal - Erzieher'!$P$381</f>
        <v>0</v>
      </c>
      <c r="N29" s="531">
        <f>'päd.Personal - Erzieher'!$P$380</f>
        <v>0</v>
      </c>
      <c r="O29" s="531">
        <f>'päd.Personal - Erzieher'!$P$382</f>
        <v>0</v>
      </c>
      <c r="P29" s="532">
        <f>'päd.Personal - Erzieher'!$P$383</f>
        <v>0</v>
      </c>
      <c r="Q29" s="533">
        <f t="shared" si="2"/>
        <v>0</v>
      </c>
    </row>
    <row r="30" spans="1:17" s="109" customFormat="1" ht="27.75" customHeight="1" x14ac:dyDescent="0.25">
      <c r="A30" s="525">
        <v>9</v>
      </c>
      <c r="B30" s="613" t="str">
        <f>IF('päd.Personal - Erzieher'!$D$391="","",'päd.Personal - Erzieher'!$D$391)</f>
        <v/>
      </c>
      <c r="C30" s="614" t="str">
        <f>IF('päd.Personal - Erzieher'!$D$391="","",'päd.Personal - Erzieher'!$M$395)</f>
        <v/>
      </c>
      <c r="D30" s="614" t="str">
        <f>IF('päd.Personal - Erzieher'!$D$391="","",1)</f>
        <v/>
      </c>
      <c r="E30" s="616" t="str">
        <f>IF('päd.Personal - Erzieher'!$D$395="","",'päd.Personal - Erzieher'!$D$395)</f>
        <v/>
      </c>
      <c r="F30" s="613" t="str">
        <f>IF('päd.Personal - Erzieher'!$D$393="","",'päd.Personal - Erzieher'!$D$393)</f>
        <v/>
      </c>
      <c r="G30" s="617" t="str">
        <f>IF('päd.Personal - Erzieher'!$M$396="","",'päd.Personal - Erzieher'!$M$396)</f>
        <v/>
      </c>
      <c r="H30" s="613" t="str">
        <f>IF('päd.Personal - Erzieher'!$D$392="","",'päd.Personal - Erzieher'!$D$392)</f>
        <v/>
      </c>
      <c r="I30" s="618" t="str">
        <f>IF('päd.Personal - Erzieher'!$M$390="","",'päd.Personal - Erzieher'!$M$390)</f>
        <v/>
      </c>
      <c r="J30" s="531">
        <f>'päd.Personal - Erzieher'!$G$425</f>
        <v>0</v>
      </c>
      <c r="K30" s="531">
        <f>'päd.Personal - Erzieher'!$H$425</f>
        <v>0</v>
      </c>
      <c r="L30" s="531">
        <f>'päd.Personal - Erzieher'!$O$425</f>
        <v>0</v>
      </c>
      <c r="M30" s="531">
        <f>'päd.Personal - Erzieher'!$P$427+'päd.Personal - Erzieher'!$P$429</f>
        <v>0</v>
      </c>
      <c r="N30" s="531">
        <f>'päd.Personal - Erzieher'!$P$428</f>
        <v>0</v>
      </c>
      <c r="O30" s="531">
        <f>'päd.Personal - Erzieher'!$P$430</f>
        <v>0</v>
      </c>
      <c r="P30" s="532">
        <f>'päd.Personal - Erzieher'!$P$431</f>
        <v>0</v>
      </c>
      <c r="Q30" s="533">
        <f t="shared" si="2"/>
        <v>0</v>
      </c>
    </row>
    <row r="31" spans="1:17" s="109" customFormat="1" ht="27.75" customHeight="1" x14ac:dyDescent="0.25">
      <c r="A31" s="525">
        <v>10</v>
      </c>
      <c r="B31" s="613" t="str">
        <f>IF('päd.Personal - Erzieher'!$D$439="","",'päd.Personal - Erzieher'!$D$439)</f>
        <v/>
      </c>
      <c r="C31" s="614" t="str">
        <f>IF('päd.Personal - Erzieher'!$D$439="","",'päd.Personal - Erzieher'!$M$443)</f>
        <v/>
      </c>
      <c r="D31" s="614" t="str">
        <f>IF('päd.Personal - Erzieher'!$D$439="","",1)</f>
        <v/>
      </c>
      <c r="E31" s="616" t="str">
        <f>IF('päd.Personal - Erzieher'!$D$443="","",'päd.Personal - Erzieher'!$D$443)</f>
        <v/>
      </c>
      <c r="F31" s="613" t="str">
        <f>IF('päd.Personal - Erzieher'!$D$441="","",'päd.Personal - Erzieher'!$D$441)</f>
        <v/>
      </c>
      <c r="G31" s="617" t="str">
        <f>IF('päd.Personal - Erzieher'!$M$444="","",'päd.Personal - Erzieher'!$M$444)</f>
        <v/>
      </c>
      <c r="H31" s="613" t="str">
        <f>IF('päd.Personal - Erzieher'!$D$440="","",'päd.Personal - Erzieher'!$D$440)</f>
        <v/>
      </c>
      <c r="I31" s="618" t="str">
        <f>IF('päd.Personal - Erzieher'!$M$438="","",'päd.Personal - Erzieher'!$M$438)</f>
        <v/>
      </c>
      <c r="J31" s="531">
        <f>'päd.Personal - Erzieher'!$G$473</f>
        <v>0</v>
      </c>
      <c r="K31" s="531">
        <f>'päd.Personal - Erzieher'!$H$473</f>
        <v>0</v>
      </c>
      <c r="L31" s="531">
        <f>'päd.Personal - Erzieher'!$O$473</f>
        <v>0</v>
      </c>
      <c r="M31" s="531">
        <f>'päd.Personal - Erzieher'!$P$475+'päd.Personal - Erzieher'!$P$477</f>
        <v>0</v>
      </c>
      <c r="N31" s="531">
        <f>'päd.Personal - Erzieher'!$P$476</f>
        <v>0</v>
      </c>
      <c r="O31" s="531">
        <f>'päd.Personal - Erzieher'!$P$478</f>
        <v>0</v>
      </c>
      <c r="P31" s="532">
        <f>'päd.Personal - Erzieher'!$P$479</f>
        <v>0</v>
      </c>
      <c r="Q31" s="533">
        <f t="shared" si="2"/>
        <v>0</v>
      </c>
    </row>
    <row r="32" spans="1:17" s="109" customFormat="1" ht="27.75" customHeight="1" x14ac:dyDescent="0.25">
      <c r="A32" s="525">
        <v>11</v>
      </c>
      <c r="B32" s="613" t="str">
        <f>IF('päd.Personal - Erzieher'!$D$487="","",'päd.Personal - Erzieher'!$D$487)</f>
        <v/>
      </c>
      <c r="C32" s="614" t="str">
        <f>IF('päd.Personal - Erzieher'!$D$487="","",'päd.Personal - Erzieher'!$M$491)</f>
        <v/>
      </c>
      <c r="D32" s="614" t="str">
        <f>IF('päd.Personal - Erzieher'!$D$487="","",1)</f>
        <v/>
      </c>
      <c r="E32" s="616" t="str">
        <f>IF('päd.Personal - Erzieher'!$D$491="","",'päd.Personal - Erzieher'!$D$491)</f>
        <v/>
      </c>
      <c r="F32" s="613" t="str">
        <f>IF('päd.Personal - Erzieher'!$D$489="","",'päd.Personal - Erzieher'!$D$489)</f>
        <v/>
      </c>
      <c r="G32" s="617" t="str">
        <f>IF('päd.Personal - Erzieher'!$M$492="","",'päd.Personal - Erzieher'!$M$492)</f>
        <v/>
      </c>
      <c r="H32" s="613" t="str">
        <f>IF('päd.Personal - Erzieher'!$D$488="","",'päd.Personal - Erzieher'!$D$488)</f>
        <v/>
      </c>
      <c r="I32" s="618" t="str">
        <f>IF('päd.Personal - Erzieher'!$M$486="","",'päd.Personal - Erzieher'!$M$486)</f>
        <v/>
      </c>
      <c r="J32" s="531">
        <f>'päd.Personal - Erzieher'!$G$521</f>
        <v>0</v>
      </c>
      <c r="K32" s="531">
        <f>'päd.Personal - Erzieher'!$H$521</f>
        <v>0</v>
      </c>
      <c r="L32" s="531">
        <f>'päd.Personal - Erzieher'!$O$521</f>
        <v>0</v>
      </c>
      <c r="M32" s="531">
        <f>'päd.Personal - Erzieher'!$P$523+'päd.Personal - Erzieher'!$P$525</f>
        <v>0</v>
      </c>
      <c r="N32" s="531">
        <f>'päd.Personal - Erzieher'!$P$524</f>
        <v>0</v>
      </c>
      <c r="O32" s="531">
        <f>'päd.Personal - Erzieher'!$P$526</f>
        <v>0</v>
      </c>
      <c r="P32" s="532">
        <f>'päd.Personal - Erzieher'!$P$527</f>
        <v>0</v>
      </c>
      <c r="Q32" s="533">
        <f t="shared" si="2"/>
        <v>0</v>
      </c>
    </row>
    <row r="33" spans="1:17" s="109" customFormat="1" ht="27.75" customHeight="1" x14ac:dyDescent="0.25">
      <c r="A33" s="525">
        <v>12</v>
      </c>
      <c r="B33" s="613" t="str">
        <f>IF('päd.Personal - Erzieher'!$D$535="","",'päd.Personal - Erzieher'!$D$535)</f>
        <v/>
      </c>
      <c r="C33" s="614" t="str">
        <f>IF('päd.Personal - Erzieher'!$D$535="","",'päd.Personal - Erzieher'!$M$539)</f>
        <v/>
      </c>
      <c r="D33" s="614" t="str">
        <f>IF('päd.Personal - Erzieher'!$D$535="","",1)</f>
        <v/>
      </c>
      <c r="E33" s="616" t="str">
        <f>IF('päd.Personal - Erzieher'!$D$539="","",'päd.Personal - Erzieher'!$D$539)</f>
        <v/>
      </c>
      <c r="F33" s="613" t="str">
        <f>IF('päd.Personal - Erzieher'!$D$537="","",'päd.Personal - Erzieher'!$D$537)</f>
        <v/>
      </c>
      <c r="G33" s="617" t="str">
        <f>IF('päd.Personal - Erzieher'!$M$540="","",'päd.Personal - Erzieher'!$M$540)</f>
        <v/>
      </c>
      <c r="H33" s="613" t="str">
        <f>IF('päd.Personal - Erzieher'!$D$536="","",'päd.Personal - Erzieher'!$D$536)</f>
        <v/>
      </c>
      <c r="I33" s="618" t="str">
        <f>IF('päd.Personal - Erzieher'!$M$534="","",'päd.Personal - Erzieher'!$M$534)</f>
        <v/>
      </c>
      <c r="J33" s="531">
        <f>'päd.Personal - Erzieher'!$G$569</f>
        <v>0</v>
      </c>
      <c r="K33" s="531">
        <f>'päd.Personal - Erzieher'!$H$569</f>
        <v>0</v>
      </c>
      <c r="L33" s="531">
        <f>'päd.Personal - Erzieher'!$O$569</f>
        <v>0</v>
      </c>
      <c r="M33" s="531">
        <f>'päd.Personal - Erzieher'!$P$571+'päd.Personal - Erzieher'!$P$573</f>
        <v>0</v>
      </c>
      <c r="N33" s="531">
        <f>'päd.Personal - Erzieher'!$P$572</f>
        <v>0</v>
      </c>
      <c r="O33" s="531">
        <f>'päd.Personal - Erzieher'!$P$574</f>
        <v>0</v>
      </c>
      <c r="P33" s="532">
        <f>'päd.Personal - Erzieher'!$P$575</f>
        <v>0</v>
      </c>
      <c r="Q33" s="533">
        <f>SUM(J33:P33)</f>
        <v>0</v>
      </c>
    </row>
    <row r="34" spans="1:17" s="109" customFormat="1" ht="27.75" customHeight="1" x14ac:dyDescent="0.25">
      <c r="A34" s="525">
        <v>13</v>
      </c>
      <c r="B34" s="613" t="str">
        <f>IF('päd.Personal - Erzieher'!$D$583="","",'päd.Personal - Erzieher'!$D$583)</f>
        <v/>
      </c>
      <c r="C34" s="614" t="str">
        <f>IF('päd.Personal - Erzieher'!$D$583="","",'päd.Personal - Erzieher'!$M$587)</f>
        <v/>
      </c>
      <c r="D34" s="614" t="str">
        <f>IF('päd.Personal - Erzieher'!$D$583="","",1)</f>
        <v/>
      </c>
      <c r="E34" s="616" t="str">
        <f>IF('päd.Personal - Erzieher'!$D$587="","",'päd.Personal - Erzieher'!$D$587)</f>
        <v/>
      </c>
      <c r="F34" s="613" t="str">
        <f>IF('päd.Personal - Erzieher'!$D$585="","",'päd.Personal - Erzieher'!$D$585)</f>
        <v/>
      </c>
      <c r="G34" s="617" t="str">
        <f>IF('päd.Personal - Erzieher'!$M$588="","",'päd.Personal - Erzieher'!$M$588)</f>
        <v/>
      </c>
      <c r="H34" s="613" t="str">
        <f>IF('päd.Personal - Erzieher'!$D$584="","",'päd.Personal - Erzieher'!$D$584)</f>
        <v/>
      </c>
      <c r="I34" s="618" t="str">
        <f>IF('päd.Personal - Erzieher'!$M$582="","",'päd.Personal - Erzieher'!$M$582)</f>
        <v/>
      </c>
      <c r="J34" s="531">
        <f>'päd.Personal - Erzieher'!$G$617</f>
        <v>0</v>
      </c>
      <c r="K34" s="531">
        <f>'päd.Personal - Erzieher'!$H$617</f>
        <v>0</v>
      </c>
      <c r="L34" s="531">
        <f>'päd.Personal - Erzieher'!$O$617</f>
        <v>0</v>
      </c>
      <c r="M34" s="531">
        <f>'päd.Personal - Erzieher'!$P$619+'päd.Personal - Erzieher'!$P$621</f>
        <v>0</v>
      </c>
      <c r="N34" s="531">
        <f>'päd.Personal - Erzieher'!$P$620</f>
        <v>0</v>
      </c>
      <c r="O34" s="531">
        <f>'päd.Personal - Erzieher'!$P$622</f>
        <v>0</v>
      </c>
      <c r="P34" s="532">
        <f>'päd.Personal - Erzieher'!$P$623</f>
        <v>0</v>
      </c>
      <c r="Q34" s="533">
        <f t="shared" si="2"/>
        <v>0</v>
      </c>
    </row>
    <row r="35" spans="1:17" s="109" customFormat="1" ht="27.75" customHeight="1" x14ac:dyDescent="0.25">
      <c r="A35" s="525">
        <v>14</v>
      </c>
      <c r="B35" s="613" t="str">
        <f>IF('päd.Personal - Erzieher'!$D$631="","",'päd.Personal - Erzieher'!$D$631)</f>
        <v/>
      </c>
      <c r="C35" s="614" t="str">
        <f>IF('päd.Personal - Erzieher'!$D$631="","",'päd.Personal - Erzieher'!$M$635)</f>
        <v/>
      </c>
      <c r="D35" s="614" t="str">
        <f>IF('päd.Personal - Erzieher'!$D$631="","",1)</f>
        <v/>
      </c>
      <c r="E35" s="616" t="str">
        <f>IF('päd.Personal - Erzieher'!$D$635="","",'päd.Personal - Erzieher'!$D$635)</f>
        <v/>
      </c>
      <c r="F35" s="613" t="str">
        <f>IF('päd.Personal - Erzieher'!$D$633="","",'päd.Personal - Erzieher'!$D$633)</f>
        <v/>
      </c>
      <c r="G35" s="617" t="str">
        <f>IF('päd.Personal - Erzieher'!$M$636="","",'päd.Personal - Erzieher'!$M$636)</f>
        <v/>
      </c>
      <c r="H35" s="613" t="str">
        <f>IF('päd.Personal - Erzieher'!$D$632="","",'päd.Personal - Erzieher'!$D$632)</f>
        <v/>
      </c>
      <c r="I35" s="618" t="str">
        <f>IF('päd.Personal - Erzieher'!$M$630="","",'päd.Personal - Erzieher'!$M$630)</f>
        <v/>
      </c>
      <c r="J35" s="531">
        <f>'päd.Personal - Erzieher'!$G$665</f>
        <v>0</v>
      </c>
      <c r="K35" s="531">
        <f>'päd.Personal - Erzieher'!$H$665</f>
        <v>0</v>
      </c>
      <c r="L35" s="531">
        <f>'päd.Personal - Erzieher'!$O$665</f>
        <v>0</v>
      </c>
      <c r="M35" s="531">
        <f>'päd.Personal - Erzieher'!$P$667+'päd.Personal - Erzieher'!$P$669</f>
        <v>0</v>
      </c>
      <c r="N35" s="531">
        <f>'päd.Personal - Erzieher'!$P$668</f>
        <v>0</v>
      </c>
      <c r="O35" s="531">
        <f>'päd.Personal - Erzieher'!$P$670</f>
        <v>0</v>
      </c>
      <c r="P35" s="532">
        <f>'päd.Personal - Erzieher'!$P$671</f>
        <v>0</v>
      </c>
      <c r="Q35" s="533">
        <f t="shared" si="2"/>
        <v>0</v>
      </c>
    </row>
    <row r="36" spans="1:17" s="109" customFormat="1" ht="27.75" customHeight="1" x14ac:dyDescent="0.25">
      <c r="A36" s="525">
        <v>15</v>
      </c>
      <c r="B36" s="613" t="str">
        <f>IF('päd.Personal - Erzieher'!$D$679="","",'päd.Personal - Erzieher'!$D$679)</f>
        <v/>
      </c>
      <c r="C36" s="614" t="str">
        <f>IF('päd.Personal - Erzieher'!$D$679="","",'päd.Personal - Erzieher'!$M$683)</f>
        <v/>
      </c>
      <c r="D36" s="614" t="str">
        <f>IF('päd.Personal - Erzieher'!$D$679="","",1)</f>
        <v/>
      </c>
      <c r="E36" s="616" t="str">
        <f>IF('päd.Personal - Erzieher'!$D$683="","",'päd.Personal - Erzieher'!$D$683)</f>
        <v/>
      </c>
      <c r="F36" s="613" t="str">
        <f>IF('päd.Personal - Erzieher'!$D$681="","",'päd.Personal - Erzieher'!$D$681)</f>
        <v/>
      </c>
      <c r="G36" s="617" t="str">
        <f>IF('päd.Personal - Erzieher'!$M$684="","",'päd.Personal - Erzieher'!$M$684)</f>
        <v/>
      </c>
      <c r="H36" s="613" t="str">
        <f>IF('päd.Personal - Erzieher'!$D$680="","",'päd.Personal - Erzieher'!$D$680)</f>
        <v/>
      </c>
      <c r="I36" s="618" t="str">
        <f>IF('päd.Personal - Erzieher'!$M$678="","",'päd.Personal - Erzieher'!$M$678)</f>
        <v/>
      </c>
      <c r="J36" s="531">
        <f>'päd.Personal - Erzieher'!$G$713</f>
        <v>0</v>
      </c>
      <c r="K36" s="531">
        <f>'päd.Personal - Erzieher'!$H$713</f>
        <v>0</v>
      </c>
      <c r="L36" s="531">
        <f>'päd.Personal - Erzieher'!$O$713</f>
        <v>0</v>
      </c>
      <c r="M36" s="531">
        <f>'päd.Personal - Erzieher'!$P$715+'päd.Personal - Erzieher'!$P$717</f>
        <v>0</v>
      </c>
      <c r="N36" s="531">
        <f>'päd.Personal - Erzieher'!$P$716</f>
        <v>0</v>
      </c>
      <c r="O36" s="531">
        <f>'päd.Personal - Erzieher'!$P$718</f>
        <v>0</v>
      </c>
      <c r="P36" s="532">
        <f>'päd.Personal - Erzieher'!$P$719</f>
        <v>0</v>
      </c>
      <c r="Q36" s="533">
        <f t="shared" si="2"/>
        <v>0</v>
      </c>
    </row>
    <row r="37" spans="1:17" s="109" customFormat="1" ht="27.75" customHeight="1" x14ac:dyDescent="0.25">
      <c r="A37" s="525">
        <v>16</v>
      </c>
      <c r="B37" s="613" t="str">
        <f>IF('päd.Personal - Erzieher'!$D$727="","",'päd.Personal - Erzieher'!$D$727)</f>
        <v/>
      </c>
      <c r="C37" s="614" t="str">
        <f>IF('päd.Personal - Erzieher'!$D$727="","",'päd.Personal - Erzieher'!$M$731)</f>
        <v/>
      </c>
      <c r="D37" s="614" t="str">
        <f>IF('päd.Personal - Erzieher'!$D$727="","",1)</f>
        <v/>
      </c>
      <c r="E37" s="616" t="str">
        <f>IF('päd.Personal - Erzieher'!$D$731="","",'päd.Personal - Erzieher'!$D$731)</f>
        <v/>
      </c>
      <c r="F37" s="613" t="str">
        <f>IF('päd.Personal - Erzieher'!$D$729="","",'päd.Personal - Erzieher'!$D$729)</f>
        <v/>
      </c>
      <c r="G37" s="617" t="str">
        <f>IF('päd.Personal - Erzieher'!$M$732="","",'päd.Personal - Erzieher'!$M$732)</f>
        <v/>
      </c>
      <c r="H37" s="613" t="str">
        <f>IF('päd.Personal - Erzieher'!$D$728="","",'päd.Personal - Erzieher'!$D$728)</f>
        <v/>
      </c>
      <c r="I37" s="618" t="str">
        <f>IF('päd.Personal - Erzieher'!$M$726="","",'päd.Personal - Erzieher'!$M$726)</f>
        <v/>
      </c>
      <c r="J37" s="531">
        <f>'päd.Personal - Erzieher'!$G$761</f>
        <v>0</v>
      </c>
      <c r="K37" s="531">
        <f>'päd.Personal - Erzieher'!$H$761</f>
        <v>0</v>
      </c>
      <c r="L37" s="531">
        <f>'päd.Personal - Erzieher'!$O$761</f>
        <v>0</v>
      </c>
      <c r="M37" s="531">
        <f>'päd.Personal - Erzieher'!$P$763+'päd.Personal - Erzieher'!$P$765</f>
        <v>0</v>
      </c>
      <c r="N37" s="531">
        <f>'päd.Personal - Erzieher'!$P$764</f>
        <v>0</v>
      </c>
      <c r="O37" s="531">
        <f>'päd.Personal - Erzieher'!$P$766</f>
        <v>0</v>
      </c>
      <c r="P37" s="532">
        <f>'päd.Personal - Erzieher'!$P$767</f>
        <v>0</v>
      </c>
      <c r="Q37" s="533">
        <f t="shared" si="2"/>
        <v>0</v>
      </c>
    </row>
    <row r="38" spans="1:17" s="109" customFormat="1" ht="27.75" customHeight="1" x14ac:dyDescent="0.25">
      <c r="A38" s="525">
        <v>17</v>
      </c>
      <c r="B38" s="613" t="str">
        <f>IF('päd.Personal - Erzieher'!$D$775="","",'päd.Personal - Erzieher'!$D$775)</f>
        <v/>
      </c>
      <c r="C38" s="614" t="str">
        <f>IF('päd.Personal - Erzieher'!$D$775="","",'päd.Personal - Erzieher'!$M$779)</f>
        <v/>
      </c>
      <c r="D38" s="614" t="str">
        <f>IF('päd.Personal - Erzieher'!$D$775="","",1)</f>
        <v/>
      </c>
      <c r="E38" s="616" t="str">
        <f>IF('päd.Personal - Erzieher'!$D$779="","",'päd.Personal - Erzieher'!$D$779)</f>
        <v/>
      </c>
      <c r="F38" s="613" t="str">
        <f>IF('päd.Personal - Erzieher'!$D$777="","",'päd.Personal - Erzieher'!$D$777)</f>
        <v/>
      </c>
      <c r="G38" s="617" t="str">
        <f>IF('päd.Personal - Erzieher'!$M$780="","",'päd.Personal - Erzieher'!$M$780)</f>
        <v/>
      </c>
      <c r="H38" s="613" t="str">
        <f>IF('päd.Personal - Erzieher'!$D$776="","",'päd.Personal - Erzieher'!$D$776)</f>
        <v/>
      </c>
      <c r="I38" s="618" t="str">
        <f>IF('päd.Personal - Erzieher'!$M$774="","",'päd.Personal - Erzieher'!$M$774)</f>
        <v/>
      </c>
      <c r="J38" s="531">
        <f>'päd.Personal - Erzieher'!$G$809</f>
        <v>0</v>
      </c>
      <c r="K38" s="531">
        <f>'päd.Personal - Erzieher'!$H$809</f>
        <v>0</v>
      </c>
      <c r="L38" s="531">
        <f>'päd.Personal - Erzieher'!$O$809</f>
        <v>0</v>
      </c>
      <c r="M38" s="531">
        <f>'päd.Personal - Erzieher'!$P$811+'päd.Personal - Erzieher'!$P$813</f>
        <v>0</v>
      </c>
      <c r="N38" s="531">
        <f>'päd.Personal - Erzieher'!$P$812</f>
        <v>0</v>
      </c>
      <c r="O38" s="531">
        <f>'päd.Personal - Erzieher'!$P$814</f>
        <v>0</v>
      </c>
      <c r="P38" s="532">
        <f>'päd.Personal - Erzieher'!$P$815</f>
        <v>0</v>
      </c>
      <c r="Q38" s="533">
        <f>SUM(J38:P38)</f>
        <v>0</v>
      </c>
    </row>
    <row r="39" spans="1:17" s="109" customFormat="1" ht="27.75" customHeight="1" x14ac:dyDescent="0.25">
      <c r="A39" s="525">
        <v>18</v>
      </c>
      <c r="B39" s="613" t="str">
        <f>IF('päd.Personal - Erzieher'!$D$823="","",'päd.Personal - Erzieher'!$D$823)</f>
        <v/>
      </c>
      <c r="C39" s="614" t="str">
        <f>IF('päd.Personal - Erzieher'!$D$823="","",'päd.Personal - Erzieher'!$M$827)</f>
        <v/>
      </c>
      <c r="D39" s="614" t="str">
        <f>IF('päd.Personal - Erzieher'!$D$823="","",1)</f>
        <v/>
      </c>
      <c r="E39" s="616" t="str">
        <f>IF('päd.Personal - Erzieher'!$D$827="","",'päd.Personal - Erzieher'!$D$827)</f>
        <v/>
      </c>
      <c r="F39" s="613" t="str">
        <f>IF('päd.Personal - Erzieher'!$D$825="","",'päd.Personal - Erzieher'!$D$825)</f>
        <v/>
      </c>
      <c r="G39" s="617" t="str">
        <f>IF('päd.Personal - Erzieher'!$M$828="","",'päd.Personal - Erzieher'!$M$828)</f>
        <v/>
      </c>
      <c r="H39" s="613" t="str">
        <f>IF('päd.Personal - Erzieher'!$D$824="","",'päd.Personal - Erzieher'!$D$824)</f>
        <v/>
      </c>
      <c r="I39" s="618" t="str">
        <f>IF('päd.Personal - Erzieher'!$M$822="","",'päd.Personal - Erzieher'!$M$822)</f>
        <v/>
      </c>
      <c r="J39" s="531">
        <f>'päd.Personal - Erzieher'!$G$857</f>
        <v>0</v>
      </c>
      <c r="K39" s="531">
        <f>'päd.Personal - Erzieher'!$H$857</f>
        <v>0</v>
      </c>
      <c r="L39" s="531">
        <f>'päd.Personal - Erzieher'!$O$857</f>
        <v>0</v>
      </c>
      <c r="M39" s="531">
        <f>'päd.Personal - Erzieher'!$P$859+'päd.Personal - Erzieher'!$P$861</f>
        <v>0</v>
      </c>
      <c r="N39" s="531">
        <f>'päd.Personal - Erzieher'!$P$860</f>
        <v>0</v>
      </c>
      <c r="O39" s="531">
        <f>'päd.Personal - Erzieher'!$P$862</f>
        <v>0</v>
      </c>
      <c r="P39" s="532">
        <f>'päd.Personal - Erzieher'!$P$863</f>
        <v>0</v>
      </c>
      <c r="Q39" s="533">
        <f t="shared" ref="Q39:Q56" si="3">SUM(J39:P39)</f>
        <v>0</v>
      </c>
    </row>
    <row r="40" spans="1:17" s="109" customFormat="1" ht="27.75" customHeight="1" x14ac:dyDescent="0.25">
      <c r="A40" s="525">
        <v>19</v>
      </c>
      <c r="B40" s="613" t="str">
        <f>IF('päd.Personal - Erzieher'!$D$871="","",'päd.Personal - Erzieher'!$D$871)</f>
        <v/>
      </c>
      <c r="C40" s="614" t="str">
        <f>IF('päd.Personal - Erzieher'!$D$871="","",'päd.Personal - Erzieher'!$M$875)</f>
        <v/>
      </c>
      <c r="D40" s="614" t="str">
        <f>IF('päd.Personal - Erzieher'!$D$871="","",1)</f>
        <v/>
      </c>
      <c r="E40" s="616" t="str">
        <f>IF('päd.Personal - Erzieher'!$D$875="","",'päd.Personal - Erzieher'!$D$875)</f>
        <v/>
      </c>
      <c r="F40" s="613" t="str">
        <f>IF('päd.Personal - Erzieher'!$D$873="","",'päd.Personal - Erzieher'!$D$873)</f>
        <v/>
      </c>
      <c r="G40" s="617" t="str">
        <f>IF('päd.Personal - Erzieher'!$M$876="","",'päd.Personal - Erzieher'!$M$876)</f>
        <v/>
      </c>
      <c r="H40" s="613" t="str">
        <f>IF('päd.Personal - Erzieher'!$D$872="","",'päd.Personal - Erzieher'!$D$872)</f>
        <v/>
      </c>
      <c r="I40" s="618" t="str">
        <f>IF('päd.Personal - Erzieher'!$M$870="","",'päd.Personal - Erzieher'!$M$870)</f>
        <v/>
      </c>
      <c r="J40" s="531">
        <f>'päd.Personal - Erzieher'!$G$905</f>
        <v>0</v>
      </c>
      <c r="K40" s="531">
        <f>'päd.Personal - Erzieher'!$H$905</f>
        <v>0</v>
      </c>
      <c r="L40" s="531">
        <f>'päd.Personal - Erzieher'!$O$905</f>
        <v>0</v>
      </c>
      <c r="M40" s="531">
        <f>'päd.Personal - Erzieher'!$P$907+'päd.Personal - Erzieher'!$P$909</f>
        <v>0</v>
      </c>
      <c r="N40" s="531">
        <f>'päd.Personal - Erzieher'!$P$908</f>
        <v>0</v>
      </c>
      <c r="O40" s="531">
        <f>'päd.Personal - Erzieher'!$P$910</f>
        <v>0</v>
      </c>
      <c r="P40" s="532">
        <f>'päd.Personal - Erzieher'!$P$911</f>
        <v>0</v>
      </c>
      <c r="Q40" s="533">
        <f t="shared" si="3"/>
        <v>0</v>
      </c>
    </row>
    <row r="41" spans="1:17" s="109" customFormat="1" ht="27.75" customHeight="1" x14ac:dyDescent="0.25">
      <c r="A41" s="525">
        <v>20</v>
      </c>
      <c r="B41" s="613" t="str">
        <f>IF('päd.Personal - Erzieher'!$D$919="","",'päd.Personal - Erzieher'!$D$919)</f>
        <v/>
      </c>
      <c r="C41" s="614" t="str">
        <f>IF('päd.Personal - Erzieher'!$D$919="","",'päd.Personal - Erzieher'!$M$923)</f>
        <v/>
      </c>
      <c r="D41" s="614" t="str">
        <f>IF('päd.Personal - Erzieher'!$D$919="","",1)</f>
        <v/>
      </c>
      <c r="E41" s="616" t="str">
        <f>IF('päd.Personal - Erzieher'!$D$923="","",'päd.Personal - Erzieher'!$D$923)</f>
        <v/>
      </c>
      <c r="F41" s="613" t="str">
        <f>IF('päd.Personal - Erzieher'!$D$921="","",'päd.Personal - Erzieher'!$D$921)</f>
        <v/>
      </c>
      <c r="G41" s="617" t="str">
        <f>IF('päd.Personal - Erzieher'!$M$924="","",'päd.Personal - Erzieher'!$M$924)</f>
        <v/>
      </c>
      <c r="H41" s="613" t="str">
        <f>IF('päd.Personal - Erzieher'!$D$920="","",'päd.Personal - Erzieher'!$D$920)</f>
        <v/>
      </c>
      <c r="I41" s="618" t="str">
        <f>IF('päd.Personal - Erzieher'!$M$918="","",'päd.Personal - Erzieher'!$M$918)</f>
        <v/>
      </c>
      <c r="J41" s="531">
        <f>'päd.Personal - Erzieher'!$G$953</f>
        <v>0</v>
      </c>
      <c r="K41" s="531">
        <f>'päd.Personal - Erzieher'!$H$953</f>
        <v>0</v>
      </c>
      <c r="L41" s="531">
        <f>'päd.Personal - Erzieher'!$O$953</f>
        <v>0</v>
      </c>
      <c r="M41" s="531">
        <f>'päd.Personal - Erzieher'!$P$955+'päd.Personal - Erzieher'!$P$957</f>
        <v>0</v>
      </c>
      <c r="N41" s="531">
        <f>'päd.Personal - Erzieher'!$P$956</f>
        <v>0</v>
      </c>
      <c r="O41" s="531">
        <f>'päd.Personal - Erzieher'!$P$958</f>
        <v>0</v>
      </c>
      <c r="P41" s="532">
        <f>'päd.Personal - Erzieher'!$P$959</f>
        <v>0</v>
      </c>
      <c r="Q41" s="533">
        <f t="shared" si="3"/>
        <v>0</v>
      </c>
    </row>
    <row r="42" spans="1:17" s="109" customFormat="1" ht="27.75" customHeight="1" x14ac:dyDescent="0.25">
      <c r="A42" s="525">
        <v>21</v>
      </c>
      <c r="B42" s="613" t="str">
        <f>IF('päd.Personal - Erzieher'!$D$967="","",'päd.Personal - Erzieher'!$D$967)</f>
        <v/>
      </c>
      <c r="C42" s="614" t="str">
        <f>IF('päd.Personal - Erzieher'!$D$967="","",'päd.Personal - Erzieher'!$M$971)</f>
        <v/>
      </c>
      <c r="D42" s="614" t="str">
        <f>IF('päd.Personal - Erzieher'!$D$967="","",1)</f>
        <v/>
      </c>
      <c r="E42" s="616" t="str">
        <f>IF('päd.Personal - Erzieher'!$D$971="","",'päd.Personal - Erzieher'!$D$971)</f>
        <v/>
      </c>
      <c r="F42" s="613" t="str">
        <f>IF('päd.Personal - Erzieher'!$D$969="","",'päd.Personal - Erzieher'!$D$969)</f>
        <v/>
      </c>
      <c r="G42" s="617" t="str">
        <f>IF('päd.Personal - Erzieher'!$M$972="","",'päd.Personal - Erzieher'!$M$972)</f>
        <v/>
      </c>
      <c r="H42" s="613" t="str">
        <f>IF('päd.Personal - Erzieher'!$D$968="","",'päd.Personal - Erzieher'!$D$968)</f>
        <v/>
      </c>
      <c r="I42" s="618" t="str">
        <f>IF('päd.Personal - Erzieher'!$M$966="","",'päd.Personal - Erzieher'!$M$966)</f>
        <v/>
      </c>
      <c r="J42" s="531">
        <f>'päd.Personal - Erzieher'!$G$1001</f>
        <v>0</v>
      </c>
      <c r="K42" s="531">
        <f>'päd.Personal - Erzieher'!$H$1001</f>
        <v>0</v>
      </c>
      <c r="L42" s="531">
        <f>'päd.Personal - Erzieher'!$O$1001</f>
        <v>0</v>
      </c>
      <c r="M42" s="531">
        <f>'päd.Personal - Erzieher'!$P$1003+'päd.Personal - Erzieher'!$P$1005</f>
        <v>0</v>
      </c>
      <c r="N42" s="531">
        <f>'päd.Personal - Erzieher'!$P$1004</f>
        <v>0</v>
      </c>
      <c r="O42" s="531">
        <f>'päd.Personal - Erzieher'!$P$1006</f>
        <v>0</v>
      </c>
      <c r="P42" s="532">
        <f>'päd.Personal - Erzieher'!$P$1007</f>
        <v>0</v>
      </c>
      <c r="Q42" s="533">
        <f t="shared" si="3"/>
        <v>0</v>
      </c>
    </row>
    <row r="43" spans="1:17" s="109" customFormat="1" ht="27.75" customHeight="1" x14ac:dyDescent="0.25">
      <c r="A43" s="525">
        <v>22</v>
      </c>
      <c r="B43" s="613" t="str">
        <f>IF('päd.Personal - Erzieher'!$D$1015="","",'päd.Personal - Erzieher'!$D$1015)</f>
        <v/>
      </c>
      <c r="C43" s="614" t="str">
        <f>IF('päd.Personal - Erzieher'!$D$1015="","",'päd.Personal - Erzieher'!$M$1019)</f>
        <v/>
      </c>
      <c r="D43" s="614" t="str">
        <f>IF('päd.Personal - Erzieher'!$D$1015="","",1)</f>
        <v/>
      </c>
      <c r="E43" s="616" t="str">
        <f>IF('päd.Personal - Erzieher'!$D$1019="","",'päd.Personal - Erzieher'!$D$1019)</f>
        <v/>
      </c>
      <c r="F43" s="613" t="str">
        <f>IF('päd.Personal - Erzieher'!$D$1017="","",'päd.Personal - Erzieher'!$D$1017)</f>
        <v/>
      </c>
      <c r="G43" s="617" t="str">
        <f>IF('päd.Personal - Erzieher'!$M$1020="","",'päd.Personal - Erzieher'!$M$1020)</f>
        <v/>
      </c>
      <c r="H43" s="613" t="str">
        <f>IF('päd.Personal - Erzieher'!$D$1016="","",'päd.Personal - Erzieher'!$D$1016)</f>
        <v/>
      </c>
      <c r="I43" s="618" t="str">
        <f>IF('päd.Personal - Erzieher'!$M$1014="","",'päd.Personal - Erzieher'!$M$1014)</f>
        <v/>
      </c>
      <c r="J43" s="531">
        <f>'päd.Personal - Erzieher'!$G$1049</f>
        <v>0</v>
      </c>
      <c r="K43" s="531">
        <f>'päd.Personal - Erzieher'!$H$1049</f>
        <v>0</v>
      </c>
      <c r="L43" s="531">
        <f>'päd.Personal - Erzieher'!$O$1049</f>
        <v>0</v>
      </c>
      <c r="M43" s="531">
        <f>'päd.Personal - Erzieher'!$P$1051+'päd.Personal - Erzieher'!$P$1053</f>
        <v>0</v>
      </c>
      <c r="N43" s="531">
        <f>'päd.Personal - Erzieher'!$P$1052</f>
        <v>0</v>
      </c>
      <c r="O43" s="531">
        <f>'päd.Personal - Erzieher'!$P$1054</f>
        <v>0</v>
      </c>
      <c r="P43" s="532">
        <f>'päd.Personal - Erzieher'!$P$1055</f>
        <v>0</v>
      </c>
      <c r="Q43" s="533">
        <f t="shared" si="3"/>
        <v>0</v>
      </c>
    </row>
    <row r="44" spans="1:17" s="109" customFormat="1" ht="27.75" customHeight="1" x14ac:dyDescent="0.25">
      <c r="A44" s="525">
        <v>23</v>
      </c>
      <c r="B44" s="613" t="str">
        <f>IF('päd.Personal - Erzieher'!$D$1063="","",'päd.Personal - Erzieher'!$D$1063)</f>
        <v/>
      </c>
      <c r="C44" s="614" t="str">
        <f>IF('päd.Personal - Erzieher'!$D$1063="","",'päd.Personal - Erzieher'!$M$1067)</f>
        <v/>
      </c>
      <c r="D44" s="614" t="str">
        <f>IF('päd.Personal - Erzieher'!$D$1063="","",1)</f>
        <v/>
      </c>
      <c r="E44" s="616" t="str">
        <f>IF('päd.Personal - Erzieher'!$D$1067="","",'päd.Personal - Erzieher'!$D$1067)</f>
        <v/>
      </c>
      <c r="F44" s="613" t="str">
        <f>IF('päd.Personal - Erzieher'!$D$1065="","",'päd.Personal - Erzieher'!$D$1065)</f>
        <v/>
      </c>
      <c r="G44" s="617" t="str">
        <f>IF('päd.Personal - Erzieher'!$M$1068="","",'päd.Personal - Erzieher'!$M$1068)</f>
        <v/>
      </c>
      <c r="H44" s="613" t="str">
        <f>IF('päd.Personal - Erzieher'!$D$1064="","",'päd.Personal - Erzieher'!$D$1064)</f>
        <v/>
      </c>
      <c r="I44" s="618" t="str">
        <f>IF('päd.Personal - Erzieher'!$M$1062="","",'päd.Personal - Erzieher'!$M$1062)</f>
        <v/>
      </c>
      <c r="J44" s="531">
        <f>'päd.Personal - Erzieher'!$G$1097</f>
        <v>0</v>
      </c>
      <c r="K44" s="531">
        <f>'päd.Personal - Erzieher'!$H$1097</f>
        <v>0</v>
      </c>
      <c r="L44" s="531">
        <f>'päd.Personal - Erzieher'!$O$1097</f>
        <v>0</v>
      </c>
      <c r="M44" s="531">
        <f>'päd.Personal - Erzieher'!$P$1099+'päd.Personal - Erzieher'!$P$1101</f>
        <v>0</v>
      </c>
      <c r="N44" s="531">
        <f>'päd.Personal - Erzieher'!$P$1100</f>
        <v>0</v>
      </c>
      <c r="O44" s="531">
        <f>'päd.Personal - Erzieher'!$P$1102</f>
        <v>0</v>
      </c>
      <c r="P44" s="532">
        <f>'päd.Personal - Erzieher'!$P$1103</f>
        <v>0</v>
      </c>
      <c r="Q44" s="533">
        <f t="shared" si="3"/>
        <v>0</v>
      </c>
    </row>
    <row r="45" spans="1:17" s="109" customFormat="1" ht="27.75" customHeight="1" x14ac:dyDescent="0.25">
      <c r="A45" s="525">
        <v>24</v>
      </c>
      <c r="B45" s="613" t="str">
        <f>IF('päd.Personal - Erzieher'!$D$1111="","",'päd.Personal - Erzieher'!$D$1111)</f>
        <v/>
      </c>
      <c r="C45" s="614" t="str">
        <f>IF('päd.Personal - Erzieher'!$D$1111="","",'päd.Personal - Erzieher'!$M$1115)</f>
        <v/>
      </c>
      <c r="D45" s="614" t="str">
        <f>IF('päd.Personal - Erzieher'!$D$1111="","",1)</f>
        <v/>
      </c>
      <c r="E45" s="616" t="str">
        <f>IF('päd.Personal - Erzieher'!$D$1115="","",'päd.Personal - Erzieher'!$D$1115)</f>
        <v/>
      </c>
      <c r="F45" s="613" t="str">
        <f>IF('päd.Personal - Erzieher'!$D$1113="","",'päd.Personal - Erzieher'!$D$1113)</f>
        <v/>
      </c>
      <c r="G45" s="617" t="str">
        <f>IF('päd.Personal - Erzieher'!$M$1116="","",'päd.Personal - Erzieher'!$M$1116)</f>
        <v/>
      </c>
      <c r="H45" s="613" t="str">
        <f>IF('päd.Personal - Erzieher'!$D$1112="","",'päd.Personal - Erzieher'!$D$1112)</f>
        <v/>
      </c>
      <c r="I45" s="618" t="str">
        <f>IF('päd.Personal - Erzieher'!$M$1110="","",'päd.Personal - Erzieher'!$M$1110)</f>
        <v/>
      </c>
      <c r="J45" s="531">
        <f>'päd.Personal - Erzieher'!$G$1145</f>
        <v>0</v>
      </c>
      <c r="K45" s="531">
        <f>'päd.Personal - Erzieher'!$H$1145</f>
        <v>0</v>
      </c>
      <c r="L45" s="531">
        <f>'päd.Personal - Erzieher'!$O$1145</f>
        <v>0</v>
      </c>
      <c r="M45" s="531">
        <f>'päd.Personal - Erzieher'!$P$1147+'päd.Personal - Erzieher'!$P$1149</f>
        <v>0</v>
      </c>
      <c r="N45" s="531">
        <f>'päd.Personal - Erzieher'!$P$1148</f>
        <v>0</v>
      </c>
      <c r="O45" s="531">
        <f>'päd.Personal - Erzieher'!$P$1150</f>
        <v>0</v>
      </c>
      <c r="P45" s="532">
        <f>'päd.Personal - Erzieher'!$P$1151</f>
        <v>0</v>
      </c>
      <c r="Q45" s="533">
        <f t="shared" si="3"/>
        <v>0</v>
      </c>
    </row>
    <row r="46" spans="1:17" s="109" customFormat="1" ht="27.75" customHeight="1" x14ac:dyDescent="0.25">
      <c r="A46" s="525">
        <v>25</v>
      </c>
      <c r="B46" s="613" t="str">
        <f>IF('päd.Personal - Erzieher'!$D$1159="","",'päd.Personal - Erzieher'!$D$1159)</f>
        <v/>
      </c>
      <c r="C46" s="614" t="str">
        <f>IF('päd.Personal - Erzieher'!$D$1159="","",'päd.Personal - Erzieher'!$M$1163)</f>
        <v/>
      </c>
      <c r="D46" s="614" t="str">
        <f>IF('päd.Personal - Erzieher'!$D$1159="","",1)</f>
        <v/>
      </c>
      <c r="E46" s="616" t="str">
        <f>IF('päd.Personal - Erzieher'!$D$1163="","",'päd.Personal - Erzieher'!$D$1163)</f>
        <v/>
      </c>
      <c r="F46" s="613" t="str">
        <f>IF('päd.Personal - Erzieher'!$D$1161="","",'päd.Personal - Erzieher'!$D$1161)</f>
        <v/>
      </c>
      <c r="G46" s="617" t="str">
        <f>IF('päd.Personal - Erzieher'!$M$1164="","",'päd.Personal - Erzieher'!$M$1164)</f>
        <v/>
      </c>
      <c r="H46" s="613" t="str">
        <f>IF('päd.Personal - Erzieher'!$D$1160="","",'päd.Personal - Erzieher'!$D$1160)</f>
        <v/>
      </c>
      <c r="I46" s="618" t="str">
        <f>IF('päd.Personal - Erzieher'!$M$1158="","",'päd.Personal - Erzieher'!$M$1158)</f>
        <v/>
      </c>
      <c r="J46" s="531">
        <f>'päd.Personal - Erzieher'!$G$1193</f>
        <v>0</v>
      </c>
      <c r="K46" s="531">
        <f>'päd.Personal - Erzieher'!$H$1193</f>
        <v>0</v>
      </c>
      <c r="L46" s="531">
        <f>'päd.Personal - Erzieher'!$O$1193</f>
        <v>0</v>
      </c>
      <c r="M46" s="531">
        <f>'päd.Personal - Erzieher'!$P$1195+'päd.Personal - Erzieher'!$P$1197</f>
        <v>0</v>
      </c>
      <c r="N46" s="531">
        <f>'päd.Personal - Erzieher'!$P$1196</f>
        <v>0</v>
      </c>
      <c r="O46" s="531">
        <f>'päd.Personal - Erzieher'!$P$1198</f>
        <v>0</v>
      </c>
      <c r="P46" s="532">
        <f>'päd.Personal - Erzieher'!$P$1199</f>
        <v>0</v>
      </c>
      <c r="Q46" s="533">
        <f t="shared" si="3"/>
        <v>0</v>
      </c>
    </row>
    <row r="47" spans="1:17" s="109" customFormat="1" ht="27.75" customHeight="1" x14ac:dyDescent="0.25">
      <c r="A47" s="525">
        <v>26</v>
      </c>
      <c r="B47" s="613" t="str">
        <f>IF('päd.Personal - Erzieher'!$D$1207="","",'päd.Personal - Erzieher'!$D$1207)</f>
        <v/>
      </c>
      <c r="C47" s="614" t="str">
        <f>IF('päd.Personal - Erzieher'!$D$1207="","",'päd.Personal - Erzieher'!$M$1211)</f>
        <v/>
      </c>
      <c r="D47" s="614" t="str">
        <f>IF('päd.Personal - Erzieher'!$D$1207="","",1)</f>
        <v/>
      </c>
      <c r="E47" s="616" t="str">
        <f>IF('päd.Personal - Erzieher'!$D$1211="","",'päd.Personal - Erzieher'!$D$1211)</f>
        <v/>
      </c>
      <c r="F47" s="613" t="str">
        <f>IF('päd.Personal - Erzieher'!$D$1209="","",'päd.Personal - Erzieher'!$D$1209)</f>
        <v/>
      </c>
      <c r="G47" s="617" t="str">
        <f>IF('päd.Personal - Erzieher'!$M$1212="","",'päd.Personal - Erzieher'!$M$1212)</f>
        <v/>
      </c>
      <c r="H47" s="613" t="str">
        <f>IF('päd.Personal - Erzieher'!$D$1208="","",'päd.Personal - Erzieher'!$D$1208)</f>
        <v/>
      </c>
      <c r="I47" s="618" t="str">
        <f>IF('päd.Personal - Erzieher'!$M$1206="","",'päd.Personal - Erzieher'!$M$1206)</f>
        <v/>
      </c>
      <c r="J47" s="531">
        <f>'päd.Personal - Erzieher'!$G$1241</f>
        <v>0</v>
      </c>
      <c r="K47" s="531">
        <f>'päd.Personal - Erzieher'!$H$1241</f>
        <v>0</v>
      </c>
      <c r="L47" s="531">
        <f>'päd.Personal - Erzieher'!$O$1241</f>
        <v>0</v>
      </c>
      <c r="M47" s="531">
        <f>'päd.Personal - Erzieher'!$P$1243+'päd.Personal - Erzieher'!$P$1245</f>
        <v>0</v>
      </c>
      <c r="N47" s="531">
        <f>'päd.Personal - Erzieher'!$P$1244</f>
        <v>0</v>
      </c>
      <c r="O47" s="531">
        <f>'päd.Personal - Erzieher'!$P$1246</f>
        <v>0</v>
      </c>
      <c r="P47" s="532">
        <f>'päd.Personal - Erzieher'!$P$1247</f>
        <v>0</v>
      </c>
      <c r="Q47" s="533">
        <f t="shared" si="3"/>
        <v>0</v>
      </c>
    </row>
    <row r="48" spans="1:17" s="109" customFormat="1" ht="27.75" customHeight="1" x14ac:dyDescent="0.25">
      <c r="A48" s="525">
        <v>27</v>
      </c>
      <c r="B48" s="613" t="str">
        <f>IF('päd.Personal - Erzieher'!$D$1255="","",'päd.Personal - Erzieher'!$D$1255)</f>
        <v/>
      </c>
      <c r="C48" s="614" t="str">
        <f>IF('päd.Personal - Erzieher'!$D$1255="","",'päd.Personal - Erzieher'!$M$1259)</f>
        <v/>
      </c>
      <c r="D48" s="614" t="str">
        <f>IF('päd.Personal - Erzieher'!$D$1255="","",1)</f>
        <v/>
      </c>
      <c r="E48" s="616" t="str">
        <f>IF('päd.Personal - Erzieher'!$D$1259="","",'päd.Personal - Erzieher'!$D$1259)</f>
        <v/>
      </c>
      <c r="F48" s="613" t="str">
        <f>IF('päd.Personal - Erzieher'!$D$1257="","",'päd.Personal - Erzieher'!$D$1257)</f>
        <v/>
      </c>
      <c r="G48" s="617" t="str">
        <f>IF('päd.Personal - Erzieher'!$M$1260="","",'päd.Personal - Erzieher'!$M$1260)</f>
        <v/>
      </c>
      <c r="H48" s="613" t="str">
        <f>IF('päd.Personal - Erzieher'!$D$1256="","",'päd.Personal - Erzieher'!$D$1256)</f>
        <v/>
      </c>
      <c r="I48" s="618" t="str">
        <f>IF('päd.Personal - Erzieher'!$M$1254="","",'päd.Personal - Erzieher'!$M$1254)</f>
        <v/>
      </c>
      <c r="J48" s="531">
        <f>'päd.Personal - Erzieher'!$G$1289</f>
        <v>0</v>
      </c>
      <c r="K48" s="531">
        <f>'päd.Personal - Erzieher'!$H$1289</f>
        <v>0</v>
      </c>
      <c r="L48" s="531">
        <f>'päd.Personal - Erzieher'!$O$1289</f>
        <v>0</v>
      </c>
      <c r="M48" s="531">
        <f>'päd.Personal - Erzieher'!$P$1291+'päd.Personal - Erzieher'!$P$1293</f>
        <v>0</v>
      </c>
      <c r="N48" s="531">
        <f>'päd.Personal - Erzieher'!$P$1292</f>
        <v>0</v>
      </c>
      <c r="O48" s="531">
        <f>'päd.Personal - Erzieher'!$P$1294</f>
        <v>0</v>
      </c>
      <c r="P48" s="532">
        <f>'päd.Personal - Erzieher'!$P$1295</f>
        <v>0</v>
      </c>
      <c r="Q48" s="533">
        <f t="shared" si="3"/>
        <v>0</v>
      </c>
    </row>
    <row r="49" spans="1:17" s="109" customFormat="1" ht="27.75" customHeight="1" x14ac:dyDescent="0.25">
      <c r="A49" s="525">
        <v>28</v>
      </c>
      <c r="B49" s="613" t="str">
        <f>IF('päd.Personal - Erzieher'!$D$1303="","",'päd.Personal - Erzieher'!$D$1303)</f>
        <v/>
      </c>
      <c r="C49" s="614" t="str">
        <f>IF('päd.Personal - Erzieher'!$D$1303="","",'päd.Personal - Erzieher'!$M$1307)</f>
        <v/>
      </c>
      <c r="D49" s="614" t="str">
        <f>IF('päd.Personal - Erzieher'!$D$1303="","",1)</f>
        <v/>
      </c>
      <c r="E49" s="616" t="str">
        <f>IF('päd.Personal - Erzieher'!$D$1307="","",'päd.Personal - Erzieher'!$D$1307)</f>
        <v/>
      </c>
      <c r="F49" s="613" t="str">
        <f>IF('päd.Personal - Erzieher'!$D$1305="","",'päd.Personal - Erzieher'!$D$1305)</f>
        <v/>
      </c>
      <c r="G49" s="617" t="str">
        <f>IF('päd.Personal - Erzieher'!$M$1308="","",'päd.Personal - Erzieher'!$M$1308)</f>
        <v/>
      </c>
      <c r="H49" s="613" t="str">
        <f>IF('päd.Personal - Erzieher'!$D$1304="","",'päd.Personal - Erzieher'!$D$1304)</f>
        <v/>
      </c>
      <c r="I49" s="618" t="str">
        <f>IF('päd.Personal - Erzieher'!$M$1302="","",'päd.Personal - Erzieher'!$M$1302)</f>
        <v/>
      </c>
      <c r="J49" s="531">
        <f>'päd.Personal - Erzieher'!$G$1337</f>
        <v>0</v>
      </c>
      <c r="K49" s="531">
        <f>'päd.Personal - Erzieher'!$H$1337</f>
        <v>0</v>
      </c>
      <c r="L49" s="531">
        <f>'päd.Personal - Erzieher'!$O$1337</f>
        <v>0</v>
      </c>
      <c r="M49" s="531">
        <f>'päd.Personal - Erzieher'!$P$1339+'päd.Personal - Erzieher'!$P$1341</f>
        <v>0</v>
      </c>
      <c r="N49" s="531">
        <f>'päd.Personal - Erzieher'!$P$1340</f>
        <v>0</v>
      </c>
      <c r="O49" s="531">
        <f>'päd.Personal - Erzieher'!$P$1342</f>
        <v>0</v>
      </c>
      <c r="P49" s="532">
        <f>'päd.Personal - Erzieher'!$P$1343</f>
        <v>0</v>
      </c>
      <c r="Q49" s="533">
        <f t="shared" si="3"/>
        <v>0</v>
      </c>
    </row>
    <row r="50" spans="1:17" s="109" customFormat="1" ht="27.75" customHeight="1" x14ac:dyDescent="0.25">
      <c r="A50" s="525">
        <v>29</v>
      </c>
      <c r="B50" s="613" t="str">
        <f>IF('päd.Personal - Erzieher'!$D$1351="","",'päd.Personal - Erzieher'!$D$1351)</f>
        <v/>
      </c>
      <c r="C50" s="614" t="str">
        <f>IF('päd.Personal - Erzieher'!$D$1351="","",'päd.Personal - Erzieher'!$M$1355)</f>
        <v/>
      </c>
      <c r="D50" s="614" t="str">
        <f>IF('päd.Personal - Erzieher'!$D$1351="","",1)</f>
        <v/>
      </c>
      <c r="E50" s="616" t="str">
        <f>IF('päd.Personal - Erzieher'!$D$1355="","",'päd.Personal - Erzieher'!$D$1355)</f>
        <v/>
      </c>
      <c r="F50" s="613" t="str">
        <f>IF('päd.Personal - Erzieher'!$D$1353="","",'päd.Personal - Erzieher'!$D$1353)</f>
        <v/>
      </c>
      <c r="G50" s="617" t="str">
        <f>IF('päd.Personal - Erzieher'!$M$1356="","",'päd.Personal - Erzieher'!$M$1356)</f>
        <v/>
      </c>
      <c r="H50" s="613" t="str">
        <f>IF('päd.Personal - Erzieher'!$D$1352="","",'päd.Personal - Erzieher'!$D$1352)</f>
        <v/>
      </c>
      <c r="I50" s="618" t="str">
        <f>IF('päd.Personal - Erzieher'!$M$1350="","",'päd.Personal - Erzieher'!$M$1350)</f>
        <v/>
      </c>
      <c r="J50" s="531">
        <f>'päd.Personal - Erzieher'!$G$1385</f>
        <v>0</v>
      </c>
      <c r="K50" s="531">
        <f>'päd.Personal - Erzieher'!$H$1385</f>
        <v>0</v>
      </c>
      <c r="L50" s="531">
        <f>'päd.Personal - Erzieher'!$O$1385</f>
        <v>0</v>
      </c>
      <c r="M50" s="531">
        <f>'päd.Personal - Erzieher'!$P$1387+'päd.Personal - Erzieher'!$P$1389</f>
        <v>0</v>
      </c>
      <c r="N50" s="531">
        <f>'päd.Personal - Erzieher'!$P$1388</f>
        <v>0</v>
      </c>
      <c r="O50" s="531">
        <f>'päd.Personal - Erzieher'!$P$1390</f>
        <v>0</v>
      </c>
      <c r="P50" s="532">
        <f>'päd.Personal - Erzieher'!$P$1391</f>
        <v>0</v>
      </c>
      <c r="Q50" s="533">
        <f t="shared" si="3"/>
        <v>0</v>
      </c>
    </row>
    <row r="51" spans="1:17" s="109" customFormat="1" ht="27.75" customHeight="1" x14ac:dyDescent="0.25">
      <c r="A51" s="525">
        <v>30</v>
      </c>
      <c r="B51" s="613" t="str">
        <f>IF('päd.Personal - Erzieher'!$D$1399="","",'päd.Personal - Erzieher'!$D$1399)</f>
        <v/>
      </c>
      <c r="C51" s="614" t="str">
        <f>IF('päd.Personal - Erzieher'!$D$1399="","",'päd.Personal - Erzieher'!$M$1403)</f>
        <v/>
      </c>
      <c r="D51" s="614" t="str">
        <f>IF('päd.Personal - Erzieher'!$D$1399="","",1)</f>
        <v/>
      </c>
      <c r="E51" s="616" t="str">
        <f>IF('päd.Personal - Erzieher'!$D$1403="","",'päd.Personal - Erzieher'!$D$1403)</f>
        <v/>
      </c>
      <c r="F51" s="613" t="str">
        <f>IF('päd.Personal - Erzieher'!$D$1401="","",'päd.Personal - Erzieher'!$D$1401)</f>
        <v/>
      </c>
      <c r="G51" s="617" t="str">
        <f>IF('päd.Personal - Erzieher'!$M$1404="","",'päd.Personal - Erzieher'!$M$1404)</f>
        <v/>
      </c>
      <c r="H51" s="613" t="str">
        <f>IF('päd.Personal - Erzieher'!$D$1400="","",'päd.Personal - Erzieher'!$D$1400)</f>
        <v/>
      </c>
      <c r="I51" s="618" t="str">
        <f>IF('päd.Personal - Erzieher'!$M$1398="","",'päd.Personal - Erzieher'!$M$1398)</f>
        <v/>
      </c>
      <c r="J51" s="531">
        <f>'päd.Personal - Erzieher'!$G$1433</f>
        <v>0</v>
      </c>
      <c r="K51" s="531">
        <f>'päd.Personal - Erzieher'!$H$1433</f>
        <v>0</v>
      </c>
      <c r="L51" s="531">
        <f>'päd.Personal - Erzieher'!$O$1433</f>
        <v>0</v>
      </c>
      <c r="M51" s="531">
        <f>'päd.Personal - Erzieher'!$P$1435+'päd.Personal - Erzieher'!$P$1437</f>
        <v>0</v>
      </c>
      <c r="N51" s="531">
        <f>'päd.Personal - Erzieher'!$P$1436</f>
        <v>0</v>
      </c>
      <c r="O51" s="531">
        <f>'päd.Personal - Erzieher'!$P$1438</f>
        <v>0</v>
      </c>
      <c r="P51" s="532">
        <f>'päd.Personal - Erzieher'!$P$1439</f>
        <v>0</v>
      </c>
      <c r="Q51" s="533">
        <f t="shared" si="3"/>
        <v>0</v>
      </c>
    </row>
    <row r="52" spans="1:17" s="109" customFormat="1" ht="27.75" customHeight="1" x14ac:dyDescent="0.25">
      <c r="A52" s="525">
        <v>31</v>
      </c>
      <c r="B52" s="613" t="str">
        <f>IF('päd.Personal - Erzieher'!$D$1447="","",'päd.Personal - Erzieher'!$D$1447)</f>
        <v/>
      </c>
      <c r="C52" s="614" t="str">
        <f>IF('päd.Personal - Erzieher'!$D$1447="","",'päd.Personal - Erzieher'!$M$1451)</f>
        <v/>
      </c>
      <c r="D52" s="614" t="str">
        <f>IF('päd.Personal - Erzieher'!$D$1447="","",1)</f>
        <v/>
      </c>
      <c r="E52" s="616" t="str">
        <f>IF('päd.Personal - Erzieher'!$D$1451="","",'päd.Personal - Erzieher'!$D$1451)</f>
        <v/>
      </c>
      <c r="F52" s="613" t="str">
        <f>IF('päd.Personal - Erzieher'!$D$1449="","",'päd.Personal - Erzieher'!$D$1449)</f>
        <v/>
      </c>
      <c r="G52" s="617" t="str">
        <f>IF('päd.Personal - Erzieher'!$M$1452="","",'päd.Personal - Erzieher'!$M$1452)</f>
        <v/>
      </c>
      <c r="H52" s="613" t="str">
        <f>IF('päd.Personal - Erzieher'!$D$1448="","",'päd.Personal - Erzieher'!$D$1448)</f>
        <v/>
      </c>
      <c r="I52" s="618" t="str">
        <f>IF('päd.Personal - Erzieher'!$M$1446="","",'päd.Personal - Erzieher'!$M$1446)</f>
        <v/>
      </c>
      <c r="J52" s="531">
        <f>'päd.Personal - Erzieher'!$G$1481</f>
        <v>0</v>
      </c>
      <c r="K52" s="531">
        <f>'päd.Personal - Erzieher'!$H$1481</f>
        <v>0</v>
      </c>
      <c r="L52" s="531">
        <f>'päd.Personal - Erzieher'!$O$1481</f>
        <v>0</v>
      </c>
      <c r="M52" s="531">
        <f>'päd.Personal - Erzieher'!$P$1483+'päd.Personal - Erzieher'!$P$1485</f>
        <v>0</v>
      </c>
      <c r="N52" s="531">
        <f>'päd.Personal - Erzieher'!$P$1484</f>
        <v>0</v>
      </c>
      <c r="O52" s="531">
        <f>'päd.Personal - Erzieher'!$P$1486</f>
        <v>0</v>
      </c>
      <c r="P52" s="532">
        <f>'päd.Personal - Erzieher'!$P$1487</f>
        <v>0</v>
      </c>
      <c r="Q52" s="533">
        <f t="shared" si="3"/>
        <v>0</v>
      </c>
    </row>
    <row r="53" spans="1:17" s="109" customFormat="1" ht="27.75" customHeight="1" x14ac:dyDescent="0.25">
      <c r="A53" s="525">
        <v>32</v>
      </c>
      <c r="B53" s="613" t="str">
        <f>IF('päd.Personal - Erzieher'!$D$1495="","",'päd.Personal - Erzieher'!$D$1495)</f>
        <v/>
      </c>
      <c r="C53" s="614" t="str">
        <f>IF('päd.Personal - Erzieher'!$D$1495="","",'päd.Personal - Erzieher'!$M$1499)</f>
        <v/>
      </c>
      <c r="D53" s="614" t="str">
        <f>IF('päd.Personal - Erzieher'!$D$1495="","",1)</f>
        <v/>
      </c>
      <c r="E53" s="616" t="str">
        <f>IF('päd.Personal - Erzieher'!$D$1499="","",'päd.Personal - Erzieher'!$D$1499)</f>
        <v/>
      </c>
      <c r="F53" s="613" t="str">
        <f>IF('päd.Personal - Erzieher'!$D$1497="","",'päd.Personal - Erzieher'!$D$1497)</f>
        <v/>
      </c>
      <c r="G53" s="617" t="str">
        <f>IF('päd.Personal - Erzieher'!$M$1500="","",'päd.Personal - Erzieher'!$M$1500)</f>
        <v/>
      </c>
      <c r="H53" s="613" t="str">
        <f>IF('päd.Personal - Erzieher'!$D$1496="","",'päd.Personal - Erzieher'!$D$1496)</f>
        <v/>
      </c>
      <c r="I53" s="618" t="str">
        <f>IF('päd.Personal - Erzieher'!$M$1494="","",'päd.Personal - Erzieher'!$M$1494)</f>
        <v/>
      </c>
      <c r="J53" s="531">
        <f>'päd.Personal - Erzieher'!$G$1529</f>
        <v>0</v>
      </c>
      <c r="K53" s="531">
        <f>'päd.Personal - Erzieher'!$H$1529</f>
        <v>0</v>
      </c>
      <c r="L53" s="531">
        <f>'päd.Personal - Erzieher'!$O$1529</f>
        <v>0</v>
      </c>
      <c r="M53" s="531">
        <f>'päd.Personal - Erzieher'!$P$1531+'päd.Personal - Erzieher'!$P$1533</f>
        <v>0</v>
      </c>
      <c r="N53" s="531">
        <f>'päd.Personal - Erzieher'!$P$1532</f>
        <v>0</v>
      </c>
      <c r="O53" s="531">
        <f>'päd.Personal - Erzieher'!$P$1534</f>
        <v>0</v>
      </c>
      <c r="P53" s="532">
        <f>'päd.Personal - Erzieher'!$P$1535</f>
        <v>0</v>
      </c>
      <c r="Q53" s="533">
        <f t="shared" si="3"/>
        <v>0</v>
      </c>
    </row>
    <row r="54" spans="1:17" s="109" customFormat="1" ht="27.75" customHeight="1" x14ac:dyDescent="0.25">
      <c r="A54" s="525">
        <v>33</v>
      </c>
      <c r="B54" s="613" t="str">
        <f>IF('päd.Personal - Erzieher'!$D$1543="","",'päd.Personal - Erzieher'!$D$1543)</f>
        <v/>
      </c>
      <c r="C54" s="614" t="str">
        <f>IF('päd.Personal - Erzieher'!$D$1543="","",'päd.Personal - Erzieher'!$M$1547)</f>
        <v/>
      </c>
      <c r="D54" s="614" t="str">
        <f>IF('päd.Personal - Erzieher'!$D$1543="","",1)</f>
        <v/>
      </c>
      <c r="E54" s="616" t="str">
        <f>IF('päd.Personal - Erzieher'!$D$1547="","",'päd.Personal - Erzieher'!$D$1547)</f>
        <v/>
      </c>
      <c r="F54" s="613" t="str">
        <f>IF('päd.Personal - Erzieher'!$D$1545="","",'päd.Personal - Erzieher'!$D$1545)</f>
        <v/>
      </c>
      <c r="G54" s="617" t="str">
        <f>IF('päd.Personal - Erzieher'!$M$1548="","",'päd.Personal - Erzieher'!$M$1548)</f>
        <v/>
      </c>
      <c r="H54" s="613" t="str">
        <f>IF('päd.Personal - Erzieher'!$D$1544="","",'päd.Personal - Erzieher'!$D$1544)</f>
        <v/>
      </c>
      <c r="I54" s="618" t="str">
        <f>IF('päd.Personal - Erzieher'!$M$1542="","",'päd.Personal - Erzieher'!$M$1542)</f>
        <v/>
      </c>
      <c r="J54" s="531">
        <f>'päd.Personal - Erzieher'!$G$1577</f>
        <v>0</v>
      </c>
      <c r="K54" s="531">
        <f>'päd.Personal - Erzieher'!$H$1577</f>
        <v>0</v>
      </c>
      <c r="L54" s="531">
        <f>'päd.Personal - Erzieher'!$O$1577</f>
        <v>0</v>
      </c>
      <c r="M54" s="531">
        <f>'päd.Personal - Erzieher'!$P$1579+'päd.Personal - Erzieher'!$P$1581</f>
        <v>0</v>
      </c>
      <c r="N54" s="531">
        <f>'päd.Personal - Erzieher'!$P$1580</f>
        <v>0</v>
      </c>
      <c r="O54" s="531">
        <f>'päd.Personal - Erzieher'!$P$1582</f>
        <v>0</v>
      </c>
      <c r="P54" s="532">
        <f>'päd.Personal - Erzieher'!$P$1583</f>
        <v>0</v>
      </c>
      <c r="Q54" s="533">
        <f t="shared" si="3"/>
        <v>0</v>
      </c>
    </row>
    <row r="55" spans="1:17" s="109" customFormat="1" ht="27.75" customHeight="1" x14ac:dyDescent="0.25">
      <c r="A55" s="525">
        <v>34</v>
      </c>
      <c r="B55" s="613" t="str">
        <f>IF('päd.Personal - Erzieher'!$D$1591="","",'päd.Personal - Erzieher'!$D$1591)</f>
        <v/>
      </c>
      <c r="C55" s="614" t="str">
        <f>IF('päd.Personal - Erzieher'!$D$1591="","",'päd.Personal - Erzieher'!$M$1595)</f>
        <v/>
      </c>
      <c r="D55" s="614" t="str">
        <f>IF('päd.Personal - Erzieher'!$D$1591="","",1)</f>
        <v/>
      </c>
      <c r="E55" s="616" t="str">
        <f>IF('päd.Personal - Erzieher'!$D$1595="","",'päd.Personal - Erzieher'!$D$1595)</f>
        <v/>
      </c>
      <c r="F55" s="613" t="str">
        <f>IF('päd.Personal - Erzieher'!$D$1593="","",'päd.Personal - Erzieher'!$D$1593)</f>
        <v/>
      </c>
      <c r="G55" s="617" t="str">
        <f>IF('päd.Personal - Erzieher'!$M$1596="","",'päd.Personal - Erzieher'!$M$1596)</f>
        <v/>
      </c>
      <c r="H55" s="613" t="str">
        <f>IF('päd.Personal - Erzieher'!$D$1592="","",'päd.Personal - Erzieher'!$D$1592)</f>
        <v/>
      </c>
      <c r="I55" s="618" t="str">
        <f>IF('päd.Personal - Erzieher'!$M$1590="","",'päd.Personal - Erzieher'!$M$1590)</f>
        <v/>
      </c>
      <c r="J55" s="531">
        <f>'päd.Personal - Erzieher'!$G$1625</f>
        <v>0</v>
      </c>
      <c r="K55" s="531">
        <f>'päd.Personal - Erzieher'!$H$1625</f>
        <v>0</v>
      </c>
      <c r="L55" s="531">
        <f>'päd.Personal - Erzieher'!$O$1625</f>
        <v>0</v>
      </c>
      <c r="M55" s="531">
        <f>'päd.Personal - Erzieher'!$P$1627+'päd.Personal - Erzieher'!$P$1629</f>
        <v>0</v>
      </c>
      <c r="N55" s="531">
        <f>'päd.Personal - Erzieher'!$P$1628</f>
        <v>0</v>
      </c>
      <c r="O55" s="531">
        <f>'päd.Personal - Erzieher'!$P$1630</f>
        <v>0</v>
      </c>
      <c r="P55" s="532">
        <f>'päd.Personal - Erzieher'!$P$1631</f>
        <v>0</v>
      </c>
      <c r="Q55" s="533">
        <f t="shared" si="3"/>
        <v>0</v>
      </c>
    </row>
    <row r="56" spans="1:17" s="109" customFormat="1" ht="27.75" customHeight="1" x14ac:dyDescent="0.25">
      <c r="A56" s="525">
        <v>35</v>
      </c>
      <c r="B56" s="613" t="str">
        <f>IF('päd.Personal - Erzieher'!$D$1639="","",'päd.Personal - Erzieher'!$D$1639)</f>
        <v/>
      </c>
      <c r="C56" s="614" t="str">
        <f>IF('päd.Personal - Erzieher'!$D$1639="","",'päd.Personal - Erzieher'!$M$1643)</f>
        <v/>
      </c>
      <c r="D56" s="614" t="str">
        <f>IF('päd.Personal - Erzieher'!$D$1639="","",1)</f>
        <v/>
      </c>
      <c r="E56" s="616" t="str">
        <f>IF('päd.Personal - Erzieher'!$D$1643="","",'päd.Personal - Erzieher'!$D$1643)</f>
        <v/>
      </c>
      <c r="F56" s="613" t="str">
        <f>IF('päd.Personal - Erzieher'!$D$1641="","",'päd.Personal - Erzieher'!$D$1641)</f>
        <v/>
      </c>
      <c r="G56" s="617" t="str">
        <f>IF('päd.Personal - Erzieher'!$M$1644="","",'päd.Personal - Erzieher'!$M$1644)</f>
        <v/>
      </c>
      <c r="H56" s="613" t="str">
        <f>IF('päd.Personal - Erzieher'!$D$1640="","",'päd.Personal - Erzieher'!$D$1640)</f>
        <v/>
      </c>
      <c r="I56" s="618" t="str">
        <f>IF('päd.Personal - Erzieher'!$M$1638="","",'päd.Personal - Erzieher'!$M$1638)</f>
        <v/>
      </c>
      <c r="J56" s="531">
        <f>'päd.Personal - Erzieher'!$G$1673</f>
        <v>0</v>
      </c>
      <c r="K56" s="531">
        <f>'päd.Personal - Erzieher'!$H$1673</f>
        <v>0</v>
      </c>
      <c r="L56" s="531">
        <f>'päd.Personal - Erzieher'!$O$1673</f>
        <v>0</v>
      </c>
      <c r="M56" s="531">
        <f>'päd.Personal - Erzieher'!$P$1675+'päd.Personal - Erzieher'!$P$1677</f>
        <v>0</v>
      </c>
      <c r="N56" s="531">
        <f>'päd.Personal - Erzieher'!$P$1676</f>
        <v>0</v>
      </c>
      <c r="O56" s="531">
        <f>'päd.Personal - Erzieher'!$P$1678</f>
        <v>0</v>
      </c>
      <c r="P56" s="532">
        <f>'päd.Personal - Erzieher'!$P$1679</f>
        <v>0</v>
      </c>
      <c r="Q56" s="533">
        <f t="shared" si="3"/>
        <v>0</v>
      </c>
    </row>
    <row r="57" spans="1:17" s="109" customFormat="1" ht="27.75" customHeight="1" thickBot="1" x14ac:dyDescent="0.25">
      <c r="A57" s="552"/>
      <c r="B57" s="619" t="s">
        <v>595</v>
      </c>
      <c r="C57" s="620">
        <f>SUM(C23:C56)</f>
        <v>0</v>
      </c>
      <c r="D57" s="621"/>
      <c r="E57" s="622">
        <f>IF(SUM(D23:D52)=0,0,SUM(D23:D56))</f>
        <v>0</v>
      </c>
      <c r="F57" s="619" t="s">
        <v>596</v>
      </c>
      <c r="G57" s="623">
        <f>IF(SUM(G22:G56)=0,0,SUM(G22:G56))</f>
        <v>0</v>
      </c>
      <c r="H57" s="624"/>
      <c r="I57" s="630"/>
      <c r="J57" s="559">
        <f t="shared" ref="J57:P57" si="4">SUM(J22:J56)</f>
        <v>0</v>
      </c>
      <c r="K57" s="559">
        <f t="shared" si="4"/>
        <v>0</v>
      </c>
      <c r="L57" s="559">
        <f t="shared" si="4"/>
        <v>0</v>
      </c>
      <c r="M57" s="559">
        <f t="shared" si="4"/>
        <v>0</v>
      </c>
      <c r="N57" s="559">
        <f t="shared" si="4"/>
        <v>0</v>
      </c>
      <c r="O57" s="559">
        <f t="shared" si="4"/>
        <v>0</v>
      </c>
      <c r="P57" s="560">
        <f t="shared" si="4"/>
        <v>0</v>
      </c>
      <c r="Q57" s="561">
        <f>SUM(Q22:Q56)</f>
        <v>0</v>
      </c>
    </row>
    <row r="58" spans="1:17" s="87" customFormat="1" ht="27.75" customHeight="1" thickBot="1" x14ac:dyDescent="0.25">
      <c r="A58" s="572"/>
      <c r="B58" s="625"/>
      <c r="C58" s="621"/>
      <c r="D58" s="621"/>
      <c r="E58" s="626"/>
      <c r="F58" s="625" t="s">
        <v>265</v>
      </c>
      <c r="G58" s="627">
        <f>IF(Grundlagen!$C$16="",0,G57/Grundlagen!$C$16)</f>
        <v>0</v>
      </c>
      <c r="H58" s="631"/>
      <c r="I58" s="632"/>
      <c r="J58" s="1130">
        <f>SUM(J57:L57)</f>
        <v>0</v>
      </c>
      <c r="K58" s="1131"/>
      <c r="L58" s="1132"/>
      <c r="M58" s="1130">
        <f>SUM(M57:N57)</f>
        <v>0</v>
      </c>
      <c r="N58" s="1132"/>
      <c r="O58" s="581"/>
      <c r="P58" s="581"/>
      <c r="Q58" s="575"/>
    </row>
    <row r="59" spans="1:17" s="109" customFormat="1" ht="12.6" customHeight="1" x14ac:dyDescent="0.2">
      <c r="A59" s="552"/>
      <c r="B59" s="562"/>
      <c r="C59" s="612"/>
      <c r="D59" s="612"/>
      <c r="E59" s="564"/>
      <c r="F59" s="562"/>
      <c r="G59" s="571"/>
      <c r="H59" s="562"/>
      <c r="I59" s="583"/>
      <c r="J59" s="523"/>
      <c r="K59" s="523"/>
      <c r="L59" s="523"/>
      <c r="M59" s="523"/>
      <c r="N59" s="523"/>
      <c r="O59" s="523"/>
      <c r="P59" s="523"/>
    </row>
    <row r="60" spans="1:17" s="109" customFormat="1" ht="12.6" customHeight="1" x14ac:dyDescent="0.2">
      <c r="A60" s="570" t="s">
        <v>604</v>
      </c>
      <c r="B60" s="562"/>
      <c r="C60" s="612"/>
      <c r="D60" s="612"/>
      <c r="E60" s="564"/>
      <c r="F60" s="562"/>
      <c r="G60" s="571"/>
      <c r="H60" s="562"/>
      <c r="I60" s="583"/>
      <c r="J60" s="523"/>
      <c r="K60" s="523"/>
      <c r="L60" s="523"/>
      <c r="M60" s="523"/>
      <c r="N60" s="523"/>
      <c r="O60" s="523"/>
      <c r="P60" s="523"/>
    </row>
    <row r="61" spans="1:17" s="109" customFormat="1" ht="27.75" customHeight="1" x14ac:dyDescent="0.25">
      <c r="A61" s="525">
        <v>1</v>
      </c>
      <c r="B61" s="613" t="str">
        <f>IF('päd.Personal - Hilfskraft'!$D$7="","",'päd.Personal - Hilfskraft'!$D$7)</f>
        <v/>
      </c>
      <c r="C61" s="614" t="str">
        <f>IF('päd.Personal - Hilfskraft'!$D$7="","",'päd.Personal - Hilfskraft'!$M$11)</f>
        <v/>
      </c>
      <c r="D61" s="614" t="str">
        <f>IF('päd.Personal - Hilfskraft'!$D$7="","",1)</f>
        <v/>
      </c>
      <c r="E61" s="616" t="str">
        <f>IF('päd.Personal - Hilfskraft'!$D$11="","",'päd.Personal - Hilfskraft'!$D$11)</f>
        <v/>
      </c>
      <c r="F61" s="613" t="str">
        <f>IF('päd.Personal - Hilfskraft'!$D$9="","",'päd.Personal - Hilfskraft'!$D$9)</f>
        <v/>
      </c>
      <c r="G61" s="617" t="str">
        <f>IF('päd.Personal - Hilfskraft'!$M$12="","",'päd.Personal - Hilfskraft'!$M$12)</f>
        <v/>
      </c>
      <c r="H61" s="613" t="str">
        <f>IF('päd.Personal - Hilfskraft'!$D$8="","",'päd.Personal - Hilfskraft'!$D$8)</f>
        <v/>
      </c>
      <c r="I61" s="633" t="str">
        <f>IF('päd.Personal - Hilfskraft'!$M$6="","",'päd.Personal - Hilfskraft'!$M$6)</f>
        <v/>
      </c>
      <c r="J61" s="531">
        <f>'päd.Personal - Hilfskraft'!$G$41</f>
        <v>0</v>
      </c>
      <c r="K61" s="531">
        <f>'päd.Personal - Hilfskraft'!$H$41</f>
        <v>0</v>
      </c>
      <c r="L61" s="531">
        <f>'päd.Personal - Hilfskraft'!$O$41</f>
        <v>0</v>
      </c>
      <c r="M61" s="531">
        <f>'päd.Personal - Hilfskraft'!$P$43+'päd.Personal - Hilfskraft'!$P$45</f>
        <v>0</v>
      </c>
      <c r="N61" s="531">
        <f>'päd.Personal - Hilfskraft'!$P$44</f>
        <v>0</v>
      </c>
      <c r="O61" s="531">
        <f>'päd.Personal - Hilfskraft'!$P$46</f>
        <v>0</v>
      </c>
      <c r="P61" s="532">
        <f>'päd.Personal - Hilfskraft'!$P$47</f>
        <v>0</v>
      </c>
      <c r="Q61" s="533">
        <f>SUM(J61:P61)</f>
        <v>0</v>
      </c>
    </row>
    <row r="62" spans="1:17" s="109" customFormat="1" ht="27.75" customHeight="1" x14ac:dyDescent="0.25">
      <c r="A62" s="525">
        <v>2</v>
      </c>
      <c r="B62" s="613" t="str">
        <f>IF('päd.Personal - Hilfskraft'!$D$55="","",'päd.Personal - Hilfskraft'!$D$55)</f>
        <v/>
      </c>
      <c r="C62" s="614" t="str">
        <f>IF('päd.Personal - Hilfskraft'!$D$55="","",'päd.Personal - Hilfskraft'!$M$59)</f>
        <v/>
      </c>
      <c r="D62" s="614" t="str">
        <f>IF('päd.Personal - Hilfskraft'!$D$55="","",1)</f>
        <v/>
      </c>
      <c r="E62" s="616" t="str">
        <f>IF('päd.Personal - Hilfskraft'!$D$59="","",'päd.Personal - Hilfskraft'!$D$59)</f>
        <v/>
      </c>
      <c r="F62" s="613" t="str">
        <f>IF('päd.Personal - Hilfskraft'!$D$57="","",'päd.Personal - Hilfskraft'!$D$57)</f>
        <v/>
      </c>
      <c r="G62" s="617" t="str">
        <f>IF('päd.Personal - Hilfskraft'!$M$60="","",'päd.Personal - Hilfskraft'!$M$60)</f>
        <v/>
      </c>
      <c r="H62" s="613" t="str">
        <f>IF('päd.Personal - Hilfskraft'!$D$56="","",'päd.Personal - Hilfskraft'!$D$56)</f>
        <v/>
      </c>
      <c r="I62" s="633" t="str">
        <f>IF('päd.Personal - Hilfskraft'!$M$54="","",'päd.Personal - Hilfskraft'!$M$54)</f>
        <v/>
      </c>
      <c r="J62" s="531">
        <f>'päd.Personal - Hilfskraft'!$G$89</f>
        <v>0</v>
      </c>
      <c r="K62" s="531">
        <f>'päd.Personal - Hilfskraft'!$H$89</f>
        <v>0</v>
      </c>
      <c r="L62" s="531">
        <f>'päd.Personal - Hilfskraft'!$O$89</f>
        <v>0</v>
      </c>
      <c r="M62" s="531">
        <f>'päd.Personal - Hilfskraft'!$P$91+'päd.Personal - Hilfskraft'!$P$93</f>
        <v>0</v>
      </c>
      <c r="N62" s="531">
        <f>'päd.Personal - Hilfskraft'!$P$92</f>
        <v>0</v>
      </c>
      <c r="O62" s="531">
        <f>'päd.Personal - Hilfskraft'!$P$94</f>
        <v>0</v>
      </c>
      <c r="P62" s="532">
        <f>'päd.Personal - Hilfskraft'!$P$95</f>
        <v>0</v>
      </c>
      <c r="Q62" s="533">
        <f t="shared" ref="Q62:Q68" si="5">SUM(J62:P62)</f>
        <v>0</v>
      </c>
    </row>
    <row r="63" spans="1:17" s="109" customFormat="1" ht="27.75" customHeight="1" x14ac:dyDescent="0.25">
      <c r="A63" s="525">
        <v>3</v>
      </c>
      <c r="B63" s="613" t="str">
        <f>IF('päd.Personal - Hilfskraft'!$D$103="","",'päd.Personal - Hilfskraft'!$D$103)</f>
        <v/>
      </c>
      <c r="C63" s="614" t="str">
        <f>IF('päd.Personal - Hilfskraft'!$D$103="","",'päd.Personal - Hilfskraft'!$M$107)</f>
        <v/>
      </c>
      <c r="D63" s="614" t="str">
        <f>IF('päd.Personal - Hilfskraft'!$D$103="","",1)</f>
        <v/>
      </c>
      <c r="E63" s="616" t="str">
        <f>IF('päd.Personal - Hilfskraft'!$D$107="","",'päd.Personal - Hilfskraft'!$D$107)</f>
        <v/>
      </c>
      <c r="F63" s="613" t="str">
        <f>IF('päd.Personal - Hilfskraft'!$D$105="","",'päd.Personal - Hilfskraft'!$D$105)</f>
        <v/>
      </c>
      <c r="G63" s="617" t="str">
        <f>IF('päd.Personal - Hilfskraft'!$M$108="","",'päd.Personal - Hilfskraft'!$M$108)</f>
        <v/>
      </c>
      <c r="H63" s="613" t="str">
        <f>IF('päd.Personal - Hilfskraft'!$D$104="","",'päd.Personal - Hilfskraft'!$D$104)</f>
        <v/>
      </c>
      <c r="I63" s="633" t="str">
        <f>IF('päd.Personal - Hilfskraft'!$M$102="","",'päd.Personal - Hilfskraft'!$M$102)</f>
        <v/>
      </c>
      <c r="J63" s="531">
        <f>'päd.Personal - Hilfskraft'!$G$137</f>
        <v>0</v>
      </c>
      <c r="K63" s="531">
        <f>'päd.Personal - Hilfskraft'!$H$137</f>
        <v>0</v>
      </c>
      <c r="L63" s="531">
        <f>'päd.Personal - Hilfskraft'!$O$137</f>
        <v>0</v>
      </c>
      <c r="M63" s="531">
        <f>'päd.Personal - Hilfskraft'!$P$139+'päd.Personal - Hilfskraft'!$P$141</f>
        <v>0</v>
      </c>
      <c r="N63" s="531">
        <f>'päd.Personal - Hilfskraft'!$P$140</f>
        <v>0</v>
      </c>
      <c r="O63" s="531">
        <f>'päd.Personal - Hilfskraft'!$P$142</f>
        <v>0</v>
      </c>
      <c r="P63" s="532">
        <f>'päd.Personal - Hilfskraft'!$P$143</f>
        <v>0</v>
      </c>
      <c r="Q63" s="533">
        <f t="shared" si="5"/>
        <v>0</v>
      </c>
    </row>
    <row r="64" spans="1:17" s="109" customFormat="1" ht="27.75" customHeight="1" x14ac:dyDescent="0.25">
      <c r="A64" s="525">
        <v>4</v>
      </c>
      <c r="B64" s="613" t="str">
        <f>IF('päd.Personal - Hilfskraft'!$D$151="","",'päd.Personal - Hilfskraft'!$D$151)</f>
        <v/>
      </c>
      <c r="C64" s="614" t="str">
        <f>IF('päd.Personal - Hilfskraft'!$D$151="","",'päd.Personal - Hilfskraft'!$M$155)</f>
        <v/>
      </c>
      <c r="D64" s="614" t="str">
        <f>IF('päd.Personal - Hilfskraft'!$D$151="","",1)</f>
        <v/>
      </c>
      <c r="E64" s="616" t="str">
        <f>IF('päd.Personal - Hilfskraft'!$D$155="","",'päd.Personal - Hilfskraft'!$D$155)</f>
        <v/>
      </c>
      <c r="F64" s="613" t="str">
        <f>IF('päd.Personal - Hilfskraft'!$D$153="","",'päd.Personal - Hilfskraft'!$D$153)</f>
        <v/>
      </c>
      <c r="G64" s="617" t="str">
        <f>IF('päd.Personal - Hilfskraft'!$M$156="","",'päd.Personal - Hilfskraft'!$M$156)</f>
        <v/>
      </c>
      <c r="H64" s="613" t="str">
        <f>IF('päd.Personal - Hilfskraft'!$D$152="","",'päd.Personal - Hilfskraft'!$D$152)</f>
        <v/>
      </c>
      <c r="I64" s="633" t="str">
        <f>IF('päd.Personal - Hilfskraft'!$M$150="","",'päd.Personal - Hilfskraft'!$M$150)</f>
        <v/>
      </c>
      <c r="J64" s="531">
        <f>'päd.Personal - Hilfskraft'!$G$185</f>
        <v>0</v>
      </c>
      <c r="K64" s="531">
        <f>'päd.Personal - Hilfskraft'!$H$185</f>
        <v>0</v>
      </c>
      <c r="L64" s="531">
        <f>'päd.Personal - Hilfskraft'!$O$185</f>
        <v>0</v>
      </c>
      <c r="M64" s="531">
        <f>'päd.Personal - Hilfskraft'!$P$187+'päd.Personal - Hilfskraft'!$P$189</f>
        <v>0</v>
      </c>
      <c r="N64" s="531">
        <f>'päd.Personal - Hilfskraft'!$P$188</f>
        <v>0</v>
      </c>
      <c r="O64" s="531">
        <f>'päd.Personal - Hilfskraft'!$P$190</f>
        <v>0</v>
      </c>
      <c r="P64" s="532">
        <f>'päd.Personal - Hilfskraft'!$P$191</f>
        <v>0</v>
      </c>
      <c r="Q64" s="533">
        <f t="shared" si="5"/>
        <v>0</v>
      </c>
    </row>
    <row r="65" spans="1:17" s="109" customFormat="1" ht="27.75" customHeight="1" x14ac:dyDescent="0.25">
      <c r="A65" s="525">
        <v>5</v>
      </c>
      <c r="B65" s="613" t="str">
        <f>IF('päd.Personal - Hilfskraft'!$D$199="","",'päd.Personal - Hilfskraft'!$D$199)</f>
        <v/>
      </c>
      <c r="C65" s="614" t="str">
        <f>IF('päd.Personal - Hilfskraft'!$D$199="","",'päd.Personal - Hilfskraft'!$M$203)</f>
        <v/>
      </c>
      <c r="D65" s="614" t="str">
        <f>IF('päd.Personal - Hilfskraft'!$D$199="","",1)</f>
        <v/>
      </c>
      <c r="E65" s="616" t="str">
        <f>IF('päd.Personal - Hilfskraft'!$D$203="","",'päd.Personal - Hilfskraft'!$D$203)</f>
        <v/>
      </c>
      <c r="F65" s="613" t="str">
        <f>IF('päd.Personal - Hilfskraft'!$D$201="","",'päd.Personal - Hilfskraft'!$D$201)</f>
        <v/>
      </c>
      <c r="G65" s="617" t="str">
        <f>IF('päd.Personal - Hilfskraft'!$M$204="","",'päd.Personal - Hilfskraft'!$M$204)</f>
        <v/>
      </c>
      <c r="H65" s="613" t="str">
        <f>IF('päd.Personal - Hilfskraft'!$D$200="","",'päd.Personal - Hilfskraft'!$D$200)</f>
        <v/>
      </c>
      <c r="I65" s="633" t="str">
        <f>IF('päd.Personal - Hilfskraft'!$M$198="","",'päd.Personal - Hilfskraft'!$M$198)</f>
        <v/>
      </c>
      <c r="J65" s="531">
        <f>'päd.Personal - Hilfskraft'!$G$233</f>
        <v>0</v>
      </c>
      <c r="K65" s="531">
        <f>'päd.Personal - Hilfskraft'!$H$233</f>
        <v>0</v>
      </c>
      <c r="L65" s="531">
        <f>'päd.Personal - Hilfskraft'!$O$233</f>
        <v>0</v>
      </c>
      <c r="M65" s="531">
        <f>'päd.Personal - Hilfskraft'!$P$235+'päd.Personal - Hilfskraft'!$P$237</f>
        <v>0</v>
      </c>
      <c r="N65" s="531">
        <f>'päd.Personal - Hilfskraft'!$P$236</f>
        <v>0</v>
      </c>
      <c r="O65" s="531">
        <f>'päd.Personal - Hilfskraft'!$P$238</f>
        <v>0</v>
      </c>
      <c r="P65" s="532">
        <f>'päd.Personal - Hilfskraft'!$P$239</f>
        <v>0</v>
      </c>
      <c r="Q65" s="533">
        <f t="shared" si="5"/>
        <v>0</v>
      </c>
    </row>
    <row r="66" spans="1:17" s="109" customFormat="1" ht="27.75" customHeight="1" x14ac:dyDescent="0.25">
      <c r="A66" s="525">
        <v>6</v>
      </c>
      <c r="B66" s="613" t="str">
        <f>IF('päd.Personal - Hilfskraft'!$D$247="","",'päd.Personal - Hilfskraft'!$D$247)</f>
        <v/>
      </c>
      <c r="C66" s="614" t="str">
        <f>IF('päd.Personal - Hilfskraft'!$D$247="","",'päd.Personal - Hilfskraft'!$M$251)</f>
        <v/>
      </c>
      <c r="D66" s="614" t="str">
        <f>IF('päd.Personal - Hilfskraft'!$D$247="","",1)</f>
        <v/>
      </c>
      <c r="E66" s="616" t="str">
        <f>IF('päd.Personal - Hilfskraft'!$D$251="","",'päd.Personal - Hilfskraft'!$D$251)</f>
        <v/>
      </c>
      <c r="F66" s="613" t="str">
        <f>IF('päd.Personal - Hilfskraft'!$D$249="","",'päd.Personal - Hilfskraft'!$D$249)</f>
        <v/>
      </c>
      <c r="G66" s="617" t="str">
        <f>IF('päd.Personal - Hilfskraft'!$M$252="","",'päd.Personal - Hilfskraft'!$M$252)</f>
        <v/>
      </c>
      <c r="H66" s="613" t="str">
        <f>IF('päd.Personal - Hilfskraft'!$D$248="","",'päd.Personal - Hilfskraft'!$D$248)</f>
        <v/>
      </c>
      <c r="I66" s="633" t="str">
        <f>IF('päd.Personal - Hilfskraft'!$M$246="","",'päd.Personal - Hilfskraft'!$M$246)</f>
        <v/>
      </c>
      <c r="J66" s="531">
        <f>'päd.Personal - Hilfskraft'!$G$281</f>
        <v>0</v>
      </c>
      <c r="K66" s="531">
        <f>'päd.Personal - Hilfskraft'!$H$281</f>
        <v>0</v>
      </c>
      <c r="L66" s="531">
        <f>'päd.Personal - Hilfskraft'!$O$281</f>
        <v>0</v>
      </c>
      <c r="M66" s="531">
        <f>'päd.Personal - Hilfskraft'!$P$283+'päd.Personal - Hilfskraft'!$P$285</f>
        <v>0</v>
      </c>
      <c r="N66" s="531">
        <f>'päd.Personal - Hilfskraft'!$P$284</f>
        <v>0</v>
      </c>
      <c r="O66" s="531">
        <f>'päd.Personal - Hilfskraft'!$P$286</f>
        <v>0</v>
      </c>
      <c r="P66" s="532">
        <f>'päd.Personal - Hilfskraft'!$P$287</f>
        <v>0</v>
      </c>
      <c r="Q66" s="533">
        <f t="shared" si="5"/>
        <v>0</v>
      </c>
    </row>
    <row r="67" spans="1:17" s="109" customFormat="1" ht="27.75" customHeight="1" x14ac:dyDescent="0.25">
      <c r="A67" s="525">
        <v>7</v>
      </c>
      <c r="B67" s="613" t="str">
        <f>IF('päd.Personal - Hilfskraft'!$D$295="","",'päd.Personal - Hilfskraft'!$D$295)</f>
        <v/>
      </c>
      <c r="C67" s="614" t="str">
        <f>IF('päd.Personal - Hilfskraft'!$D$295="","",'päd.Personal - Hilfskraft'!$M$299)</f>
        <v/>
      </c>
      <c r="D67" s="614" t="str">
        <f>IF('päd.Personal - Hilfskraft'!$D$295="","",1)</f>
        <v/>
      </c>
      <c r="E67" s="616" t="str">
        <f>IF('päd.Personal - Hilfskraft'!$D$299="","",'päd.Personal - Hilfskraft'!$D$299)</f>
        <v/>
      </c>
      <c r="F67" s="613" t="str">
        <f>IF('päd.Personal - Hilfskraft'!$D$297="","",'päd.Personal - Hilfskraft'!$D$297)</f>
        <v/>
      </c>
      <c r="G67" s="617" t="str">
        <f>IF('päd.Personal - Hilfskraft'!$M$300="","",'päd.Personal - Hilfskraft'!$M$300)</f>
        <v/>
      </c>
      <c r="H67" s="613" t="str">
        <f>IF('päd.Personal - Hilfskraft'!$D$296="","",'päd.Personal - Hilfskraft'!$D$296)</f>
        <v/>
      </c>
      <c r="I67" s="633" t="str">
        <f>IF('päd.Personal - Hilfskraft'!$M$294="","",'päd.Personal - Hilfskraft'!$M$294)</f>
        <v/>
      </c>
      <c r="J67" s="531">
        <f>'päd.Personal - Hilfskraft'!$G$329</f>
        <v>0</v>
      </c>
      <c r="K67" s="531">
        <f>'päd.Personal - Hilfskraft'!$H$329</f>
        <v>0</v>
      </c>
      <c r="L67" s="531">
        <f>'päd.Personal - Hilfskraft'!$O$329</f>
        <v>0</v>
      </c>
      <c r="M67" s="531">
        <f>'päd.Personal - Hilfskraft'!$P$331+'päd.Personal - Hilfskraft'!$P$333</f>
        <v>0</v>
      </c>
      <c r="N67" s="531">
        <f>'päd.Personal - Hilfskraft'!$P$332</f>
        <v>0</v>
      </c>
      <c r="O67" s="531">
        <f>'päd.Personal - Hilfskraft'!$P$334</f>
        <v>0</v>
      </c>
      <c r="P67" s="532">
        <f>'päd.Personal - Hilfskraft'!$P$335</f>
        <v>0</v>
      </c>
      <c r="Q67" s="533">
        <f t="shared" si="5"/>
        <v>0</v>
      </c>
    </row>
    <row r="68" spans="1:17" s="109" customFormat="1" ht="27.75" customHeight="1" x14ac:dyDescent="0.25">
      <c r="A68" s="525">
        <v>8</v>
      </c>
      <c r="B68" s="613" t="str">
        <f>IF('päd.Personal - Hilfskraft'!$D$343="","",'päd.Personal - Hilfskraft'!$D$343)</f>
        <v/>
      </c>
      <c r="C68" s="614" t="str">
        <f>IF('päd.Personal - Hilfskraft'!$D$343="","",'päd.Personal - Hilfskraft'!$M$347)</f>
        <v/>
      </c>
      <c r="D68" s="614" t="str">
        <f>IF('päd.Personal - Hilfskraft'!$D$343="","",1)</f>
        <v/>
      </c>
      <c r="E68" s="616" t="str">
        <f>IF('päd.Personal - Hilfskraft'!$D$347="","",'päd.Personal - Hilfskraft'!$D$347)</f>
        <v/>
      </c>
      <c r="F68" s="613" t="str">
        <f>IF('päd.Personal - Hilfskraft'!$D$345="","",'päd.Personal - Hilfskraft'!$D$345)</f>
        <v/>
      </c>
      <c r="G68" s="617" t="str">
        <f>IF('päd.Personal - Hilfskraft'!$M$348="","",'päd.Personal - Hilfskraft'!$M$348)</f>
        <v/>
      </c>
      <c r="H68" s="613" t="str">
        <f>IF('päd.Personal - Hilfskraft'!$D$344="","",'päd.Personal - Hilfskraft'!$D$344)</f>
        <v/>
      </c>
      <c r="I68" s="633" t="str">
        <f>IF('päd.Personal - Hilfskraft'!$M$342="","",'päd.Personal - Hilfskraft'!$M$342)</f>
        <v/>
      </c>
      <c r="J68" s="531">
        <f>'päd.Personal - Hilfskraft'!$G$377</f>
        <v>0</v>
      </c>
      <c r="K68" s="531">
        <f>'päd.Personal - Hilfskraft'!$H$377</f>
        <v>0</v>
      </c>
      <c r="L68" s="531">
        <f>'päd.Personal - Hilfskraft'!$O$377</f>
        <v>0</v>
      </c>
      <c r="M68" s="531">
        <f>'päd.Personal - Hilfskraft'!$P$379+'päd.Personal - Hilfskraft'!$P$381</f>
        <v>0</v>
      </c>
      <c r="N68" s="531">
        <f>'päd.Personal - Hilfskraft'!$P$380</f>
        <v>0</v>
      </c>
      <c r="O68" s="531">
        <f>'päd.Personal - Hilfskraft'!$P$382</f>
        <v>0</v>
      </c>
      <c r="P68" s="532">
        <f>'päd.Personal - Hilfskraft'!$P$383</f>
        <v>0</v>
      </c>
      <c r="Q68" s="533">
        <f t="shared" si="5"/>
        <v>0</v>
      </c>
    </row>
    <row r="69" spans="1:17" s="109" customFormat="1" ht="27.75" customHeight="1" thickBot="1" x14ac:dyDescent="0.25">
      <c r="A69" s="552"/>
      <c r="B69" s="619" t="s">
        <v>595</v>
      </c>
      <c r="C69" s="620">
        <f>SUM(C61:C68)</f>
        <v>0</v>
      </c>
      <c r="D69" s="621"/>
      <c r="E69" s="622">
        <f>IF(SUM(D61:D68)=0,0,SUM(D61:D68))</f>
        <v>0</v>
      </c>
      <c r="F69" s="619" t="s">
        <v>596</v>
      </c>
      <c r="G69" s="623">
        <f>SUM(G61:G68)</f>
        <v>0</v>
      </c>
      <c r="H69" s="634"/>
      <c r="I69" s="630"/>
      <c r="J69" s="559">
        <f>SUM(J61:J68)</f>
        <v>0</v>
      </c>
      <c r="K69" s="559">
        <f t="shared" ref="K69:P69" si="6">SUM(K61:K68)</f>
        <v>0</v>
      </c>
      <c r="L69" s="559">
        <f t="shared" si="6"/>
        <v>0</v>
      </c>
      <c r="M69" s="559">
        <f t="shared" si="6"/>
        <v>0</v>
      </c>
      <c r="N69" s="559">
        <f t="shared" si="6"/>
        <v>0</v>
      </c>
      <c r="O69" s="559">
        <f t="shared" si="6"/>
        <v>0</v>
      </c>
      <c r="P69" s="560">
        <f t="shared" si="6"/>
        <v>0</v>
      </c>
      <c r="Q69" s="561">
        <f>SUM(Q61:Q68)</f>
        <v>0</v>
      </c>
    </row>
    <row r="70" spans="1:17" s="87" customFormat="1" ht="27.75" customHeight="1" thickBot="1" x14ac:dyDescent="0.25">
      <c r="A70" s="572"/>
      <c r="B70" s="625"/>
      <c r="C70" s="621"/>
      <c r="D70" s="621"/>
      <c r="E70" s="626"/>
      <c r="F70" s="625" t="s">
        <v>265</v>
      </c>
      <c r="G70" s="627">
        <f>IF(Grundlagen!$C$16="",0,G69/Grundlagen!$C$16)</f>
        <v>0</v>
      </c>
      <c r="H70" s="635"/>
      <c r="I70" s="632"/>
      <c r="J70" s="1130">
        <f>SUM(J69:L69)</f>
        <v>0</v>
      </c>
      <c r="K70" s="1131"/>
      <c r="L70" s="1132"/>
      <c r="M70" s="1130">
        <f>SUM(M69:N69)</f>
        <v>0</v>
      </c>
      <c r="N70" s="1132"/>
      <c r="O70" s="581"/>
      <c r="P70" s="636"/>
      <c r="Q70" s="575"/>
    </row>
    <row r="71" spans="1:17" x14ac:dyDescent="0.2">
      <c r="A71" s="552"/>
      <c r="B71" s="562"/>
      <c r="C71" s="612"/>
      <c r="D71" s="612"/>
      <c r="K71" s="495"/>
      <c r="L71" s="1134" t="s">
        <v>605</v>
      </c>
      <c r="M71" s="495"/>
      <c r="O71" s="1127" t="s">
        <v>606</v>
      </c>
      <c r="P71" s="637"/>
    </row>
    <row r="72" spans="1:17" ht="13.5" thickBot="1" x14ac:dyDescent="0.25">
      <c r="A72" s="570" t="s">
        <v>607</v>
      </c>
      <c r="B72" s="562"/>
      <c r="C72" s="612"/>
      <c r="D72" s="612"/>
      <c r="K72" s="495"/>
      <c r="L72" s="1135"/>
      <c r="M72" s="495"/>
      <c r="O72" s="1128"/>
      <c r="P72" s="638"/>
    </row>
    <row r="73" spans="1:17" s="109" customFormat="1" ht="27.75" customHeight="1" x14ac:dyDescent="0.25">
      <c r="A73" s="525">
        <v>1</v>
      </c>
      <c r="B73" s="613" t="str">
        <f>IF('päd.Personal - Auszubildende'!$D$7="","",'päd.Personal - Auszubildende'!$D$7)</f>
        <v/>
      </c>
      <c r="C73" s="614" t="str">
        <f>IF('päd.Personal - Auszubildende'!$D$7="","",'päd.Personal - Auszubildende'!$M$11)</f>
        <v/>
      </c>
      <c r="D73" s="614" t="str">
        <f>IF('päd.Personal - Auszubildende'!$D$7="","",1)</f>
        <v/>
      </c>
      <c r="E73" s="616" t="str">
        <f>IF('päd.Personal - Auszubildende'!$D$11="","",'päd.Personal - Auszubildende'!$D$11)</f>
        <v/>
      </c>
      <c r="F73" s="613" t="str">
        <f>IF('päd.Personal - Auszubildende'!$D$9="","",'päd.Personal - Auszubildende'!$D$9)</f>
        <v/>
      </c>
      <c r="G73" s="617" t="str">
        <f>IF('päd.Personal - Auszubildende'!$M$12="","",'päd.Personal - Auszubildende'!$M$12)</f>
        <v/>
      </c>
      <c r="H73" s="613" t="str">
        <f>IF('päd.Personal - Auszubildende'!$D$8="","",'päd.Personal - Auszubildende'!$D$8)</f>
        <v/>
      </c>
      <c r="I73" s="639"/>
      <c r="J73" s="531">
        <f>'päd.Personal - Auszubildende'!$G$41</f>
        <v>0</v>
      </c>
      <c r="K73" s="531">
        <f>'päd.Personal - Auszubildende'!$H$41</f>
        <v>0</v>
      </c>
      <c r="L73" s="531">
        <f>'päd.Personal - Auszubildende'!$O$41</f>
        <v>0</v>
      </c>
      <c r="M73" s="531">
        <f>'päd.Personal - Auszubildende'!$P$43+'päd.Personal - Auszubildende'!$P$45</f>
        <v>0</v>
      </c>
      <c r="N73" s="531">
        <f>'päd.Personal - Auszubildende'!$P$44</f>
        <v>0</v>
      </c>
      <c r="O73" s="531">
        <f>'päd.Personal - Auszubildende'!$P$46</f>
        <v>0</v>
      </c>
      <c r="P73" s="532">
        <f>'päd.Personal - Auszubildende'!$P$47</f>
        <v>0</v>
      </c>
      <c r="Q73" s="533">
        <f>SUM(J73:P73)</f>
        <v>0</v>
      </c>
    </row>
    <row r="74" spans="1:17" s="109" customFormat="1" ht="27.75" customHeight="1" x14ac:dyDescent="0.25">
      <c r="A74" s="525">
        <v>2</v>
      </c>
      <c r="B74" s="613" t="str">
        <f>IF('päd.Personal - Auszubildende'!$D$55="","",'päd.Personal - Auszubildende'!$D$55)</f>
        <v/>
      </c>
      <c r="C74" s="614" t="str">
        <f>IF('päd.Personal - Auszubildende'!$D$55="","",'päd.Personal - Auszubildende'!$M$59)</f>
        <v/>
      </c>
      <c r="D74" s="614" t="str">
        <f>IF('päd.Personal - Auszubildende'!$D$55="","",1)</f>
        <v/>
      </c>
      <c r="E74" s="616" t="str">
        <f>IF('päd.Personal - Auszubildende'!$D$59="","",'päd.Personal - Auszubildende'!$D$59)</f>
        <v/>
      </c>
      <c r="F74" s="613" t="str">
        <f>IF('päd.Personal - Auszubildende'!$D$57="","",'päd.Personal - Auszubildende'!$D$57)</f>
        <v/>
      </c>
      <c r="G74" s="617" t="str">
        <f>IF('päd.Personal - Auszubildende'!$M$60="","",'päd.Personal - Auszubildende'!$M$60)</f>
        <v/>
      </c>
      <c r="H74" s="613" t="str">
        <f>IF('päd.Personal - Auszubildende'!$D$56="","",'päd.Personal - Auszubildende'!$D$56)</f>
        <v/>
      </c>
      <c r="I74" s="640"/>
      <c r="J74" s="531">
        <f>'päd.Personal - Auszubildende'!$G$89</f>
        <v>0</v>
      </c>
      <c r="K74" s="531">
        <f>'päd.Personal - Auszubildende'!$H$89</f>
        <v>0</v>
      </c>
      <c r="L74" s="531">
        <f>'päd.Personal - Auszubildende'!$O$89</f>
        <v>0</v>
      </c>
      <c r="M74" s="531">
        <f>'päd.Personal - Auszubildende'!$P$91+'päd.Personal - Auszubildende'!$P$93</f>
        <v>0</v>
      </c>
      <c r="N74" s="531">
        <f>'päd.Personal - Auszubildende'!$P$92</f>
        <v>0</v>
      </c>
      <c r="O74" s="531">
        <f>'päd.Personal - Auszubildende'!$P$94</f>
        <v>0</v>
      </c>
      <c r="P74" s="532">
        <f>'päd.Personal - Auszubildende'!$P$95</f>
        <v>0</v>
      </c>
      <c r="Q74" s="533">
        <f t="shared" ref="Q74:Q76" si="7">SUM(J74:P74)</f>
        <v>0</v>
      </c>
    </row>
    <row r="75" spans="1:17" s="109" customFormat="1" ht="27.75" customHeight="1" x14ac:dyDescent="0.25">
      <c r="A75" s="525">
        <v>3</v>
      </c>
      <c r="B75" s="613" t="str">
        <f>IF('päd.Personal - Auszubildende'!$D$103="","",'päd.Personal - Auszubildende'!$D$103)</f>
        <v/>
      </c>
      <c r="C75" s="614" t="str">
        <f>IF('päd.Personal - Auszubildende'!$D$103="","",'päd.Personal - Auszubildende'!$M$107)</f>
        <v/>
      </c>
      <c r="D75" s="614" t="str">
        <f>IF('päd.Personal - Auszubildende'!$D$103="","",1)</f>
        <v/>
      </c>
      <c r="E75" s="616" t="str">
        <f>IF('päd.Personal - Auszubildende'!$D$107="","",'päd.Personal - Auszubildende'!$D$107)</f>
        <v/>
      </c>
      <c r="F75" s="613" t="str">
        <f>IF('päd.Personal - Auszubildende'!$D$105="","",'päd.Personal - Auszubildende'!$D$105)</f>
        <v/>
      </c>
      <c r="G75" s="617" t="str">
        <f>IF('päd.Personal - Auszubildende'!$M$108="","",'päd.Personal - Auszubildende'!$M$108)</f>
        <v/>
      </c>
      <c r="H75" s="613" t="str">
        <f>IF('päd.Personal - Auszubildende'!$D$104="","",'päd.Personal - Auszubildende'!$D$104)</f>
        <v/>
      </c>
      <c r="I75" s="640"/>
      <c r="J75" s="531">
        <f>'päd.Personal - Auszubildende'!$G$137</f>
        <v>0</v>
      </c>
      <c r="K75" s="531">
        <f>'päd.Personal - Auszubildende'!$H$137</f>
        <v>0</v>
      </c>
      <c r="L75" s="531">
        <f>'päd.Personal - Auszubildende'!$O$137</f>
        <v>0</v>
      </c>
      <c r="M75" s="531">
        <f>'päd.Personal - Auszubildende'!$P$139+'päd.Personal - Auszubildende'!$P$141</f>
        <v>0</v>
      </c>
      <c r="N75" s="531">
        <f>'päd.Personal - Auszubildende'!$P$140</f>
        <v>0</v>
      </c>
      <c r="O75" s="531">
        <f>'päd.Personal - Auszubildende'!$P$142</f>
        <v>0</v>
      </c>
      <c r="P75" s="532">
        <f>'päd.Personal - Auszubildende'!$P$143</f>
        <v>0</v>
      </c>
      <c r="Q75" s="533">
        <f t="shared" si="7"/>
        <v>0</v>
      </c>
    </row>
    <row r="76" spans="1:17" s="109" customFormat="1" ht="27.75" customHeight="1" thickBot="1" x14ac:dyDescent="0.3">
      <c r="A76" s="534">
        <v>4</v>
      </c>
      <c r="B76" s="641" t="str">
        <f>IF('päd.Personal - Auszubildende'!$D$151="","",'päd.Personal - Auszubildende'!$D$151)</f>
        <v/>
      </c>
      <c r="C76" s="642" t="str">
        <f>IF('päd.Personal - Auszubildende'!$D$151="","",'päd.Personal - Auszubildende'!$M$155)</f>
        <v/>
      </c>
      <c r="D76" s="642" t="str">
        <f>IF('päd.Personal - Auszubildende'!$D$151="","",1)</f>
        <v/>
      </c>
      <c r="E76" s="643" t="str">
        <f>IF('päd.Personal - Auszubildende'!$D$155="","",'päd.Personal - Auszubildende'!$D$155)</f>
        <v/>
      </c>
      <c r="F76" s="641" t="str">
        <f>IF('päd.Personal - Auszubildende'!$D$153="","",'päd.Personal - Auszubildende'!$D$153)</f>
        <v/>
      </c>
      <c r="G76" s="644" t="str">
        <f>IF('päd.Personal - Auszubildende'!$M$156="","",'päd.Personal - Auszubildende'!$M$156)</f>
        <v/>
      </c>
      <c r="H76" s="641" t="str">
        <f>IF('päd.Personal - Auszubildende'!$D$152="","",'päd.Personal - Auszubildende'!$D$152)</f>
        <v/>
      </c>
      <c r="I76" s="640"/>
      <c r="J76" s="540">
        <f>'päd.Personal - Auszubildende'!$G$185</f>
        <v>0</v>
      </c>
      <c r="K76" s="540">
        <f>'päd.Personal - Auszubildende'!$H$185</f>
        <v>0</v>
      </c>
      <c r="L76" s="540">
        <f>'päd.Personal - Auszubildende'!$O$185</f>
        <v>0</v>
      </c>
      <c r="M76" s="540">
        <f>'päd.Personal - Auszubildende'!$P$187+'päd.Personal - Auszubildende'!$P$189</f>
        <v>0</v>
      </c>
      <c r="N76" s="540">
        <f>'päd.Personal - Auszubildende'!$P$188</f>
        <v>0</v>
      </c>
      <c r="O76" s="540">
        <f>'päd.Personal - Auszubildende'!$P$190</f>
        <v>0</v>
      </c>
      <c r="P76" s="541">
        <f>'päd.Personal - Auszubildende'!$P$191</f>
        <v>0</v>
      </c>
      <c r="Q76" s="645">
        <f t="shared" si="7"/>
        <v>0</v>
      </c>
    </row>
    <row r="77" spans="1:17" s="109" customFormat="1" ht="27.75" customHeight="1" x14ac:dyDescent="0.25">
      <c r="A77" s="543">
        <v>1</v>
      </c>
      <c r="B77" s="646" t="str">
        <f>IF('päd.Personal - Praktikant'!$D$7="","",'päd.Personal - Praktikant'!$D$7)</f>
        <v/>
      </c>
      <c r="C77" s="647" t="str">
        <f>IF('päd.Personal - Praktikant'!$D$7="","",'päd.Personal - Praktikant'!$M$11)</f>
        <v/>
      </c>
      <c r="D77" s="647" t="str">
        <f>IF('päd.Personal - Praktikant'!$D$7="","",1)</f>
        <v/>
      </c>
      <c r="E77" s="648" t="str">
        <f>IF('päd.Personal - Praktikant'!$D$11="","",'päd.Personal - Praktikant'!$D$11)</f>
        <v/>
      </c>
      <c r="F77" s="646" t="str">
        <f>IF('päd.Personal - Praktikant'!$D$9="","",'päd.Personal - Praktikant'!$D$9)</f>
        <v/>
      </c>
      <c r="G77" s="649" t="str">
        <f>IF('päd.Personal - Praktikant'!$M$12="","",'päd.Personal - Praktikant'!$M$12)</f>
        <v/>
      </c>
      <c r="H77" s="646" t="str">
        <f>IF('päd.Personal - Praktikant'!$D$8="","",'päd.Personal - Praktikant'!$D$8)</f>
        <v/>
      </c>
      <c r="I77" s="639"/>
      <c r="J77" s="549">
        <f>'päd.Personal - Praktikant'!$G$41</f>
        <v>0</v>
      </c>
      <c r="K77" s="549">
        <f>'päd.Personal - Praktikant'!$H$41</f>
        <v>0</v>
      </c>
      <c r="L77" s="549">
        <f>'päd.Personal - Praktikant'!$O$41</f>
        <v>0</v>
      </c>
      <c r="M77" s="549">
        <f>'päd.Personal - Praktikant'!$P$43+'päd.Personal - Praktikant'!$P$45</f>
        <v>0</v>
      </c>
      <c r="N77" s="549">
        <f>'päd.Personal - Praktikant'!$P$44</f>
        <v>0</v>
      </c>
      <c r="O77" s="650"/>
      <c r="P77" s="550">
        <f>'päd.Personal - Praktikant'!$P$46</f>
        <v>0</v>
      </c>
      <c r="Q77" s="651">
        <f>SUM(J77:P77)</f>
        <v>0</v>
      </c>
    </row>
    <row r="78" spans="1:17" s="109" customFormat="1" ht="27.75" customHeight="1" x14ac:dyDescent="0.25">
      <c r="A78" s="525">
        <v>2</v>
      </c>
      <c r="B78" s="613" t="str">
        <f>IF('päd.Personal - Praktikant'!$D$55="","",'päd.Personal - Praktikant'!$D$55)</f>
        <v/>
      </c>
      <c r="C78" s="614" t="str">
        <f>IF('päd.Personal - Praktikant'!$D$55="","",'päd.Personal - Praktikant'!$M$59)</f>
        <v/>
      </c>
      <c r="D78" s="614" t="str">
        <f>IF('päd.Personal - Praktikant'!$D$55="","",1)</f>
        <v/>
      </c>
      <c r="E78" s="616" t="str">
        <f>IF('päd.Personal - Praktikant'!$D$59="","",'päd.Personal - Praktikant'!$D$59)</f>
        <v/>
      </c>
      <c r="F78" s="613" t="str">
        <f>IF('päd.Personal - Praktikant'!$D$57="","",'päd.Personal - Praktikant'!$D$57)</f>
        <v/>
      </c>
      <c r="G78" s="617" t="str">
        <f>IF('päd.Personal - Praktikant'!$M$60="","",'päd.Personal - Praktikant'!$M$60)</f>
        <v/>
      </c>
      <c r="H78" s="613" t="str">
        <f>IF('päd.Personal - Praktikant'!$D$56="","",'päd.Personal - Praktikant'!$D$56)</f>
        <v/>
      </c>
      <c r="I78" s="640"/>
      <c r="J78" s="531">
        <f>'päd.Personal - Praktikant'!$G$89</f>
        <v>0</v>
      </c>
      <c r="K78" s="531">
        <f>'päd.Personal - Praktikant'!$H$89</f>
        <v>0</v>
      </c>
      <c r="L78" s="531">
        <f>'päd.Personal - Praktikant'!$O$89</f>
        <v>0</v>
      </c>
      <c r="M78" s="531">
        <f>'päd.Personal - Praktikant'!$P$91+'päd.Personal - Praktikant'!$P$93</f>
        <v>0</v>
      </c>
      <c r="N78" s="531">
        <f>'päd.Personal - Praktikant'!$P$92</f>
        <v>0</v>
      </c>
      <c r="O78" s="652"/>
      <c r="P78" s="532">
        <f>'päd.Personal - Praktikant'!$P$94</f>
        <v>0</v>
      </c>
      <c r="Q78" s="533">
        <f t="shared" ref="Q78:Q84" si="8">SUM(J78:P78)</f>
        <v>0</v>
      </c>
    </row>
    <row r="79" spans="1:17" s="109" customFormat="1" ht="27.75" customHeight="1" x14ac:dyDescent="0.25">
      <c r="A79" s="525">
        <v>3</v>
      </c>
      <c r="B79" s="613" t="str">
        <f>IF('päd.Personal - Praktikant'!$D$103="","",'päd.Personal - Praktikant'!$D$103)</f>
        <v/>
      </c>
      <c r="C79" s="614" t="str">
        <f>IF('päd.Personal - Praktikant'!$D$103="","",'päd.Personal - Praktikant'!$M$107)</f>
        <v/>
      </c>
      <c r="D79" s="614" t="str">
        <f>IF('päd.Personal - Praktikant'!$D$103="","",1)</f>
        <v/>
      </c>
      <c r="E79" s="616" t="str">
        <f>IF('päd.Personal - Praktikant'!$D$107="","",'päd.Personal - Praktikant'!$D$107)</f>
        <v/>
      </c>
      <c r="F79" s="613" t="str">
        <f>IF('päd.Personal - Praktikant'!$D$105="","",'päd.Personal - Praktikant'!$D$105)</f>
        <v/>
      </c>
      <c r="G79" s="617" t="str">
        <f>IF('päd.Personal - Praktikant'!$M$108="","",'päd.Personal - Praktikant'!$M$108)</f>
        <v/>
      </c>
      <c r="H79" s="613" t="str">
        <f>IF('päd.Personal - Praktikant'!$D$104="","",'päd.Personal - Praktikant'!$D$104)</f>
        <v/>
      </c>
      <c r="I79" s="640"/>
      <c r="J79" s="531">
        <f>'päd.Personal - Praktikant'!$G$137</f>
        <v>0</v>
      </c>
      <c r="K79" s="531">
        <f>'päd.Personal - Praktikant'!$H$137</f>
        <v>0</v>
      </c>
      <c r="L79" s="531">
        <f>'päd.Personal - Praktikant'!$O$137</f>
        <v>0</v>
      </c>
      <c r="M79" s="531">
        <f>'päd.Personal - Praktikant'!$P$139+'päd.Personal - Praktikant'!$P$141</f>
        <v>0</v>
      </c>
      <c r="N79" s="531">
        <f>'päd.Personal - Praktikant'!$P$140</f>
        <v>0</v>
      </c>
      <c r="O79" s="652"/>
      <c r="P79" s="532">
        <f>'päd.Personal - Praktikant'!$P$142</f>
        <v>0</v>
      </c>
      <c r="Q79" s="533">
        <f t="shared" si="8"/>
        <v>0</v>
      </c>
    </row>
    <row r="80" spans="1:17" s="109" customFormat="1" ht="27.75" customHeight="1" thickBot="1" x14ac:dyDescent="0.3">
      <c r="A80" s="534">
        <v>4</v>
      </c>
      <c r="B80" s="641" t="str">
        <f>IF('päd.Personal - Praktikant'!$D$151="","",'päd.Personal - Praktikant'!$D$151)</f>
        <v/>
      </c>
      <c r="C80" s="642" t="str">
        <f>IF('päd.Personal - Praktikant'!$D$151="","",'päd.Personal - Praktikant'!$M$155)</f>
        <v/>
      </c>
      <c r="D80" s="642" t="str">
        <f>IF('päd.Personal - Praktikant'!$D$151="","",1)</f>
        <v/>
      </c>
      <c r="E80" s="643" t="str">
        <f>IF('päd.Personal - Praktikant'!$D$155="","",'päd.Personal - Praktikant'!$D$155)</f>
        <v/>
      </c>
      <c r="F80" s="641" t="str">
        <f>IF('päd.Personal - Praktikant'!$D$153="","",'päd.Personal - Praktikant'!$D$153)</f>
        <v/>
      </c>
      <c r="G80" s="644" t="str">
        <f>IF('päd.Personal - Praktikant'!$M$156="","",'päd.Personal - Praktikant'!$M$156)</f>
        <v/>
      </c>
      <c r="H80" s="641" t="str">
        <f>IF('päd.Personal - Praktikant'!$D$152="","",'päd.Personal - Praktikant'!$D$152)</f>
        <v/>
      </c>
      <c r="I80" s="640"/>
      <c r="J80" s="540">
        <f>'päd.Personal - Praktikant'!$G$185</f>
        <v>0</v>
      </c>
      <c r="K80" s="540">
        <f>'päd.Personal - Praktikant'!$H$185</f>
        <v>0</v>
      </c>
      <c r="L80" s="540">
        <f>'päd.Personal - Praktikant'!$O$185</f>
        <v>0</v>
      </c>
      <c r="M80" s="540">
        <f>'päd.Personal - Praktikant'!$P$187+'päd.Personal - Praktikant'!$P$189</f>
        <v>0</v>
      </c>
      <c r="N80" s="540">
        <f>'päd.Personal - Praktikant'!$P$188</f>
        <v>0</v>
      </c>
      <c r="O80" s="653"/>
      <c r="P80" s="541">
        <f>'päd.Personal - Praktikant'!$P$190</f>
        <v>0</v>
      </c>
      <c r="Q80" s="654">
        <f t="shared" si="8"/>
        <v>0</v>
      </c>
    </row>
    <row r="81" spans="1:17" s="109" customFormat="1" ht="27.75" customHeight="1" x14ac:dyDescent="0.25">
      <c r="A81" s="543">
        <v>1</v>
      </c>
      <c r="B81" s="646" t="str">
        <f>IF('päd.Personal - BFD, FSJ'!$D$7="","",'päd.Personal - BFD, FSJ'!$D$7)</f>
        <v/>
      </c>
      <c r="C81" s="647" t="str">
        <f>IF('päd.Personal - BFD, FSJ'!$D$7="","",'päd.Personal - BFD, FSJ'!$L$11)</f>
        <v/>
      </c>
      <c r="D81" s="647" t="str">
        <f>IF('päd.Personal - BFD, FSJ'!$D$7="","",1)</f>
        <v/>
      </c>
      <c r="E81" s="648" t="str">
        <f>IF('päd.Personal - BFD, FSJ'!$D$11="","",'päd.Personal - BFD, FSJ'!$D$11)</f>
        <v/>
      </c>
      <c r="F81" s="646" t="str">
        <f>IF('päd.Personal - BFD, FSJ'!$D$9="","",'päd.Personal - BFD, FSJ'!$D$9)</f>
        <v/>
      </c>
      <c r="G81" s="649" t="str">
        <f>IF('päd.Personal - BFD, FSJ'!$L$12="","",'päd.Personal - BFD, FSJ'!$L$12)</f>
        <v/>
      </c>
      <c r="H81" s="646" t="str">
        <f>IF('päd.Personal - BFD, FSJ'!$D$8="","",'päd.Personal - BFD, FSJ'!$D$8)</f>
        <v/>
      </c>
      <c r="I81" s="639"/>
      <c r="J81" s="655">
        <f>'päd.Personal - BFD, FSJ'!$F$41</f>
        <v>0</v>
      </c>
      <c r="K81" s="655">
        <f>'päd.Personal - BFD, FSJ'!$G$41</f>
        <v>0</v>
      </c>
      <c r="L81" s="655">
        <f>'päd.Personal - BFD, FSJ'!$O$41</f>
        <v>0</v>
      </c>
      <c r="M81" s="549">
        <f>'päd.Personal - BFD, FSJ'!$O$43+'päd.Personal - BFD, FSJ'!$O$45</f>
        <v>0</v>
      </c>
      <c r="N81" s="655">
        <f>'päd.Personal - BFD, FSJ'!$O$44</f>
        <v>0</v>
      </c>
      <c r="O81" s="655">
        <f>'päd.Personal - BFD, FSJ'!$M$41</f>
        <v>0</v>
      </c>
      <c r="P81" s="656">
        <f>'päd.Personal - BFD, FSJ'!$O$46</f>
        <v>0</v>
      </c>
      <c r="Q81" s="651">
        <f>SUM(J81:P81)</f>
        <v>0</v>
      </c>
    </row>
    <row r="82" spans="1:17" s="109" customFormat="1" ht="27.75" customHeight="1" x14ac:dyDescent="0.25">
      <c r="A82" s="525">
        <v>2</v>
      </c>
      <c r="B82" s="646" t="str">
        <f>IF('päd.Personal - BFD, FSJ'!$D$55="","",'päd.Personal - BFD, FSJ'!$D$55)</f>
        <v/>
      </c>
      <c r="C82" s="647" t="str">
        <f>IF('päd.Personal - BFD, FSJ'!$D$55="","",'päd.Personal - BFD, FSJ'!$L$59)</f>
        <v/>
      </c>
      <c r="D82" s="647" t="str">
        <f>IF('päd.Personal - BFD, FSJ'!$D$55="","",1)</f>
        <v/>
      </c>
      <c r="E82" s="648" t="str">
        <f>IF('päd.Personal - BFD, FSJ'!$D$59="","",'päd.Personal - BFD, FSJ'!$D$59)</f>
        <v/>
      </c>
      <c r="F82" s="646" t="str">
        <f>IF('päd.Personal - BFD, FSJ'!$D$57="","",'päd.Personal - BFD, FSJ'!$D$57)</f>
        <v/>
      </c>
      <c r="G82" s="649" t="str">
        <f>IF('päd.Personal - BFD, FSJ'!$L$60="","",'päd.Personal - BFD, FSJ'!$L$60)</f>
        <v/>
      </c>
      <c r="H82" s="646" t="str">
        <f>IF('päd.Personal - BFD, FSJ'!$D$56="","",'päd.Personal - BFD, FSJ'!$D$56)</f>
        <v/>
      </c>
      <c r="I82" s="640"/>
      <c r="J82" s="549">
        <f>'päd.Personal - BFD, FSJ'!$F$89</f>
        <v>0</v>
      </c>
      <c r="K82" s="549">
        <f>'päd.Personal - BFD, FSJ'!$G$89</f>
        <v>0</v>
      </c>
      <c r="L82" s="549">
        <f>'päd.Personal - BFD, FSJ'!$O$89</f>
        <v>0</v>
      </c>
      <c r="M82" s="531">
        <f>'päd.Personal - BFD, FSJ'!$O$91+'päd.Personal - BFD, FSJ'!$O$93</f>
        <v>0</v>
      </c>
      <c r="N82" s="549">
        <f>'päd.Personal - BFD, FSJ'!$O$92</f>
        <v>0</v>
      </c>
      <c r="O82" s="531">
        <f>'päd.Personal - BFD, FSJ'!$M$89</f>
        <v>0</v>
      </c>
      <c r="P82" s="532">
        <f>'päd.Personal - BFD, FSJ'!$O$94</f>
        <v>0</v>
      </c>
      <c r="Q82" s="533">
        <f t="shared" si="8"/>
        <v>0</v>
      </c>
    </row>
    <row r="83" spans="1:17" s="109" customFormat="1" ht="27.75" customHeight="1" x14ac:dyDescent="0.25">
      <c r="A83" s="525">
        <v>3</v>
      </c>
      <c r="B83" s="646" t="str">
        <f>IF('päd.Personal - BFD, FSJ'!$D$103="","",'päd.Personal - BFD, FSJ'!$D$103)</f>
        <v/>
      </c>
      <c r="C83" s="647" t="str">
        <f>IF('päd.Personal - BFD, FSJ'!$D$103="","",'päd.Personal - BFD, FSJ'!$L$107)</f>
        <v/>
      </c>
      <c r="D83" s="647" t="str">
        <f>IF('päd.Personal - BFD, FSJ'!$D$103="","",1)</f>
        <v/>
      </c>
      <c r="E83" s="648" t="str">
        <f>IF('päd.Personal - BFD, FSJ'!$D$107="","",'päd.Personal - BFD, FSJ'!$D$107)</f>
        <v/>
      </c>
      <c r="F83" s="646" t="str">
        <f>IF('päd.Personal - BFD, FSJ'!$D$105="","",'päd.Personal - BFD, FSJ'!$D$105)</f>
        <v/>
      </c>
      <c r="G83" s="649" t="str">
        <f>IF('päd.Personal - BFD, FSJ'!$L$103="","",'päd.Personal - BFD, FSJ'!$L$103)</f>
        <v/>
      </c>
      <c r="H83" s="646" t="str">
        <f>IF('päd.Personal - BFD, FSJ'!$D$104="","",'päd.Personal - BFD, FSJ'!$D$104)</f>
        <v/>
      </c>
      <c r="I83" s="640"/>
      <c r="J83" s="549">
        <f>'päd.Personal - BFD, FSJ'!$F$137</f>
        <v>0</v>
      </c>
      <c r="K83" s="549">
        <f>'päd.Personal - BFD, FSJ'!$G$137</f>
        <v>0</v>
      </c>
      <c r="L83" s="549">
        <f>'päd.Personal - BFD, FSJ'!$O$137</f>
        <v>0</v>
      </c>
      <c r="M83" s="531">
        <f>'päd.Personal - BFD, FSJ'!$O$139+'päd.Personal - BFD, FSJ'!$O$141</f>
        <v>0</v>
      </c>
      <c r="N83" s="549">
        <f>'päd.Personal - BFD, FSJ'!$O$140</f>
        <v>0</v>
      </c>
      <c r="O83" s="531">
        <f>'päd.Personal - BFD, FSJ'!$M$137</f>
        <v>0</v>
      </c>
      <c r="P83" s="532">
        <f>'päd.Personal - BFD, FSJ'!$O$142</f>
        <v>0</v>
      </c>
      <c r="Q83" s="533">
        <f t="shared" si="8"/>
        <v>0</v>
      </c>
    </row>
    <row r="84" spans="1:17" s="109" customFormat="1" ht="27.75" customHeight="1" x14ac:dyDescent="0.25">
      <c r="A84" s="525">
        <v>4</v>
      </c>
      <c r="B84" s="646" t="str">
        <f>IF('päd.Personal - BFD, FSJ'!$D$151="","",'päd.Personal - BFD, FSJ'!$D$151)</f>
        <v/>
      </c>
      <c r="C84" s="647" t="str">
        <f>IF('päd.Personal - BFD, FSJ'!$D$151="","",'päd.Personal - BFD, FSJ'!$L$155)</f>
        <v/>
      </c>
      <c r="D84" s="647" t="str">
        <f>IF('päd.Personal - BFD, FSJ'!$D$151="","",1)</f>
        <v/>
      </c>
      <c r="E84" s="648" t="str">
        <f>IF('päd.Personal - BFD, FSJ'!$D$155="","",'päd.Personal - BFD, FSJ'!$D$155)</f>
        <v/>
      </c>
      <c r="F84" s="646" t="str">
        <f>IF('päd.Personal - BFD, FSJ'!$D$153="","",'päd.Personal - BFD, FSJ'!$D$153)</f>
        <v/>
      </c>
      <c r="G84" s="649" t="str">
        <f>IF('päd.Personal - BFD, FSJ'!$L$156="","",'päd.Personal - BFD, FSJ'!$L$156)</f>
        <v/>
      </c>
      <c r="H84" s="646" t="str">
        <f>IF('päd.Personal - BFD, FSJ'!$D$152="","",'päd.Personal - BFD, FSJ'!$D$152)</f>
        <v/>
      </c>
      <c r="I84" s="640"/>
      <c r="J84" s="549">
        <f>'päd.Personal - BFD, FSJ'!$F$185</f>
        <v>0</v>
      </c>
      <c r="K84" s="549">
        <f>'päd.Personal - BFD, FSJ'!$G$185</f>
        <v>0</v>
      </c>
      <c r="L84" s="549">
        <f>'päd.Personal - BFD, FSJ'!$O$185</f>
        <v>0</v>
      </c>
      <c r="M84" s="531">
        <f>'päd.Personal - BFD, FSJ'!$O$187+'päd.Personal - BFD, FSJ'!$O$189</f>
        <v>0</v>
      </c>
      <c r="N84" s="549">
        <f>'päd.Personal - BFD, FSJ'!$O$188</f>
        <v>0</v>
      </c>
      <c r="O84" s="531">
        <f>'päd.Personal - BFD, FSJ'!$M$185</f>
        <v>0</v>
      </c>
      <c r="P84" s="532">
        <f>'päd.Personal - BFD, FSJ'!$O$190</f>
        <v>0</v>
      </c>
      <c r="Q84" s="533">
        <f t="shared" si="8"/>
        <v>0</v>
      </c>
    </row>
    <row r="85" spans="1:17" s="109" customFormat="1" ht="27.75" customHeight="1" x14ac:dyDescent="0.2">
      <c r="A85" s="552"/>
      <c r="B85" s="619" t="s">
        <v>595</v>
      </c>
      <c r="C85" s="620">
        <f>SUM(C73:C84)</f>
        <v>0</v>
      </c>
      <c r="D85" s="621"/>
      <c r="E85" s="622">
        <f>IF(SUM(D73:D84)=0,0,SUM(D73:D84))</f>
        <v>0</v>
      </c>
      <c r="F85" s="619" t="s">
        <v>596</v>
      </c>
      <c r="G85" s="623">
        <f>SUM(G73:G84)</f>
        <v>0</v>
      </c>
      <c r="H85" s="634"/>
      <c r="I85" s="630"/>
      <c r="J85" s="559">
        <f t="shared" ref="J85:Q85" si="9">SUM(J73:J84)</f>
        <v>0</v>
      </c>
      <c r="K85" s="559">
        <f t="shared" si="9"/>
        <v>0</v>
      </c>
      <c r="L85" s="559">
        <f t="shared" si="9"/>
        <v>0</v>
      </c>
      <c r="M85" s="590">
        <f t="shared" si="9"/>
        <v>0</v>
      </c>
      <c r="N85" s="559">
        <f t="shared" si="9"/>
        <v>0</v>
      </c>
      <c r="O85" s="590">
        <f t="shared" si="9"/>
        <v>0</v>
      </c>
      <c r="P85" s="560">
        <f t="shared" si="9"/>
        <v>0</v>
      </c>
      <c r="Q85" s="561">
        <f t="shared" si="9"/>
        <v>0</v>
      </c>
    </row>
    <row r="86" spans="1:17" s="87" customFormat="1" ht="27.75" customHeight="1" x14ac:dyDescent="0.2">
      <c r="A86" s="572"/>
      <c r="B86" s="625"/>
      <c r="C86" s="621"/>
      <c r="D86" s="621"/>
      <c r="E86" s="626"/>
      <c r="F86" s="625" t="s">
        <v>265</v>
      </c>
      <c r="G86" s="627">
        <f>IF(Grundlagen!$C$16="",0,G85/Grundlagen!$C$16)</f>
        <v>0</v>
      </c>
      <c r="H86" s="635"/>
      <c r="I86" s="632"/>
      <c r="J86" s="657"/>
      <c r="K86" s="657"/>
      <c r="L86" s="657"/>
      <c r="M86" s="657"/>
      <c r="N86" s="657"/>
      <c r="O86" s="657"/>
      <c r="P86" s="657"/>
    </row>
    <row r="87" spans="1:17" x14ac:dyDescent="0.2">
      <c r="A87" s="570" t="s">
        <v>608</v>
      </c>
      <c r="B87" s="562"/>
      <c r="C87" s="612"/>
      <c r="D87" s="612"/>
      <c r="H87" s="658" t="s">
        <v>609</v>
      </c>
      <c r="K87" s="495"/>
      <c r="L87" s="495"/>
      <c r="M87" s="495"/>
    </row>
    <row r="88" spans="1:17" s="109" customFormat="1" ht="27.75" customHeight="1" x14ac:dyDescent="0.25">
      <c r="A88" s="525">
        <v>1</v>
      </c>
      <c r="B88" s="613" t="str">
        <f>IF('päd.Personal - unentgeltlich'!$B$11="","",'päd.Personal - unentgeltlich'!$B$11)</f>
        <v/>
      </c>
      <c r="C88" s="659" t="str">
        <f>IF('päd.Personal - unentgeltlich'!$F$11="","",'päd.Personal - unentgeltlich'!$F$11)</f>
        <v/>
      </c>
      <c r="D88" s="659" t="str">
        <f>IF('päd.Personal - unentgeltlich'!$B$11="","",1)</f>
        <v/>
      </c>
      <c r="E88" s="660" t="str">
        <f>IF('päd.Personal - unentgeltlich'!$C$11="","",'päd.Personal - unentgeltlich'!$C$11)</f>
        <v/>
      </c>
      <c r="F88" s="613" t="str">
        <f>IF('päd.Personal - unentgeltlich'!$D$11="","",'päd.Personal - unentgeltlich'!$D$11)</f>
        <v/>
      </c>
      <c r="G88" s="661" t="str">
        <f>IF('päd.Personal - unentgeltlich'!$E$11="","",'päd.Personal - unentgeltlich'!$E$11)</f>
        <v/>
      </c>
      <c r="H88" s="662" t="str">
        <f>IF('päd.Personal - unentgeltlich'!$G$11="","",'päd.Personal - unentgeltlich'!$G$11)</f>
        <v/>
      </c>
      <c r="I88" s="663"/>
      <c r="J88" s="664"/>
      <c r="K88" s="664"/>
      <c r="L88" s="664"/>
      <c r="M88" s="664"/>
      <c r="N88" s="664"/>
      <c r="O88" s="664"/>
      <c r="P88" s="664"/>
    </row>
    <row r="89" spans="1:17" s="109" customFormat="1" ht="27.75" customHeight="1" x14ac:dyDescent="0.25">
      <c r="A89" s="525">
        <v>2</v>
      </c>
      <c r="B89" s="613" t="str">
        <f>IF('päd.Personal - unentgeltlich'!$B$12="","",'päd.Personal - unentgeltlich'!$B$12)</f>
        <v/>
      </c>
      <c r="C89" s="659" t="str">
        <f>IF('päd.Personal - unentgeltlich'!$F$12="","",'päd.Personal - unentgeltlich'!$F$12)</f>
        <v/>
      </c>
      <c r="D89" s="659" t="str">
        <f>IF('päd.Personal - unentgeltlich'!$B$12="","",1)</f>
        <v/>
      </c>
      <c r="E89" s="660" t="str">
        <f>IF('päd.Personal - unentgeltlich'!$C$12="","",'päd.Personal - unentgeltlich'!$C$12)</f>
        <v/>
      </c>
      <c r="F89" s="613" t="str">
        <f>IF('päd.Personal - unentgeltlich'!$D$12="","",'päd.Personal - unentgeltlich'!$D$12)</f>
        <v/>
      </c>
      <c r="G89" s="661" t="str">
        <f>IF('päd.Personal - unentgeltlich'!$E$12="","",'päd.Personal - unentgeltlich'!$E$12)</f>
        <v/>
      </c>
      <c r="H89" s="662" t="str">
        <f>IF('päd.Personal - unentgeltlich'!$G$12="","",'päd.Personal - unentgeltlich'!$G$12)</f>
        <v/>
      </c>
      <c r="I89" s="663"/>
      <c r="J89" s="664"/>
      <c r="K89" s="664"/>
      <c r="L89" s="664"/>
      <c r="M89" s="664"/>
      <c r="N89" s="664"/>
      <c r="O89" s="664"/>
      <c r="P89" s="664"/>
    </row>
    <row r="90" spans="1:17" s="109" customFormat="1" ht="27.75" customHeight="1" x14ac:dyDescent="0.25">
      <c r="A90" s="525">
        <v>3</v>
      </c>
      <c r="B90" s="613" t="str">
        <f>IF('päd.Personal - unentgeltlich'!$B$13="","",'päd.Personal - unentgeltlich'!$B$13)</f>
        <v/>
      </c>
      <c r="C90" s="659" t="str">
        <f>IF('päd.Personal - unentgeltlich'!$F$13="","",'päd.Personal - unentgeltlich'!$F$13)</f>
        <v/>
      </c>
      <c r="D90" s="659" t="str">
        <f>IF('päd.Personal - unentgeltlich'!$B$13="","",1)</f>
        <v/>
      </c>
      <c r="E90" s="660" t="str">
        <f>IF('päd.Personal - unentgeltlich'!$C$13="","",'päd.Personal - unentgeltlich'!$C$13)</f>
        <v/>
      </c>
      <c r="F90" s="613" t="str">
        <f>IF('päd.Personal - unentgeltlich'!$D$13="","",'päd.Personal - unentgeltlich'!$D$13)</f>
        <v/>
      </c>
      <c r="G90" s="661" t="str">
        <f>IF('päd.Personal - unentgeltlich'!$E$13="","",'päd.Personal - unentgeltlich'!$E$13)</f>
        <v/>
      </c>
      <c r="H90" s="662" t="str">
        <f>IF('päd.Personal - unentgeltlich'!$G$13="","",'päd.Personal - unentgeltlich'!$G$13)</f>
        <v/>
      </c>
      <c r="I90" s="663"/>
      <c r="J90" s="664"/>
      <c r="K90" s="664"/>
      <c r="L90" s="664"/>
      <c r="M90" s="664"/>
      <c r="N90" s="664"/>
      <c r="O90" s="664"/>
      <c r="P90" s="664"/>
    </row>
    <row r="91" spans="1:17" s="109" customFormat="1" ht="27.75" customHeight="1" x14ac:dyDescent="0.25">
      <c r="A91" s="525">
        <v>4</v>
      </c>
      <c r="B91" s="613" t="str">
        <f>IF('päd.Personal - unentgeltlich'!$B$14="","",'päd.Personal - unentgeltlich'!$B$14)</f>
        <v/>
      </c>
      <c r="C91" s="659" t="str">
        <f>IF('päd.Personal - unentgeltlich'!$F$14="","",'päd.Personal - unentgeltlich'!$F$14)</f>
        <v/>
      </c>
      <c r="D91" s="659" t="str">
        <f>IF('päd.Personal - unentgeltlich'!$B$14="","",1)</f>
        <v/>
      </c>
      <c r="E91" s="660" t="str">
        <f>IF('päd.Personal - unentgeltlich'!$C$14="","",'päd.Personal - unentgeltlich'!$C$14)</f>
        <v/>
      </c>
      <c r="F91" s="613" t="str">
        <f>IF('päd.Personal - unentgeltlich'!$D$14="","",'päd.Personal - unentgeltlich'!$D$14)</f>
        <v/>
      </c>
      <c r="G91" s="661" t="str">
        <f>IF('päd.Personal - unentgeltlich'!$E$14="","",'päd.Personal - unentgeltlich'!$E$14)</f>
        <v/>
      </c>
      <c r="H91" s="662" t="str">
        <f>IF('päd.Personal - unentgeltlich'!$G$14="","",'päd.Personal - unentgeltlich'!$G$14)</f>
        <v/>
      </c>
      <c r="I91" s="663"/>
      <c r="J91" s="664"/>
      <c r="K91" s="664"/>
      <c r="L91" s="664"/>
      <c r="M91" s="664"/>
      <c r="N91" s="664"/>
      <c r="O91" s="664"/>
      <c r="P91" s="664"/>
    </row>
    <row r="92" spans="1:17" s="109" customFormat="1" ht="27.75" customHeight="1" x14ac:dyDescent="0.25">
      <c r="A92" s="525">
        <v>5</v>
      </c>
      <c r="B92" s="613" t="str">
        <f>IF('päd.Personal - unentgeltlich'!$B$15="","",'päd.Personal - unentgeltlich'!$B$15)</f>
        <v/>
      </c>
      <c r="C92" s="659" t="str">
        <f>IF('päd.Personal - unentgeltlich'!$F$15="","",'päd.Personal - unentgeltlich'!$F$15)</f>
        <v/>
      </c>
      <c r="D92" s="659" t="str">
        <f>IF('päd.Personal - unentgeltlich'!$B$15="","",1)</f>
        <v/>
      </c>
      <c r="E92" s="660" t="str">
        <f>IF('päd.Personal - unentgeltlich'!$C$15="","",'päd.Personal - unentgeltlich'!$C$15)</f>
        <v/>
      </c>
      <c r="F92" s="613" t="str">
        <f>IF('päd.Personal - unentgeltlich'!$D$15="","",'päd.Personal - unentgeltlich'!$D$15)</f>
        <v/>
      </c>
      <c r="G92" s="661" t="str">
        <f>IF('päd.Personal - unentgeltlich'!$E$15="","",'päd.Personal - unentgeltlich'!$E$15)</f>
        <v/>
      </c>
      <c r="H92" s="662" t="str">
        <f>IF('päd.Personal - unentgeltlich'!$G$15="","",'päd.Personal - unentgeltlich'!$G$15)</f>
        <v/>
      </c>
      <c r="I92" s="663"/>
      <c r="J92" s="664"/>
      <c r="K92" s="664"/>
      <c r="L92" s="664"/>
      <c r="M92" s="664"/>
      <c r="N92" s="664"/>
      <c r="O92" s="664"/>
      <c r="P92" s="664"/>
    </row>
    <row r="93" spans="1:17" s="109" customFormat="1" ht="27.75" customHeight="1" x14ac:dyDescent="0.25">
      <c r="A93" s="525">
        <v>6</v>
      </c>
      <c r="B93" s="613" t="str">
        <f>IF('päd.Personal - unentgeltlich'!$B$16="","",'päd.Personal - unentgeltlich'!$B$16)</f>
        <v/>
      </c>
      <c r="C93" s="659" t="str">
        <f>IF('päd.Personal - unentgeltlich'!$F$16="","",'päd.Personal - unentgeltlich'!$F$16)</f>
        <v/>
      </c>
      <c r="D93" s="659" t="str">
        <f>IF('päd.Personal - unentgeltlich'!$B$16="","",1)</f>
        <v/>
      </c>
      <c r="E93" s="660" t="str">
        <f>IF('päd.Personal - unentgeltlich'!$C$16="","",'päd.Personal - unentgeltlich'!$C$16)</f>
        <v/>
      </c>
      <c r="F93" s="613" t="str">
        <f>IF('päd.Personal - unentgeltlich'!$D$16="","",'päd.Personal - unentgeltlich'!$D$16)</f>
        <v/>
      </c>
      <c r="G93" s="661" t="str">
        <f>IF('päd.Personal - unentgeltlich'!$E$16="","",'päd.Personal - unentgeltlich'!$E$16)</f>
        <v/>
      </c>
      <c r="H93" s="662" t="str">
        <f>IF('päd.Personal - unentgeltlich'!$G$16="","",'päd.Personal - unentgeltlich'!$G$16)</f>
        <v/>
      </c>
      <c r="I93" s="663"/>
      <c r="J93" s="664"/>
      <c r="K93" s="664"/>
      <c r="L93" s="664"/>
      <c r="M93" s="664"/>
      <c r="N93" s="664"/>
      <c r="O93" s="664"/>
      <c r="P93" s="664"/>
    </row>
    <row r="94" spans="1:17" s="109" customFormat="1" ht="27.75" customHeight="1" x14ac:dyDescent="0.25">
      <c r="A94" s="525">
        <v>7</v>
      </c>
      <c r="B94" s="613" t="str">
        <f>IF('päd.Personal - unentgeltlich'!$B$17="","",'päd.Personal - unentgeltlich'!$B$17)</f>
        <v/>
      </c>
      <c r="C94" s="659" t="str">
        <f>IF('päd.Personal - unentgeltlich'!$F$17="","",'päd.Personal - unentgeltlich'!$F$17)</f>
        <v/>
      </c>
      <c r="D94" s="659" t="str">
        <f>IF('päd.Personal - unentgeltlich'!$B$17="","",1)</f>
        <v/>
      </c>
      <c r="E94" s="660" t="str">
        <f>IF('päd.Personal - unentgeltlich'!$C$17="","",'päd.Personal - unentgeltlich'!$C$17)</f>
        <v/>
      </c>
      <c r="F94" s="613" t="str">
        <f>IF('päd.Personal - unentgeltlich'!$D$17="","",'päd.Personal - unentgeltlich'!$D$17)</f>
        <v/>
      </c>
      <c r="G94" s="661" t="str">
        <f>IF('päd.Personal - unentgeltlich'!$E$17="","",'päd.Personal - unentgeltlich'!$E$17)</f>
        <v/>
      </c>
      <c r="H94" s="662" t="str">
        <f>IF('päd.Personal - unentgeltlich'!$G$17="","",'päd.Personal - unentgeltlich'!$G$17)</f>
        <v/>
      </c>
      <c r="I94" s="663"/>
      <c r="J94" s="664"/>
      <c r="K94" s="664"/>
      <c r="L94" s="664"/>
      <c r="M94" s="664"/>
      <c r="N94" s="664"/>
      <c r="O94" s="664"/>
      <c r="P94" s="664"/>
    </row>
    <row r="95" spans="1:17" s="109" customFormat="1" ht="27.75" customHeight="1" x14ac:dyDescent="0.25">
      <c r="A95" s="525">
        <v>8</v>
      </c>
      <c r="B95" s="613" t="str">
        <f>IF('päd.Personal - unentgeltlich'!$B$18="","",'päd.Personal - unentgeltlich'!$B$18)</f>
        <v/>
      </c>
      <c r="C95" s="659" t="str">
        <f>IF('päd.Personal - unentgeltlich'!$F$18="","",'päd.Personal - unentgeltlich'!$F$18)</f>
        <v/>
      </c>
      <c r="D95" s="659" t="str">
        <f>IF('päd.Personal - unentgeltlich'!$B$18="","",1)</f>
        <v/>
      </c>
      <c r="E95" s="660" t="str">
        <f>IF('päd.Personal - unentgeltlich'!$C$18="","",'päd.Personal - unentgeltlich'!$C$18)</f>
        <v/>
      </c>
      <c r="F95" s="613" t="str">
        <f>IF('päd.Personal - unentgeltlich'!$D$18="","",'päd.Personal - unentgeltlich'!$D$18)</f>
        <v/>
      </c>
      <c r="G95" s="661" t="str">
        <f>IF('päd.Personal - unentgeltlich'!$E$18="","",'päd.Personal - unentgeltlich'!$E$18)</f>
        <v/>
      </c>
      <c r="H95" s="662" t="str">
        <f>IF('päd.Personal - unentgeltlich'!$G$18="","",'päd.Personal - unentgeltlich'!$G$18)</f>
        <v/>
      </c>
      <c r="I95" s="663"/>
      <c r="J95" s="664"/>
      <c r="K95" s="664"/>
      <c r="L95" s="664"/>
      <c r="M95" s="664"/>
      <c r="N95" s="664"/>
      <c r="O95" s="664"/>
      <c r="P95" s="664"/>
    </row>
    <row r="96" spans="1:17" s="109" customFormat="1" ht="27.75" customHeight="1" x14ac:dyDescent="0.25">
      <c r="A96" s="525">
        <v>9</v>
      </c>
      <c r="B96" s="613" t="str">
        <f>IF('päd.Personal - unentgeltlich'!$B$19="","",'päd.Personal - unentgeltlich'!$B$19)</f>
        <v/>
      </c>
      <c r="C96" s="659" t="str">
        <f>IF('päd.Personal - unentgeltlich'!$F$19="","",'päd.Personal - unentgeltlich'!$F$19)</f>
        <v/>
      </c>
      <c r="D96" s="659" t="str">
        <f>IF('päd.Personal - unentgeltlich'!$B$19="","",1)</f>
        <v/>
      </c>
      <c r="E96" s="660" t="str">
        <f>IF('päd.Personal - unentgeltlich'!$C$19="","",'päd.Personal - unentgeltlich'!$C$19)</f>
        <v/>
      </c>
      <c r="F96" s="613" t="str">
        <f>IF('päd.Personal - unentgeltlich'!$D$19="","",'päd.Personal - unentgeltlich'!$D$19)</f>
        <v/>
      </c>
      <c r="G96" s="661" t="str">
        <f>IF('päd.Personal - unentgeltlich'!$E$19="","",'päd.Personal - unentgeltlich'!$E$19)</f>
        <v/>
      </c>
      <c r="H96" s="662" t="str">
        <f>IF('päd.Personal - unentgeltlich'!$G$19="","",'päd.Personal - unentgeltlich'!$G$19)</f>
        <v/>
      </c>
      <c r="I96" s="663"/>
      <c r="J96" s="664"/>
      <c r="K96" s="664"/>
      <c r="L96" s="664"/>
      <c r="M96" s="664"/>
      <c r="N96" s="664"/>
      <c r="O96" s="664"/>
      <c r="P96" s="664"/>
    </row>
    <row r="97" spans="1:17" s="109" customFormat="1" ht="27.75" customHeight="1" x14ac:dyDescent="0.25">
      <c r="A97" s="525">
        <v>10</v>
      </c>
      <c r="B97" s="613" t="str">
        <f>IF('päd.Personal - unentgeltlich'!$B$20="","",'päd.Personal - unentgeltlich'!$B$20)</f>
        <v/>
      </c>
      <c r="C97" s="659" t="str">
        <f>IF('päd.Personal - unentgeltlich'!$F$20="","",'päd.Personal - unentgeltlich'!$F$20)</f>
        <v/>
      </c>
      <c r="D97" s="659" t="str">
        <f>IF('päd.Personal - unentgeltlich'!$B$20="","",1)</f>
        <v/>
      </c>
      <c r="E97" s="660" t="str">
        <f>IF('päd.Personal - unentgeltlich'!$C$20="","",'päd.Personal - unentgeltlich'!$C$20)</f>
        <v/>
      </c>
      <c r="F97" s="613" t="str">
        <f>IF('päd.Personal - unentgeltlich'!$D$20="","",'päd.Personal - unentgeltlich'!$D$20)</f>
        <v/>
      </c>
      <c r="G97" s="661" t="str">
        <f>IF('päd.Personal - unentgeltlich'!$E$20="","",'päd.Personal - unentgeltlich'!$E$20)</f>
        <v/>
      </c>
      <c r="H97" s="662" t="str">
        <f>IF('päd.Personal - unentgeltlich'!$G$20="","",'päd.Personal - unentgeltlich'!$G$20)</f>
        <v/>
      </c>
      <c r="I97" s="663"/>
      <c r="J97" s="664"/>
      <c r="K97" s="664"/>
      <c r="L97" s="664"/>
      <c r="M97" s="664"/>
      <c r="N97" s="664"/>
      <c r="O97" s="664"/>
      <c r="P97" s="664"/>
    </row>
    <row r="98" spans="1:17" s="109" customFormat="1" ht="27.75" customHeight="1" x14ac:dyDescent="0.25">
      <c r="A98" s="525">
        <v>11</v>
      </c>
      <c r="B98" s="613" t="str">
        <f>IF('päd.Personal - unentgeltlich'!$B$21="","",'päd.Personal - unentgeltlich'!$B$21)</f>
        <v/>
      </c>
      <c r="C98" s="659" t="str">
        <f>IF('päd.Personal - unentgeltlich'!$F$21="","",'päd.Personal - unentgeltlich'!$F$21)</f>
        <v/>
      </c>
      <c r="D98" s="659" t="str">
        <f>IF('päd.Personal - unentgeltlich'!$B$21="","",1)</f>
        <v/>
      </c>
      <c r="E98" s="660" t="str">
        <f>IF('päd.Personal - unentgeltlich'!$C$21="","",'päd.Personal - unentgeltlich'!$C$21)</f>
        <v/>
      </c>
      <c r="F98" s="613" t="str">
        <f>IF('päd.Personal - unentgeltlich'!$D$21="","",'päd.Personal - unentgeltlich'!$D$21)</f>
        <v/>
      </c>
      <c r="G98" s="661" t="str">
        <f>IF('päd.Personal - unentgeltlich'!$E$21="","",'päd.Personal - unentgeltlich'!$E$21)</f>
        <v/>
      </c>
      <c r="H98" s="662" t="str">
        <f>IF('päd.Personal - unentgeltlich'!$G$21="","",'päd.Personal - unentgeltlich'!$G$21)</f>
        <v/>
      </c>
      <c r="I98" s="663"/>
      <c r="J98" s="664"/>
      <c r="K98" s="664"/>
      <c r="L98" s="664"/>
      <c r="M98" s="664"/>
      <c r="N98" s="664"/>
      <c r="O98" s="664"/>
      <c r="P98" s="664"/>
    </row>
    <row r="99" spans="1:17" s="109" customFormat="1" ht="27.75" customHeight="1" x14ac:dyDescent="0.25">
      <c r="A99" s="525">
        <v>12</v>
      </c>
      <c r="B99" s="613" t="str">
        <f>IF('päd.Personal - unentgeltlich'!$B$22="","",'päd.Personal - unentgeltlich'!$B$22)</f>
        <v/>
      </c>
      <c r="C99" s="659" t="str">
        <f>IF('päd.Personal - unentgeltlich'!$F$22="","",'päd.Personal - unentgeltlich'!$F$22)</f>
        <v/>
      </c>
      <c r="D99" s="659" t="str">
        <f>IF('päd.Personal - unentgeltlich'!$B$22="","",1)</f>
        <v/>
      </c>
      <c r="E99" s="660" t="str">
        <f>IF('päd.Personal - unentgeltlich'!$C$22="","",'päd.Personal - unentgeltlich'!$C$22)</f>
        <v/>
      </c>
      <c r="F99" s="613" t="str">
        <f>IF('päd.Personal - unentgeltlich'!$D$22="","",'päd.Personal - unentgeltlich'!$D$22)</f>
        <v/>
      </c>
      <c r="G99" s="661" t="str">
        <f>IF('päd.Personal - unentgeltlich'!$E$22="","",'päd.Personal - unentgeltlich'!$E$22)</f>
        <v/>
      </c>
      <c r="H99" s="662" t="str">
        <f>IF('päd.Personal - unentgeltlich'!$G$22="","",'päd.Personal - unentgeltlich'!$G$22)</f>
        <v/>
      </c>
      <c r="I99" s="663"/>
      <c r="J99" s="664"/>
      <c r="K99" s="664"/>
      <c r="L99" s="664"/>
      <c r="M99" s="664"/>
      <c r="N99" s="664"/>
      <c r="O99" s="664"/>
      <c r="P99" s="664"/>
    </row>
    <row r="100" spans="1:17" s="109" customFormat="1" ht="27.75" customHeight="1" x14ac:dyDescent="0.25">
      <c r="A100" s="525">
        <v>13</v>
      </c>
      <c r="B100" s="613" t="str">
        <f>IF('päd.Personal - unentgeltlich'!$B$23="","",'päd.Personal - unentgeltlich'!$B$23)</f>
        <v/>
      </c>
      <c r="C100" s="659" t="str">
        <f>IF('päd.Personal - unentgeltlich'!$F$23="","",'päd.Personal - unentgeltlich'!$F$23)</f>
        <v/>
      </c>
      <c r="D100" s="659" t="str">
        <f>IF('päd.Personal - unentgeltlich'!$B$23="","",1)</f>
        <v/>
      </c>
      <c r="E100" s="660" t="str">
        <f>IF('päd.Personal - unentgeltlich'!$C$23="","",'päd.Personal - unentgeltlich'!$C$23)</f>
        <v/>
      </c>
      <c r="F100" s="613" t="str">
        <f>IF('päd.Personal - unentgeltlich'!$D$23="","",'päd.Personal - unentgeltlich'!$D$23)</f>
        <v/>
      </c>
      <c r="G100" s="661" t="str">
        <f>IF('päd.Personal - unentgeltlich'!$E$23="","",'päd.Personal - unentgeltlich'!$E$23)</f>
        <v/>
      </c>
      <c r="H100" s="662" t="str">
        <f>IF('päd.Personal - unentgeltlich'!$G$23="","",'päd.Personal - unentgeltlich'!$G$23)</f>
        <v/>
      </c>
      <c r="I100" s="663"/>
      <c r="J100" s="664"/>
      <c r="K100" s="664"/>
      <c r="L100" s="664"/>
      <c r="M100" s="664"/>
      <c r="N100" s="664"/>
      <c r="O100" s="664"/>
      <c r="P100" s="664"/>
    </row>
    <row r="101" spans="1:17" s="109" customFormat="1" ht="27.75" customHeight="1" x14ac:dyDescent="0.25">
      <c r="A101" s="525">
        <v>14</v>
      </c>
      <c r="B101" s="613" t="str">
        <f>IF('päd.Personal - unentgeltlich'!$B$24="","",'päd.Personal - unentgeltlich'!$B$24)</f>
        <v/>
      </c>
      <c r="C101" s="659" t="str">
        <f>IF('päd.Personal - unentgeltlich'!$F$24="","",'päd.Personal - unentgeltlich'!$F$24)</f>
        <v/>
      </c>
      <c r="D101" s="659" t="str">
        <f>IF('päd.Personal - unentgeltlich'!$B$24="","",1)</f>
        <v/>
      </c>
      <c r="E101" s="660" t="str">
        <f>IF('päd.Personal - unentgeltlich'!$C$24="","",'päd.Personal - unentgeltlich'!$C$24)</f>
        <v/>
      </c>
      <c r="F101" s="613" t="str">
        <f>IF('päd.Personal - unentgeltlich'!$D$24="","",'päd.Personal - unentgeltlich'!$D$24)</f>
        <v/>
      </c>
      <c r="G101" s="661" t="str">
        <f>IF('päd.Personal - unentgeltlich'!$E$24="","",'päd.Personal - unentgeltlich'!$E$24)</f>
        <v/>
      </c>
      <c r="H101" s="662" t="str">
        <f>IF('päd.Personal - unentgeltlich'!$G$24="","",'päd.Personal - unentgeltlich'!$G$24)</f>
        <v/>
      </c>
      <c r="I101" s="663"/>
      <c r="J101" s="664"/>
      <c r="K101" s="664"/>
      <c r="L101" s="664"/>
      <c r="M101" s="664"/>
      <c r="N101" s="664"/>
      <c r="O101" s="664"/>
      <c r="P101" s="664"/>
    </row>
    <row r="102" spans="1:17" s="109" customFormat="1" ht="27.75" hidden="1" customHeight="1" x14ac:dyDescent="0.25">
      <c r="A102" s="525">
        <v>15</v>
      </c>
      <c r="B102" s="613" t="str">
        <f>IF('päd.Personal - unentgeltlich'!$B$25="","",'päd.Personal - unentgeltlich'!$B$25)</f>
        <v/>
      </c>
      <c r="C102" s="659" t="str">
        <f>IF('päd.Personal - unentgeltlich'!$F$25="","",'päd.Personal - unentgeltlich'!$F$25)</f>
        <v/>
      </c>
      <c r="D102" s="659" t="str">
        <f>IF('päd.Personal - unentgeltlich'!$B$25="","",1)</f>
        <v/>
      </c>
      <c r="E102" s="660" t="str">
        <f>IF('päd.Personal - unentgeltlich'!$C$25="","",'päd.Personal - unentgeltlich'!$C$25)</f>
        <v/>
      </c>
      <c r="F102" s="613" t="str">
        <f>IF('päd.Personal - unentgeltlich'!$D$25="","",'päd.Personal - unentgeltlich'!$D$25)</f>
        <v/>
      </c>
      <c r="G102" s="661" t="str">
        <f>IF('päd.Personal - unentgeltlich'!$E$25="","",'päd.Personal - unentgeltlich'!$E$25)</f>
        <v/>
      </c>
      <c r="H102" s="662" t="str">
        <f>IF('päd.Personal - unentgeltlich'!$G$25="","",'päd.Personal - unentgeltlich'!$G$25)</f>
        <v/>
      </c>
      <c r="I102" s="663"/>
      <c r="J102" s="664"/>
      <c r="K102" s="664"/>
      <c r="L102" s="664"/>
      <c r="M102" s="664"/>
      <c r="N102" s="664"/>
      <c r="O102" s="664"/>
      <c r="P102" s="664"/>
    </row>
    <row r="103" spans="1:17" s="109" customFormat="1" ht="27.75" customHeight="1" x14ac:dyDescent="0.25">
      <c r="A103" s="665"/>
      <c r="B103" s="619" t="s">
        <v>595</v>
      </c>
      <c r="C103" s="620">
        <f>SUM(C88:C102)</f>
        <v>0</v>
      </c>
      <c r="D103" s="621"/>
      <c r="E103" s="622">
        <f>IF(SUM(D88:D102)=0,0,SUM(D88:D102))</f>
        <v>0</v>
      </c>
      <c r="F103" s="619" t="s">
        <v>596</v>
      </c>
      <c r="G103" s="623">
        <f>SUM(G88:G102)</f>
        <v>0</v>
      </c>
      <c r="J103" s="581"/>
      <c r="K103" s="581"/>
      <c r="L103" s="581"/>
      <c r="M103" s="581"/>
      <c r="N103" s="581"/>
      <c r="O103" s="581"/>
      <c r="P103" s="581"/>
    </row>
    <row r="104" spans="1:17" ht="27.75" customHeight="1" x14ac:dyDescent="0.2">
      <c r="F104" s="625" t="s">
        <v>265</v>
      </c>
      <c r="G104" s="627">
        <f>IF(Grundlagen!$C$16="",0,G103/Grundlagen!$C$16)</f>
        <v>0</v>
      </c>
      <c r="K104" s="495"/>
      <c r="L104" s="495"/>
      <c r="M104" s="495"/>
    </row>
    <row r="105" spans="1:17" s="109" customFormat="1" ht="12.6" hidden="1" customHeight="1" x14ac:dyDescent="0.2">
      <c r="A105" s="552"/>
      <c r="B105" s="562"/>
      <c r="C105" s="612"/>
      <c r="D105" s="612"/>
      <c r="E105" s="564"/>
      <c r="F105" s="562"/>
      <c r="G105" s="571"/>
      <c r="H105" s="562"/>
      <c r="I105" s="583"/>
      <c r="J105" s="1136" t="s">
        <v>593</v>
      </c>
      <c r="K105" s="1136" t="s">
        <v>594</v>
      </c>
      <c r="L105" s="523"/>
      <c r="M105" s="523"/>
      <c r="N105" s="523"/>
      <c r="O105" s="523"/>
      <c r="P105" s="523"/>
    </row>
    <row r="106" spans="1:17" s="109" customFormat="1" ht="12.6" hidden="1" customHeight="1" x14ac:dyDescent="0.2">
      <c r="A106" s="570" t="s">
        <v>610</v>
      </c>
      <c r="B106" s="562"/>
      <c r="C106" s="612"/>
      <c r="D106" s="612"/>
      <c r="E106" s="564"/>
      <c r="F106" s="562"/>
      <c r="G106" s="571"/>
      <c r="H106" s="562"/>
      <c r="I106" s="583"/>
      <c r="J106" s="1137"/>
      <c r="K106" s="1137"/>
      <c r="L106" s="667"/>
      <c r="M106" s="667"/>
      <c r="N106" s="667"/>
      <c r="O106" s="667"/>
      <c r="P106" s="667"/>
    </row>
    <row r="107" spans="1:17" s="109" customFormat="1" ht="27.75" hidden="1" customHeight="1" x14ac:dyDescent="0.25">
      <c r="A107" s="525">
        <v>1</v>
      </c>
      <c r="B107" s="613" t="str">
        <f>IF('päd.Personal - ATZ aktiv,passiv'!$D$7="","",'päd.Personal - ATZ aktiv,passiv'!$D$7)</f>
        <v/>
      </c>
      <c r="C107" s="659" t="str">
        <f>IF('päd.Personal - ATZ aktiv,passiv'!$D$7="","",'päd.Personal - ATZ aktiv,passiv'!$M$11)</f>
        <v/>
      </c>
      <c r="D107" s="659" t="str">
        <f>IF('päd.Personal - ATZ aktiv,passiv'!$D$7="","",1)</f>
        <v/>
      </c>
      <c r="E107" s="660" t="str">
        <f>IF('päd.Personal - ATZ aktiv,passiv'!$D$11="","",'päd.Personal - ATZ aktiv,passiv'!$D$11)</f>
        <v/>
      </c>
      <c r="F107" s="613" t="str">
        <f>IF('päd.Personal - ATZ aktiv,passiv'!$D$9="","",'päd.Personal - ATZ aktiv,passiv'!$D$9)</f>
        <v/>
      </c>
      <c r="G107" s="661" t="str">
        <f>IF('päd.Personal - ATZ aktiv,passiv'!$M$12="","",'päd.Personal - ATZ aktiv,passiv'!$M$12)</f>
        <v/>
      </c>
      <c r="H107" s="613" t="str">
        <f>IF('päd.Personal - ATZ aktiv,passiv'!$D$8="","",'päd.Personal - ATZ aktiv,passiv'!$D$8)</f>
        <v/>
      </c>
      <c r="I107" s="662" t="str">
        <f>IF('päd.Personal - ATZ aktiv,passiv'!$M$6="","",'päd.Personal - ATZ aktiv,passiv'!$M$6)</f>
        <v/>
      </c>
      <c r="J107" s="668">
        <f>IF('päd.Personal - ATZ aktiv,passiv'!$G$41="","",('päd.Personal - ATZ aktiv,passiv'!$G$41+'päd.Personal - ATZ aktiv,passiv'!$N$41))</f>
        <v>0</v>
      </c>
      <c r="K107" s="668">
        <f>IF('päd.Personal - ATZ aktiv,passiv'!$H$41="","",'päd.Personal - ATZ aktiv,passiv'!$H$41)</f>
        <v>0</v>
      </c>
      <c r="L107" s="668">
        <f>IF('päd.Personal - ATZ aktiv,passiv'!$O$41="","",'päd.Personal - ATZ aktiv,passiv'!$O$41)</f>
        <v>0</v>
      </c>
      <c r="M107" s="549">
        <f>'päd.Personal - ATZ aktiv,passiv'!$P$43+'päd.Personal - ATZ aktiv,passiv'!$P$45</f>
        <v>0</v>
      </c>
      <c r="N107" s="549">
        <f>'päd.Personal - ATZ aktiv,passiv'!$P$44</f>
        <v>0</v>
      </c>
      <c r="O107" s="549">
        <f>'päd.Personal - ATZ aktiv,passiv'!$P$46</f>
        <v>0</v>
      </c>
      <c r="P107" s="550">
        <f>'päd.Personal - ATZ aktiv,passiv'!$P$47</f>
        <v>0</v>
      </c>
      <c r="Q107" s="533">
        <f>SUM(J107:P107)</f>
        <v>0</v>
      </c>
    </row>
    <row r="108" spans="1:17" s="109" customFormat="1" ht="27.75" hidden="1" customHeight="1" x14ac:dyDescent="0.25">
      <c r="A108" s="525">
        <v>2</v>
      </c>
      <c r="B108" s="613" t="str">
        <f>IF('päd.Personal - ATZ aktiv,passiv'!$D$55="","",'päd.Personal - ATZ aktiv,passiv'!$D$55)</f>
        <v/>
      </c>
      <c r="C108" s="659" t="str">
        <f>IF('päd.Personal - ATZ aktiv,passiv'!$D$55="","",'päd.Personal - ATZ aktiv,passiv'!$M$59)</f>
        <v/>
      </c>
      <c r="D108" s="659" t="str">
        <f>IF('päd.Personal - ATZ aktiv,passiv'!$D$55="","",1)</f>
        <v/>
      </c>
      <c r="E108" s="660" t="str">
        <f>IF('päd.Personal - ATZ aktiv,passiv'!$D$59="","",'päd.Personal - ATZ aktiv,passiv'!$D$59)</f>
        <v/>
      </c>
      <c r="F108" s="613" t="str">
        <f>IF('päd.Personal - ATZ aktiv,passiv'!$D$57="","",'päd.Personal - ATZ aktiv,passiv'!$D$57)</f>
        <v/>
      </c>
      <c r="G108" s="661" t="str">
        <f>IF('päd.Personal - ATZ aktiv,passiv'!$M$60="","",'päd.Personal - ATZ aktiv,passiv'!$M$60)</f>
        <v/>
      </c>
      <c r="H108" s="613" t="str">
        <f>IF('päd.Personal - ATZ aktiv,passiv'!$D$56="","",'päd.Personal - ATZ aktiv,passiv'!$D$56)</f>
        <v/>
      </c>
      <c r="I108" s="662" t="str">
        <f>IF('päd.Personal - ATZ aktiv,passiv'!$M$54="","",'päd.Personal - ATZ aktiv,passiv'!$M$54)</f>
        <v/>
      </c>
      <c r="J108" s="669">
        <f>IF('päd.Personal - ATZ aktiv,passiv'!$G$89="","",('päd.Personal - ATZ aktiv,passiv'!$G$89+'päd.Personal - ATZ aktiv,passiv'!$N$89))</f>
        <v>0</v>
      </c>
      <c r="K108" s="669">
        <f>IF('päd.Personal - ATZ aktiv,passiv'!$H$89="","",'päd.Personal - ATZ aktiv,passiv'!$H$89)</f>
        <v>0</v>
      </c>
      <c r="L108" s="669">
        <f>IF('päd.Personal - ATZ aktiv,passiv'!$O$89="","",'päd.Personal - ATZ aktiv,passiv'!$O$89)</f>
        <v>0</v>
      </c>
      <c r="M108" s="531">
        <f>'päd.Personal - ATZ aktiv,passiv'!$P$91+'päd.Personal - ATZ aktiv,passiv'!$P$93</f>
        <v>0</v>
      </c>
      <c r="N108" s="531">
        <f>'päd.Personal - ATZ aktiv,passiv'!$P$92</f>
        <v>0</v>
      </c>
      <c r="O108" s="531">
        <f>'päd.Personal - ATZ aktiv,passiv'!$P$94</f>
        <v>0</v>
      </c>
      <c r="P108" s="532">
        <f>'päd.Personal - ATZ aktiv,passiv'!$P$95</f>
        <v>0</v>
      </c>
      <c r="Q108" s="533">
        <f t="shared" ref="Q108:Q109" si="10">SUM(J108:P108)</f>
        <v>0</v>
      </c>
    </row>
    <row r="109" spans="1:17" s="109" customFormat="1" ht="27.75" hidden="1" customHeight="1" x14ac:dyDescent="0.25">
      <c r="A109" s="525">
        <v>3</v>
      </c>
      <c r="B109" s="613" t="str">
        <f>IF('päd.Personal - ATZ aktiv,passiv'!$D$103="","",'päd.Personal - ATZ aktiv,passiv'!$D$103)</f>
        <v/>
      </c>
      <c r="C109" s="659" t="str">
        <f>IF('päd.Personal - ATZ aktiv,passiv'!$D$103="","",'päd.Personal - ATZ aktiv,passiv'!$M$107)</f>
        <v/>
      </c>
      <c r="D109" s="659" t="str">
        <f>IF('päd.Personal - ATZ aktiv,passiv'!$D$103="","",1)</f>
        <v/>
      </c>
      <c r="E109" s="660" t="str">
        <f>IF('päd.Personal - ATZ aktiv,passiv'!$D$107="","",'päd.Personal - ATZ aktiv,passiv'!$D$107)</f>
        <v/>
      </c>
      <c r="F109" s="613" t="str">
        <f>IF('päd.Personal - ATZ aktiv,passiv'!$D$105="","",'päd.Personal - ATZ aktiv,passiv'!$D$105)</f>
        <v/>
      </c>
      <c r="G109" s="661" t="str">
        <f>IF('päd.Personal - ATZ aktiv,passiv'!$M$108="","",'päd.Personal - ATZ aktiv,passiv'!$M$108)</f>
        <v/>
      </c>
      <c r="H109" s="613" t="str">
        <f>IF('päd.Personal - ATZ aktiv,passiv'!$D$104="","",'päd.Personal - ATZ aktiv,passiv'!$D$104)</f>
        <v/>
      </c>
      <c r="I109" s="662" t="str">
        <f>IF('päd.Personal - ATZ aktiv,passiv'!$M$102="","",'päd.Personal - ATZ aktiv,passiv'!$M$102)</f>
        <v/>
      </c>
      <c r="J109" s="669">
        <f>IF('päd.Personal - ATZ aktiv,passiv'!$G$137="","",('päd.Personal - ATZ aktiv,passiv'!$G$137+'päd.Personal - ATZ aktiv,passiv'!$N$137))</f>
        <v>0</v>
      </c>
      <c r="K109" s="669">
        <f>IF('päd.Personal - ATZ aktiv,passiv'!$H$137="","",'päd.Personal - ATZ aktiv,passiv'!$H$137)</f>
        <v>0</v>
      </c>
      <c r="L109" s="669">
        <f>IF('päd.Personal - ATZ aktiv,passiv'!$O$137="","",'päd.Personal - ATZ aktiv,passiv'!$O$137)</f>
        <v>0</v>
      </c>
      <c r="M109" s="531">
        <f>'päd.Personal - ATZ aktiv,passiv'!$P$139+'päd.Personal - ATZ aktiv,passiv'!$P$141</f>
        <v>0</v>
      </c>
      <c r="N109" s="531">
        <f>'päd.Personal - ATZ aktiv,passiv'!$P$140</f>
        <v>0</v>
      </c>
      <c r="O109" s="531">
        <f>'päd.Personal - ATZ aktiv,passiv'!$P$142</f>
        <v>0</v>
      </c>
      <c r="P109" s="532">
        <f>'päd.Personal - ATZ aktiv,passiv'!$P$143</f>
        <v>0</v>
      </c>
      <c r="Q109" s="533">
        <f t="shared" si="10"/>
        <v>0</v>
      </c>
    </row>
    <row r="110" spans="1:17" s="109" customFormat="1" ht="27.75" hidden="1" customHeight="1" thickBot="1" x14ac:dyDescent="0.3">
      <c r="A110" s="665"/>
      <c r="B110" s="619" t="s">
        <v>595</v>
      </c>
      <c r="C110" s="620">
        <f>SUM(C107:C109)</f>
        <v>0</v>
      </c>
      <c r="D110" s="621"/>
      <c r="E110" s="622">
        <f>IF(SUM(D107:D109)=0,0,SUM(D107:D109))</f>
        <v>0</v>
      </c>
      <c r="F110" s="619" t="s">
        <v>596</v>
      </c>
      <c r="G110" s="623">
        <f>SUM(G107:G109)</f>
        <v>0</v>
      </c>
      <c r="H110" s="634"/>
      <c r="I110" s="670"/>
      <c r="J110" s="671">
        <f>SUM(J107:J109)</f>
        <v>0</v>
      </c>
      <c r="K110" s="671">
        <f t="shared" ref="K110:P110" si="11">SUM(K107:K109)</f>
        <v>0</v>
      </c>
      <c r="L110" s="671">
        <f t="shared" si="11"/>
        <v>0</v>
      </c>
      <c r="M110" s="671">
        <f t="shared" si="11"/>
        <v>0</v>
      </c>
      <c r="N110" s="671">
        <f t="shared" si="11"/>
        <v>0</v>
      </c>
      <c r="O110" s="671">
        <f t="shared" si="11"/>
        <v>0</v>
      </c>
      <c r="P110" s="672">
        <f t="shared" si="11"/>
        <v>0</v>
      </c>
      <c r="Q110" s="561">
        <f>SUM(Q107:Q109)</f>
        <v>0</v>
      </c>
    </row>
    <row r="111" spans="1:17" s="87" customFormat="1" ht="27.75" hidden="1" customHeight="1" thickBot="1" x14ac:dyDescent="0.3">
      <c r="A111" s="673"/>
      <c r="B111" s="625"/>
      <c r="C111" s="621"/>
      <c r="D111" s="621"/>
      <c r="E111" s="626"/>
      <c r="F111" s="625" t="s">
        <v>265</v>
      </c>
      <c r="G111" s="627">
        <f>IF(Grundlagen!$C$16="",0,G110/Grundlagen!$C$16)</f>
        <v>0</v>
      </c>
      <c r="H111" s="635"/>
      <c r="I111" s="674"/>
      <c r="J111" s="1130">
        <f>SUM(J110:L110)</f>
        <v>0</v>
      </c>
      <c r="K111" s="1131"/>
      <c r="L111" s="1132"/>
      <c r="M111" s="1130">
        <f>SUM(M110:N110)</f>
        <v>0</v>
      </c>
      <c r="N111" s="1132"/>
      <c r="O111" s="675"/>
      <c r="P111" s="675"/>
      <c r="Q111" s="575"/>
    </row>
    <row r="112" spans="1:17" hidden="1" x14ac:dyDescent="0.2">
      <c r="A112" s="570"/>
      <c r="B112" s="562"/>
      <c r="C112" s="612"/>
      <c r="D112" s="612"/>
      <c r="J112" s="676"/>
      <c r="K112" s="676"/>
      <c r="L112" s="676"/>
      <c r="M112" s="676"/>
      <c r="N112" s="676"/>
      <c r="O112" s="676"/>
      <c r="P112" s="676"/>
    </row>
    <row r="113" spans="1:17" hidden="1" x14ac:dyDescent="0.2">
      <c r="A113" s="570" t="s">
        <v>611</v>
      </c>
      <c r="B113" s="562"/>
      <c r="C113" s="612"/>
      <c r="D113" s="612"/>
      <c r="J113" s="676"/>
      <c r="K113" s="676"/>
      <c r="L113" s="676"/>
      <c r="M113" s="676"/>
      <c r="N113" s="676"/>
      <c r="O113" s="676"/>
      <c r="P113" s="676"/>
    </row>
    <row r="114" spans="1:17" s="109" customFormat="1" ht="27.75" hidden="1" customHeight="1" x14ac:dyDescent="0.25">
      <c r="A114" s="525">
        <v>1</v>
      </c>
      <c r="B114" s="613" t="str">
        <f>IF('päd.Personal - ATZ aktiv,passiv'!$D$151="","",'päd.Personal - ATZ aktiv,passiv'!$D$151)</f>
        <v/>
      </c>
      <c r="C114" s="659"/>
      <c r="D114" s="659" t="str">
        <f>IF('päd.Personal - ATZ aktiv,passiv'!$D$151="","",1)</f>
        <v/>
      </c>
      <c r="E114" s="660" t="str">
        <f>IF('päd.Personal - ATZ aktiv,passiv'!$D$155="","",'päd.Personal - ATZ aktiv,passiv'!$D$155)</f>
        <v/>
      </c>
      <c r="F114" s="613" t="str">
        <f>IF('päd.Personal - ATZ aktiv,passiv'!$D$153="","",'päd.Personal - ATZ aktiv,passiv'!$D$153)</f>
        <v/>
      </c>
      <c r="G114" s="661" t="str">
        <f>IF('päd.Personal - ATZ aktiv,passiv'!$M$156=0,"",'päd.Personal - ATZ aktiv,passiv'!$M$156)</f>
        <v/>
      </c>
      <c r="H114" s="613" t="str">
        <f>IF('päd.Personal - ATZ aktiv,passiv'!$D$152="","",'päd.Personal - ATZ aktiv,passiv'!$D$152)</f>
        <v/>
      </c>
      <c r="I114" s="662" t="str">
        <f>IF('päd.Personal - ATZ aktiv,passiv'!$M$150="","",'päd.Personal - ATZ aktiv,passiv'!$M$150)</f>
        <v/>
      </c>
      <c r="J114" s="669">
        <f>IF('päd.Personal - ATZ aktiv,passiv'!$G$185="","",('päd.Personal - ATZ aktiv,passiv'!$G$185+'päd.Personal - ATZ aktiv,passiv'!$N$185))</f>
        <v>0</v>
      </c>
      <c r="K114" s="669">
        <f>IF('päd.Personal - ATZ aktiv,passiv'!$H$185="","",'päd.Personal - ATZ aktiv,passiv'!$H$185)</f>
        <v>0</v>
      </c>
      <c r="L114" s="669">
        <f>IF('päd.Personal - ATZ aktiv,passiv'!$O$185="","",'päd.Personal - ATZ aktiv,passiv'!$O$185)</f>
        <v>0</v>
      </c>
      <c r="M114" s="531">
        <f>'päd.Personal - ATZ aktiv,passiv'!$P$187+'päd.Personal - ATZ aktiv,passiv'!$P$189</f>
        <v>0</v>
      </c>
      <c r="N114" s="531">
        <f>'päd.Personal - ATZ aktiv,passiv'!$P$188</f>
        <v>0</v>
      </c>
      <c r="O114" s="531">
        <f>'päd.Personal - ATZ aktiv,passiv'!$P$190</f>
        <v>0</v>
      </c>
      <c r="P114" s="532">
        <f>'päd.Personal - ATZ aktiv,passiv'!$P$191</f>
        <v>0</v>
      </c>
      <c r="Q114" s="533">
        <f>SUM(J114:P114)</f>
        <v>0</v>
      </c>
    </row>
    <row r="115" spans="1:17" s="109" customFormat="1" ht="27.75" hidden="1" customHeight="1" x14ac:dyDescent="0.25">
      <c r="A115" s="525">
        <v>2</v>
      </c>
      <c r="B115" s="613" t="str">
        <f>IF('päd.Personal - ATZ aktiv,passiv'!$D$199="","",'päd.Personal - ATZ aktiv,passiv'!$D$199)</f>
        <v/>
      </c>
      <c r="C115" s="659"/>
      <c r="D115" s="659" t="str">
        <f>IF('päd.Personal - ATZ aktiv,passiv'!$D$199="","",1)</f>
        <v/>
      </c>
      <c r="E115" s="660" t="str">
        <f>IF('päd.Personal - ATZ aktiv,passiv'!$D$203="","",'päd.Personal - ATZ aktiv,passiv'!$D$203)</f>
        <v/>
      </c>
      <c r="F115" s="613" t="str">
        <f>IF('päd.Personal - ATZ aktiv,passiv'!$D$201="","",'päd.Personal - ATZ aktiv,passiv'!$D$201)</f>
        <v/>
      </c>
      <c r="G115" s="661" t="str">
        <f>IF('päd.Personal - ATZ aktiv,passiv'!$M$204=0,"",'päd.Personal - ATZ aktiv,passiv'!$M$204)</f>
        <v/>
      </c>
      <c r="H115" s="613" t="str">
        <f>IF('päd.Personal - ATZ aktiv,passiv'!$D$200="","",'päd.Personal - ATZ aktiv,passiv'!$D$200)</f>
        <v/>
      </c>
      <c r="I115" s="662" t="str">
        <f>IF('päd.Personal - ATZ aktiv,passiv'!$M$198="","",'päd.Personal - ATZ aktiv,passiv'!$M$198)</f>
        <v/>
      </c>
      <c r="J115" s="669">
        <f>IF('päd.Personal - ATZ aktiv,passiv'!$G$233="","",('päd.Personal - ATZ aktiv,passiv'!$G$233+'päd.Personal - ATZ aktiv,passiv'!$N$233))</f>
        <v>0</v>
      </c>
      <c r="K115" s="669">
        <f>IF('päd.Personal - ATZ aktiv,passiv'!$H$233="","",'päd.Personal - ATZ aktiv,passiv'!$H$233)</f>
        <v>0</v>
      </c>
      <c r="L115" s="669">
        <f>IF('päd.Personal - ATZ aktiv,passiv'!$O$233="","",'päd.Personal - ATZ aktiv,passiv'!$O$233)</f>
        <v>0</v>
      </c>
      <c r="M115" s="531">
        <f>'päd.Personal - ATZ aktiv,passiv'!$P$235+'päd.Personal - ATZ aktiv,passiv'!$P$237</f>
        <v>0</v>
      </c>
      <c r="N115" s="531">
        <f>'päd.Personal - ATZ aktiv,passiv'!$P$236</f>
        <v>0</v>
      </c>
      <c r="O115" s="531">
        <f>'päd.Personal - ATZ aktiv,passiv'!$P$238</f>
        <v>0</v>
      </c>
      <c r="P115" s="532">
        <f>'päd.Personal - ATZ aktiv,passiv'!$P$239</f>
        <v>0</v>
      </c>
      <c r="Q115" s="533">
        <f t="shared" ref="Q115:Q116" si="12">SUM(J115:P115)</f>
        <v>0</v>
      </c>
    </row>
    <row r="116" spans="1:17" s="109" customFormat="1" ht="27.75" hidden="1" customHeight="1" x14ac:dyDescent="0.25">
      <c r="A116" s="525">
        <v>3</v>
      </c>
      <c r="B116" s="613" t="str">
        <f>IF('päd.Personal - ATZ aktiv,passiv'!$D$247="","",'päd.Personal - ATZ aktiv,passiv'!$D$247)</f>
        <v/>
      </c>
      <c r="C116" s="659"/>
      <c r="D116" s="659" t="str">
        <f>IF('päd.Personal - ATZ aktiv,passiv'!$D$247="","",1)</f>
        <v/>
      </c>
      <c r="E116" s="660" t="str">
        <f>IF('päd.Personal - ATZ aktiv,passiv'!$D$251="","",'päd.Personal - ATZ aktiv,passiv'!$D$251)</f>
        <v/>
      </c>
      <c r="F116" s="613" t="str">
        <f>IF('päd.Personal - ATZ aktiv,passiv'!$D$249="","",'päd.Personal - ATZ aktiv,passiv'!$D$249)</f>
        <v/>
      </c>
      <c r="G116" s="661" t="str">
        <f>IF('päd.Personal - ATZ aktiv,passiv'!$M$252=0,"",'päd.Personal - ATZ aktiv,passiv'!$M$252)</f>
        <v/>
      </c>
      <c r="H116" s="613" t="str">
        <f>IF('päd.Personal - ATZ aktiv,passiv'!$D$248="","",'päd.Personal - ATZ aktiv,passiv'!$D$248)</f>
        <v/>
      </c>
      <c r="I116" s="662" t="str">
        <f>IF('päd.Personal - ATZ aktiv,passiv'!$M$246="","",'päd.Personal - ATZ aktiv,passiv'!$M$246)</f>
        <v/>
      </c>
      <c r="J116" s="669">
        <f>IF('päd.Personal - ATZ aktiv,passiv'!$G$281="","",('päd.Personal - ATZ aktiv,passiv'!$G$281+'päd.Personal - ATZ aktiv,passiv'!$N$281))</f>
        <v>0</v>
      </c>
      <c r="K116" s="669">
        <f>IF('päd.Personal - ATZ aktiv,passiv'!$H$281="","",'päd.Personal - ATZ aktiv,passiv'!$H$281)</f>
        <v>0</v>
      </c>
      <c r="L116" s="669">
        <f>IF('päd.Personal - ATZ aktiv,passiv'!$O$281="","",'päd.Personal - ATZ aktiv,passiv'!$O$281)</f>
        <v>0</v>
      </c>
      <c r="M116" s="531">
        <f>'päd.Personal - ATZ aktiv,passiv'!$P$283+'päd.Personal - ATZ aktiv,passiv'!$P$285</f>
        <v>0</v>
      </c>
      <c r="N116" s="531">
        <f>'päd.Personal - ATZ aktiv,passiv'!$P$284</f>
        <v>0</v>
      </c>
      <c r="O116" s="531">
        <f>'päd.Personal - ATZ aktiv,passiv'!$P$286</f>
        <v>0</v>
      </c>
      <c r="P116" s="532">
        <f>'päd.Personal - ATZ aktiv,passiv'!$P$287</f>
        <v>0</v>
      </c>
      <c r="Q116" s="533">
        <f t="shared" si="12"/>
        <v>0</v>
      </c>
    </row>
    <row r="117" spans="1:17" s="109" customFormat="1" ht="27.75" hidden="1" customHeight="1" x14ac:dyDescent="0.25">
      <c r="A117" s="665"/>
      <c r="B117" s="619" t="s">
        <v>595</v>
      </c>
      <c r="C117" s="621"/>
      <c r="D117" s="621"/>
      <c r="E117" s="622">
        <f>IF(SUM(D114:D116)=0,0,SUM(D114:D116))</f>
        <v>0</v>
      </c>
      <c r="F117" s="619" t="s">
        <v>596</v>
      </c>
      <c r="G117" s="623">
        <f>SUM(G114:G116)</f>
        <v>0</v>
      </c>
      <c r="H117" s="634"/>
      <c r="I117" s="630"/>
      <c r="J117" s="677">
        <f>SUM(J114:J116)</f>
        <v>0</v>
      </c>
      <c r="K117" s="677">
        <f t="shared" ref="K117:P117" si="13">SUM(K114:K116)</f>
        <v>0</v>
      </c>
      <c r="L117" s="677">
        <f t="shared" si="13"/>
        <v>0</v>
      </c>
      <c r="M117" s="677">
        <f t="shared" si="13"/>
        <v>0</v>
      </c>
      <c r="N117" s="677">
        <f t="shared" si="13"/>
        <v>0</v>
      </c>
      <c r="O117" s="671">
        <f t="shared" si="13"/>
        <v>0</v>
      </c>
      <c r="P117" s="672">
        <f t="shared" si="13"/>
        <v>0</v>
      </c>
      <c r="Q117" s="561">
        <f>SUM(Q114:Q116)</f>
        <v>0</v>
      </c>
    </row>
    <row r="118" spans="1:17" s="87" customFormat="1" ht="27.75" hidden="1" customHeight="1" x14ac:dyDescent="0.25">
      <c r="A118" s="673"/>
      <c r="B118" s="625"/>
      <c r="C118" s="621"/>
      <c r="D118" s="621"/>
      <c r="E118" s="626"/>
      <c r="F118" s="625" t="s">
        <v>265</v>
      </c>
      <c r="G118" s="627">
        <f>IF(Grundlagen!$C$16="",0,G117/Grundlagen!$C$16)</f>
        <v>0</v>
      </c>
      <c r="H118" s="635"/>
      <c r="I118" s="632"/>
      <c r="J118" s="1133"/>
      <c r="K118" s="1133"/>
      <c r="L118" s="1133"/>
      <c r="M118" s="1133"/>
      <c r="N118" s="1133"/>
      <c r="O118" s="657"/>
      <c r="P118" s="657"/>
    </row>
    <row r="119" spans="1:17" hidden="1" x14ac:dyDescent="0.2">
      <c r="A119" s="552"/>
      <c r="B119" s="562"/>
      <c r="C119" s="612"/>
      <c r="D119" s="612"/>
      <c r="K119" s="495"/>
      <c r="L119" s="495"/>
      <c r="M119" s="495"/>
    </row>
    <row r="120" spans="1:17" x14ac:dyDescent="0.2">
      <c r="A120" s="570" t="s">
        <v>704</v>
      </c>
      <c r="B120" s="562"/>
      <c r="C120" s="612"/>
      <c r="D120" s="612"/>
      <c r="K120" s="495"/>
      <c r="L120" s="495"/>
      <c r="M120" s="495"/>
    </row>
    <row r="121" spans="1:17" s="109" customFormat="1" ht="27.75" customHeight="1" x14ac:dyDescent="0.25">
      <c r="A121" s="525">
        <v>1</v>
      </c>
      <c r="B121" s="613" t="str">
        <f>IF('päd.Personal - Heilpäd.FK'!B11="","",'päd.Personal - Heilpäd.FK'!B11)</f>
        <v/>
      </c>
      <c r="C121" s="659" t="str">
        <f>IF('päd.Personal - Heilpäd.FK'!B11="","",'päd.Personal - Heilpäd.FK'!$I$11)</f>
        <v/>
      </c>
      <c r="D121" s="659" t="str">
        <f>IF('päd.Personal - Heilpäd.FK'!B11="","",1)</f>
        <v/>
      </c>
      <c r="E121" s="660" t="str">
        <f>IF('päd.Personal - Heilpäd.FK'!C11="","",'päd.Personal - Heilpäd.FK'!C11)</f>
        <v/>
      </c>
      <c r="F121" s="613" t="str">
        <f>IF('päd.Personal - Heilpäd.FK'!E11="","",'päd.Personal - Heilpäd.FK'!E11)</f>
        <v/>
      </c>
      <c r="G121" s="661" t="str">
        <f>IF('päd.Personal - Heilpäd.FK'!H11="","",'päd.Personal - Heilpäd.FK'!H11)</f>
        <v/>
      </c>
      <c r="H121" s="613" t="str">
        <f>IF('päd.Personal - Heilpäd.FK'!D11="","",'päd.Personal - Heilpäd.FK'!D11)</f>
        <v/>
      </c>
      <c r="I121" s="663"/>
      <c r="J121" s="664"/>
      <c r="K121" s="664"/>
      <c r="L121" s="664"/>
      <c r="M121" s="664"/>
      <c r="N121" s="664"/>
      <c r="O121" s="664"/>
      <c r="P121" s="664"/>
    </row>
    <row r="122" spans="1:17" s="109" customFormat="1" ht="27.75" customHeight="1" x14ac:dyDescent="0.25">
      <c r="A122" s="525">
        <v>2</v>
      </c>
      <c r="B122" s="613" t="str">
        <f>IF('päd.Personal - Heilpäd.FK'!B12="","",'päd.Personal - Heilpäd.FK'!B12)</f>
        <v/>
      </c>
      <c r="C122" s="659" t="str">
        <f>IF('päd.Personal - Heilpäd.FK'!B12="","",'päd.Personal - Heilpäd.FK'!$I$12)</f>
        <v/>
      </c>
      <c r="D122" s="659" t="str">
        <f>IF('päd.Personal - Heilpäd.FK'!B12="","",1)</f>
        <v/>
      </c>
      <c r="E122" s="660" t="str">
        <f>IF('päd.Personal - Heilpäd.FK'!C12="","",'päd.Personal - Heilpäd.FK'!C12)</f>
        <v/>
      </c>
      <c r="F122" s="613" t="str">
        <f>IF('päd.Personal - Heilpäd.FK'!E12="","",'päd.Personal - Heilpäd.FK'!E12)</f>
        <v/>
      </c>
      <c r="G122" s="661" t="str">
        <f>IF('päd.Personal - Heilpäd.FK'!H12="","",'päd.Personal - Heilpäd.FK'!H12)</f>
        <v/>
      </c>
      <c r="H122" s="613" t="str">
        <f>IF('päd.Personal - Heilpäd.FK'!D12="","",'päd.Personal - Heilpäd.FK'!D12)</f>
        <v/>
      </c>
      <c r="I122" s="663"/>
      <c r="J122" s="664"/>
      <c r="K122" s="664"/>
      <c r="L122" s="664"/>
      <c r="M122" s="664"/>
      <c r="N122" s="664"/>
      <c r="O122" s="664"/>
      <c r="P122" s="664"/>
    </row>
    <row r="123" spans="1:17" s="109" customFormat="1" ht="27.75" customHeight="1" x14ac:dyDescent="0.25">
      <c r="A123" s="525">
        <v>3</v>
      </c>
      <c r="B123" s="613" t="str">
        <f>IF('päd.Personal - Heilpäd.FK'!B13="","",'päd.Personal - Heilpäd.FK'!B13)</f>
        <v/>
      </c>
      <c r="C123" s="659" t="str">
        <f>IF('päd.Personal - Heilpäd.FK'!B13="","",'päd.Personal - Heilpäd.FK'!$I$13)</f>
        <v/>
      </c>
      <c r="D123" s="659" t="str">
        <f>IF('päd.Personal - Heilpäd.FK'!B13="","",1)</f>
        <v/>
      </c>
      <c r="E123" s="660" t="str">
        <f>IF('päd.Personal - Heilpäd.FK'!C13="","",'päd.Personal - Heilpäd.FK'!C13)</f>
        <v/>
      </c>
      <c r="F123" s="613" t="str">
        <f>IF('päd.Personal - Heilpäd.FK'!E13="","",'päd.Personal - Heilpäd.FK'!E13)</f>
        <v/>
      </c>
      <c r="G123" s="661" t="str">
        <f>IF('päd.Personal - Heilpäd.FK'!H13="","",'päd.Personal - Heilpäd.FK'!H13)</f>
        <v/>
      </c>
      <c r="H123" s="613" t="str">
        <f>IF('päd.Personal - Heilpäd.FK'!D13="","",'päd.Personal - Heilpäd.FK'!D13)</f>
        <v/>
      </c>
      <c r="I123" s="663"/>
      <c r="J123" s="664"/>
      <c r="K123" s="664"/>
      <c r="L123" s="664"/>
      <c r="M123" s="664"/>
      <c r="N123" s="664"/>
      <c r="O123" s="664"/>
      <c r="P123" s="664"/>
    </row>
    <row r="124" spans="1:17" s="109" customFormat="1" ht="27.75" customHeight="1" x14ac:dyDescent="0.25">
      <c r="A124" s="525">
        <v>4</v>
      </c>
      <c r="B124" s="613" t="str">
        <f>IF('päd.Personal - Heilpäd.FK'!B14="","",'päd.Personal - Heilpäd.FK'!B14)</f>
        <v/>
      </c>
      <c r="C124" s="659" t="str">
        <f>IF('päd.Personal - Heilpäd.FK'!B14="","",'päd.Personal - Heilpäd.FK'!$I$14)</f>
        <v/>
      </c>
      <c r="D124" s="659" t="str">
        <f>IF('päd.Personal - Heilpäd.FK'!B14="","",1)</f>
        <v/>
      </c>
      <c r="E124" s="660" t="str">
        <f>IF('päd.Personal - Heilpäd.FK'!C14="","",'päd.Personal - Heilpäd.FK'!C14)</f>
        <v/>
      </c>
      <c r="F124" s="613" t="str">
        <f>IF('päd.Personal - Heilpäd.FK'!E14="","",'päd.Personal - Heilpäd.FK'!E14)</f>
        <v/>
      </c>
      <c r="G124" s="661" t="str">
        <f>IF('päd.Personal - Heilpäd.FK'!H14="","",'päd.Personal - Heilpäd.FK'!H14)</f>
        <v/>
      </c>
      <c r="H124" s="613" t="str">
        <f>IF('päd.Personal - Heilpäd.FK'!D14="","",'päd.Personal - Heilpäd.FK'!D14)</f>
        <v/>
      </c>
      <c r="I124" s="663"/>
      <c r="J124" s="664"/>
      <c r="K124" s="664"/>
      <c r="L124" s="664"/>
      <c r="M124" s="664"/>
      <c r="N124" s="664"/>
      <c r="O124" s="664"/>
      <c r="P124" s="664"/>
    </row>
    <row r="125" spans="1:17" s="109" customFormat="1" ht="27.75" customHeight="1" x14ac:dyDescent="0.25">
      <c r="A125" s="525">
        <v>5</v>
      </c>
      <c r="B125" s="613" t="str">
        <f>IF('päd.Personal - Heilpäd.FK'!B15="","",'päd.Personal - Heilpäd.FK'!B15)</f>
        <v/>
      </c>
      <c r="C125" s="659" t="str">
        <f>IF('päd.Personal - Heilpäd.FK'!B15="","",'päd.Personal - Heilpäd.FK'!$I$15)</f>
        <v/>
      </c>
      <c r="D125" s="659" t="str">
        <f>IF('päd.Personal - Heilpäd.FK'!B15="","",1)</f>
        <v/>
      </c>
      <c r="E125" s="660" t="str">
        <f>IF('päd.Personal - Heilpäd.FK'!C15="","",'päd.Personal - Heilpäd.FK'!C15)</f>
        <v/>
      </c>
      <c r="F125" s="613" t="str">
        <f>IF('päd.Personal - Heilpäd.FK'!E15="","",'päd.Personal - Heilpäd.FK'!E15)</f>
        <v/>
      </c>
      <c r="G125" s="661" t="str">
        <f>IF('päd.Personal - Heilpäd.FK'!H15="","",'päd.Personal - Heilpäd.FK'!H15)</f>
        <v/>
      </c>
      <c r="H125" s="613" t="str">
        <f>IF('päd.Personal - Heilpäd.FK'!D15="","",'päd.Personal - Heilpäd.FK'!D15)</f>
        <v/>
      </c>
      <c r="I125" s="663"/>
      <c r="J125" s="664"/>
      <c r="K125" s="664"/>
      <c r="L125" s="664"/>
      <c r="M125" s="664"/>
      <c r="N125" s="664"/>
      <c r="O125" s="664"/>
      <c r="P125" s="664"/>
    </row>
    <row r="126" spans="1:17" s="109" customFormat="1" ht="27.75" customHeight="1" x14ac:dyDescent="0.25">
      <c r="A126" s="525">
        <v>6</v>
      </c>
      <c r="B126" s="613" t="str">
        <f>IF('päd.Personal - Heilpäd.FK'!B16="","",'päd.Personal - Heilpäd.FK'!B16)</f>
        <v/>
      </c>
      <c r="C126" s="659" t="str">
        <f>IF('päd.Personal - Heilpäd.FK'!B16="","",'päd.Personal - Heilpäd.FK'!$I$16)</f>
        <v/>
      </c>
      <c r="D126" s="659" t="str">
        <f>IF('päd.Personal - Heilpäd.FK'!B16="","",1)</f>
        <v/>
      </c>
      <c r="E126" s="660" t="str">
        <f>IF('päd.Personal - Heilpäd.FK'!C16="","",'päd.Personal - Heilpäd.FK'!C16)</f>
        <v/>
      </c>
      <c r="F126" s="613" t="str">
        <f>IF('päd.Personal - Heilpäd.FK'!E16="","",'päd.Personal - Heilpäd.FK'!E16)</f>
        <v/>
      </c>
      <c r="G126" s="661" t="str">
        <f>IF('päd.Personal - Heilpäd.FK'!H16="","",'päd.Personal - Heilpäd.FK'!H16)</f>
        <v/>
      </c>
      <c r="H126" s="613" t="str">
        <f>IF('päd.Personal - Heilpäd.FK'!D16="","",'päd.Personal - Heilpäd.FK'!D16)</f>
        <v/>
      </c>
      <c r="I126" s="663"/>
      <c r="J126" s="664"/>
      <c r="K126" s="664"/>
      <c r="L126" s="664"/>
      <c r="M126" s="664"/>
      <c r="N126" s="664"/>
      <c r="O126" s="664"/>
      <c r="P126" s="664"/>
    </row>
    <row r="127" spans="1:17" s="109" customFormat="1" ht="27.75" customHeight="1" x14ac:dyDescent="0.25">
      <c r="A127" s="525">
        <v>7</v>
      </c>
      <c r="B127" s="613" t="str">
        <f>IF('päd.Personal - Heilpäd.FK'!B17="","",'päd.Personal - Heilpäd.FK'!B17)</f>
        <v/>
      </c>
      <c r="C127" s="659" t="str">
        <f>IF('päd.Personal - Heilpäd.FK'!B17="","",'päd.Personal - Heilpäd.FK'!$I$17)</f>
        <v/>
      </c>
      <c r="D127" s="659" t="str">
        <f>IF('päd.Personal - Heilpäd.FK'!B17="","",1)</f>
        <v/>
      </c>
      <c r="E127" s="660" t="str">
        <f>IF('päd.Personal - Heilpäd.FK'!C17="","",'päd.Personal - Heilpäd.FK'!C17)</f>
        <v/>
      </c>
      <c r="F127" s="613" t="str">
        <f>IF('päd.Personal - Heilpäd.FK'!E17="","",'päd.Personal - Heilpäd.FK'!E17)</f>
        <v/>
      </c>
      <c r="G127" s="661" t="str">
        <f>IF('päd.Personal - Heilpäd.FK'!H17="","",'päd.Personal - Heilpäd.FK'!H17)</f>
        <v/>
      </c>
      <c r="H127" s="613" t="str">
        <f>IF('päd.Personal - Heilpäd.FK'!D17="","",'päd.Personal - Heilpäd.FK'!D17)</f>
        <v/>
      </c>
      <c r="I127" s="663"/>
      <c r="J127" s="664"/>
      <c r="K127" s="664"/>
      <c r="L127" s="664"/>
      <c r="M127" s="664"/>
      <c r="N127" s="664"/>
      <c r="O127" s="664"/>
      <c r="P127" s="664"/>
    </row>
    <row r="128" spans="1:17" s="109" customFormat="1" ht="27.75" customHeight="1" x14ac:dyDescent="0.25">
      <c r="A128" s="525">
        <v>8</v>
      </c>
      <c r="B128" s="613" t="str">
        <f>IF('päd.Personal - Heilpäd.FK'!B18="","",'päd.Personal - Heilpäd.FK'!B18)</f>
        <v/>
      </c>
      <c r="C128" s="659" t="str">
        <f>IF('päd.Personal - Heilpäd.FK'!B18="","",'päd.Personal - Heilpäd.FK'!$I$18)</f>
        <v/>
      </c>
      <c r="D128" s="659" t="str">
        <f>IF('päd.Personal - Heilpäd.FK'!B18="","",1)</f>
        <v/>
      </c>
      <c r="E128" s="660" t="str">
        <f>IF('päd.Personal - Heilpäd.FK'!C18="","",'päd.Personal - Heilpäd.FK'!C18)</f>
        <v/>
      </c>
      <c r="F128" s="613" t="str">
        <f>IF('päd.Personal - Heilpäd.FK'!E18="","",'päd.Personal - Heilpäd.FK'!E18)</f>
        <v/>
      </c>
      <c r="G128" s="661" t="str">
        <f>IF('päd.Personal - Heilpäd.FK'!H18="","",'päd.Personal - Heilpäd.FK'!H18)</f>
        <v/>
      </c>
      <c r="H128" s="613" t="str">
        <f>IF('päd.Personal - Heilpäd.FK'!D18="","",'päd.Personal - Heilpäd.FK'!D18)</f>
        <v/>
      </c>
      <c r="I128" s="663"/>
      <c r="J128" s="664"/>
      <c r="K128" s="664"/>
      <c r="L128" s="664"/>
      <c r="M128" s="664"/>
      <c r="N128" s="664"/>
      <c r="O128" s="664"/>
      <c r="P128" s="664"/>
    </row>
    <row r="129" spans="1:17" s="109" customFormat="1" ht="27.75" customHeight="1" x14ac:dyDescent="0.25">
      <c r="A129" s="525">
        <v>9</v>
      </c>
      <c r="B129" s="613" t="str">
        <f>IF('päd.Personal - Heilpäd.FK'!B19="","",'päd.Personal - Heilpäd.FK'!B19)</f>
        <v/>
      </c>
      <c r="C129" s="659" t="str">
        <f>IF('päd.Personal - Heilpäd.FK'!B19="","",'päd.Personal - Heilpäd.FK'!$I$19)</f>
        <v/>
      </c>
      <c r="D129" s="659" t="str">
        <f>IF('päd.Personal - Heilpäd.FK'!B19="","",1)</f>
        <v/>
      </c>
      <c r="E129" s="660" t="str">
        <f>IF('päd.Personal - Heilpäd.FK'!C19="","",'päd.Personal - Heilpäd.FK'!C19)</f>
        <v/>
      </c>
      <c r="F129" s="613" t="str">
        <f>IF('päd.Personal - Heilpäd.FK'!E19="","",'päd.Personal - Heilpäd.FK'!E19)</f>
        <v/>
      </c>
      <c r="G129" s="661" t="str">
        <f>IF('päd.Personal - Heilpäd.FK'!H19="","",'päd.Personal - Heilpäd.FK'!H19)</f>
        <v/>
      </c>
      <c r="H129" s="613" t="str">
        <f>IF('päd.Personal - Heilpäd.FK'!D19="","",'päd.Personal - Heilpäd.FK'!D19)</f>
        <v/>
      </c>
      <c r="I129" s="663"/>
      <c r="J129" s="664"/>
      <c r="K129" s="664"/>
      <c r="L129" s="664"/>
      <c r="M129" s="664"/>
      <c r="N129" s="664"/>
      <c r="O129" s="664"/>
      <c r="P129" s="664"/>
    </row>
    <row r="130" spans="1:17" s="109" customFormat="1" ht="27.75" customHeight="1" x14ac:dyDescent="0.25">
      <c r="A130" s="525">
        <v>10</v>
      </c>
      <c r="B130" s="613" t="str">
        <f>IF('päd.Personal - Heilpäd.FK'!B20="","",'päd.Personal - Heilpäd.FK'!B20)</f>
        <v/>
      </c>
      <c r="C130" s="659" t="str">
        <f>IF('päd.Personal - Heilpäd.FK'!B20="","",'päd.Personal - Heilpäd.FK'!$I$20)</f>
        <v/>
      </c>
      <c r="D130" s="659" t="str">
        <f>IF('päd.Personal - Heilpäd.FK'!B20="","",1)</f>
        <v/>
      </c>
      <c r="E130" s="660" t="str">
        <f>IF('päd.Personal - Heilpäd.FK'!C20="","",'päd.Personal - Heilpäd.FK'!C20)</f>
        <v/>
      </c>
      <c r="F130" s="613" t="str">
        <f>IF('päd.Personal - Heilpäd.FK'!E20="","",'päd.Personal - Heilpäd.FK'!E20)</f>
        <v/>
      </c>
      <c r="G130" s="661" t="str">
        <f>IF('päd.Personal - Heilpäd.FK'!H20="","",'päd.Personal - Heilpäd.FK'!H20)</f>
        <v/>
      </c>
      <c r="H130" s="613" t="str">
        <f>IF('päd.Personal - Heilpäd.FK'!D20="","",'päd.Personal - Heilpäd.FK'!D20)</f>
        <v/>
      </c>
      <c r="I130" s="663"/>
      <c r="J130" s="664"/>
      <c r="K130" s="664"/>
      <c r="L130" s="664"/>
      <c r="M130" s="664"/>
      <c r="N130" s="664"/>
      <c r="O130" s="664"/>
      <c r="P130" s="664"/>
    </row>
    <row r="131" spans="1:17" s="109" customFormat="1" ht="27.75" customHeight="1" x14ac:dyDescent="0.25">
      <c r="A131" s="525">
        <v>11</v>
      </c>
      <c r="B131" s="613" t="str">
        <f>IF('päd.Personal - Heilpäd.FK'!B21="","",'päd.Personal - Heilpäd.FK'!B21)</f>
        <v/>
      </c>
      <c r="C131" s="659" t="str">
        <f>IF('päd.Personal - Heilpäd.FK'!B21="","",'päd.Personal - Heilpäd.FK'!$I$21)</f>
        <v/>
      </c>
      <c r="D131" s="659" t="str">
        <f>IF('päd.Personal - Heilpäd.FK'!B21="","",1)</f>
        <v/>
      </c>
      <c r="E131" s="660" t="str">
        <f>IF('päd.Personal - Heilpäd.FK'!C21="","",'päd.Personal - Heilpäd.FK'!C21)</f>
        <v/>
      </c>
      <c r="F131" s="613" t="str">
        <f>IF('päd.Personal - Heilpäd.FK'!E21="","",'päd.Personal - Heilpäd.FK'!E21)</f>
        <v/>
      </c>
      <c r="G131" s="661" t="str">
        <f>IF('päd.Personal - Heilpäd.FK'!H21="","",'päd.Personal - Heilpäd.FK'!H21)</f>
        <v/>
      </c>
      <c r="H131" s="613" t="str">
        <f>IF('päd.Personal - Heilpäd.FK'!D21="","",'päd.Personal - Heilpäd.FK'!D21)</f>
        <v/>
      </c>
      <c r="I131" s="663"/>
      <c r="J131" s="664"/>
      <c r="K131" s="664"/>
      <c r="L131" s="664"/>
      <c r="M131" s="664"/>
      <c r="N131" s="664"/>
      <c r="O131" s="664"/>
      <c r="P131" s="664"/>
    </row>
    <row r="132" spans="1:17" s="109" customFormat="1" ht="27.75" customHeight="1" x14ac:dyDescent="0.25">
      <c r="A132" s="525">
        <v>12</v>
      </c>
      <c r="B132" s="613" t="str">
        <f>IF('päd.Personal - Heilpäd.FK'!B22="","",'päd.Personal - Heilpäd.FK'!B22)</f>
        <v/>
      </c>
      <c r="C132" s="659" t="str">
        <f>IF('päd.Personal - Heilpäd.FK'!B22="","",'päd.Personal - Heilpäd.FK'!$I$22)</f>
        <v/>
      </c>
      <c r="D132" s="659" t="str">
        <f>IF('päd.Personal - Heilpäd.FK'!B22="","",1)</f>
        <v/>
      </c>
      <c r="E132" s="660" t="str">
        <f>IF('päd.Personal - Heilpäd.FK'!C22="","",'päd.Personal - Heilpäd.FK'!C22)</f>
        <v/>
      </c>
      <c r="F132" s="613" t="str">
        <f>IF('päd.Personal - Heilpäd.FK'!E22="","",'päd.Personal - Heilpäd.FK'!E22)</f>
        <v/>
      </c>
      <c r="G132" s="661" t="str">
        <f>IF('päd.Personal - Heilpäd.FK'!H22="","",'päd.Personal - Heilpäd.FK'!H22)</f>
        <v/>
      </c>
      <c r="H132" s="613" t="str">
        <f>IF('päd.Personal - Heilpäd.FK'!D22="","",'päd.Personal - Heilpäd.FK'!D22)</f>
        <v/>
      </c>
      <c r="I132" s="663"/>
      <c r="J132" s="664"/>
      <c r="K132" s="664"/>
      <c r="L132" s="664"/>
      <c r="M132" s="664"/>
      <c r="N132" s="664"/>
      <c r="O132" s="664"/>
      <c r="P132" s="664"/>
    </row>
    <row r="133" spans="1:17" s="109" customFormat="1" ht="27.75" customHeight="1" x14ac:dyDescent="0.25">
      <c r="A133" s="525">
        <v>13</v>
      </c>
      <c r="B133" s="613" t="str">
        <f>IF('päd.Personal - Heilpäd.FK'!B23="","",'päd.Personal - Heilpäd.FK'!B23)</f>
        <v/>
      </c>
      <c r="C133" s="659" t="str">
        <f>IF('päd.Personal - Heilpäd.FK'!B23="","",'päd.Personal - Heilpäd.FK'!$I$23)</f>
        <v/>
      </c>
      <c r="D133" s="659" t="str">
        <f>IF('päd.Personal - Heilpäd.FK'!B23="","",1)</f>
        <v/>
      </c>
      <c r="E133" s="660" t="str">
        <f>IF('päd.Personal - Heilpäd.FK'!C23="","",'päd.Personal - Heilpäd.FK'!C23)</f>
        <v/>
      </c>
      <c r="F133" s="613" t="str">
        <f>IF('päd.Personal - Heilpäd.FK'!E23="","",'päd.Personal - Heilpäd.FK'!E23)</f>
        <v/>
      </c>
      <c r="G133" s="661" t="str">
        <f>IF('päd.Personal - Heilpäd.FK'!H23="","",'päd.Personal - Heilpäd.FK'!H23)</f>
        <v/>
      </c>
      <c r="H133" s="613" t="str">
        <f>IF('päd.Personal - Heilpäd.FK'!D23="","",'päd.Personal - Heilpäd.FK'!D23)</f>
        <v/>
      </c>
      <c r="I133" s="663"/>
      <c r="J133" s="664"/>
      <c r="K133" s="664"/>
      <c r="L133" s="664"/>
      <c r="M133" s="664"/>
      <c r="N133" s="664"/>
      <c r="O133" s="664"/>
      <c r="P133" s="664"/>
    </row>
    <row r="134" spans="1:17" s="109" customFormat="1" ht="27.75" customHeight="1" x14ac:dyDescent="0.25">
      <c r="A134" s="525">
        <v>14</v>
      </c>
      <c r="B134" s="613" t="str">
        <f>IF('päd.Personal - Heilpäd.FK'!B24="","",'päd.Personal - Heilpäd.FK'!B24)</f>
        <v/>
      </c>
      <c r="C134" s="659" t="str">
        <f>IF('päd.Personal - Heilpäd.FK'!B24="","",'päd.Personal - Heilpäd.FK'!$I$24)</f>
        <v/>
      </c>
      <c r="D134" s="659" t="str">
        <f>IF('päd.Personal - Heilpäd.FK'!B24="","",1)</f>
        <v/>
      </c>
      <c r="E134" s="660" t="str">
        <f>IF('päd.Personal - Heilpäd.FK'!C24="","",'päd.Personal - Heilpäd.FK'!C24)</f>
        <v/>
      </c>
      <c r="F134" s="613" t="str">
        <f>IF('päd.Personal - Heilpäd.FK'!E24="","",'päd.Personal - Heilpäd.FK'!E24)</f>
        <v/>
      </c>
      <c r="G134" s="661" t="str">
        <f>IF('päd.Personal - Heilpäd.FK'!H24="","",'päd.Personal - Heilpäd.FK'!H24)</f>
        <v/>
      </c>
      <c r="H134" s="613" t="str">
        <f>IF('päd.Personal - Heilpäd.FK'!D24="","",'päd.Personal - Heilpäd.FK'!D24)</f>
        <v/>
      </c>
      <c r="I134" s="663"/>
      <c r="J134" s="664"/>
      <c r="K134" s="664"/>
      <c r="L134" s="664"/>
      <c r="M134" s="664"/>
      <c r="N134" s="664"/>
      <c r="O134" s="664"/>
      <c r="P134" s="664"/>
    </row>
    <row r="135" spans="1:17" s="109" customFormat="1" ht="27.75" hidden="1" customHeight="1" x14ac:dyDescent="0.25">
      <c r="A135" s="525">
        <v>15</v>
      </c>
      <c r="B135" s="613" t="str">
        <f>IF('päd.Personal - Heilpäd.FK'!B25="","",'päd.Personal - Heilpäd.FK'!B25)</f>
        <v/>
      </c>
      <c r="C135" s="659" t="str">
        <f>IF('päd.Personal - Heilpäd.FK'!B25="","",'päd.Personal - Heilpäd.FK'!$I$25)</f>
        <v/>
      </c>
      <c r="D135" s="659" t="str">
        <f>IF('päd.Personal - Heilpäd.FK'!B25="","",1)</f>
        <v/>
      </c>
      <c r="E135" s="660" t="str">
        <f>IF('päd.Personal - Heilpäd.FK'!C25="","",'päd.Personal - Heilpäd.FK'!C25)</f>
        <v/>
      </c>
      <c r="F135" s="613" t="str">
        <f>IF('päd.Personal - Heilpäd.FK'!E25="","",'päd.Personal - Heilpäd.FK'!E25)</f>
        <v/>
      </c>
      <c r="G135" s="661" t="str">
        <f>IF('päd.Personal - Heilpäd.FK'!H25="","",'päd.Personal - Heilpäd.FK'!H25)</f>
        <v/>
      </c>
      <c r="H135" s="613" t="str">
        <f>IF('päd.Personal - Heilpäd.FK'!D25="","",'päd.Personal - Heilpäd.FK'!D25)</f>
        <v/>
      </c>
      <c r="I135" s="663"/>
      <c r="J135" s="664"/>
      <c r="K135" s="664"/>
      <c r="L135" s="664"/>
      <c r="M135" s="664"/>
      <c r="N135" s="664"/>
      <c r="O135" s="664"/>
      <c r="P135" s="664"/>
    </row>
    <row r="136" spans="1:17" s="109" customFormat="1" ht="27.75" customHeight="1" x14ac:dyDescent="0.25">
      <c r="A136" s="665"/>
      <c r="B136" s="619" t="s">
        <v>595</v>
      </c>
      <c r="C136" s="620">
        <f>SUM(C121:C135)</f>
        <v>0</v>
      </c>
      <c r="D136" s="621"/>
      <c r="E136" s="622">
        <f>IF(SUM(D121:D135)=0,0,SUM(D121:D135))</f>
        <v>0</v>
      </c>
      <c r="F136" s="619" t="s">
        <v>596</v>
      </c>
      <c r="G136" s="623">
        <f>SUM(G121:G135)</f>
        <v>0</v>
      </c>
      <c r="J136" s="581"/>
      <c r="K136" s="581"/>
      <c r="L136" s="581"/>
      <c r="M136" s="581"/>
      <c r="N136" s="581"/>
      <c r="O136" s="581"/>
      <c r="P136" s="581"/>
    </row>
    <row r="137" spans="1:17" ht="27.75" customHeight="1" x14ac:dyDescent="0.2">
      <c r="F137" s="625" t="s">
        <v>265</v>
      </c>
      <c r="G137" s="627">
        <f>IF(Grundlagen!$C$16="",0,G136/Grundlagen!$C$16)</f>
        <v>0</v>
      </c>
      <c r="K137" s="495"/>
      <c r="L137" s="495"/>
      <c r="M137" s="495"/>
    </row>
    <row r="138" spans="1:17" hidden="1" x14ac:dyDescent="0.2">
      <c r="F138" s="497"/>
      <c r="G138" s="494"/>
      <c r="K138" s="495"/>
      <c r="L138" s="495"/>
      <c r="M138" s="495"/>
    </row>
    <row r="139" spans="1:17" x14ac:dyDescent="0.2">
      <c r="A139" s="678" t="s">
        <v>600</v>
      </c>
      <c r="K139" s="495"/>
      <c r="L139" s="495"/>
      <c r="M139" s="495"/>
    </row>
    <row r="140" spans="1:17" s="109" customFormat="1" ht="27.75" customHeight="1" x14ac:dyDescent="0.25">
      <c r="A140" s="525">
        <v>1</v>
      </c>
      <c r="B140" s="613" t="str">
        <f>IF('päd.Personal - sonst.geringfüg.'!$D$7="","",'päd.Personal - sonst.geringfüg.'!$D$7)</f>
        <v/>
      </c>
      <c r="C140" s="614"/>
      <c r="D140" s="614" t="str">
        <f>IF('päd.Personal - sonst.geringfüg.'!$D$7="","",1)</f>
        <v/>
      </c>
      <c r="E140" s="616" t="str">
        <f>IF('päd.Personal - sonst.geringfüg.'!$D$11="","",'päd.Personal - sonst.geringfüg.'!$D$11)</f>
        <v/>
      </c>
      <c r="F140" s="613" t="str">
        <f>IF('päd.Personal - sonst.geringfüg.'!$D$9="","",'päd.Personal - sonst.geringfüg.'!$D$9)</f>
        <v/>
      </c>
      <c r="G140" s="617" t="str">
        <f>IF('päd.Personal - sonst.geringfüg.'!$M$12="","",'päd.Personal - sonst.geringfüg.'!$M$12)</f>
        <v/>
      </c>
      <c r="H140" s="613" t="str">
        <f>IF('päd.Personal - sonst.geringfüg.'!$D$8="","",'päd.Personal - sonst.geringfüg.'!$D$8)</f>
        <v/>
      </c>
      <c r="I140" s="679"/>
      <c r="J140" s="531">
        <f>'päd.Personal - sonst.geringfüg.'!G$41+'päd.Personal - sonst.geringfüg.'!$N$41</f>
        <v>0</v>
      </c>
      <c r="K140" s="531">
        <f>'päd.Personal - sonst.geringfüg.'!H$41</f>
        <v>0</v>
      </c>
      <c r="L140" s="531">
        <f>'päd.Personal - sonst.geringfüg.'!O$41</f>
        <v>0</v>
      </c>
      <c r="M140" s="531">
        <f>'päd.Personal - sonst.geringfüg.'!$P$43+'päd.Personal - sonst.geringfüg.'!$P$45</f>
        <v>0</v>
      </c>
      <c r="N140" s="531">
        <f>'päd.Personal - sonst.geringfüg.'!$P$44</f>
        <v>0</v>
      </c>
      <c r="O140" s="531">
        <f>'päd.Personal - sonst.geringfüg.'!$P$46</f>
        <v>0</v>
      </c>
      <c r="P140" s="532">
        <f>'päd.Personal - sonst.geringfüg.'!$P$47</f>
        <v>0</v>
      </c>
      <c r="Q140" s="533">
        <f>SUM(J140:P140)</f>
        <v>0</v>
      </c>
    </row>
    <row r="141" spans="1:17" s="109" customFormat="1" ht="27.75" customHeight="1" x14ac:dyDescent="0.25">
      <c r="A141" s="525">
        <v>2</v>
      </c>
      <c r="B141" s="613" t="str">
        <f>IF('päd.Personal - sonst.geringfüg.'!$D$55="","",'päd.Personal - sonst.geringfüg.'!$D$55)</f>
        <v/>
      </c>
      <c r="C141" s="614"/>
      <c r="D141" s="614" t="str">
        <f>IF('päd.Personal - sonst.geringfüg.'!$D$55="","",1)</f>
        <v/>
      </c>
      <c r="E141" s="616" t="str">
        <f>IF('päd.Personal - sonst.geringfüg.'!$D$59="","",'päd.Personal - sonst.geringfüg.'!$D$59)</f>
        <v/>
      </c>
      <c r="F141" s="613" t="str">
        <f>IF('päd.Personal - sonst.geringfüg.'!$D$57="","",'päd.Personal - sonst.geringfüg.'!$D$57)</f>
        <v/>
      </c>
      <c r="G141" s="617" t="str">
        <f>IF('päd.Personal - sonst.geringfüg.'!$M$60="","",'päd.Personal - sonst.geringfüg.'!$M$60)</f>
        <v/>
      </c>
      <c r="H141" s="613" t="str">
        <f>IF('päd.Personal - sonst.geringfüg.'!$D$56="","",'päd.Personal - sonst.geringfüg.'!$D$56)</f>
        <v/>
      </c>
      <c r="I141" s="679"/>
      <c r="J141" s="531">
        <f>'päd.Personal - sonst.geringfüg.'!G$89+'päd.Personal - sonst.geringfüg.'!$N$89</f>
        <v>0</v>
      </c>
      <c r="K141" s="531">
        <f>'päd.Personal - sonst.geringfüg.'!H$89</f>
        <v>0</v>
      </c>
      <c r="L141" s="531">
        <f>'päd.Personal - sonst.geringfüg.'!O$89</f>
        <v>0</v>
      </c>
      <c r="M141" s="531">
        <f>'päd.Personal - sonst.geringfüg.'!P$91+'päd.Personal - sonst.geringfüg.'!$P$93</f>
        <v>0</v>
      </c>
      <c r="N141" s="531">
        <f>'päd.Personal - sonst.geringfüg.'!P$92</f>
        <v>0</v>
      </c>
      <c r="O141" s="531">
        <f>'päd.Personal - sonst.geringfüg.'!P$94</f>
        <v>0</v>
      </c>
      <c r="P141" s="532">
        <f>'päd.Personal - sonst.geringfüg.'!P$95</f>
        <v>0</v>
      </c>
      <c r="Q141" s="533">
        <f t="shared" ref="Q141:Q142" si="14">SUM(J141:P141)</f>
        <v>0</v>
      </c>
    </row>
    <row r="142" spans="1:17" s="109" customFormat="1" ht="27.75" customHeight="1" x14ac:dyDescent="0.25">
      <c r="A142" s="525">
        <v>3</v>
      </c>
      <c r="B142" s="613" t="str">
        <f>IF('päd.Personal - sonst.geringfüg.'!$D$103="","",'päd.Personal - sonst.geringfüg.'!$D$103)</f>
        <v/>
      </c>
      <c r="C142" s="614"/>
      <c r="D142" s="614" t="str">
        <f>IF('päd.Personal - sonst.geringfüg.'!$D$103="","",1)</f>
        <v/>
      </c>
      <c r="E142" s="616" t="str">
        <f>IF('päd.Personal - sonst.geringfüg.'!$D$107="","",'päd.Personal - sonst.geringfüg.'!$D$107)</f>
        <v/>
      </c>
      <c r="F142" s="613" t="str">
        <f>IF('päd.Personal - sonst.geringfüg.'!$D$105="","",'päd.Personal - sonst.geringfüg.'!$D$105)</f>
        <v/>
      </c>
      <c r="G142" s="617" t="str">
        <f>IF('päd.Personal - sonst.geringfüg.'!$M$108="","",'päd.Personal - sonst.geringfüg.'!$M$108)</f>
        <v/>
      </c>
      <c r="H142" s="613" t="str">
        <f>IF('päd.Personal - sonst.geringfüg.'!$D$104="","",'päd.Personal - sonst.geringfüg.'!$D$104)</f>
        <v/>
      </c>
      <c r="I142" s="679"/>
      <c r="J142" s="531">
        <f>'päd.Personal - sonst.geringfüg.'!G$137+'päd.Personal - sonst.geringfüg.'!$N$137</f>
        <v>0</v>
      </c>
      <c r="K142" s="531">
        <f>'päd.Personal - sonst.geringfüg.'!H$137</f>
        <v>0</v>
      </c>
      <c r="L142" s="531">
        <f>'päd.Personal - sonst.geringfüg.'!O$137</f>
        <v>0</v>
      </c>
      <c r="M142" s="531">
        <f>'päd.Personal - sonst.geringfüg.'!P$139+'päd.Personal - sonst.geringfüg.'!$P$141</f>
        <v>0</v>
      </c>
      <c r="N142" s="531">
        <f>'päd.Personal - sonst.geringfüg.'!P$140</f>
        <v>0</v>
      </c>
      <c r="O142" s="531">
        <f>'päd.Personal - sonst.geringfüg.'!P$142</f>
        <v>0</v>
      </c>
      <c r="P142" s="532">
        <f>'päd.Personal - sonst.geringfüg.'!P$143</f>
        <v>0</v>
      </c>
      <c r="Q142" s="533">
        <f t="shared" si="14"/>
        <v>0</v>
      </c>
    </row>
    <row r="143" spans="1:17" s="109" customFormat="1" ht="27.75" customHeight="1" x14ac:dyDescent="0.25">
      <c r="A143" s="665"/>
      <c r="B143" s="619" t="s">
        <v>595</v>
      </c>
      <c r="C143" s="621"/>
      <c r="D143" s="621"/>
      <c r="E143" s="622">
        <f>IF(SUM(D140:D142)=0,0,SUM(D140:D142))</f>
        <v>0</v>
      </c>
      <c r="F143" s="619" t="s">
        <v>596</v>
      </c>
      <c r="G143" s="623">
        <f>SUM(G140:G142)</f>
        <v>0</v>
      </c>
      <c r="H143" s="634"/>
      <c r="I143" s="630"/>
      <c r="J143" s="559">
        <f>SUM(J140:J142)</f>
        <v>0</v>
      </c>
      <c r="K143" s="559">
        <f t="shared" ref="K143:P143" si="15">SUM(K140:K142)</f>
        <v>0</v>
      </c>
      <c r="L143" s="559">
        <f t="shared" si="15"/>
        <v>0</v>
      </c>
      <c r="M143" s="559">
        <f t="shared" si="15"/>
        <v>0</v>
      </c>
      <c r="N143" s="559">
        <f t="shared" si="15"/>
        <v>0</v>
      </c>
      <c r="O143" s="559">
        <f t="shared" si="15"/>
        <v>0</v>
      </c>
      <c r="P143" s="560">
        <f t="shared" si="15"/>
        <v>0</v>
      </c>
      <c r="Q143" s="561">
        <f>SUM(Q140:Q142)</f>
        <v>0</v>
      </c>
    </row>
    <row r="144" spans="1:17" ht="27.75" customHeight="1" x14ac:dyDescent="0.2">
      <c r="F144" s="625" t="s">
        <v>265</v>
      </c>
      <c r="G144" s="627">
        <f>IF(Grundlagen!$C$16="",0,G143/Grundlagen!$C$16)</f>
        <v>0</v>
      </c>
      <c r="K144" s="495"/>
      <c r="L144" s="495"/>
      <c r="M144" s="495"/>
    </row>
    <row r="145" spans="1:17" ht="12.75" customHeight="1" x14ac:dyDescent="0.2">
      <c r="F145" s="625"/>
      <c r="G145" s="627"/>
      <c r="K145" s="495"/>
      <c r="L145" s="495"/>
      <c r="M145" s="495"/>
    </row>
    <row r="146" spans="1:17" x14ac:dyDescent="0.2">
      <c r="A146" s="678" t="s">
        <v>705</v>
      </c>
      <c r="K146" s="495"/>
      <c r="L146" s="495"/>
      <c r="M146" s="495"/>
    </row>
    <row r="147" spans="1:17" s="109" customFormat="1" ht="27.75" customHeight="1" x14ac:dyDescent="0.25">
      <c r="A147" s="525">
        <v>1</v>
      </c>
      <c r="B147" s="613" t="str">
        <f>IF('päd.Personal - § 23'!$D$7="","",'päd.Personal - § 23'!$D$7)</f>
        <v/>
      </c>
      <c r="C147" s="614" t="str">
        <f>IF('päd.Personal - § 23'!$D$7="","",'päd.Personal - § 23'!$M$11)</f>
        <v/>
      </c>
      <c r="D147" s="614" t="str">
        <f>IF('päd.Personal - § 23'!$D$7="","",1)</f>
        <v/>
      </c>
      <c r="E147" s="616" t="str">
        <f>IF('päd.Personal - § 23'!$D$11="","",'päd.Personal - § 23'!$D$11)</f>
        <v/>
      </c>
      <c r="F147" s="613" t="str">
        <f>IF('päd.Personal - § 23'!$D$9="","",'päd.Personal - § 23'!$D$9)</f>
        <v/>
      </c>
      <c r="G147" s="617" t="str">
        <f>IF('päd.Personal - § 23'!$M$12="","",'päd.Personal - § 23'!$M$12)</f>
        <v/>
      </c>
      <c r="H147" s="613" t="str">
        <f>IF('päd.Personal - § 23'!$D$8="","",'päd.Personal - § 23'!$D$8)</f>
        <v/>
      </c>
      <c r="I147" s="633" t="str">
        <f>IF('päd.Personal - § 23'!$M$6="","",'päd.Personal - § 23'!$M$6)</f>
        <v/>
      </c>
      <c r="J147" s="531">
        <f>'päd.Personal - § 23'!$G$41</f>
        <v>0</v>
      </c>
      <c r="K147" s="531">
        <f>'päd.Personal - § 23'!$H$41</f>
        <v>0</v>
      </c>
      <c r="L147" s="531">
        <f>'päd.Personal - § 23'!$O$41</f>
        <v>0</v>
      </c>
      <c r="M147" s="531">
        <f>'päd.Personal - § 23'!$P$43+'päd.Personal - § 23'!$P$45</f>
        <v>0</v>
      </c>
      <c r="N147" s="531">
        <f>'päd.Personal - § 23'!$P$44</f>
        <v>0</v>
      </c>
      <c r="O147" s="531">
        <f>'päd.Personal - § 23'!$P$46</f>
        <v>0</v>
      </c>
      <c r="P147" s="532">
        <f>'päd.Personal - § 23'!$P$47</f>
        <v>0</v>
      </c>
      <c r="Q147" s="533">
        <f>SUM(J147:P147)</f>
        <v>0</v>
      </c>
    </row>
    <row r="148" spans="1:17" s="109" customFormat="1" ht="27.75" customHeight="1" x14ac:dyDescent="0.25">
      <c r="A148" s="525">
        <v>2</v>
      </c>
      <c r="B148" s="613" t="str">
        <f>IF('päd.Personal - § 23'!$D$55="","",'päd.Personal - § 23'!$D$55)</f>
        <v/>
      </c>
      <c r="C148" s="614" t="str">
        <f>IF('päd.Personal - § 23'!$D$55="","",'päd.Personal - § 23'!$M$59)</f>
        <v/>
      </c>
      <c r="D148" s="614" t="str">
        <f>IF('päd.Personal - § 23'!$D$55="","",1)</f>
        <v/>
      </c>
      <c r="E148" s="616" t="str">
        <f>IF('päd.Personal - § 23'!$D$59="","",'päd.Personal - § 23'!$D$59)</f>
        <v/>
      </c>
      <c r="F148" s="613" t="str">
        <f>IF('päd.Personal - § 23'!$D$57="","",'päd.Personal - § 23'!$D$57)</f>
        <v/>
      </c>
      <c r="G148" s="617" t="str">
        <f>IF('päd.Personal - § 23'!$M$60="","",'päd.Personal - § 23'!$M$60)</f>
        <v/>
      </c>
      <c r="H148" s="613" t="str">
        <f>IF('päd.Personal - § 23'!$D$56="","",'päd.Personal - § 23'!$D$56)</f>
        <v/>
      </c>
      <c r="I148" s="633" t="str">
        <f>IF('päd.Personal - § 23'!$M$54="","",'päd.Personal - § 23'!$M$54)</f>
        <v/>
      </c>
      <c r="J148" s="531">
        <f>'päd.Personal - § 23'!$G$89</f>
        <v>0</v>
      </c>
      <c r="K148" s="531">
        <f>'päd.Personal - § 23'!$H$89</f>
        <v>0</v>
      </c>
      <c r="L148" s="531">
        <f>'päd.Personal - § 23'!$O$89</f>
        <v>0</v>
      </c>
      <c r="M148" s="531">
        <f>'päd.Personal - § 23'!$P$91+'päd.Personal - § 23'!$P$93</f>
        <v>0</v>
      </c>
      <c r="N148" s="531">
        <f>'päd.Personal - § 23'!$P$92</f>
        <v>0</v>
      </c>
      <c r="O148" s="531">
        <f>'päd.Personal - § 23'!$P$94</f>
        <v>0</v>
      </c>
      <c r="P148" s="532">
        <f>'päd.Personal - § 23'!$P$95</f>
        <v>0</v>
      </c>
      <c r="Q148" s="533">
        <f t="shared" ref="Q148:Q149" si="16">SUM(J148:P148)</f>
        <v>0</v>
      </c>
    </row>
    <row r="149" spans="1:17" s="109" customFormat="1" ht="27.75" customHeight="1" x14ac:dyDescent="0.25">
      <c r="A149" s="525">
        <v>3</v>
      </c>
      <c r="B149" s="613" t="str">
        <f>IF('päd.Personal - § 23'!$D$103="","",'päd.Personal - § 23'!$D$103)</f>
        <v/>
      </c>
      <c r="C149" s="614" t="str">
        <f>IF('päd.Personal - § 23'!$D$103="","",'päd.Personal - § 23'!$M$107)</f>
        <v/>
      </c>
      <c r="D149" s="614" t="str">
        <f>IF('päd.Personal - § 23'!$D$103="","",1)</f>
        <v/>
      </c>
      <c r="E149" s="616" t="str">
        <f>IF('päd.Personal - § 23'!$D$107="","",'päd.Personal - § 23'!$D$107)</f>
        <v/>
      </c>
      <c r="F149" s="613" t="str">
        <f>IF('päd.Personal - § 23'!$D$105="","",'päd.Personal - § 23'!$D$105)</f>
        <v/>
      </c>
      <c r="G149" s="617" t="str">
        <f>IF('päd.Personal - § 23'!$M$108="","",'päd.Personal - § 23'!$M$108)</f>
        <v/>
      </c>
      <c r="H149" s="613" t="str">
        <f>IF('päd.Personal - § 23'!$D$104="","",'päd.Personal - § 23'!$D$104)</f>
        <v/>
      </c>
      <c r="I149" s="633" t="str">
        <f>IF('päd.Personal - § 23'!$M$102="","",'päd.Personal - § 23'!$M$102)</f>
        <v/>
      </c>
      <c r="J149" s="531">
        <f>'päd.Personal - § 23'!$G$137</f>
        <v>0</v>
      </c>
      <c r="K149" s="531">
        <f>'päd.Personal - § 23'!$H$137</f>
        <v>0</v>
      </c>
      <c r="L149" s="531">
        <f>'päd.Personal - § 23'!$O$137</f>
        <v>0</v>
      </c>
      <c r="M149" s="531">
        <f>'päd.Personal - § 23'!$P$139+'päd.Personal - § 23'!$P$141</f>
        <v>0</v>
      </c>
      <c r="N149" s="531">
        <f>'päd.Personal - § 23'!$P$140</f>
        <v>0</v>
      </c>
      <c r="O149" s="531">
        <f>'päd.Personal - § 23'!$P$142</f>
        <v>0</v>
      </c>
      <c r="P149" s="532">
        <f>'päd.Personal - § 23'!$P$143</f>
        <v>0</v>
      </c>
      <c r="Q149" s="533">
        <f t="shared" si="16"/>
        <v>0</v>
      </c>
    </row>
    <row r="150" spans="1:17" s="109" customFormat="1" ht="27.75" customHeight="1" x14ac:dyDescent="0.25">
      <c r="A150" s="665"/>
      <c r="B150" s="619" t="s">
        <v>595</v>
      </c>
      <c r="C150" s="620">
        <f>SUM(C147:C149)</f>
        <v>0</v>
      </c>
      <c r="D150" s="621"/>
      <c r="E150" s="622">
        <f>IF(SUM(D147:D149)=0,0,SUM(D147:D149))</f>
        <v>0</v>
      </c>
      <c r="F150" s="619" t="s">
        <v>596</v>
      </c>
      <c r="G150" s="623">
        <f>SUM(G147:G149)</f>
        <v>0</v>
      </c>
      <c r="H150" s="634"/>
      <c r="I150" s="630"/>
      <c r="J150" s="559">
        <f>SUM(J147:J149)</f>
        <v>0</v>
      </c>
      <c r="K150" s="559">
        <f t="shared" ref="K150:P150" si="17">SUM(K147:K149)</f>
        <v>0</v>
      </c>
      <c r="L150" s="559">
        <f t="shared" si="17"/>
        <v>0</v>
      </c>
      <c r="M150" s="559">
        <f t="shared" si="17"/>
        <v>0</v>
      </c>
      <c r="N150" s="559">
        <f t="shared" si="17"/>
        <v>0</v>
      </c>
      <c r="O150" s="559">
        <f t="shared" si="17"/>
        <v>0</v>
      </c>
      <c r="P150" s="560">
        <f t="shared" si="17"/>
        <v>0</v>
      </c>
      <c r="Q150" s="561">
        <f>SUM(Q147:Q149)</f>
        <v>0</v>
      </c>
    </row>
    <row r="151" spans="1:17" ht="27.75" customHeight="1" x14ac:dyDescent="0.2">
      <c r="F151" s="625" t="s">
        <v>265</v>
      </c>
      <c r="G151" s="627">
        <f>IF(Grundlagen!$C$16="",0,G150/Grundlagen!$C$16)</f>
        <v>0</v>
      </c>
    </row>
  </sheetData>
  <sheetProtection algorithmName="SHA-512" hashValue="O6zD04XwK8jhBBtWDLUDjN44RIIqQ0ttjHriJOR8F50MsmCZxwhZggJ4/Nm0xo1nSQPnIHFX7BUaOEpoqLK1dg==" saltValue="pFVt0RX5X+oHa+yZLk1sDQ==" spinCount="100000" sheet="1" objects="1" scenarios="1"/>
  <mergeCells count="39">
    <mergeCell ref="J118:L118"/>
    <mergeCell ref="M118:N118"/>
    <mergeCell ref="M70:N70"/>
    <mergeCell ref="L71:L72"/>
    <mergeCell ref="J105:J106"/>
    <mergeCell ref="K105:K106"/>
    <mergeCell ref="J111:L111"/>
    <mergeCell ref="M111:N111"/>
    <mergeCell ref="O71:O72"/>
    <mergeCell ref="P9:P12"/>
    <mergeCell ref="Q9:Q12"/>
    <mergeCell ref="G11:G12"/>
    <mergeCell ref="J19:L19"/>
    <mergeCell ref="M19:N19"/>
    <mergeCell ref="J9:J12"/>
    <mergeCell ref="K9:K12"/>
    <mergeCell ref="L9:L12"/>
    <mergeCell ref="M9:M12"/>
    <mergeCell ref="N9:N12"/>
    <mergeCell ref="O9:O12"/>
    <mergeCell ref="J58:L58"/>
    <mergeCell ref="M58:N58"/>
    <mergeCell ref="J70:L70"/>
    <mergeCell ref="A4:B4"/>
    <mergeCell ref="E4:J4"/>
    <mergeCell ref="A8:A12"/>
    <mergeCell ref="E8:E12"/>
    <mergeCell ref="F8:F12"/>
    <mergeCell ref="G8:G10"/>
    <mergeCell ref="H8:H12"/>
    <mergeCell ref="I8:I12"/>
    <mergeCell ref="J8:Q8"/>
    <mergeCell ref="B9:B12"/>
    <mergeCell ref="A1:B1"/>
    <mergeCell ref="E1:F1"/>
    <mergeCell ref="A2:B2"/>
    <mergeCell ref="E2:J2"/>
    <mergeCell ref="A3:B3"/>
    <mergeCell ref="E3:J3"/>
  </mergeCells>
  <printOptions horizontalCentered="1"/>
  <pageMargins left="0" right="0.27559055118110237" top="0.98425196850393704" bottom="0.98425196850393704" header="0.19685039370078741" footer="0.19685039370078741"/>
  <pageSetup paperSize="9" scale="75" fitToHeight="9" orientation="landscape" r:id="rId1"/>
  <headerFooter>
    <oddHeader xml:space="preserve">&amp;L&amp;"Arial,Fett"&amp;22Salzlandkreis&amp;11
&amp;12Der Landrat&amp;C&amp;"Arial,Fett"
Personalbogen - pädagogisches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5" manualBreakCount="5">
    <brk id="59" max="16383" man="1"/>
    <brk id="71" max="16383" man="1"/>
    <brk id="86" max="16383" man="1"/>
    <brk id="104" max="16383" man="1"/>
    <brk id="138"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92D050"/>
  </sheetPr>
  <dimension ref="A1:P82"/>
  <sheetViews>
    <sheetView showGridLines="0" view="pageLayout" zoomScale="90" zoomScaleNormal="90" zoomScalePageLayoutView="90" workbookViewId="0">
      <selection activeCell="D1" sqref="D1:E1"/>
    </sheetView>
  </sheetViews>
  <sheetFormatPr baseColWidth="10" defaultColWidth="0.140625" defaultRowHeight="12.75" x14ac:dyDescent="0.2"/>
  <cols>
    <col min="1" max="1" width="4.28515625" style="601" customWidth="1"/>
    <col min="2" max="2" width="10.5703125" style="493" customWidth="1"/>
    <col min="3" max="3" width="4.7109375" style="602" hidden="1" customWidth="1"/>
    <col min="4" max="4" width="8.42578125" style="494" bestFit="1" customWidth="1"/>
    <col min="5" max="5" width="17.42578125" style="493" customWidth="1"/>
    <col min="6" max="6" width="10.28515625" style="492" customWidth="1"/>
    <col min="7" max="7" width="26.140625" style="493" customWidth="1"/>
    <col min="8" max="8" width="8.7109375" style="494" bestFit="1" customWidth="1"/>
    <col min="9" max="9" width="13.42578125" style="495" customWidth="1"/>
    <col min="10" max="10" width="12.5703125" style="495" customWidth="1"/>
    <col min="11" max="11" width="10.85546875" style="495" customWidth="1"/>
    <col min="12" max="12" width="10.42578125" style="495" customWidth="1"/>
    <col min="13" max="13" width="11.28515625" style="495" customWidth="1"/>
    <col min="14" max="14" width="11.7109375" style="495" customWidth="1"/>
    <col min="15" max="15" width="14.28515625" style="495" customWidth="1"/>
    <col min="16" max="16" width="12.85546875" style="496" customWidth="1"/>
    <col min="17" max="17" width="2.5703125" style="497" customWidth="1"/>
    <col min="18" max="21" width="0.140625" style="497"/>
    <col min="22" max="22" width="0.140625" style="497" customWidth="1"/>
    <col min="23" max="48" width="0.140625" style="497"/>
    <col min="49" max="49" width="3.7109375" style="497" customWidth="1"/>
    <col min="50" max="16384" width="0.140625" style="497"/>
  </cols>
  <sheetData>
    <row r="1" spans="1:16" ht="15" x14ac:dyDescent="0.25">
      <c r="A1" s="1112" t="s">
        <v>577</v>
      </c>
      <c r="B1" s="1113"/>
      <c r="C1" s="491"/>
      <c r="D1" s="1103">
        <f>IF(Grundlagen!$C$4="","",Grundlagen!$C$4)</f>
        <v>2025</v>
      </c>
      <c r="E1" s="1103"/>
    </row>
    <row r="2" spans="1:16" ht="13.5" customHeight="1" x14ac:dyDescent="0.25">
      <c r="A2" s="1112" t="s">
        <v>17</v>
      </c>
      <c r="B2" s="1113"/>
      <c r="C2" s="491"/>
      <c r="D2" s="1114" t="str">
        <f>IF(Grundlagen!$C$6="","",Grundlagen!$C$6)</f>
        <v/>
      </c>
      <c r="E2" s="1138"/>
      <c r="F2" s="1138"/>
      <c r="G2" s="1139"/>
      <c r="H2" s="1139"/>
      <c r="I2" s="1139"/>
      <c r="N2" s="498"/>
    </row>
    <row r="3" spans="1:16" ht="15" customHeight="1" x14ac:dyDescent="0.25">
      <c r="A3" s="1112" t="s">
        <v>16</v>
      </c>
      <c r="B3" s="1113"/>
      <c r="C3" s="491"/>
      <c r="D3" s="1114" t="str">
        <f>IF(Grundlagen!$C$9="","",Grundlagen!$C$9)</f>
        <v/>
      </c>
      <c r="E3" s="1138"/>
      <c r="F3" s="1138"/>
      <c r="G3" s="1139"/>
      <c r="H3" s="1139"/>
      <c r="I3" s="1139"/>
      <c r="N3" s="497"/>
    </row>
    <row r="4" spans="1:16" ht="15" customHeight="1" x14ac:dyDescent="0.25">
      <c r="A4" s="1112" t="s">
        <v>15</v>
      </c>
      <c r="B4" s="1113"/>
      <c r="C4" s="491"/>
      <c r="D4" s="1114" t="str">
        <f>IF(Grundlagen!$C$13="","",Grundlagen!$C$13)</f>
        <v/>
      </c>
      <c r="E4" s="1138"/>
      <c r="F4" s="1138"/>
      <c r="G4" s="1139"/>
      <c r="H4" s="1139"/>
      <c r="I4" s="1139"/>
      <c r="N4" s="497"/>
    </row>
    <row r="5" spans="1:16" s="506" customFormat="1" ht="6.75" customHeight="1" x14ac:dyDescent="0.25">
      <c r="A5" s="499"/>
      <c r="B5" s="500"/>
      <c r="C5" s="491"/>
      <c r="D5" s="501"/>
      <c r="E5" s="502"/>
      <c r="F5" s="503"/>
      <c r="G5" s="504"/>
      <c r="H5" s="504"/>
      <c r="I5" s="504"/>
      <c r="J5" s="505"/>
      <c r="K5" s="505"/>
      <c r="L5" s="505"/>
      <c r="M5" s="505"/>
      <c r="O5" s="505"/>
      <c r="P5" s="507"/>
    </row>
    <row r="6" spans="1:16" x14ac:dyDescent="0.2">
      <c r="A6" s="753" t="s">
        <v>578</v>
      </c>
      <c r="B6" s="508"/>
      <c r="C6" s="509"/>
      <c r="D6" s="510"/>
      <c r="E6" s="508"/>
      <c r="F6" s="511"/>
      <c r="G6" s="508"/>
      <c r="H6" s="512"/>
      <c r="N6" s="497"/>
    </row>
    <row r="7" spans="1:16" s="506" customFormat="1" ht="9" customHeight="1" x14ac:dyDescent="0.25">
      <c r="A7" s="499"/>
      <c r="B7" s="500"/>
      <c r="C7" s="491"/>
      <c r="D7" s="501"/>
      <c r="E7" s="502"/>
      <c r="F7" s="503"/>
      <c r="G7" s="504"/>
      <c r="H7" s="504"/>
      <c r="I7" s="504"/>
      <c r="J7" s="505"/>
      <c r="K7" s="505"/>
      <c r="L7" s="505"/>
      <c r="M7" s="505"/>
      <c r="O7" s="505"/>
      <c r="P7" s="507"/>
    </row>
    <row r="8" spans="1:16" s="514" customFormat="1" ht="12.75" customHeight="1" x14ac:dyDescent="0.2">
      <c r="A8" s="1115" t="s">
        <v>275</v>
      </c>
      <c r="B8" s="1075" t="s">
        <v>579</v>
      </c>
      <c r="C8" s="513"/>
      <c r="D8" s="1118" t="s">
        <v>580</v>
      </c>
      <c r="E8" s="1118" t="s">
        <v>581</v>
      </c>
      <c r="F8" s="1118" t="s">
        <v>582</v>
      </c>
      <c r="G8" s="1118" t="s">
        <v>583</v>
      </c>
      <c r="H8" s="1140" t="s">
        <v>584</v>
      </c>
      <c r="I8" s="1141" t="s">
        <v>585</v>
      </c>
      <c r="J8" s="1142"/>
      <c r="K8" s="1142"/>
      <c r="L8" s="1142"/>
      <c r="M8" s="1142"/>
      <c r="N8" s="1142"/>
      <c r="O8" s="1142"/>
      <c r="P8" s="1143"/>
    </row>
    <row r="9" spans="1:16" s="514" customFormat="1" ht="12.75" customHeight="1" x14ac:dyDescent="0.2">
      <c r="A9" s="1116"/>
      <c r="B9" s="1125" t="s">
        <v>755</v>
      </c>
      <c r="C9" s="515"/>
      <c r="D9" s="1119"/>
      <c r="E9" s="1119"/>
      <c r="F9" s="1119"/>
      <c r="G9" s="1119"/>
      <c r="H9" s="1122"/>
      <c r="I9" s="1119" t="s">
        <v>586</v>
      </c>
      <c r="J9" s="1119" t="s">
        <v>587</v>
      </c>
      <c r="K9" s="1119" t="s">
        <v>588</v>
      </c>
      <c r="L9" s="1119" t="s">
        <v>589</v>
      </c>
      <c r="M9" s="1119" t="s">
        <v>590</v>
      </c>
      <c r="N9" s="1119" t="s">
        <v>591</v>
      </c>
      <c r="O9" s="1119" t="s">
        <v>605</v>
      </c>
      <c r="P9" s="1144" t="s">
        <v>5</v>
      </c>
    </row>
    <row r="10" spans="1:16" s="109" customFormat="1" ht="12.95" customHeight="1" x14ac:dyDescent="0.25">
      <c r="A10" s="1116"/>
      <c r="B10" s="1125"/>
      <c r="C10" s="515"/>
      <c r="D10" s="1119"/>
      <c r="E10" s="1119"/>
      <c r="F10" s="1119"/>
      <c r="G10" s="1119"/>
      <c r="H10" s="1122"/>
      <c r="I10" s="1119"/>
      <c r="J10" s="1119"/>
      <c r="K10" s="1119"/>
      <c r="L10" s="1119"/>
      <c r="M10" s="1119"/>
      <c r="N10" s="1119"/>
      <c r="O10" s="1119"/>
      <c r="P10" s="1145"/>
    </row>
    <row r="11" spans="1:16" s="109" customFormat="1" ht="12.95" customHeight="1" x14ac:dyDescent="0.25">
      <c r="A11" s="1116"/>
      <c r="B11" s="1125"/>
      <c r="C11" s="515"/>
      <c r="D11" s="1119"/>
      <c r="E11" s="1119"/>
      <c r="F11" s="1125" t="s">
        <v>592</v>
      </c>
      <c r="G11" s="1119"/>
      <c r="H11" s="1122"/>
      <c r="I11" s="1119"/>
      <c r="J11" s="1119"/>
      <c r="K11" s="1119"/>
      <c r="L11" s="1119"/>
      <c r="M11" s="1119"/>
      <c r="N11" s="1119"/>
      <c r="O11" s="1119"/>
      <c r="P11" s="1145"/>
    </row>
    <row r="12" spans="1:16" s="109" customFormat="1" ht="12.95" customHeight="1" x14ac:dyDescent="0.25">
      <c r="A12" s="1117"/>
      <c r="B12" s="1126"/>
      <c r="C12" s="516"/>
      <c r="D12" s="1120"/>
      <c r="E12" s="1120"/>
      <c r="F12" s="1126"/>
      <c r="G12" s="1120"/>
      <c r="H12" s="1123"/>
      <c r="I12" s="1120"/>
      <c r="J12" s="1120"/>
      <c r="K12" s="1120"/>
      <c r="L12" s="1120"/>
      <c r="M12" s="1120"/>
      <c r="N12" s="1120"/>
      <c r="O12" s="1120"/>
      <c r="P12" s="1145"/>
    </row>
    <row r="13" spans="1:16" s="109" customFormat="1" ht="12.95" hidden="1" customHeight="1" x14ac:dyDescent="0.2">
      <c r="A13" s="517"/>
      <c r="B13" s="518"/>
      <c r="C13" s="519"/>
      <c r="D13" s="520"/>
      <c r="E13" s="520"/>
      <c r="F13" s="518"/>
      <c r="G13" s="520"/>
      <c r="H13" s="521"/>
      <c r="I13" s="520"/>
      <c r="J13" s="520"/>
      <c r="K13" s="232"/>
      <c r="L13" s="232"/>
      <c r="M13" s="232"/>
      <c r="N13" s="232"/>
      <c r="O13" s="232"/>
      <c r="P13" s="522"/>
    </row>
    <row r="14" spans="1:16" s="514" customFormat="1" ht="15" customHeight="1" x14ac:dyDescent="0.2">
      <c r="A14" s="1149" t="s">
        <v>706</v>
      </c>
      <c r="B14" s="1149"/>
      <c r="C14" s="1149"/>
      <c r="D14" s="1149"/>
      <c r="E14" s="1149"/>
      <c r="F14" s="1149"/>
      <c r="G14" s="1149"/>
      <c r="H14" s="1149"/>
      <c r="I14" s="1136"/>
      <c r="J14" s="1136"/>
      <c r="M14" s="523"/>
      <c r="N14" s="523"/>
      <c r="O14" s="523"/>
      <c r="P14" s="524"/>
    </row>
    <row r="15" spans="1:16" s="514" customFormat="1" x14ac:dyDescent="0.2">
      <c r="A15" s="1150"/>
      <c r="B15" s="1150"/>
      <c r="C15" s="1150"/>
      <c r="D15" s="1150"/>
      <c r="E15" s="1150"/>
      <c r="F15" s="1150"/>
      <c r="G15" s="1150"/>
      <c r="H15" s="1150"/>
      <c r="I15" s="1137"/>
      <c r="J15" s="1137"/>
      <c r="M15" s="523"/>
      <c r="N15" s="523"/>
      <c r="O15" s="523"/>
      <c r="P15" s="524"/>
    </row>
    <row r="16" spans="1:16" s="109" customFormat="1" ht="28.35" customHeight="1" x14ac:dyDescent="0.25">
      <c r="A16" s="525">
        <v>1</v>
      </c>
      <c r="B16" s="526" t="str">
        <f>IF('techn.Personal - Hausmeister'!$D$7="","",'techn.Personal - Hausmeister'!$D$7)</f>
        <v/>
      </c>
      <c r="C16" s="527" t="str">
        <f>IF('techn.Personal - Hausmeister'!$D$7="","",1)</f>
        <v/>
      </c>
      <c r="D16" s="528" t="str">
        <f>IF('techn.Personal - Hausmeister'!$D$11="","",'techn.Personal - Hausmeister'!$D$11)</f>
        <v/>
      </c>
      <c r="E16" s="526" t="str">
        <f>IF('techn.Personal - Hausmeister'!$D$9="","",'techn.Personal - Hausmeister'!$D$9)</f>
        <v/>
      </c>
      <c r="F16" s="529" t="str">
        <f>IF('techn.Personal - Hausmeister'!$M$11="","",'techn.Personal - Hausmeister'!$M$11)</f>
        <v/>
      </c>
      <c r="G16" s="526" t="str">
        <f>IF('techn.Personal - Hausmeister'!$D$8="","",'techn.Personal - Hausmeister'!$D$8)</f>
        <v/>
      </c>
      <c r="H16" s="530" t="str">
        <f>IF('techn.Personal - Hausmeister'!$M$6="","",'techn.Personal - Hausmeister'!$M$6)</f>
        <v/>
      </c>
      <c r="I16" s="531">
        <f>'techn.Personal - Hausmeister'!$G$41</f>
        <v>0</v>
      </c>
      <c r="J16" s="531">
        <f>'techn.Personal - Hausmeister'!$H$41</f>
        <v>0</v>
      </c>
      <c r="K16" s="531">
        <f>'techn.Personal - Hausmeister'!$O$41</f>
        <v>0</v>
      </c>
      <c r="L16" s="531">
        <f>'techn.Personal - Hausmeister'!$P$43+'techn.Personal - Hausmeister'!$P$45</f>
        <v>0</v>
      </c>
      <c r="M16" s="531">
        <f>'techn.Personal - Hausmeister'!$P$44</f>
        <v>0</v>
      </c>
      <c r="N16" s="531">
        <f>'techn.Personal - Hausmeister'!$P$46</f>
        <v>0</v>
      </c>
      <c r="O16" s="532">
        <f>'techn.Personal - Hausmeister'!$P$47</f>
        <v>0</v>
      </c>
      <c r="P16" s="533">
        <f>SUM(I16:O16)</f>
        <v>0</v>
      </c>
    </row>
    <row r="17" spans="1:16" s="109" customFormat="1" ht="28.35" customHeight="1" x14ac:dyDescent="0.25">
      <c r="A17" s="525">
        <v>2</v>
      </c>
      <c r="B17" s="526" t="str">
        <f>IF('techn.Personal - Hausmeister'!$D$55="","",'techn.Personal - Hausmeister'!$D$55)</f>
        <v/>
      </c>
      <c r="C17" s="527" t="str">
        <f>IF('techn.Personal - Hausmeister'!$D$55="","",1)</f>
        <v/>
      </c>
      <c r="D17" s="528" t="str">
        <f>IF('techn.Personal - Hausmeister'!$D$59="","",'techn.Personal - Hausmeister'!$D$59)</f>
        <v/>
      </c>
      <c r="E17" s="526" t="str">
        <f>IF('techn.Personal - Hausmeister'!$D$57="","",'techn.Personal - Hausmeister'!$D$57)</f>
        <v/>
      </c>
      <c r="F17" s="529" t="str">
        <f>IF('techn.Personal - Hausmeister'!$M$59="","",'techn.Personal - Hausmeister'!$M$59)</f>
        <v/>
      </c>
      <c r="G17" s="526" t="str">
        <f>IF('techn.Personal - Hausmeister'!$D$56="","",'techn.Personal - Hausmeister'!$D$56)</f>
        <v/>
      </c>
      <c r="H17" s="530" t="str">
        <f>IF('techn.Personal - Hausmeister'!$M$54="","",'techn.Personal - Hausmeister'!$M$54)</f>
        <v/>
      </c>
      <c r="I17" s="531">
        <f>'techn.Personal - Hausmeister'!$G$89</f>
        <v>0</v>
      </c>
      <c r="J17" s="531">
        <f>'techn.Personal - Hausmeister'!$H$89</f>
        <v>0</v>
      </c>
      <c r="K17" s="531">
        <f>'techn.Personal - Hausmeister'!$O$89</f>
        <v>0</v>
      </c>
      <c r="L17" s="531">
        <f>'techn.Personal - Hausmeister'!$P$91+'techn.Personal - Hausmeister'!$P$93</f>
        <v>0</v>
      </c>
      <c r="M17" s="531">
        <f>'techn.Personal - Hausmeister'!$P$92</f>
        <v>0</v>
      </c>
      <c r="N17" s="531">
        <f>'techn.Personal - Hausmeister'!$P$94</f>
        <v>0</v>
      </c>
      <c r="O17" s="532">
        <f>'techn.Personal - Hausmeister'!$P$95</f>
        <v>0</v>
      </c>
      <c r="P17" s="533">
        <f t="shared" ref="P17:P20" si="0">SUM(I17:O17)</f>
        <v>0</v>
      </c>
    </row>
    <row r="18" spans="1:16" s="109" customFormat="1" ht="28.35" customHeight="1" thickBot="1" x14ac:dyDescent="0.3">
      <c r="A18" s="534">
        <v>3</v>
      </c>
      <c r="B18" s="535" t="str">
        <f>IF('techn.Personal - Hausmeister'!$D$103="","",'techn.Personal - Hausmeister'!$D$103)</f>
        <v/>
      </c>
      <c r="C18" s="536" t="str">
        <f>IF('techn.Personal - Hausmeister'!$D$103="","",1)</f>
        <v/>
      </c>
      <c r="D18" s="537" t="str">
        <f>IF('techn.Personal - Hausmeister'!$D$107="","",'techn.Personal - Hausmeister'!$D$107)</f>
        <v/>
      </c>
      <c r="E18" s="535" t="str">
        <f>IF('techn.Personal - Hausmeister'!$D$105="","",'techn.Personal - Hausmeister'!$D$105)</f>
        <v/>
      </c>
      <c r="F18" s="538" t="str">
        <f>IF('techn.Personal - Hausmeister'!$M$107="","",'techn.Personal - Hausmeister'!$M$107)</f>
        <v/>
      </c>
      <c r="G18" s="535" t="str">
        <f>IF('techn.Personal - Hausmeister'!$D$104="","",'techn.Personal - Hausmeister'!$D$104)</f>
        <v/>
      </c>
      <c r="H18" s="539" t="str">
        <f>IF('techn.Personal - Hausmeister'!$M$102="","",'techn.Personal - Hausmeister'!$M$102)</f>
        <v/>
      </c>
      <c r="I18" s="540">
        <f>'techn.Personal - Hausmeister'!$G$137</f>
        <v>0</v>
      </c>
      <c r="J18" s="540">
        <f>'techn.Personal - Hausmeister'!$H$137</f>
        <v>0</v>
      </c>
      <c r="K18" s="540">
        <f>'techn.Personal - Hausmeister'!$O$137</f>
        <v>0</v>
      </c>
      <c r="L18" s="540">
        <f>'techn.Personal - Hausmeister'!$P$139+'techn.Personal - Hausmeister'!$P$141</f>
        <v>0</v>
      </c>
      <c r="M18" s="540">
        <f>'techn.Personal - Hausmeister'!$P$140</f>
        <v>0</v>
      </c>
      <c r="N18" s="540">
        <f>'techn.Personal - Hausmeister'!$P$142</f>
        <v>0</v>
      </c>
      <c r="O18" s="541">
        <f>'techn.Personal - Hausmeister'!$P$143</f>
        <v>0</v>
      </c>
      <c r="P18" s="542">
        <f t="shared" si="0"/>
        <v>0</v>
      </c>
    </row>
    <row r="19" spans="1:16" s="109" customFormat="1" ht="28.35" hidden="1" customHeight="1" x14ac:dyDescent="0.25">
      <c r="A19" s="543">
        <v>1</v>
      </c>
      <c r="B19" s="544" t="str">
        <f>IF('techn.Personal - Hausmeister'!$D$151="","",'techn.Personal - Hausmeister'!$D$151)</f>
        <v/>
      </c>
      <c r="C19" s="545" t="str">
        <f>IF('techn.Personal - Hausmeister'!$D$151="","",1)</f>
        <v/>
      </c>
      <c r="D19" s="546" t="str">
        <f>IF('techn.Personal - Hausmeister'!$D$155="","",'techn.Personal - Hausmeister'!$D$155)</f>
        <v/>
      </c>
      <c r="E19" s="544" t="str">
        <f>IF('techn.Personal - Hausmeister'!$D$153="","",'techn.Personal - Hausmeister'!$D$153)</f>
        <v/>
      </c>
      <c r="F19" s="547" t="str">
        <f>IF('techn.Personal - Hausmeister'!$M$156="","",'techn.Personal - Hausmeister'!$M$156)</f>
        <v/>
      </c>
      <c r="G19" s="544" t="str">
        <f>IF('techn.Personal - Hausmeister'!$D$152="","",'techn.Personal - Hausmeister'!$D$152)</f>
        <v/>
      </c>
      <c r="H19" s="548" t="str">
        <f>IF('techn.Personal - Hausmeister'!$M$150="","",'techn.Personal - Hausmeister'!$M$150)</f>
        <v/>
      </c>
      <c r="I19" s="549">
        <f>'techn.Personal - Hausmeister'!$G$185+'techn.Personal - Hausmeister'!$N$185</f>
        <v>0</v>
      </c>
      <c r="J19" s="549">
        <f>'techn.Personal - Hausmeister'!$H$185</f>
        <v>0</v>
      </c>
      <c r="K19" s="549">
        <f>'techn.Personal - Hausmeister'!$O$185</f>
        <v>0</v>
      </c>
      <c r="L19" s="549">
        <f>'techn.Personal - Hausmeister'!$P$187+'techn.Personal - Hausmeister'!$P$189</f>
        <v>0</v>
      </c>
      <c r="M19" s="549">
        <f>'techn.Personal - Hausmeister'!$P$188</f>
        <v>0</v>
      </c>
      <c r="N19" s="549">
        <f>'techn.Personal - Hausmeister'!$P$190</f>
        <v>0</v>
      </c>
      <c r="O19" s="550">
        <f>'techn.Personal - Hausmeister'!$P$191</f>
        <v>0</v>
      </c>
      <c r="P19" s="551">
        <f t="shared" si="0"/>
        <v>0</v>
      </c>
    </row>
    <row r="20" spans="1:16" s="109" customFormat="1" ht="28.35" hidden="1" customHeight="1" x14ac:dyDescent="0.25">
      <c r="A20" s="525">
        <v>2</v>
      </c>
      <c r="B20" s="544" t="str">
        <f>IF('techn.Personal - Hausmeister'!$D$199="","",'techn.Personal - Hausmeister'!$D$199)</f>
        <v/>
      </c>
      <c r="C20" s="545" t="str">
        <f>IF('techn.Personal - Hausmeister'!$D$199="","",1)</f>
        <v/>
      </c>
      <c r="D20" s="546" t="str">
        <f>IF('techn.Personal - Hausmeister'!$D$203="","",'techn.Personal - Hausmeister'!$D$203)</f>
        <v/>
      </c>
      <c r="E20" s="544" t="str">
        <f>IF('techn.Personal - Hausmeister'!$D$201="","",'techn.Personal - Hausmeister'!$D$201)</f>
        <v/>
      </c>
      <c r="F20" s="547" t="str">
        <f>IF('techn.Personal - Hausmeister'!$M$204="","",'techn.Personal - Hausmeister'!$M$204)</f>
        <v/>
      </c>
      <c r="G20" s="544" t="str">
        <f>IF('techn.Personal - Hausmeister'!$D$200="","",'techn.Personal - Hausmeister'!$D$200)</f>
        <v/>
      </c>
      <c r="H20" s="548" t="str">
        <f>IF('techn.Personal - Hausmeister'!$M$198="","",'techn.Personal - Hausmeister'!$M$198)</f>
        <v/>
      </c>
      <c r="I20" s="549">
        <f>'techn.Personal - Hausmeister'!$G$233+'techn.Personal - Hausmeister'!$N$233</f>
        <v>0</v>
      </c>
      <c r="J20" s="549">
        <f>'techn.Personal - Hausmeister'!$H$233</f>
        <v>0</v>
      </c>
      <c r="K20" s="549">
        <f>'techn.Personal - Hausmeister'!$O$233</f>
        <v>0</v>
      </c>
      <c r="L20" s="549">
        <f>'techn.Personal - Hausmeister'!$P$235+'techn.Personal - Hausmeister'!$P$237</f>
        <v>0</v>
      </c>
      <c r="M20" s="549">
        <f>'techn.Personal - Hausmeister'!$P$236</f>
        <v>0</v>
      </c>
      <c r="N20" s="549">
        <f>'techn.Personal - Hausmeister'!$P$238</f>
        <v>0</v>
      </c>
      <c r="O20" s="550">
        <f>'techn.Personal - Hausmeister'!$P$239</f>
        <v>0</v>
      </c>
      <c r="P20" s="533">
        <f t="shared" si="0"/>
        <v>0</v>
      </c>
    </row>
    <row r="21" spans="1:16" s="109" customFormat="1" ht="28.35" customHeight="1" thickBot="1" x14ac:dyDescent="0.25">
      <c r="A21" s="552"/>
      <c r="B21" s="408" t="s">
        <v>595</v>
      </c>
      <c r="C21" s="553"/>
      <c r="D21" s="554">
        <f>IF(SUM(C16:C20)=0,0,SUM(C16:C20))</f>
        <v>0</v>
      </c>
      <c r="E21" s="408" t="s">
        <v>596</v>
      </c>
      <c r="F21" s="555">
        <f>SUM(F16:F20)</f>
        <v>0</v>
      </c>
      <c r="G21" s="556" t="str">
        <f>IF(IF(Grundlagen!$C$23="","",Grundlagen!$C$23*40/250)&lt;10,10,IF(Grundlagen!$C$23="","",Grundlagen!$C$23*40/250))</f>
        <v/>
      </c>
      <c r="H21" s="557" t="str">
        <f>IF(G21="","","h max.")</f>
        <v/>
      </c>
      <c r="I21" s="558">
        <f>SUM(I16:I20)</f>
        <v>0</v>
      </c>
      <c r="J21" s="558">
        <f t="shared" ref="J21:O21" si="1">SUM(J16:J20)</f>
        <v>0</v>
      </c>
      <c r="K21" s="558">
        <f t="shared" si="1"/>
        <v>0</v>
      </c>
      <c r="L21" s="559">
        <f t="shared" si="1"/>
        <v>0</v>
      </c>
      <c r="M21" s="559">
        <f t="shared" si="1"/>
        <v>0</v>
      </c>
      <c r="N21" s="559">
        <f t="shared" si="1"/>
        <v>0</v>
      </c>
      <c r="O21" s="560">
        <f t="shared" si="1"/>
        <v>0</v>
      </c>
      <c r="P21" s="561">
        <f>SUM(P16:P20)</f>
        <v>0</v>
      </c>
    </row>
    <row r="22" spans="1:16" s="109" customFormat="1" ht="27.75" customHeight="1" thickBot="1" x14ac:dyDescent="0.25">
      <c r="A22" s="552"/>
      <c r="B22" s="562"/>
      <c r="C22" s="563"/>
      <c r="D22" s="564"/>
      <c r="E22" s="565" t="s">
        <v>265</v>
      </c>
      <c r="F22" s="566">
        <f>IF(Grundlagen!$C$16="",0,F21/Grundlagen!$C$16)</f>
        <v>0</v>
      </c>
      <c r="G22" s="562"/>
      <c r="H22" s="564"/>
      <c r="I22" s="1130">
        <f>I21+J21+K21</f>
        <v>0</v>
      </c>
      <c r="J22" s="1131"/>
      <c r="K22" s="1132"/>
      <c r="L22" s="1130">
        <f>SUM(L21:M21)</f>
        <v>0</v>
      </c>
      <c r="M22" s="1132"/>
      <c r="N22" s="567"/>
      <c r="O22" s="567"/>
      <c r="P22" s="568"/>
    </row>
    <row r="23" spans="1:16" s="109" customFormat="1" ht="12.75" hidden="1" customHeight="1" x14ac:dyDescent="0.2">
      <c r="A23" s="552"/>
      <c r="B23" s="562"/>
      <c r="C23" s="563"/>
      <c r="D23" s="564"/>
      <c r="E23" s="565"/>
      <c r="F23" s="566"/>
      <c r="G23" s="562"/>
      <c r="H23" s="564"/>
      <c r="I23" s="569"/>
      <c r="J23" s="569"/>
      <c r="K23" s="569"/>
      <c r="L23" s="569"/>
      <c r="M23" s="569"/>
      <c r="N23" s="567"/>
      <c r="O23" s="567"/>
      <c r="P23" s="568"/>
    </row>
    <row r="24" spans="1:16" s="109" customFormat="1" ht="12.6" hidden="1" customHeight="1" x14ac:dyDescent="0.2">
      <c r="A24" s="570" t="s">
        <v>597</v>
      </c>
      <c r="B24" s="562"/>
      <c r="C24" s="563"/>
      <c r="D24" s="564"/>
      <c r="E24" s="562"/>
      <c r="F24" s="571"/>
      <c r="G24" s="562"/>
      <c r="H24" s="564"/>
      <c r="I24" s="523"/>
      <c r="J24" s="523"/>
      <c r="K24" s="523"/>
      <c r="L24" s="523"/>
      <c r="M24" s="523"/>
      <c r="N24" s="523"/>
      <c r="O24" s="523"/>
      <c r="P24" s="568"/>
    </row>
    <row r="25" spans="1:16" s="109" customFormat="1" ht="28.35" hidden="1" customHeight="1" x14ac:dyDescent="0.25">
      <c r="A25" s="525">
        <v>1</v>
      </c>
      <c r="B25" s="526" t="str">
        <f>IF('techn.Personal - Hausmeister'!$D$247="","",'techn.Personal - Hausmeister'!$D$247)</f>
        <v/>
      </c>
      <c r="C25" s="527" t="str">
        <f>IF('techn.Personal - Hausmeister'!$D$247="","",1)</f>
        <v/>
      </c>
      <c r="D25" s="528" t="str">
        <f>IF('techn.Personal - Hausmeister'!$D$251="","",'techn.Personal - Hausmeister'!$D$251)</f>
        <v/>
      </c>
      <c r="E25" s="526" t="str">
        <f>IF('techn.Personal - Hausmeister'!$D$249="","",'techn.Personal - Hausmeister'!$D$249)</f>
        <v/>
      </c>
      <c r="F25" s="529" t="str">
        <f>IF('techn.Personal - Hausmeister'!$M$252="","",'techn.Personal - Hausmeister'!$M$252)</f>
        <v/>
      </c>
      <c r="G25" s="526" t="str">
        <f>IF('techn.Personal - Hausmeister'!$D$248="","",'techn.Personal - Hausmeister'!$D$248)</f>
        <v/>
      </c>
      <c r="H25" s="530" t="str">
        <f>IF('techn.Personal - Hausmeister'!$M$246="","",'techn.Personal - Hausmeister'!$M$246)</f>
        <v/>
      </c>
      <c r="I25" s="531">
        <f>'techn.Personal - Hausmeister'!$G$281+'techn.Personal - Hausmeister'!$N$281</f>
        <v>0</v>
      </c>
      <c r="J25" s="531">
        <f>'techn.Personal - Hausmeister'!$H$281</f>
        <v>0</v>
      </c>
      <c r="K25" s="531">
        <f>'techn.Personal - Hausmeister'!$O$281</f>
        <v>0</v>
      </c>
      <c r="L25" s="531">
        <f>'techn.Personal - Hausmeister'!$P$283+'techn.Personal - Hausmeister'!$P$285</f>
        <v>0</v>
      </c>
      <c r="M25" s="531">
        <f>'techn.Personal - Hausmeister'!$P$284</f>
        <v>0</v>
      </c>
      <c r="N25" s="531">
        <f>'techn.Personal - Hausmeister'!$P$286</f>
        <v>0</v>
      </c>
      <c r="O25" s="532">
        <f>'techn.Personal - Hausmeister'!$P$287</f>
        <v>0</v>
      </c>
      <c r="P25" s="533">
        <f>SUM(I25:O25)</f>
        <v>0</v>
      </c>
    </row>
    <row r="26" spans="1:16" s="109" customFormat="1" ht="27.75" hidden="1" customHeight="1" x14ac:dyDescent="0.25">
      <c r="A26" s="525">
        <v>2</v>
      </c>
      <c r="B26" s="544" t="str">
        <f>IF('techn.Personal - Hausmeister'!$D$295="","",'techn.Personal - Hausmeister'!$D$295)</f>
        <v/>
      </c>
      <c r="C26" s="545" t="str">
        <f>IF('techn.Personal - Hausmeister'!$D$295="","",1)</f>
        <v/>
      </c>
      <c r="D26" s="546" t="str">
        <f>IF('techn.Personal - Hausmeister'!$D$299="","",'techn.Personal - Hausmeister'!$D$299)</f>
        <v/>
      </c>
      <c r="E26" s="544" t="str">
        <f>IF('techn.Personal - Hausmeister'!$D$297="","",'techn.Personal - Hausmeister'!$D$297)</f>
        <v/>
      </c>
      <c r="F26" s="547" t="str">
        <f>IF('techn.Personal - Hausmeister'!$M$300="","",'techn.Personal - Hausmeister'!$M$300)</f>
        <v/>
      </c>
      <c r="G26" s="544" t="str">
        <f>IF('techn.Personal - Hausmeister'!$D$296="","",'techn.Personal - Hausmeister'!$D$296)</f>
        <v/>
      </c>
      <c r="H26" s="548" t="str">
        <f>IF('techn.Personal - Hausmeister'!$M$294="","",'techn.Personal - Hausmeister'!$M$294)</f>
        <v/>
      </c>
      <c r="I26" s="549">
        <f>'techn.Personal - Hausmeister'!$G$329+'techn.Personal - Hausmeister'!$N$329</f>
        <v>0</v>
      </c>
      <c r="J26" s="549">
        <f>'techn.Personal - Hausmeister'!$H$329</f>
        <v>0</v>
      </c>
      <c r="K26" s="549">
        <f>'techn.Personal - Hausmeister'!$O$329</f>
        <v>0</v>
      </c>
      <c r="L26" s="549">
        <f>'techn.Personal - Hausmeister'!$P$331+'techn.Personal - Hausmeister'!$P$333</f>
        <v>0</v>
      </c>
      <c r="M26" s="549">
        <f>'techn.Personal - Hausmeister'!$P$332</f>
        <v>0</v>
      </c>
      <c r="N26" s="549">
        <f>'techn.Personal - Hausmeister'!$P$334</f>
        <v>0</v>
      </c>
      <c r="O26" s="550">
        <f>'techn.Personal - Hausmeister'!$P$335</f>
        <v>0</v>
      </c>
      <c r="P26" s="533">
        <f>SUM(I26:O26)</f>
        <v>0</v>
      </c>
    </row>
    <row r="27" spans="1:16" s="109" customFormat="1" ht="27.75" hidden="1" customHeight="1" x14ac:dyDescent="0.2">
      <c r="A27" s="552"/>
      <c r="B27" s="408" t="s">
        <v>595</v>
      </c>
      <c r="C27" s="553"/>
      <c r="D27" s="554">
        <f>IF(SUM(C25:C26)=0,0,SUM(C25:C26))</f>
        <v>0</v>
      </c>
      <c r="E27" s="408" t="s">
        <v>596</v>
      </c>
      <c r="F27" s="555">
        <f>SUM(F25:F26)</f>
        <v>0</v>
      </c>
      <c r="G27" s="240"/>
      <c r="I27" s="559">
        <f>SUM(I25:I26)</f>
        <v>0</v>
      </c>
      <c r="J27" s="559">
        <f t="shared" ref="J27:N27" si="2">SUM(J25:J26)</f>
        <v>0</v>
      </c>
      <c r="K27" s="559">
        <f t="shared" si="2"/>
        <v>0</v>
      </c>
      <c r="L27" s="559">
        <f t="shared" si="2"/>
        <v>0</v>
      </c>
      <c r="M27" s="559">
        <f t="shared" si="2"/>
        <v>0</v>
      </c>
      <c r="N27" s="559">
        <f t="shared" si="2"/>
        <v>0</v>
      </c>
      <c r="O27" s="560">
        <f>SUM(O25:O26)</f>
        <v>0</v>
      </c>
      <c r="P27" s="561">
        <f>SUM(P25:P26)</f>
        <v>0</v>
      </c>
    </row>
    <row r="28" spans="1:16" s="87" customFormat="1" ht="27" hidden="1" customHeight="1" x14ac:dyDescent="0.2">
      <c r="A28" s="572"/>
      <c r="B28" s="573"/>
      <c r="C28" s="553"/>
      <c r="D28" s="278"/>
      <c r="E28" s="565" t="s">
        <v>265</v>
      </c>
      <c r="F28" s="566">
        <f>IF(Grundlagen!$C$16="",0,F27/Grundlagen!$C$16)</f>
        <v>0</v>
      </c>
      <c r="G28" s="574"/>
      <c r="I28" s="1148"/>
      <c r="J28" s="1148"/>
      <c r="K28" s="1148"/>
      <c r="L28" s="1148"/>
      <c r="M28" s="1148"/>
      <c r="N28" s="1148"/>
      <c r="O28" s="1148"/>
      <c r="P28" s="575"/>
    </row>
    <row r="29" spans="1:16" s="514" customFormat="1" ht="15" customHeight="1" x14ac:dyDescent="0.2">
      <c r="A29" s="1146" t="s">
        <v>707</v>
      </c>
      <c r="B29" s="1146"/>
      <c r="C29" s="1146"/>
      <c r="D29" s="1146"/>
      <c r="E29" s="1146"/>
      <c r="F29" s="1146"/>
      <c r="G29" s="1146"/>
      <c r="H29" s="1146"/>
      <c r="I29" s="1136"/>
      <c r="J29" s="1136"/>
      <c r="M29" s="523"/>
      <c r="N29" s="523"/>
      <c r="O29" s="523"/>
      <c r="P29" s="524"/>
    </row>
    <row r="30" spans="1:16" s="514" customFormat="1" x14ac:dyDescent="0.2">
      <c r="A30" s="1147"/>
      <c r="B30" s="1147"/>
      <c r="C30" s="1147"/>
      <c r="D30" s="1147"/>
      <c r="E30" s="1147"/>
      <c r="F30" s="1147"/>
      <c r="G30" s="1147"/>
      <c r="H30" s="1147"/>
      <c r="I30" s="1137"/>
      <c r="J30" s="1137"/>
      <c r="M30" s="523"/>
      <c r="N30" s="523"/>
      <c r="O30" s="523"/>
      <c r="P30" s="524"/>
    </row>
    <row r="31" spans="1:16" s="109" customFormat="1" ht="27.75" customHeight="1" x14ac:dyDescent="0.25">
      <c r="A31" s="525">
        <v>1</v>
      </c>
      <c r="B31" s="526" t="str">
        <f>IF('techn.Personal - Reinigungskr.'!$D$7="","",'techn.Personal - Reinigungskr.'!$D$7)</f>
        <v/>
      </c>
      <c r="C31" s="527" t="str">
        <f>IF('techn.Personal - Reinigungskr.'!$D$7="","",1)</f>
        <v/>
      </c>
      <c r="D31" s="528" t="str">
        <f>IF('techn.Personal - Reinigungskr.'!$D$11="","",'techn.Personal - Reinigungskr.'!$D$11)</f>
        <v/>
      </c>
      <c r="E31" s="526" t="str">
        <f>IF('techn.Personal - Reinigungskr.'!$D$9="","",'techn.Personal - Reinigungskr.'!$D$9)</f>
        <v/>
      </c>
      <c r="F31" s="576" t="str">
        <f>IF('techn.Personal - Reinigungskr.'!$M$11="","",'techn.Personal - Reinigungskr.'!$M$11)</f>
        <v/>
      </c>
      <c r="G31" s="526" t="str">
        <f>IF('techn.Personal - Reinigungskr.'!$D$8="","",'techn.Personal - Reinigungskr.'!$D$8)</f>
        <v/>
      </c>
      <c r="H31" s="530" t="str">
        <f>IF('techn.Personal - Reinigungskr.'!$M$6="","",'techn.Personal - Reinigungskr.'!$M$6)</f>
        <v/>
      </c>
      <c r="I31" s="531">
        <f>'techn.Personal - Reinigungskr.'!$G$41</f>
        <v>0</v>
      </c>
      <c r="J31" s="531">
        <f>'techn.Personal - Reinigungskr.'!$H$41</f>
        <v>0</v>
      </c>
      <c r="K31" s="531">
        <f>'techn.Personal - Reinigungskr.'!$O$41</f>
        <v>0</v>
      </c>
      <c r="L31" s="531">
        <f>'techn.Personal - Reinigungskr.'!$P$43+'techn.Personal - Reinigungskr.'!$P$45</f>
        <v>0</v>
      </c>
      <c r="M31" s="531">
        <f>'techn.Personal - Reinigungskr.'!$P$44</f>
        <v>0</v>
      </c>
      <c r="N31" s="531">
        <f>'techn.Personal - Reinigungskr.'!$P$46</f>
        <v>0</v>
      </c>
      <c r="O31" s="532">
        <f>'techn.Personal - Reinigungskr.'!$P$47</f>
        <v>0</v>
      </c>
      <c r="P31" s="533">
        <f>SUM(I31:O31)</f>
        <v>0</v>
      </c>
    </row>
    <row r="32" spans="1:16" s="109" customFormat="1" ht="27.75" customHeight="1" x14ac:dyDescent="0.25">
      <c r="A32" s="525">
        <v>2</v>
      </c>
      <c r="B32" s="526" t="str">
        <f>IF('techn.Personal - Reinigungskr.'!$D$55="","",'techn.Personal - Reinigungskr.'!$D$55)</f>
        <v/>
      </c>
      <c r="C32" s="527" t="str">
        <f>IF('techn.Personal - Reinigungskr.'!$D$55="","",1)</f>
        <v/>
      </c>
      <c r="D32" s="528" t="str">
        <f>IF('techn.Personal - Reinigungskr.'!$D$59="","",'techn.Personal - Reinigungskr.'!$D$59)</f>
        <v/>
      </c>
      <c r="E32" s="526" t="str">
        <f>IF('techn.Personal - Reinigungskr.'!$D$57="","",'techn.Personal - Reinigungskr.'!$D$57)</f>
        <v/>
      </c>
      <c r="F32" s="576" t="str">
        <f>IF('techn.Personal - Reinigungskr.'!$M$59="","",'techn.Personal - Reinigungskr.'!$M$59)</f>
        <v/>
      </c>
      <c r="G32" s="526" t="str">
        <f>IF('techn.Personal - Reinigungskr.'!$D$56="","",'techn.Personal - Reinigungskr.'!$D$56)</f>
        <v/>
      </c>
      <c r="H32" s="530" t="str">
        <f>IF('techn.Personal - Reinigungskr.'!$M$54="","",'techn.Personal - Reinigungskr.'!$M$54)</f>
        <v/>
      </c>
      <c r="I32" s="531">
        <f>'techn.Personal - Reinigungskr.'!$G$89</f>
        <v>0</v>
      </c>
      <c r="J32" s="531">
        <f>'techn.Personal - Reinigungskr.'!$H$89</f>
        <v>0</v>
      </c>
      <c r="K32" s="531">
        <f>'techn.Personal - Reinigungskr.'!$O$89</f>
        <v>0</v>
      </c>
      <c r="L32" s="531">
        <f>'techn.Personal - Reinigungskr.'!$P$91+'techn.Personal - Reinigungskr.'!$P$93</f>
        <v>0</v>
      </c>
      <c r="M32" s="531">
        <f>'techn.Personal - Reinigungskr.'!$P$92</f>
        <v>0</v>
      </c>
      <c r="N32" s="531">
        <f>'techn.Personal - Reinigungskr.'!$P$94</f>
        <v>0</v>
      </c>
      <c r="O32" s="532">
        <f>'techn.Personal - Reinigungskr.'!$P$95</f>
        <v>0</v>
      </c>
      <c r="P32" s="533">
        <f t="shared" ref="P32:P40" si="3">SUM(I32:O32)</f>
        <v>0</v>
      </c>
    </row>
    <row r="33" spans="1:16" s="109" customFormat="1" ht="27.75" customHeight="1" x14ac:dyDescent="0.25">
      <c r="A33" s="525">
        <v>3</v>
      </c>
      <c r="B33" s="526" t="str">
        <f>IF('techn.Personal - Reinigungskr.'!$D$103="","",'techn.Personal - Reinigungskr.'!$D$103)</f>
        <v/>
      </c>
      <c r="C33" s="527" t="str">
        <f>IF('techn.Personal - Reinigungskr.'!$D$103="","",1)</f>
        <v/>
      </c>
      <c r="D33" s="528" t="str">
        <f>IF('techn.Personal - Reinigungskr.'!$D$107="","",'techn.Personal - Reinigungskr.'!$D$107)</f>
        <v/>
      </c>
      <c r="E33" s="526" t="str">
        <f>IF('techn.Personal - Reinigungskr.'!$D$105="","",'techn.Personal - Reinigungskr.'!$D$105)</f>
        <v/>
      </c>
      <c r="F33" s="576" t="str">
        <f>IF('techn.Personal - Reinigungskr.'!$M$107="","",'techn.Personal - Reinigungskr.'!$M$107)</f>
        <v/>
      </c>
      <c r="G33" s="526" t="str">
        <f>IF('techn.Personal - Reinigungskr.'!$D$104="","",'techn.Personal - Reinigungskr.'!$D$104)</f>
        <v/>
      </c>
      <c r="H33" s="530" t="str">
        <f>IF('techn.Personal - Reinigungskr.'!$M$102="","",'techn.Personal - Reinigungskr.'!$M$102)</f>
        <v/>
      </c>
      <c r="I33" s="531">
        <f>'techn.Personal - Reinigungskr.'!$G$137</f>
        <v>0</v>
      </c>
      <c r="J33" s="531">
        <f>'techn.Personal - Reinigungskr.'!$H$137</f>
        <v>0</v>
      </c>
      <c r="K33" s="531">
        <f>'techn.Personal - Reinigungskr.'!$O$137</f>
        <v>0</v>
      </c>
      <c r="L33" s="531">
        <f>'techn.Personal - Reinigungskr.'!$P$139+'techn.Personal - Reinigungskr.'!$P$141</f>
        <v>0</v>
      </c>
      <c r="M33" s="531">
        <f>'techn.Personal - Reinigungskr.'!$P$140</f>
        <v>0</v>
      </c>
      <c r="N33" s="531">
        <f>'techn.Personal - Reinigungskr.'!$P$142</f>
        <v>0</v>
      </c>
      <c r="O33" s="532">
        <f>'techn.Personal - Reinigungskr.'!$P$143</f>
        <v>0</v>
      </c>
      <c r="P33" s="533">
        <f t="shared" si="3"/>
        <v>0</v>
      </c>
    </row>
    <row r="34" spans="1:16" s="109" customFormat="1" ht="27.75" customHeight="1" x14ac:dyDescent="0.25">
      <c r="A34" s="525">
        <v>4</v>
      </c>
      <c r="B34" s="526" t="str">
        <f>IF('techn.Personal - Reinigungskr.'!$D$151="","",'techn.Personal - Reinigungskr.'!$D$151)</f>
        <v/>
      </c>
      <c r="C34" s="527" t="str">
        <f>IF('techn.Personal - Reinigungskr.'!$D$151="","",1)</f>
        <v/>
      </c>
      <c r="D34" s="528" t="str">
        <f>IF('techn.Personal - Reinigungskr.'!$D$155="","",'techn.Personal - Reinigungskr.'!$D$155)</f>
        <v/>
      </c>
      <c r="E34" s="526" t="str">
        <f>IF('techn.Personal - Reinigungskr.'!$D$153="","",'techn.Personal - Reinigungskr.'!$D$153)</f>
        <v/>
      </c>
      <c r="F34" s="576" t="str">
        <f>IF('techn.Personal - Reinigungskr.'!$M$155="","",'techn.Personal - Reinigungskr.'!$M$155)</f>
        <v/>
      </c>
      <c r="G34" s="526" t="str">
        <f>IF('techn.Personal - Reinigungskr.'!$D$152="","",'techn.Personal - Reinigungskr.'!$D$152)</f>
        <v/>
      </c>
      <c r="H34" s="530" t="str">
        <f>IF('techn.Personal - Reinigungskr.'!$M$150="","",'techn.Personal - Reinigungskr.'!$M$150)</f>
        <v/>
      </c>
      <c r="I34" s="531">
        <f>'techn.Personal - Reinigungskr.'!$G$185</f>
        <v>0</v>
      </c>
      <c r="J34" s="531">
        <f>'techn.Personal - Reinigungskr.'!$H$185</f>
        <v>0</v>
      </c>
      <c r="K34" s="531">
        <f>'techn.Personal - Reinigungskr.'!$O$185</f>
        <v>0</v>
      </c>
      <c r="L34" s="531">
        <f>'techn.Personal - Reinigungskr.'!$P$187+'techn.Personal - Reinigungskr.'!$P$189</f>
        <v>0</v>
      </c>
      <c r="M34" s="531">
        <f>'techn.Personal - Reinigungskr.'!$P$188</f>
        <v>0</v>
      </c>
      <c r="N34" s="531">
        <f>'techn.Personal - Reinigungskr.'!$P$190</f>
        <v>0</v>
      </c>
      <c r="O34" s="532">
        <f>'techn.Personal - Reinigungskr.'!$P$191</f>
        <v>0</v>
      </c>
      <c r="P34" s="533">
        <f t="shared" si="3"/>
        <v>0</v>
      </c>
    </row>
    <row r="35" spans="1:16" s="109" customFormat="1" ht="27.75" customHeight="1" x14ac:dyDescent="0.25">
      <c r="A35" s="525">
        <v>5</v>
      </c>
      <c r="B35" s="526" t="str">
        <f>IF('techn.Personal - Reinigungskr.'!$D$199="","",'techn.Personal - Reinigungskr.'!$D$199)</f>
        <v/>
      </c>
      <c r="C35" s="527" t="str">
        <f>IF('techn.Personal - Reinigungskr.'!$D$199="","",1)</f>
        <v/>
      </c>
      <c r="D35" s="528" t="str">
        <f>IF('techn.Personal - Reinigungskr.'!$D$203="","",'techn.Personal - Reinigungskr.'!$D$203)</f>
        <v/>
      </c>
      <c r="E35" s="526" t="str">
        <f>IF('techn.Personal - Reinigungskr.'!$D$201="","",'techn.Personal - Reinigungskr.'!$D$201)</f>
        <v/>
      </c>
      <c r="F35" s="576" t="str">
        <f>IF('techn.Personal - Reinigungskr.'!$M$203="","",'techn.Personal - Reinigungskr.'!$M$203)</f>
        <v/>
      </c>
      <c r="G35" s="526" t="str">
        <f>IF('techn.Personal - Reinigungskr.'!$D$200="","",'techn.Personal - Reinigungskr.'!$D$200)</f>
        <v/>
      </c>
      <c r="H35" s="530" t="str">
        <f>IF('techn.Personal - Reinigungskr.'!$M$198="","",'techn.Personal - Reinigungskr.'!$M$198)</f>
        <v/>
      </c>
      <c r="I35" s="531">
        <f>'techn.Personal - Reinigungskr.'!$G$233</f>
        <v>0</v>
      </c>
      <c r="J35" s="531">
        <f>'techn.Personal - Reinigungskr.'!$H$233</f>
        <v>0</v>
      </c>
      <c r="K35" s="531">
        <f>'techn.Personal - Reinigungskr.'!$O$233</f>
        <v>0</v>
      </c>
      <c r="L35" s="531">
        <f>'techn.Personal - Reinigungskr.'!$P$235+'techn.Personal - Reinigungskr.'!$P$237</f>
        <v>0</v>
      </c>
      <c r="M35" s="531">
        <f>'techn.Personal - Reinigungskr.'!$P$236</f>
        <v>0</v>
      </c>
      <c r="N35" s="531">
        <f>'techn.Personal - Reinigungskr.'!$P$238</f>
        <v>0</v>
      </c>
      <c r="O35" s="532">
        <f>'techn.Personal - Reinigungskr.'!$P$239</f>
        <v>0</v>
      </c>
      <c r="P35" s="533">
        <f t="shared" si="3"/>
        <v>0</v>
      </c>
    </row>
    <row r="36" spans="1:16" s="109" customFormat="1" ht="27.75" customHeight="1" x14ac:dyDescent="0.25">
      <c r="A36" s="525">
        <v>6</v>
      </c>
      <c r="B36" s="526" t="str">
        <f>IF('techn.Personal - Reinigungskr.'!$D$247="","",'techn.Personal - Reinigungskr.'!$D$247)</f>
        <v/>
      </c>
      <c r="C36" s="527" t="str">
        <f>IF('techn.Personal - Reinigungskr.'!$D$247="","",1)</f>
        <v/>
      </c>
      <c r="D36" s="528" t="str">
        <f>IF('techn.Personal - Reinigungskr.'!$D$251="","",'techn.Personal - Reinigungskr.'!$D$251)</f>
        <v/>
      </c>
      <c r="E36" s="526" t="str">
        <f>IF('techn.Personal - Reinigungskr.'!$D$249="","",'techn.Personal - Reinigungskr.'!$D$249)</f>
        <v/>
      </c>
      <c r="F36" s="576" t="str">
        <f>IF('techn.Personal - Reinigungskr.'!$M$251="","",'techn.Personal - Reinigungskr.'!$M$251)</f>
        <v/>
      </c>
      <c r="G36" s="526" t="str">
        <f>IF('techn.Personal - Reinigungskr.'!$D$248="","",'techn.Personal - Reinigungskr.'!$D$248)</f>
        <v/>
      </c>
      <c r="H36" s="530" t="str">
        <f>IF('techn.Personal - Reinigungskr.'!$M$246="","",'techn.Personal - Reinigungskr.'!$M$246)</f>
        <v/>
      </c>
      <c r="I36" s="531">
        <f>'techn.Personal - Reinigungskr.'!$G$281</f>
        <v>0</v>
      </c>
      <c r="J36" s="531">
        <f>'techn.Personal - Reinigungskr.'!$H$281</f>
        <v>0</v>
      </c>
      <c r="K36" s="531">
        <f>'techn.Personal - Reinigungskr.'!$O$281</f>
        <v>0</v>
      </c>
      <c r="L36" s="531">
        <f>'techn.Personal - Reinigungskr.'!$P$283+'techn.Personal - Reinigungskr.'!$P$285</f>
        <v>0</v>
      </c>
      <c r="M36" s="531">
        <f>'techn.Personal - Reinigungskr.'!$P$284</f>
        <v>0</v>
      </c>
      <c r="N36" s="531">
        <f>'techn.Personal - Reinigungskr.'!$P$286</f>
        <v>0</v>
      </c>
      <c r="O36" s="532">
        <f>'techn.Personal - Reinigungskr.'!$P$287</f>
        <v>0</v>
      </c>
      <c r="P36" s="533">
        <f t="shared" si="3"/>
        <v>0</v>
      </c>
    </row>
    <row r="37" spans="1:16" s="109" customFormat="1" ht="28.35" customHeight="1" x14ac:dyDescent="0.25">
      <c r="A37" s="525">
        <v>7</v>
      </c>
      <c r="B37" s="526" t="str">
        <f>IF('techn.Personal - Reinigungskr.'!$D$295="","",'techn.Personal - Reinigungskr.'!$D$295)</f>
        <v/>
      </c>
      <c r="C37" s="527" t="str">
        <f>IF('techn.Personal - Reinigungskr.'!$D$295="","",1)</f>
        <v/>
      </c>
      <c r="D37" s="528" t="str">
        <f>IF('techn.Personal - Reinigungskr.'!$D$299="","",'techn.Personal - Reinigungskr.'!$D$299)</f>
        <v/>
      </c>
      <c r="E37" s="526" t="str">
        <f>IF('techn.Personal - Reinigungskr.'!$D$297="","",'techn.Personal - Reinigungskr.'!$D$297)</f>
        <v/>
      </c>
      <c r="F37" s="576" t="str">
        <f>IF('techn.Personal - Reinigungskr.'!$M$299="","",'techn.Personal - Reinigungskr.'!$M$299)</f>
        <v/>
      </c>
      <c r="G37" s="526" t="str">
        <f>IF('techn.Personal - Reinigungskr.'!$D$296="","",'techn.Personal - Reinigungskr.'!$D$296)</f>
        <v/>
      </c>
      <c r="H37" s="530" t="str">
        <f>IF('techn.Personal - Reinigungskr.'!$M$294="","",'techn.Personal - Reinigungskr.'!$M$294)</f>
        <v/>
      </c>
      <c r="I37" s="531">
        <f>'techn.Personal - Reinigungskr.'!$G$329</f>
        <v>0</v>
      </c>
      <c r="J37" s="531">
        <f>'techn.Personal - Reinigungskr.'!$H$329</f>
        <v>0</v>
      </c>
      <c r="K37" s="531">
        <f>'techn.Personal - Reinigungskr.'!$O$329</f>
        <v>0</v>
      </c>
      <c r="L37" s="531">
        <f>'techn.Personal - Reinigungskr.'!$P$331+'techn.Personal - Reinigungskr.'!$P$333</f>
        <v>0</v>
      </c>
      <c r="M37" s="531">
        <f>'techn.Personal - Reinigungskr.'!$P$332</f>
        <v>0</v>
      </c>
      <c r="N37" s="531">
        <f>'techn.Personal - Reinigungskr.'!$P$334</f>
        <v>0</v>
      </c>
      <c r="O37" s="532">
        <f>'techn.Personal - Reinigungskr.'!$P$335</f>
        <v>0</v>
      </c>
      <c r="P37" s="533">
        <f t="shared" si="3"/>
        <v>0</v>
      </c>
    </row>
    <row r="38" spans="1:16" s="109" customFormat="1" ht="28.35" customHeight="1" thickBot="1" x14ac:dyDescent="0.3">
      <c r="A38" s="534">
        <v>8</v>
      </c>
      <c r="B38" s="535" t="str">
        <f>IF('techn.Personal - Reinigungskr.'!$D$343="","",'techn.Personal - Reinigungskr.'!$D$343)</f>
        <v/>
      </c>
      <c r="C38" s="536" t="str">
        <f>IF('techn.Personal - Reinigungskr.'!$D$343="","",1)</f>
        <v/>
      </c>
      <c r="D38" s="537" t="str">
        <f>IF('techn.Personal - Reinigungskr.'!$D$347="","",'techn.Personal - Reinigungskr.'!$D$347)</f>
        <v/>
      </c>
      <c r="E38" s="535" t="str">
        <f>IF('techn.Personal - Reinigungskr.'!$D$345="","",'techn.Personal - Reinigungskr.'!$D$345)</f>
        <v/>
      </c>
      <c r="F38" s="577" t="str">
        <f>IF('techn.Personal - Reinigungskr.'!$M$347="","",'techn.Personal - Reinigungskr.'!$M$347)</f>
        <v/>
      </c>
      <c r="G38" s="535" t="str">
        <f>IF('techn.Personal - Reinigungskr.'!$D$344="","",'techn.Personal - Reinigungskr.'!$D$344)</f>
        <v/>
      </c>
      <c r="H38" s="539" t="str">
        <f>IF('techn.Personal - Reinigungskr.'!$M$342="","",'techn.Personal - Reinigungskr.'!$M$342)</f>
        <v/>
      </c>
      <c r="I38" s="540">
        <f>'techn.Personal - Reinigungskr.'!$G$377</f>
        <v>0</v>
      </c>
      <c r="J38" s="540">
        <f>'techn.Personal - Reinigungskr.'!$H$377</f>
        <v>0</v>
      </c>
      <c r="K38" s="540">
        <f>'techn.Personal - Reinigungskr.'!$O$377</f>
        <v>0</v>
      </c>
      <c r="L38" s="540">
        <f>'techn.Personal - Reinigungskr.'!$P$379+'techn.Personal - Reinigungskr.'!$P$381</f>
        <v>0</v>
      </c>
      <c r="M38" s="540">
        <f>'techn.Personal - Reinigungskr.'!$P$380</f>
        <v>0</v>
      </c>
      <c r="N38" s="540">
        <f>'techn.Personal - Reinigungskr.'!$P$382</f>
        <v>0</v>
      </c>
      <c r="O38" s="541">
        <f>'techn.Personal - Reinigungskr.'!$P$383</f>
        <v>0</v>
      </c>
      <c r="P38" s="533">
        <f t="shared" si="3"/>
        <v>0</v>
      </c>
    </row>
    <row r="39" spans="1:16" s="109" customFormat="1" ht="28.35" hidden="1" customHeight="1" x14ac:dyDescent="0.25">
      <c r="A39" s="543">
        <v>1</v>
      </c>
      <c r="B39" s="544" t="str">
        <f>IF('techn.Personal - Reinigungskr.'!$D$391="","",'techn.Personal - Reinigungskr.'!$D$391)</f>
        <v/>
      </c>
      <c r="C39" s="545" t="str">
        <f>IF('techn.Personal - Reinigungskr.'!$D$391="","",1)</f>
        <v/>
      </c>
      <c r="D39" s="546" t="str">
        <f>IF('techn.Personal - Reinigungskr.'!$D$395="","",'techn.Personal - Reinigungskr.'!$D$395)</f>
        <v/>
      </c>
      <c r="E39" s="544" t="str">
        <f>IF('techn.Personal - Reinigungskr.'!$D$393="","",'techn.Personal - Reinigungskr.'!$D$393)</f>
        <v/>
      </c>
      <c r="F39" s="578" t="str">
        <f>IF('techn.Personal - Reinigungskr.'!$M$396="","",'techn.Personal - Reinigungskr.'!$M$396)</f>
        <v/>
      </c>
      <c r="G39" s="544" t="str">
        <f>IF('techn.Personal - Reinigungskr.'!$D$392="","",'techn.Personal - Reinigungskr.'!$D$392)</f>
        <v/>
      </c>
      <c r="H39" s="548" t="str">
        <f>IF('techn.Personal - Reinigungskr.'!$M$390="","",'techn.Personal - Reinigungskr.'!$M$390)</f>
        <v/>
      </c>
      <c r="I39" s="549">
        <f>'techn.Personal - Reinigungskr.'!$G$425+'techn.Personal - Reinigungskr.'!$N$425</f>
        <v>0</v>
      </c>
      <c r="J39" s="549">
        <f>'techn.Personal - Reinigungskr.'!$H$425</f>
        <v>0</v>
      </c>
      <c r="K39" s="549">
        <f>'techn.Personal - Reinigungskr.'!$O$425</f>
        <v>0</v>
      </c>
      <c r="L39" s="549">
        <f>'techn.Personal - Reinigungskr.'!$P$427+'techn.Personal - Reinigungskr.'!$P$429</f>
        <v>0</v>
      </c>
      <c r="M39" s="549">
        <f>'techn.Personal - Reinigungskr.'!$P$428</f>
        <v>0</v>
      </c>
      <c r="N39" s="549">
        <f>'techn.Personal - Reinigungskr.'!$P$430</f>
        <v>0</v>
      </c>
      <c r="O39" s="550">
        <f>'techn.Personal - Reinigungskr.'!$P$431</f>
        <v>0</v>
      </c>
      <c r="P39" s="533">
        <f t="shared" si="3"/>
        <v>0</v>
      </c>
    </row>
    <row r="40" spans="1:16" s="109" customFormat="1" ht="28.35" hidden="1" customHeight="1" x14ac:dyDescent="0.25">
      <c r="A40" s="525">
        <v>2</v>
      </c>
      <c r="B40" s="526" t="str">
        <f>IF('techn.Personal - Reinigungskr.'!$D$439="","",'techn.Personal - Reinigungskr.'!$D$439)</f>
        <v/>
      </c>
      <c r="C40" s="527" t="str">
        <f>IF('techn.Personal - Reinigungskr.'!$D$439="","",1)</f>
        <v/>
      </c>
      <c r="D40" s="528" t="str">
        <f>IF('techn.Personal - Reinigungskr.'!$D$443="","",'techn.Personal - Reinigungskr.'!$D$443)</f>
        <v/>
      </c>
      <c r="E40" s="526" t="str">
        <f>IF('techn.Personal - Reinigungskr.'!$D$441="","",'techn.Personal - Reinigungskr.'!$D$441)</f>
        <v/>
      </c>
      <c r="F40" s="576" t="str">
        <f>IF('techn.Personal - Reinigungskr.'!$M$444="","",'techn.Personal - Reinigungskr.'!$M$444)</f>
        <v/>
      </c>
      <c r="G40" s="526" t="str">
        <f>IF('techn.Personal - Reinigungskr.'!$D$440="","",'techn.Personal - Reinigungskr.'!$D$440)</f>
        <v/>
      </c>
      <c r="H40" s="530" t="str">
        <f>IF('techn.Personal - Reinigungskr.'!$M$438="","",'techn.Personal - Reinigungskr.'!$M$438)</f>
        <v/>
      </c>
      <c r="I40" s="531">
        <f>'techn.Personal - Reinigungskr.'!$G$473+'techn.Personal - Reinigungskr.'!$N$473</f>
        <v>0</v>
      </c>
      <c r="J40" s="531">
        <f>'techn.Personal - Reinigungskr.'!$H$473</f>
        <v>0</v>
      </c>
      <c r="K40" s="531">
        <f>'techn.Personal - Reinigungskr.'!$O$473</f>
        <v>0</v>
      </c>
      <c r="L40" s="531">
        <f>'techn.Personal - Reinigungskr.'!$P$475+'techn.Personal - Reinigungskr.'!$P$477</f>
        <v>0</v>
      </c>
      <c r="M40" s="531">
        <f>'techn.Personal - Reinigungskr.'!$P$476</f>
        <v>0</v>
      </c>
      <c r="N40" s="531">
        <f>'techn.Personal - Reinigungskr.'!$P$478</f>
        <v>0</v>
      </c>
      <c r="O40" s="532">
        <f>'techn.Personal - Reinigungskr.'!$P$479</f>
        <v>0</v>
      </c>
      <c r="P40" s="533">
        <f t="shared" si="3"/>
        <v>0</v>
      </c>
    </row>
    <row r="41" spans="1:16" s="109" customFormat="1" ht="28.35" customHeight="1" thickBot="1" x14ac:dyDescent="0.25">
      <c r="A41" s="552"/>
      <c r="B41" s="408" t="s">
        <v>595</v>
      </c>
      <c r="C41" s="553"/>
      <c r="D41" s="554">
        <f>IF(SUM(C31:C40)=0,0,SUM(C31:C40))</f>
        <v>0</v>
      </c>
      <c r="E41" s="408" t="s">
        <v>596</v>
      </c>
      <c r="F41" s="555">
        <f>SUM(F31:F40)</f>
        <v>0</v>
      </c>
      <c r="G41" s="556" t="str">
        <f>IF(Grundlagen!$C$23="","",Grundlagen!$C$23*40/100)</f>
        <v/>
      </c>
      <c r="H41" s="557" t="str">
        <f>IF(G41="","","h max.")</f>
        <v/>
      </c>
      <c r="I41" s="559">
        <f>SUM(I31:I40)</f>
        <v>0</v>
      </c>
      <c r="J41" s="559">
        <f t="shared" ref="J41:O41" si="4">SUM(J31:J40)</f>
        <v>0</v>
      </c>
      <c r="K41" s="559">
        <f t="shared" si="4"/>
        <v>0</v>
      </c>
      <c r="L41" s="559">
        <f t="shared" si="4"/>
        <v>0</v>
      </c>
      <c r="M41" s="559">
        <f t="shared" si="4"/>
        <v>0</v>
      </c>
      <c r="N41" s="559">
        <f t="shared" si="4"/>
        <v>0</v>
      </c>
      <c r="O41" s="560">
        <f t="shared" si="4"/>
        <v>0</v>
      </c>
      <c r="P41" s="561">
        <f>SUM(P31:P40)</f>
        <v>0</v>
      </c>
    </row>
    <row r="42" spans="1:16" s="87" customFormat="1" ht="28.35" customHeight="1" thickBot="1" x14ac:dyDescent="0.25">
      <c r="A42" s="572"/>
      <c r="B42" s="573"/>
      <c r="C42" s="553"/>
      <c r="D42" s="278"/>
      <c r="E42" s="565" t="s">
        <v>265</v>
      </c>
      <c r="F42" s="566">
        <f>IF(Grundlagen!$C$16="",0,F41/Grundlagen!$C$16)</f>
        <v>0</v>
      </c>
      <c r="G42" s="579"/>
      <c r="H42" s="580"/>
      <c r="I42" s="1130">
        <f>I41+J41+K41</f>
        <v>0</v>
      </c>
      <c r="J42" s="1131"/>
      <c r="K42" s="1132"/>
      <c r="L42" s="1130">
        <f>SUM(L41:M41)</f>
        <v>0</v>
      </c>
      <c r="M42" s="1132"/>
      <c r="N42" s="581"/>
      <c r="O42" s="581"/>
      <c r="P42" s="575"/>
    </row>
    <row r="43" spans="1:16" s="514" customFormat="1" hidden="1" x14ac:dyDescent="0.2">
      <c r="A43" s="570" t="s">
        <v>598</v>
      </c>
      <c r="B43" s="562"/>
      <c r="C43" s="582"/>
      <c r="D43" s="564"/>
      <c r="E43" s="562"/>
      <c r="F43" s="571"/>
      <c r="G43" s="562"/>
      <c r="H43" s="583"/>
      <c r="I43" s="584"/>
      <c r="J43" s="584"/>
      <c r="M43" s="523"/>
      <c r="N43" s="523"/>
      <c r="O43" s="523"/>
      <c r="P43" s="524"/>
    </row>
    <row r="44" spans="1:16" s="109" customFormat="1" ht="27.75" hidden="1" customHeight="1" x14ac:dyDescent="0.25">
      <c r="A44" s="525">
        <v>1</v>
      </c>
      <c r="B44" s="526" t="str">
        <f>IF('techn.Personal - Reinigungskr.'!$D$487="","",'techn.Personal - Reinigungskr.'!$D$487)</f>
        <v/>
      </c>
      <c r="C44" s="527" t="str">
        <f>IF('techn.Personal - Reinigungskr.'!$D$487="","",1)</f>
        <v/>
      </c>
      <c r="D44" s="528" t="str">
        <f>IF('techn.Personal - Reinigungskr.'!$D$491="","",'techn.Personal - Reinigungskr.'!$D$491)</f>
        <v/>
      </c>
      <c r="E44" s="526" t="str">
        <f>IF('techn.Personal - Reinigungskr.'!$D$489="","",'techn.Personal - Reinigungskr.'!$D$489)</f>
        <v/>
      </c>
      <c r="F44" s="576" t="str">
        <f>IF('techn.Personal - Reinigungskr.'!$M$492="","",'techn.Personal - Reinigungskr.'!$M$492)</f>
        <v/>
      </c>
      <c r="G44" s="526" t="str">
        <f>IF('techn.Personal - Reinigungskr.'!$D$488="","",'techn.Personal - Reinigungskr.'!$D$488)</f>
        <v/>
      </c>
      <c r="H44" s="530" t="str">
        <f>IF('techn.Personal - Reinigungskr.'!$M$486="","",'techn.Personal - Reinigungskr.'!$M$486)</f>
        <v/>
      </c>
      <c r="I44" s="531">
        <f>'techn.Personal - Reinigungskr.'!$G$521+'techn.Personal - Reinigungskr.'!$N$521</f>
        <v>0</v>
      </c>
      <c r="J44" s="531">
        <f>'techn.Personal - Reinigungskr.'!$H$521</f>
        <v>0</v>
      </c>
      <c r="K44" s="531">
        <f>'techn.Personal - Reinigungskr.'!$O$521</f>
        <v>0</v>
      </c>
      <c r="L44" s="531">
        <f>'techn.Personal - Reinigungskr.'!$P$523+'techn.Personal - Reinigungskr.'!$P$525</f>
        <v>0</v>
      </c>
      <c r="M44" s="531">
        <f>'techn.Personal - Reinigungskr.'!$P$524</f>
        <v>0</v>
      </c>
      <c r="N44" s="531">
        <f>'techn.Personal - Reinigungskr.'!$P$526</f>
        <v>0</v>
      </c>
      <c r="O44" s="532">
        <f>'techn.Personal - Reinigungskr.'!$P$527</f>
        <v>0</v>
      </c>
      <c r="P44" s="533">
        <f>SUM(I44:O44)</f>
        <v>0</v>
      </c>
    </row>
    <row r="45" spans="1:16" s="109" customFormat="1" ht="27.75" hidden="1" customHeight="1" x14ac:dyDescent="0.25">
      <c r="A45" s="525">
        <v>2</v>
      </c>
      <c r="B45" s="526" t="str">
        <f>IF('techn.Personal - Reinigungskr.'!$D$535="","",'techn.Personal - Reinigungskr.'!$D$535)</f>
        <v/>
      </c>
      <c r="C45" s="527" t="str">
        <f>IF('techn.Personal - Reinigungskr.'!$D$535="","",1)</f>
        <v/>
      </c>
      <c r="D45" s="528" t="str">
        <f>IF('techn.Personal - Reinigungskr.'!$D$539="","",'techn.Personal - Reinigungskr.'!$D$539)</f>
        <v/>
      </c>
      <c r="E45" s="526" t="str">
        <f>IF('techn.Personal - Reinigungskr.'!$D$537="","",'techn.Personal - Reinigungskr.'!$D$537)</f>
        <v/>
      </c>
      <c r="F45" s="576" t="str">
        <f>IF('techn.Personal - Reinigungskr.'!$M$540="","",'techn.Personal - Reinigungskr.'!$M$540)</f>
        <v/>
      </c>
      <c r="G45" s="526" t="str">
        <f>IF('techn.Personal - Reinigungskr.'!$D$536="","",'techn.Personal - Reinigungskr.'!$D$536)</f>
        <v/>
      </c>
      <c r="H45" s="530" t="str">
        <f>IF('techn.Personal - Reinigungskr.'!$M$534="","",'techn.Personal - Reinigungskr.'!$M$534)</f>
        <v/>
      </c>
      <c r="I45" s="531">
        <f>'techn.Personal - Reinigungskr.'!$G$569+'techn.Personal - Reinigungskr.'!$N$569</f>
        <v>0</v>
      </c>
      <c r="J45" s="531">
        <f>'techn.Personal - Reinigungskr.'!$H$569</f>
        <v>0</v>
      </c>
      <c r="K45" s="531">
        <f>'techn.Personal - Reinigungskr.'!$O$569</f>
        <v>0</v>
      </c>
      <c r="L45" s="531">
        <f>'techn.Personal - Reinigungskr.'!$P$571+'techn.Personal - Reinigungskr.'!$P$573</f>
        <v>0</v>
      </c>
      <c r="M45" s="531">
        <f>'techn.Personal - Reinigungskr.'!$P$572</f>
        <v>0</v>
      </c>
      <c r="N45" s="531">
        <f>'techn.Personal - Reinigungskr.'!$P$574</f>
        <v>0</v>
      </c>
      <c r="O45" s="532">
        <f>'techn.Personal - Reinigungskr.'!$P$575</f>
        <v>0</v>
      </c>
      <c r="P45" s="533">
        <f t="shared" ref="P45" si="5">SUM(I45:O45)</f>
        <v>0</v>
      </c>
    </row>
    <row r="46" spans="1:16" s="109" customFormat="1" ht="27.75" hidden="1" customHeight="1" x14ac:dyDescent="0.2">
      <c r="A46" s="552"/>
      <c r="B46" s="408" t="s">
        <v>595</v>
      </c>
      <c r="C46" s="553"/>
      <c r="D46" s="554">
        <f>IF(SUM(C44:C45)=0,0,SUM(C44:C45))</f>
        <v>0</v>
      </c>
      <c r="E46" s="408" t="s">
        <v>596</v>
      </c>
      <c r="F46" s="555">
        <f>SUM(F44:F45)</f>
        <v>0</v>
      </c>
      <c r="G46" s="240"/>
      <c r="I46" s="585">
        <f t="shared" ref="I46:L46" si="6">SUM(I44:I45)</f>
        <v>0</v>
      </c>
      <c r="J46" s="585">
        <f t="shared" si="6"/>
        <v>0</v>
      </c>
      <c r="K46" s="585">
        <f t="shared" si="6"/>
        <v>0</v>
      </c>
      <c r="L46" s="585">
        <f t="shared" si="6"/>
        <v>0</v>
      </c>
      <c r="M46" s="585">
        <f>SUM(M44:M45)</f>
        <v>0</v>
      </c>
      <c r="N46" s="585">
        <f>SUM(N44:N45)</f>
        <v>0</v>
      </c>
      <c r="O46" s="586">
        <f>SUM(O44:O45)</f>
        <v>0</v>
      </c>
      <c r="P46" s="561">
        <f>SUM(P44:P45)</f>
        <v>0</v>
      </c>
    </row>
    <row r="47" spans="1:16" s="87" customFormat="1" ht="27.75" hidden="1" customHeight="1" x14ac:dyDescent="0.2">
      <c r="A47" s="572"/>
      <c r="B47" s="573"/>
      <c r="C47" s="553"/>
      <c r="D47" s="278"/>
      <c r="E47" s="565" t="s">
        <v>265</v>
      </c>
      <c r="F47" s="566">
        <f>IF(Grundlagen!$C$16="",0,F46/Grundlagen!$C$16)</f>
        <v>0</v>
      </c>
      <c r="G47" s="574"/>
      <c r="I47" s="1133"/>
      <c r="J47" s="1133"/>
      <c r="K47" s="1133"/>
      <c r="L47" s="1133"/>
      <c r="M47" s="1133"/>
      <c r="N47" s="1133"/>
      <c r="O47" s="1133"/>
      <c r="P47" s="575"/>
    </row>
    <row r="48" spans="1:16" s="514" customFormat="1" ht="15" customHeight="1" x14ac:dyDescent="0.2">
      <c r="A48" s="1146" t="s">
        <v>708</v>
      </c>
      <c r="B48" s="1146"/>
      <c r="C48" s="1146"/>
      <c r="D48" s="1146"/>
      <c r="E48" s="1146"/>
      <c r="F48" s="1146"/>
      <c r="G48" s="1146"/>
      <c r="H48" s="1146"/>
      <c r="I48" s="1136"/>
      <c r="J48" s="1136"/>
      <c r="M48" s="523"/>
      <c r="N48" s="523"/>
      <c r="O48" s="523"/>
      <c r="P48" s="524"/>
    </row>
    <row r="49" spans="1:16" s="514" customFormat="1" x14ac:dyDescent="0.2">
      <c r="A49" s="1147"/>
      <c r="B49" s="1147"/>
      <c r="C49" s="1147"/>
      <c r="D49" s="1147"/>
      <c r="E49" s="1147"/>
      <c r="F49" s="1147"/>
      <c r="G49" s="1147"/>
      <c r="H49" s="1147"/>
      <c r="I49" s="1137"/>
      <c r="J49" s="1137"/>
      <c r="M49" s="523"/>
      <c r="N49" s="523"/>
      <c r="O49" s="523"/>
      <c r="P49" s="524"/>
    </row>
    <row r="50" spans="1:16" s="109" customFormat="1" ht="27.75" customHeight="1" x14ac:dyDescent="0.25">
      <c r="A50" s="525">
        <v>1</v>
      </c>
      <c r="B50" s="526" t="str">
        <f>IF('techn.Personal - Wirtschaftskr.'!$D$7="","",'techn.Personal - Wirtschaftskr.'!$D$7)</f>
        <v/>
      </c>
      <c r="C50" s="527" t="str">
        <f>IF('techn.Personal - Wirtschaftskr.'!$D$7="","",1)</f>
        <v/>
      </c>
      <c r="D50" s="587" t="str">
        <f>IF('techn.Personal - Wirtschaftskr.'!$D$11="","",'techn.Personal - Wirtschaftskr.'!$D$11)</f>
        <v/>
      </c>
      <c r="E50" s="526" t="str">
        <f>IF('techn.Personal - Wirtschaftskr.'!$D$9="","",'techn.Personal - Wirtschaftskr.'!$D$9)</f>
        <v/>
      </c>
      <c r="F50" s="529" t="str">
        <f>IF('techn.Personal - Wirtschaftskr.'!$M$11="","",'techn.Personal - Wirtschaftskr.'!$M$11)</f>
        <v/>
      </c>
      <c r="G50" s="526" t="str">
        <f>IF('techn.Personal - Wirtschaftskr.'!$D$8="","",'techn.Personal - Wirtschaftskr.'!$D$8)</f>
        <v/>
      </c>
      <c r="H50" s="530" t="str">
        <f>IF('techn.Personal - Wirtschaftskr.'!$M$6="","",'techn.Personal - Wirtschaftskr.'!$M$6)</f>
        <v/>
      </c>
      <c r="I50" s="531">
        <f>'techn.Personal - Wirtschaftskr.'!$G$41</f>
        <v>0</v>
      </c>
      <c r="J50" s="531">
        <f>'techn.Personal - Wirtschaftskr.'!$H$41</f>
        <v>0</v>
      </c>
      <c r="K50" s="531">
        <f>'techn.Personal - Wirtschaftskr.'!$O$41</f>
        <v>0</v>
      </c>
      <c r="L50" s="531">
        <f>'techn.Personal - Wirtschaftskr.'!$P$43+'techn.Personal - Wirtschaftskr.'!$P$45</f>
        <v>0</v>
      </c>
      <c r="M50" s="531">
        <f>'techn.Personal - Wirtschaftskr.'!$P$44</f>
        <v>0</v>
      </c>
      <c r="N50" s="531">
        <f>'techn.Personal - Wirtschaftskr.'!$P$46</f>
        <v>0</v>
      </c>
      <c r="O50" s="532">
        <f>'techn.Personal - Wirtschaftskr.'!$P$47</f>
        <v>0</v>
      </c>
      <c r="P50" s="533">
        <f>SUM(I50:O50)</f>
        <v>0</v>
      </c>
    </row>
    <row r="51" spans="1:16" s="109" customFormat="1" ht="27.75" customHeight="1" x14ac:dyDescent="0.25">
      <c r="A51" s="525">
        <v>2</v>
      </c>
      <c r="B51" s="526" t="str">
        <f>IF('techn.Personal - Wirtschaftskr.'!$D$55="","",'techn.Personal - Wirtschaftskr.'!$D$55)</f>
        <v/>
      </c>
      <c r="C51" s="527" t="str">
        <f>IF('techn.Personal - Wirtschaftskr.'!$D$55="","",1)</f>
        <v/>
      </c>
      <c r="D51" s="587" t="str">
        <f>IF('techn.Personal - Wirtschaftskr.'!$D$59="","",'techn.Personal - Wirtschaftskr.'!$D$59)</f>
        <v/>
      </c>
      <c r="E51" s="526" t="str">
        <f>IF('techn.Personal - Wirtschaftskr.'!$D$57="","",'techn.Personal - Wirtschaftskr.'!$D$57)</f>
        <v/>
      </c>
      <c r="F51" s="529" t="str">
        <f>IF('techn.Personal - Wirtschaftskr.'!$M$59="","",'techn.Personal - Wirtschaftskr.'!$M$59)</f>
        <v/>
      </c>
      <c r="G51" s="526" t="str">
        <f>IF('techn.Personal - Wirtschaftskr.'!$D$56="","",'techn.Personal - Wirtschaftskr.'!$D$56)</f>
        <v/>
      </c>
      <c r="H51" s="530" t="str">
        <f>IF('techn.Personal - Wirtschaftskr.'!$M$54="","",'techn.Personal - Wirtschaftskr.'!$M$54)</f>
        <v/>
      </c>
      <c r="I51" s="531">
        <f>'techn.Personal - Wirtschaftskr.'!$G$89</f>
        <v>0</v>
      </c>
      <c r="J51" s="531">
        <f>'techn.Personal - Wirtschaftskr.'!$H$89</f>
        <v>0</v>
      </c>
      <c r="K51" s="531">
        <f>'techn.Personal - Wirtschaftskr.'!$O$89</f>
        <v>0</v>
      </c>
      <c r="L51" s="531">
        <f>'techn.Personal - Wirtschaftskr.'!$P$91+'techn.Personal - Wirtschaftskr.'!$P$93</f>
        <v>0</v>
      </c>
      <c r="M51" s="531">
        <f>'techn.Personal - Wirtschaftskr.'!$P$92</f>
        <v>0</v>
      </c>
      <c r="N51" s="531">
        <f>'techn.Personal - Wirtschaftskr.'!$P$94</f>
        <v>0</v>
      </c>
      <c r="O51" s="532">
        <f>'techn.Personal - Wirtschaftskr.'!$P$95</f>
        <v>0</v>
      </c>
      <c r="P51" s="533">
        <f t="shared" ref="P51:P63" si="7">SUM(I51:O51)</f>
        <v>0</v>
      </c>
    </row>
    <row r="52" spans="1:16" s="109" customFormat="1" ht="27.75" customHeight="1" x14ac:dyDescent="0.25">
      <c r="A52" s="525">
        <v>3</v>
      </c>
      <c r="B52" s="526" t="str">
        <f>IF('techn.Personal - Wirtschaftskr.'!$D$103="","",'techn.Personal - Wirtschaftskr.'!$D$103)</f>
        <v/>
      </c>
      <c r="C52" s="527" t="str">
        <f>IF('techn.Personal - Wirtschaftskr.'!$D$103="","",1)</f>
        <v/>
      </c>
      <c r="D52" s="587" t="str">
        <f>IF('techn.Personal - Wirtschaftskr.'!$D$107="","",'techn.Personal - Wirtschaftskr.'!$D$107)</f>
        <v/>
      </c>
      <c r="E52" s="526" t="str">
        <f>IF('techn.Personal - Wirtschaftskr.'!$D$105="","",'techn.Personal - Wirtschaftskr.'!$D$105)</f>
        <v/>
      </c>
      <c r="F52" s="529" t="str">
        <f>IF('techn.Personal - Wirtschaftskr.'!$M$107="","",'techn.Personal - Wirtschaftskr.'!$M$107)</f>
        <v/>
      </c>
      <c r="G52" s="526" t="str">
        <f>IF('techn.Personal - Wirtschaftskr.'!$D$104="","",'techn.Personal - Wirtschaftskr.'!$D$104)</f>
        <v/>
      </c>
      <c r="H52" s="530" t="str">
        <f>IF('techn.Personal - Wirtschaftskr.'!$M$102="","",'techn.Personal - Wirtschaftskr.'!$M$102)</f>
        <v/>
      </c>
      <c r="I52" s="531">
        <f>'techn.Personal - Wirtschaftskr.'!$G$137</f>
        <v>0</v>
      </c>
      <c r="J52" s="531">
        <f>'techn.Personal - Wirtschaftskr.'!$H$137</f>
        <v>0</v>
      </c>
      <c r="K52" s="531">
        <f>'techn.Personal - Wirtschaftskr.'!$O$137</f>
        <v>0</v>
      </c>
      <c r="L52" s="531">
        <f>'techn.Personal - Wirtschaftskr.'!$P$139+'techn.Personal - Wirtschaftskr.'!$P$141</f>
        <v>0</v>
      </c>
      <c r="M52" s="531">
        <f>'techn.Personal - Wirtschaftskr.'!$P$140</f>
        <v>0</v>
      </c>
      <c r="N52" s="531">
        <f>'techn.Personal - Wirtschaftskr.'!$P$142</f>
        <v>0</v>
      </c>
      <c r="O52" s="532">
        <f>'techn.Personal - Wirtschaftskr.'!$P$143</f>
        <v>0</v>
      </c>
      <c r="P52" s="533">
        <f t="shared" si="7"/>
        <v>0</v>
      </c>
    </row>
    <row r="53" spans="1:16" s="109" customFormat="1" ht="27.75" customHeight="1" x14ac:dyDescent="0.25">
      <c r="A53" s="525">
        <v>4</v>
      </c>
      <c r="B53" s="526" t="str">
        <f>IF('techn.Personal - Wirtschaftskr.'!$D$151="","",'techn.Personal - Wirtschaftskr.'!$D$151)</f>
        <v/>
      </c>
      <c r="C53" s="527" t="str">
        <f>IF('techn.Personal - Wirtschaftskr.'!$D$151="","",1)</f>
        <v/>
      </c>
      <c r="D53" s="587" t="str">
        <f>IF('techn.Personal - Wirtschaftskr.'!$D$155="","",'techn.Personal - Wirtschaftskr.'!$D$155)</f>
        <v/>
      </c>
      <c r="E53" s="526" t="str">
        <f>IF('techn.Personal - Wirtschaftskr.'!$D$153="","",'techn.Personal - Wirtschaftskr.'!$D$153)</f>
        <v/>
      </c>
      <c r="F53" s="529" t="str">
        <f>IF('techn.Personal - Wirtschaftskr.'!$M$155="","",'techn.Personal - Wirtschaftskr.'!$M$155)</f>
        <v/>
      </c>
      <c r="G53" s="526" t="str">
        <f>IF('techn.Personal - Wirtschaftskr.'!$D$152="","",'techn.Personal - Wirtschaftskr.'!$D$152)</f>
        <v/>
      </c>
      <c r="H53" s="530" t="str">
        <f>IF('techn.Personal - Wirtschaftskr.'!$M$150="","",'techn.Personal - Wirtschaftskr.'!$M$150)</f>
        <v/>
      </c>
      <c r="I53" s="531">
        <f>'techn.Personal - Wirtschaftskr.'!$G$185</f>
        <v>0</v>
      </c>
      <c r="J53" s="531">
        <f>'techn.Personal - Wirtschaftskr.'!$H$185</f>
        <v>0</v>
      </c>
      <c r="K53" s="531">
        <f>'techn.Personal - Wirtschaftskr.'!$O$185</f>
        <v>0</v>
      </c>
      <c r="L53" s="531">
        <f>'techn.Personal - Wirtschaftskr.'!$P$187+'techn.Personal - Wirtschaftskr.'!$P$189</f>
        <v>0</v>
      </c>
      <c r="M53" s="531">
        <f>'techn.Personal - Wirtschaftskr.'!$P$188</f>
        <v>0</v>
      </c>
      <c r="N53" s="531">
        <f>'techn.Personal - Wirtschaftskr.'!$P$190</f>
        <v>0</v>
      </c>
      <c r="O53" s="532">
        <f>'techn.Personal - Wirtschaftskr.'!$P$191</f>
        <v>0</v>
      </c>
      <c r="P53" s="533">
        <f t="shared" si="7"/>
        <v>0</v>
      </c>
    </row>
    <row r="54" spans="1:16" s="109" customFormat="1" ht="27.75" customHeight="1" thickBot="1" x14ac:dyDescent="0.3">
      <c r="A54" s="534">
        <v>5</v>
      </c>
      <c r="B54" s="535" t="str">
        <f>IF('techn.Personal - Wirtschaftskr.'!$D$199="","",'techn.Personal - Wirtschaftskr.'!$D$199)</f>
        <v/>
      </c>
      <c r="C54" s="536" t="str">
        <f>IF('techn.Personal - Wirtschaftskr.'!$D$199="","",1)</f>
        <v/>
      </c>
      <c r="D54" s="588" t="str">
        <f>IF('techn.Personal - Wirtschaftskr.'!$D$203="","",'techn.Personal - Wirtschaftskr.'!$D$203)</f>
        <v/>
      </c>
      <c r="E54" s="535" t="str">
        <f>IF('techn.Personal - Wirtschaftskr.'!$D$201="","",'techn.Personal - Wirtschaftskr.'!$D$201)</f>
        <v/>
      </c>
      <c r="F54" s="538" t="str">
        <f>IF('techn.Personal - Wirtschaftskr.'!$M$203="","",'techn.Personal - Wirtschaftskr.'!$M$203)</f>
        <v/>
      </c>
      <c r="G54" s="535" t="str">
        <f>IF('techn.Personal - Wirtschaftskr.'!$D$200="","",'techn.Personal - Wirtschaftskr.'!$D$200)</f>
        <v/>
      </c>
      <c r="H54" s="539" t="str">
        <f>IF('techn.Personal - Wirtschaftskr.'!$M$198="","",'techn.Personal - Wirtschaftskr.'!$M$198)</f>
        <v/>
      </c>
      <c r="I54" s="540">
        <f>'techn.Personal - Wirtschaftskr.'!$G$233</f>
        <v>0</v>
      </c>
      <c r="J54" s="540">
        <f>'techn.Personal - Wirtschaftskr.'!$H$233</f>
        <v>0</v>
      </c>
      <c r="K54" s="540">
        <f>'techn.Personal - Wirtschaftskr.'!$O$233</f>
        <v>0</v>
      </c>
      <c r="L54" s="540">
        <f>'techn.Personal - Wirtschaftskr.'!$P$235+'techn.Personal - Wirtschaftskr.'!$P$237</f>
        <v>0</v>
      </c>
      <c r="M54" s="540">
        <f>'techn.Personal - Wirtschaftskr.'!$P$236</f>
        <v>0</v>
      </c>
      <c r="N54" s="540">
        <f>'techn.Personal - Wirtschaftskr.'!$P$238</f>
        <v>0</v>
      </c>
      <c r="O54" s="541">
        <f>'techn.Personal - Wirtschaftskr.'!$P$239</f>
        <v>0</v>
      </c>
      <c r="P54" s="533">
        <f t="shared" si="7"/>
        <v>0</v>
      </c>
    </row>
    <row r="55" spans="1:16" s="109" customFormat="1" ht="27.75" hidden="1" customHeight="1" x14ac:dyDescent="0.25">
      <c r="A55" s="543">
        <v>1</v>
      </c>
      <c r="B55" s="544" t="str">
        <f>IF('techn.Personal - Wirtschaftskr.'!$D$247="","",'techn.Personal - Wirtschaftskr.'!$D$247)</f>
        <v/>
      </c>
      <c r="C55" s="545" t="str">
        <f>IF('techn.Personal - Wirtschaftskr.'!$D$247="","",1)</f>
        <v/>
      </c>
      <c r="D55" s="589" t="str">
        <f>IF('techn.Personal - Wirtschaftskr.'!$D$251="","",'techn.Personal - Wirtschaftskr.'!$D$251)</f>
        <v/>
      </c>
      <c r="E55" s="544" t="str">
        <f>IF('techn.Personal - Wirtschaftskr.'!$D$249="","",'techn.Personal - Wirtschaftskr.'!$D$249)</f>
        <v/>
      </c>
      <c r="F55" s="547" t="str">
        <f>IF('techn.Personal - Wirtschaftskr.'!$M$252="","",'techn.Personal - Wirtschaftskr.'!$M$252)</f>
        <v/>
      </c>
      <c r="G55" s="544" t="str">
        <f>IF('techn.Personal - Wirtschaftskr.'!$D$248="","",'techn.Personal - Wirtschaftskr.'!$D$248)</f>
        <v/>
      </c>
      <c r="H55" s="548" t="str">
        <f>IF('techn.Personal - Wirtschaftskr.'!$M$246="","",'techn.Personal - Wirtschaftskr.'!$M$246)</f>
        <v/>
      </c>
      <c r="I55" s="549">
        <f>'techn.Personal - Wirtschaftskr.'!$G$281+'techn.Personal - Wirtschaftskr.'!$N$281</f>
        <v>0</v>
      </c>
      <c r="J55" s="549">
        <f>'techn.Personal - Wirtschaftskr.'!$H$281</f>
        <v>0</v>
      </c>
      <c r="K55" s="549">
        <f>'techn.Personal - Wirtschaftskr.'!$O$281</f>
        <v>0</v>
      </c>
      <c r="L55" s="549">
        <f>'techn.Personal - Wirtschaftskr.'!$P$283+'techn.Personal - Wirtschaftskr.'!$P$285</f>
        <v>0</v>
      </c>
      <c r="M55" s="549">
        <f>'techn.Personal - Wirtschaftskr.'!$P$284</f>
        <v>0</v>
      </c>
      <c r="N55" s="549">
        <f>'techn.Personal - Wirtschaftskr.'!$P$286</f>
        <v>0</v>
      </c>
      <c r="O55" s="550">
        <f>'techn.Personal - Wirtschaftskr.'!$P$287</f>
        <v>0</v>
      </c>
      <c r="P55" s="533">
        <f t="shared" si="7"/>
        <v>0</v>
      </c>
    </row>
    <row r="56" spans="1:16" s="109" customFormat="1" ht="27.75" hidden="1" customHeight="1" x14ac:dyDescent="0.25">
      <c r="A56" s="525">
        <v>2</v>
      </c>
      <c r="B56" s="544" t="str">
        <f>IF('techn.Personal - Wirtschaftskr.'!$D$295="","",'techn.Personal - Wirtschaftskr.'!$D$295)</f>
        <v/>
      </c>
      <c r="C56" s="545" t="str">
        <f>IF('techn.Personal - Wirtschaftskr.'!$D$295="","",1)</f>
        <v/>
      </c>
      <c r="D56" s="589" t="str">
        <f>IF('techn.Personal - Wirtschaftskr.'!$D$299="","",'techn.Personal - Wirtschaftskr.'!$D$299)</f>
        <v/>
      </c>
      <c r="E56" s="544" t="str">
        <f>IF('techn.Personal - Wirtschaftskr.'!$D$297="","",'techn.Personal - Wirtschaftskr.'!$D$297)</f>
        <v/>
      </c>
      <c r="F56" s="547" t="str">
        <f>IF('techn.Personal - Wirtschaftskr.'!$M$300="","",'techn.Personal - Wirtschaftskr.'!$M$300)</f>
        <v/>
      </c>
      <c r="G56" s="544" t="str">
        <f>IF('techn.Personal - Wirtschaftskr.'!$D$296="","",'techn.Personal - Wirtschaftskr.'!$D$296)</f>
        <v/>
      </c>
      <c r="H56" s="548" t="str">
        <f>IF('techn.Personal - Wirtschaftskr.'!$M$294="","",'techn.Personal - Wirtschaftskr.'!$M$294)</f>
        <v/>
      </c>
      <c r="I56" s="549">
        <f>'techn.Personal - Wirtschaftskr.'!$G$329+'techn.Personal - Wirtschaftskr.'!$N$329</f>
        <v>0</v>
      </c>
      <c r="J56" s="549">
        <f>'techn.Personal - Wirtschaftskr.'!$H$329</f>
        <v>0</v>
      </c>
      <c r="K56" s="549">
        <f>'techn.Personal - Wirtschaftskr.'!$O$329</f>
        <v>0</v>
      </c>
      <c r="L56" s="549">
        <f>'techn.Personal - Wirtschaftskr.'!$P$331+'techn.Personal - Wirtschaftskr.'!$P$333</f>
        <v>0</v>
      </c>
      <c r="M56" s="549">
        <f>'techn.Personal - Wirtschaftskr.'!$P$332</f>
        <v>0</v>
      </c>
      <c r="N56" s="549">
        <f>'techn.Personal - Wirtschaftskr.'!$P$334</f>
        <v>0</v>
      </c>
      <c r="O56" s="550">
        <f>'techn.Personal - Wirtschaftskr.'!$P$335</f>
        <v>0</v>
      </c>
      <c r="P56" s="533">
        <f t="shared" si="7"/>
        <v>0</v>
      </c>
    </row>
    <row r="57" spans="1:16" s="109" customFormat="1" ht="27.75" customHeight="1" thickBot="1" x14ac:dyDescent="0.25">
      <c r="A57" s="552"/>
      <c r="B57" s="408" t="s">
        <v>595</v>
      </c>
      <c r="C57" s="553"/>
      <c r="D57" s="554">
        <f>IF(SUM(C50:C56)=0,0,SUM(C50:C56))</f>
        <v>0</v>
      </c>
      <c r="E57" s="408" t="s">
        <v>596</v>
      </c>
      <c r="F57" s="555">
        <f>SUM(F50:F56)</f>
        <v>0</v>
      </c>
      <c r="G57" s="556" t="str">
        <f>IF(Grundlagen!$C$23="","",Grundlagen!$C$23*25/100)</f>
        <v/>
      </c>
      <c r="H57" s="557" t="str">
        <f>IF(G57="","","h max.")</f>
        <v/>
      </c>
      <c r="I57" s="590">
        <f>SUM(I50:I56)</f>
        <v>0</v>
      </c>
      <c r="J57" s="590">
        <f t="shared" ref="J57:O57" si="8">SUM(J50:J56)</f>
        <v>0</v>
      </c>
      <c r="K57" s="590">
        <f t="shared" si="8"/>
        <v>0</v>
      </c>
      <c r="L57" s="585">
        <f t="shared" si="8"/>
        <v>0</v>
      </c>
      <c r="M57" s="585">
        <f t="shared" si="8"/>
        <v>0</v>
      </c>
      <c r="N57" s="590">
        <f t="shared" si="8"/>
        <v>0</v>
      </c>
      <c r="O57" s="591">
        <f t="shared" si="8"/>
        <v>0</v>
      </c>
      <c r="P57" s="561">
        <f>SUM(P50:P56)</f>
        <v>0</v>
      </c>
    </row>
    <row r="58" spans="1:16" s="87" customFormat="1" ht="27.75" customHeight="1" thickBot="1" x14ac:dyDescent="0.25">
      <c r="A58" s="572"/>
      <c r="B58" s="573"/>
      <c r="C58" s="553"/>
      <c r="D58" s="278"/>
      <c r="E58" s="565" t="s">
        <v>265</v>
      </c>
      <c r="F58" s="566">
        <f>IF(Grundlagen!$C$16="",0,F57/Grundlagen!$C$16)</f>
        <v>0</v>
      </c>
      <c r="G58" s="579"/>
      <c r="H58" s="580"/>
      <c r="I58" s="1130">
        <f>I57+J57+K57</f>
        <v>0</v>
      </c>
      <c r="J58" s="1131"/>
      <c r="K58" s="1132"/>
      <c r="L58" s="1130">
        <f>SUM(L57:M57)</f>
        <v>0</v>
      </c>
      <c r="M58" s="1132"/>
      <c r="N58" s="581"/>
      <c r="O58" s="581"/>
      <c r="P58" s="592"/>
    </row>
    <row r="59" spans="1:16" s="514" customFormat="1" hidden="1" x14ac:dyDescent="0.2">
      <c r="A59" s="552"/>
      <c r="B59" s="562"/>
      <c r="C59" s="582"/>
      <c r="D59" s="564"/>
      <c r="E59" s="562"/>
      <c r="F59" s="571"/>
      <c r="G59" s="562"/>
      <c r="H59" s="583"/>
      <c r="I59" s="593"/>
      <c r="J59" s="593"/>
      <c r="M59" s="523"/>
      <c r="N59" s="523"/>
      <c r="O59" s="523"/>
      <c r="P59" s="592"/>
    </row>
    <row r="60" spans="1:16" s="514" customFormat="1" hidden="1" x14ac:dyDescent="0.2">
      <c r="A60" s="570" t="s">
        <v>599</v>
      </c>
      <c r="B60" s="562"/>
      <c r="C60" s="582"/>
      <c r="D60" s="564"/>
      <c r="E60" s="562"/>
      <c r="F60" s="571"/>
      <c r="G60" s="562"/>
      <c r="H60" s="583"/>
      <c r="I60" s="594"/>
      <c r="J60" s="594"/>
      <c r="M60" s="523"/>
      <c r="N60" s="523"/>
      <c r="O60" s="523"/>
      <c r="P60" s="592"/>
    </row>
    <row r="61" spans="1:16" s="109" customFormat="1" ht="27.75" hidden="1" customHeight="1" x14ac:dyDescent="0.25">
      <c r="A61" s="525">
        <v>1</v>
      </c>
      <c r="B61" s="526" t="str">
        <f>IF('techn.Personal - Wirtschaftskr.'!$D$343="","",'techn.Personal - Wirtschaftskr.'!$D$343)</f>
        <v/>
      </c>
      <c r="C61" s="527" t="str">
        <f>IF('techn.Personal - Wirtschaftskr.'!$D$343="","",1)</f>
        <v/>
      </c>
      <c r="D61" s="587" t="str">
        <f>IF('techn.Personal - Wirtschaftskr.'!$D$347="","",'techn.Personal - Wirtschaftskr.'!$D$347)</f>
        <v/>
      </c>
      <c r="E61" s="526" t="str">
        <f>IF('techn.Personal - Wirtschaftskr.'!$D$345="","",'techn.Personal - Wirtschaftskr.'!$D$345)</f>
        <v/>
      </c>
      <c r="F61" s="529" t="str">
        <f>IF('techn.Personal - Wirtschaftskr.'!$M$348="","",'techn.Personal - Wirtschaftskr.'!$M$348)</f>
        <v/>
      </c>
      <c r="G61" s="526" t="str">
        <f>IF('techn.Personal - Wirtschaftskr.'!$D$344="","",'techn.Personal - Wirtschaftskr.'!$D$344)</f>
        <v/>
      </c>
      <c r="H61" s="530" t="str">
        <f>IF('techn.Personal - Wirtschaftskr.'!$M$342="","",'techn.Personal - Wirtschaftskr.'!$M$342)</f>
        <v/>
      </c>
      <c r="I61" s="531">
        <f>'techn.Personal - Wirtschaftskr.'!$G$377+'techn.Personal - Wirtschaftskr.'!$N$377</f>
        <v>0</v>
      </c>
      <c r="J61" s="531">
        <f>'techn.Personal - Wirtschaftskr.'!$H$377</f>
        <v>0</v>
      </c>
      <c r="K61" s="531">
        <f>'techn.Personal - Wirtschaftskr.'!$O$377</f>
        <v>0</v>
      </c>
      <c r="L61" s="531">
        <f>'techn.Personal - Wirtschaftskr.'!$P$379+'techn.Personal - Wirtschaftskr.'!$P$381</f>
        <v>0</v>
      </c>
      <c r="M61" s="531">
        <f>'techn.Personal - Wirtschaftskr.'!$P$380</f>
        <v>0</v>
      </c>
      <c r="N61" s="531">
        <f>'techn.Personal - Wirtschaftskr.'!$P$382</f>
        <v>0</v>
      </c>
      <c r="O61" s="532">
        <f>'techn.Personal - Wirtschaftskr.'!$P$383</f>
        <v>0</v>
      </c>
      <c r="P61" s="533">
        <f t="shared" si="7"/>
        <v>0</v>
      </c>
    </row>
    <row r="62" spans="1:16" s="109" customFormat="1" ht="27.75" hidden="1" customHeight="1" x14ac:dyDescent="0.25">
      <c r="A62" s="525">
        <v>2</v>
      </c>
      <c r="B62" s="544" t="str">
        <f>IF('techn.Personal - Wirtschaftskr.'!$D$391="","",'techn.Personal - Wirtschaftskr.'!$D$391)</f>
        <v/>
      </c>
      <c r="C62" s="545" t="str">
        <f>IF('techn.Personal - Wirtschaftskr.'!$D$391="","",1)</f>
        <v/>
      </c>
      <c r="D62" s="589" t="str">
        <f>IF('techn.Personal - Wirtschaftskr.'!$D$395="","",'techn.Personal - Wirtschaftskr.'!$D$395)</f>
        <v/>
      </c>
      <c r="E62" s="544" t="str">
        <f>IF('techn.Personal - Wirtschaftskr.'!$D$393="","",'techn.Personal - Wirtschaftskr.'!$D$393)</f>
        <v/>
      </c>
      <c r="F62" s="547" t="str">
        <f>IF('techn.Personal - Wirtschaftskr.'!$M$396="","",'techn.Personal - Wirtschaftskr.'!$M$396)</f>
        <v/>
      </c>
      <c r="G62" s="544" t="str">
        <f>IF('techn.Personal - Wirtschaftskr.'!$D$392="","",'techn.Personal - Wirtschaftskr.'!$D$392)</f>
        <v/>
      </c>
      <c r="H62" s="548" t="str">
        <f>IF('techn.Personal - Wirtschaftskr.'!$M$390="","",'techn.Personal - Wirtschaftskr.'!$M$390)</f>
        <v/>
      </c>
      <c r="I62" s="549">
        <f>'techn.Personal - Wirtschaftskr.'!$G$425+'techn.Personal - Wirtschaftskr.'!$N$425</f>
        <v>0</v>
      </c>
      <c r="J62" s="549">
        <f>'techn.Personal - Wirtschaftskr.'!$H$425</f>
        <v>0</v>
      </c>
      <c r="K62" s="549">
        <f>'techn.Personal - Wirtschaftskr.'!$O$425</f>
        <v>0</v>
      </c>
      <c r="L62" s="549">
        <f>'techn.Personal - Wirtschaftskr.'!$P$427+'techn.Personal - Wirtschaftskr.'!$P$429</f>
        <v>0</v>
      </c>
      <c r="M62" s="549">
        <f>'techn.Personal - Wirtschaftskr.'!$P$428</f>
        <v>0</v>
      </c>
      <c r="N62" s="549">
        <f>'techn.Personal - Wirtschaftskr.'!$P$430</f>
        <v>0</v>
      </c>
      <c r="O62" s="550">
        <f>'techn.Personal - Wirtschaftskr.'!$P$431</f>
        <v>0</v>
      </c>
      <c r="P62" s="533">
        <f t="shared" si="7"/>
        <v>0</v>
      </c>
    </row>
    <row r="63" spans="1:16" s="109" customFormat="1" ht="27.75" hidden="1" customHeight="1" x14ac:dyDescent="0.2">
      <c r="A63" s="552"/>
      <c r="B63" s="565" t="s">
        <v>595</v>
      </c>
      <c r="C63" s="595"/>
      <c r="D63" s="554">
        <f>IF(SUM(C61:C62)=0,0,SUM(C61:C62))</f>
        <v>0</v>
      </c>
      <c r="E63" s="565" t="s">
        <v>596</v>
      </c>
      <c r="F63" s="555">
        <f>SUM(F61:F62)</f>
        <v>0</v>
      </c>
      <c r="G63" s="233"/>
      <c r="H63" s="200"/>
      <c r="I63" s="585">
        <f t="shared" ref="I63:L63" si="9">SUM(I61:I62)</f>
        <v>0</v>
      </c>
      <c r="J63" s="585">
        <f t="shared" si="9"/>
        <v>0</v>
      </c>
      <c r="K63" s="585">
        <f t="shared" si="9"/>
        <v>0</v>
      </c>
      <c r="L63" s="585">
        <f t="shared" si="9"/>
        <v>0</v>
      </c>
      <c r="M63" s="585">
        <f>SUM(M61:M62)</f>
        <v>0</v>
      </c>
      <c r="N63" s="585">
        <f>SUM(N61:N62)</f>
        <v>0</v>
      </c>
      <c r="O63" s="586">
        <f>SUM(O61:O62)</f>
        <v>0</v>
      </c>
      <c r="P63" s="596">
        <f t="shared" si="7"/>
        <v>0</v>
      </c>
    </row>
    <row r="64" spans="1:16" s="87" customFormat="1" ht="27.75" hidden="1" customHeight="1" x14ac:dyDescent="0.2">
      <c r="A64" s="572"/>
      <c r="B64" s="277"/>
      <c r="C64" s="595"/>
      <c r="D64" s="278"/>
      <c r="E64" s="565" t="s">
        <v>265</v>
      </c>
      <c r="F64" s="566">
        <f>IF(Grundlagen!$C$16="",0,F63/Grundlagen!$C$16)</f>
        <v>0</v>
      </c>
      <c r="G64" s="597"/>
      <c r="H64" s="85"/>
      <c r="I64" s="1133"/>
      <c r="J64" s="1133"/>
      <c r="K64" s="1133"/>
      <c r="L64" s="1133"/>
      <c r="M64" s="1133"/>
      <c r="N64" s="1133"/>
      <c r="O64" s="1133"/>
      <c r="P64" s="598"/>
    </row>
    <row r="65" spans="1:16" s="514" customFormat="1" x14ac:dyDescent="0.2">
      <c r="A65" s="552"/>
      <c r="B65" s="562"/>
      <c r="C65" s="582"/>
      <c r="D65" s="564"/>
      <c r="E65" s="562"/>
      <c r="F65" s="571"/>
      <c r="G65" s="562"/>
      <c r="H65" s="583"/>
      <c r="I65" s="594"/>
      <c r="J65" s="594"/>
      <c r="K65" s="564"/>
      <c r="L65" s="564"/>
      <c r="M65" s="523"/>
      <c r="N65" s="523"/>
      <c r="O65" s="523"/>
      <c r="P65" s="524"/>
    </row>
    <row r="66" spans="1:16" s="514" customFormat="1" x14ac:dyDescent="0.2">
      <c r="A66" s="570" t="s">
        <v>709</v>
      </c>
      <c r="B66" s="562"/>
      <c r="C66" s="582"/>
      <c r="D66" s="564"/>
      <c r="E66" s="562"/>
      <c r="F66" s="571"/>
      <c r="G66" s="562"/>
      <c r="H66" s="583"/>
      <c r="I66" s="599"/>
      <c r="J66" s="599"/>
      <c r="M66" s="523"/>
      <c r="N66" s="523"/>
      <c r="O66" s="523"/>
      <c r="P66" s="524"/>
    </row>
    <row r="67" spans="1:16" s="109" customFormat="1" ht="27.75" customHeight="1" x14ac:dyDescent="0.25">
      <c r="A67" s="525">
        <v>1</v>
      </c>
      <c r="B67" s="526" t="str">
        <f>IF('techn.Personal - sonst.gering'!$D$7="","",'techn.Personal - sonst.gering'!$D$7)</f>
        <v/>
      </c>
      <c r="C67" s="527" t="str">
        <f>IF('techn.Personal - sonst.gering'!$D$7="","",1)</f>
        <v/>
      </c>
      <c r="D67" s="587" t="str">
        <f>IF('techn.Personal - sonst.gering'!$D$11="","",'techn.Personal - sonst.gering'!$D$11)</f>
        <v/>
      </c>
      <c r="E67" s="526" t="str">
        <f>IF('techn.Personal - sonst.gering'!$D$9="","",'techn.Personal - sonst.gering'!$D$9)</f>
        <v/>
      </c>
      <c r="F67" s="576" t="str">
        <f>IF('techn.Personal - sonst.gering'!$M$12="","",'techn.Personal - sonst.gering'!$M$12)</f>
        <v/>
      </c>
      <c r="G67" s="526" t="str">
        <f>IF('techn.Personal - sonst.gering'!$D$8="","",'techn.Personal - sonst.gering'!$D$8)</f>
        <v/>
      </c>
      <c r="H67" s="600"/>
      <c r="I67" s="531">
        <f>'techn.Personal - sonst.gering'!$G$41+'techn.Personal - sonst.gering'!$N$41</f>
        <v>0</v>
      </c>
      <c r="J67" s="531">
        <f>'techn.Personal - sonst.gering'!$H$41</f>
        <v>0</v>
      </c>
      <c r="K67" s="531">
        <f>'techn.Personal - sonst.gering'!$O$41</f>
        <v>0</v>
      </c>
      <c r="L67" s="531">
        <f>'techn.Personal - sonst.gering'!$P$43+'techn.Personal - sonst.gering'!$P$45</f>
        <v>0</v>
      </c>
      <c r="M67" s="531">
        <f>'techn.Personal - sonst.gering'!$P$44</f>
        <v>0</v>
      </c>
      <c r="N67" s="531">
        <f>'techn.Personal - sonst.gering'!$P$46</f>
        <v>0</v>
      </c>
      <c r="O67" s="532">
        <f>'techn.Personal - sonst.gering'!$P$47</f>
        <v>0</v>
      </c>
      <c r="P67" s="533">
        <f>SUM(I67:O67)</f>
        <v>0</v>
      </c>
    </row>
    <row r="68" spans="1:16" s="109" customFormat="1" ht="27.75" customHeight="1" x14ac:dyDescent="0.25">
      <c r="A68" s="525">
        <v>2</v>
      </c>
      <c r="B68" s="526" t="str">
        <f>IF('techn.Personal - sonst.gering'!$D$55="","",'techn.Personal - sonst.gering'!$D$55)</f>
        <v/>
      </c>
      <c r="C68" s="527" t="str">
        <f>IF('techn.Personal - sonst.gering'!$D$55="","",1)</f>
        <v/>
      </c>
      <c r="D68" s="587" t="str">
        <f>IF('techn.Personal - sonst.gering'!$D$59="","",'techn.Personal - sonst.gering'!$D$59)</f>
        <v/>
      </c>
      <c r="E68" s="526" t="str">
        <f>IF('techn.Personal - sonst.gering'!$D$57="","",'techn.Personal - sonst.gering'!$D$57)</f>
        <v/>
      </c>
      <c r="F68" s="576" t="str">
        <f>IF('techn.Personal - sonst.gering'!$M$60="","",'techn.Personal - sonst.gering'!$M$60)</f>
        <v/>
      </c>
      <c r="G68" s="526" t="str">
        <f>IF('techn.Personal - sonst.gering'!$D$56="","",'techn.Personal - sonst.gering'!$D$56)</f>
        <v/>
      </c>
      <c r="H68" s="600"/>
      <c r="I68" s="531">
        <f>'techn.Personal - sonst.gering'!$G$89+'techn.Personal - sonst.gering'!$N$89</f>
        <v>0</v>
      </c>
      <c r="J68" s="531">
        <f>'techn.Personal - sonst.gering'!$H$89</f>
        <v>0</v>
      </c>
      <c r="K68" s="531">
        <f>'techn.Personal - sonst.gering'!$O$89</f>
        <v>0</v>
      </c>
      <c r="L68" s="531">
        <f>'techn.Personal - sonst.gering'!$P$91+'techn.Personal - sonst.gering'!$P$93</f>
        <v>0</v>
      </c>
      <c r="M68" s="531">
        <f>'techn.Personal - sonst.gering'!$P$92</f>
        <v>0</v>
      </c>
      <c r="N68" s="531">
        <f>'techn.Personal - sonst.gering'!$P$94</f>
        <v>0</v>
      </c>
      <c r="O68" s="532">
        <f>'techn.Personal - sonst.gering'!$P$95</f>
        <v>0</v>
      </c>
      <c r="P68" s="533">
        <f>SUM(I68:O68)</f>
        <v>0</v>
      </c>
    </row>
    <row r="69" spans="1:16" s="109" customFormat="1" ht="27.75" customHeight="1" x14ac:dyDescent="0.25">
      <c r="A69" s="525">
        <v>3</v>
      </c>
      <c r="B69" s="526" t="str">
        <f>IF('techn.Personal - sonst.gering'!$D$103="","",'techn.Personal - sonst.gering'!$D$103)</f>
        <v/>
      </c>
      <c r="C69" s="527" t="str">
        <f>IF('techn.Personal - sonst.gering'!$D$103="","",1)</f>
        <v/>
      </c>
      <c r="D69" s="587" t="str">
        <f>IF('techn.Personal - sonst.gering'!$D$107="","",'techn.Personal - sonst.gering'!$D$107)</f>
        <v/>
      </c>
      <c r="E69" s="526" t="str">
        <f>IF('techn.Personal - sonst.gering'!$D$105="","",'techn.Personal - sonst.gering'!$D$105)</f>
        <v/>
      </c>
      <c r="F69" s="576" t="str">
        <f>IF('techn.Personal - sonst.gering'!$M$108="","",'techn.Personal - sonst.gering'!$M$108)</f>
        <v/>
      </c>
      <c r="G69" s="526" t="str">
        <f>IF('techn.Personal - sonst.gering'!$D$104="","",'techn.Personal - sonst.gering'!$D$104)</f>
        <v/>
      </c>
      <c r="H69" s="600"/>
      <c r="I69" s="531">
        <f>'techn.Personal - sonst.gering'!$G$137+'techn.Personal - sonst.gering'!$N$137</f>
        <v>0</v>
      </c>
      <c r="J69" s="531">
        <f>'techn.Personal - sonst.gering'!$H$137</f>
        <v>0</v>
      </c>
      <c r="K69" s="531">
        <f>'techn.Personal - sonst.gering'!$O$137</f>
        <v>0</v>
      </c>
      <c r="L69" s="531">
        <f>'techn.Personal - sonst.gering'!$P$139+'techn.Personal - sonst.gering'!$P$141</f>
        <v>0</v>
      </c>
      <c r="M69" s="531">
        <f>'techn.Personal - sonst.gering'!$P$140</f>
        <v>0</v>
      </c>
      <c r="N69" s="531">
        <f>'techn.Personal - sonst.gering'!$P$142</f>
        <v>0</v>
      </c>
      <c r="O69" s="532">
        <f>'techn.Personal - sonst.gering'!$P$143</f>
        <v>0</v>
      </c>
      <c r="P69" s="533">
        <f>SUM(I69:O69)</f>
        <v>0</v>
      </c>
    </row>
    <row r="70" spans="1:16" s="109" customFormat="1" ht="27.75" customHeight="1" x14ac:dyDescent="0.2">
      <c r="A70" s="552"/>
      <c r="B70" s="408" t="s">
        <v>595</v>
      </c>
      <c r="C70" s="553"/>
      <c r="D70" s="554">
        <f>IF(SUM(C67:C69)=0,0,SUM(C67:C69))</f>
        <v>0</v>
      </c>
      <c r="E70" s="408" t="s">
        <v>596</v>
      </c>
      <c r="F70" s="555">
        <f>SUM(F67:F69)</f>
        <v>0</v>
      </c>
      <c r="G70" s="240"/>
      <c r="I70" s="585">
        <f t="shared" ref="I70:L70" si="10">SUM(I67:I69)</f>
        <v>0</v>
      </c>
      <c r="J70" s="585">
        <f t="shared" si="10"/>
        <v>0</v>
      </c>
      <c r="K70" s="585">
        <f t="shared" si="10"/>
        <v>0</v>
      </c>
      <c r="L70" s="585">
        <f t="shared" si="10"/>
        <v>0</v>
      </c>
      <c r="M70" s="585">
        <f>SUM(M67:M69)</f>
        <v>0</v>
      </c>
      <c r="N70" s="585">
        <f>SUM(N67:N69)</f>
        <v>0</v>
      </c>
      <c r="O70" s="586">
        <f>SUM(O67:O69)</f>
        <v>0</v>
      </c>
      <c r="P70" s="561">
        <f>SUM(P67:P69)</f>
        <v>0</v>
      </c>
    </row>
    <row r="71" spans="1:16" s="87" customFormat="1" ht="27.75" customHeight="1" x14ac:dyDescent="0.2">
      <c r="A71" s="572"/>
      <c r="B71" s="573"/>
      <c r="C71" s="553"/>
      <c r="D71" s="278"/>
      <c r="E71" s="565" t="s">
        <v>265</v>
      </c>
      <c r="F71" s="566">
        <f>IF(Grundlagen!$C$16="",0,F70/Grundlagen!$C$16)</f>
        <v>0</v>
      </c>
      <c r="G71" s="574"/>
      <c r="I71" s="1133"/>
      <c r="J71" s="1133"/>
      <c r="K71" s="1133"/>
      <c r="L71" s="1133"/>
      <c r="M71" s="1133"/>
      <c r="N71" s="1133"/>
      <c r="O71" s="1133"/>
      <c r="P71" s="575"/>
    </row>
    <row r="72" spans="1:16" x14ac:dyDescent="0.2">
      <c r="I72" s="603"/>
      <c r="J72" s="603"/>
      <c r="K72" s="603"/>
      <c r="L72" s="603"/>
      <c r="M72" s="603"/>
      <c r="N72" s="603"/>
      <c r="O72" s="603"/>
    </row>
    <row r="73" spans="1:16" x14ac:dyDescent="0.2">
      <c r="I73" s="603"/>
      <c r="J73" s="603"/>
      <c r="K73" s="603"/>
      <c r="L73" s="603"/>
      <c r="M73" s="603"/>
      <c r="N73" s="603"/>
      <c r="O73" s="603"/>
    </row>
    <row r="74" spans="1:16" x14ac:dyDescent="0.2">
      <c r="I74" s="603"/>
      <c r="J74" s="603"/>
      <c r="K74" s="603"/>
      <c r="L74" s="603"/>
      <c r="M74" s="603"/>
      <c r="N74" s="603"/>
      <c r="O74" s="603"/>
    </row>
    <row r="75" spans="1:16" x14ac:dyDescent="0.2">
      <c r="I75" s="603"/>
      <c r="J75" s="603"/>
      <c r="K75" s="603"/>
      <c r="L75" s="603"/>
      <c r="M75" s="603"/>
      <c r="N75" s="603"/>
      <c r="O75" s="603"/>
    </row>
    <row r="76" spans="1:16" x14ac:dyDescent="0.2">
      <c r="I76" s="603"/>
      <c r="J76" s="603"/>
      <c r="K76" s="603"/>
      <c r="L76" s="603"/>
      <c r="M76" s="603"/>
      <c r="N76" s="603"/>
      <c r="O76" s="603"/>
    </row>
    <row r="77" spans="1:16" x14ac:dyDescent="0.2">
      <c r="I77" s="603"/>
      <c r="J77" s="603"/>
      <c r="K77" s="603"/>
      <c r="L77" s="603"/>
      <c r="M77" s="603"/>
      <c r="N77" s="603"/>
      <c r="O77" s="603"/>
    </row>
    <row r="78" spans="1:16" x14ac:dyDescent="0.2">
      <c r="I78" s="603"/>
      <c r="J78" s="603"/>
      <c r="K78" s="603"/>
      <c r="L78" s="603"/>
      <c r="M78" s="603"/>
      <c r="N78" s="603"/>
      <c r="O78" s="603"/>
    </row>
    <row r="79" spans="1:16" x14ac:dyDescent="0.2">
      <c r="I79" s="603"/>
      <c r="J79" s="603"/>
      <c r="K79" s="603"/>
      <c r="L79" s="603"/>
      <c r="M79" s="603"/>
      <c r="N79" s="603"/>
      <c r="O79" s="603"/>
    </row>
    <row r="80" spans="1:16" x14ac:dyDescent="0.2">
      <c r="I80" s="603"/>
      <c r="J80" s="603"/>
      <c r="K80" s="603"/>
      <c r="L80" s="603"/>
      <c r="M80" s="603"/>
      <c r="N80" s="603"/>
      <c r="O80" s="603"/>
    </row>
    <row r="81" spans="9:15" x14ac:dyDescent="0.2">
      <c r="I81" s="603"/>
      <c r="J81" s="603"/>
      <c r="K81" s="603"/>
      <c r="L81" s="603"/>
      <c r="M81" s="603"/>
      <c r="N81" s="603"/>
      <c r="O81" s="603"/>
    </row>
    <row r="82" spans="9:15" x14ac:dyDescent="0.2">
      <c r="I82" s="603"/>
      <c r="J82" s="603"/>
      <c r="K82" s="603"/>
      <c r="L82" s="603"/>
      <c r="M82" s="603"/>
      <c r="N82" s="603"/>
      <c r="O82" s="603"/>
    </row>
  </sheetData>
  <sheetProtection algorithmName="SHA-512" hashValue="7zHoDfJSRg8Nglt4mQi6eM1oaOiy4vKTL/t1xw70C/TF1SmY8ejOUGXe2qYkQteX0sz8m4onnPd5nbZGNmbtuQ==" saltValue="jno7D8z9cx4xFDU05uFmzA==" spinCount="100000" sheet="1" objects="1" scenarios="1"/>
  <mergeCells count="44">
    <mergeCell ref="I58:K58"/>
    <mergeCell ref="L58:M58"/>
    <mergeCell ref="I64:O64"/>
    <mergeCell ref="I71:O71"/>
    <mergeCell ref="I42:K42"/>
    <mergeCell ref="L42:M42"/>
    <mergeCell ref="I47:O47"/>
    <mergeCell ref="A14:H15"/>
    <mergeCell ref="I14:I15"/>
    <mergeCell ref="J14:J15"/>
    <mergeCell ref="I9:I12"/>
    <mergeCell ref="J9:J12"/>
    <mergeCell ref="B9:B12"/>
    <mergeCell ref="A48:H49"/>
    <mergeCell ref="I48:I49"/>
    <mergeCell ref="J48:J49"/>
    <mergeCell ref="I22:K22"/>
    <mergeCell ref="L22:M22"/>
    <mergeCell ref="I28:O28"/>
    <mergeCell ref="A29:H30"/>
    <mergeCell ref="I29:I30"/>
    <mergeCell ref="J29:J30"/>
    <mergeCell ref="A1:B1"/>
    <mergeCell ref="D1:E1"/>
    <mergeCell ref="A2:B2"/>
    <mergeCell ref="D2:I2"/>
    <mergeCell ref="A3:B3"/>
    <mergeCell ref="D3:I3"/>
    <mergeCell ref="A4:B4"/>
    <mergeCell ref="D4:I4"/>
    <mergeCell ref="A8:A12"/>
    <mergeCell ref="D8:D12"/>
    <mergeCell ref="E8:E12"/>
    <mergeCell ref="F8:F10"/>
    <mergeCell ref="G8:G12"/>
    <mergeCell ref="H8:H12"/>
    <mergeCell ref="I8:P8"/>
    <mergeCell ref="O9:O12"/>
    <mergeCell ref="P9:P12"/>
    <mergeCell ref="F11:F12"/>
    <mergeCell ref="K9:K12"/>
    <mergeCell ref="L9:L12"/>
    <mergeCell ref="M9:M12"/>
    <mergeCell ref="N9:N12"/>
  </mergeCells>
  <printOptions horizontalCentered="1"/>
  <pageMargins left="0" right="0.27559055118110237" top="0.98425196850393704" bottom="0.78740157480314965" header="0.19685039370078741" footer="0.19685039370078741"/>
  <pageSetup paperSize="9" scale="75" fitToHeight="0" orientation="landscape" r:id="rId1"/>
  <headerFooter>
    <oddHeader xml:space="preserve">&amp;L&amp;"Arial,Fett"&amp;22Salzlandkreis&amp;11
&amp;12Der Landrat&amp;C&amp;"Arial,Fett"
Personalbogen - technisches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1" manualBreakCount="1">
    <brk id="47"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92D050"/>
  </sheetPr>
  <dimension ref="A1:O165"/>
  <sheetViews>
    <sheetView showGridLines="0" view="pageLayout" zoomScaleNormal="100" workbookViewId="0">
      <selection activeCell="C1" sqref="C1"/>
    </sheetView>
  </sheetViews>
  <sheetFormatPr baseColWidth="10" defaultColWidth="11.42578125" defaultRowHeight="12.75" x14ac:dyDescent="0.25"/>
  <cols>
    <col min="1" max="1" width="5" style="412" customWidth="1"/>
    <col min="2" max="2" width="35.85546875" style="285" customWidth="1"/>
    <col min="3" max="3" width="14.140625" style="413" customWidth="1"/>
    <col min="4" max="4" width="15" style="391" customWidth="1"/>
    <col min="5" max="7" width="12" style="391" customWidth="1"/>
    <col min="8" max="10" width="9.42578125" style="109" customWidth="1"/>
    <col min="11" max="11" width="9.42578125" style="486" customWidth="1"/>
    <col min="12" max="15" width="9.42578125" style="109" hidden="1" customWidth="1"/>
    <col min="16" max="16384" width="11.42578125" style="109"/>
  </cols>
  <sheetData>
    <row r="1" spans="1:11" x14ac:dyDescent="0.25">
      <c r="A1" s="407"/>
      <c r="B1" s="408" t="s">
        <v>229</v>
      </c>
      <c r="C1" s="409">
        <f>IF(Grundlagen!C4="","",Grundlagen!C4)</f>
        <v>2025</v>
      </c>
      <c r="D1" s="410"/>
      <c r="E1" s="410"/>
      <c r="F1" s="410"/>
      <c r="I1" s="1157" t="s">
        <v>321</v>
      </c>
      <c r="J1" s="1157"/>
      <c r="K1" s="248" t="s">
        <v>322</v>
      </c>
    </row>
    <row r="2" spans="1:11" x14ac:dyDescent="0.25">
      <c r="A2" s="411"/>
      <c r="B2" s="320" t="s">
        <v>17</v>
      </c>
      <c r="C2" s="1158" t="str">
        <f>IF(Grundlagen!$C$6="","",Grundlagen!$C$6)</f>
        <v/>
      </c>
      <c r="D2" s="1158"/>
      <c r="E2" s="1158"/>
      <c r="F2" s="1158"/>
      <c r="G2" s="1151" t="s">
        <v>405</v>
      </c>
      <c r="H2" s="1151"/>
      <c r="I2" s="1152" t="str">
        <f>IF(Belegung!$N$84=0,"",Belegung!$N$84)</f>
        <v/>
      </c>
      <c r="J2" s="1152"/>
      <c r="K2" s="288" t="str">
        <f>IF(Grundlagen!$C$42=0,"",Grundlagen!$C$42)</f>
        <v/>
      </c>
    </row>
    <row r="3" spans="1:11" x14ac:dyDescent="0.25">
      <c r="A3" s="411"/>
      <c r="B3" s="320" t="s">
        <v>16</v>
      </c>
      <c r="C3" s="1158" t="str">
        <f>IF(Grundlagen!$C$9="","",Grundlagen!$C$9)</f>
        <v/>
      </c>
      <c r="D3" s="1158"/>
      <c r="E3" s="1158"/>
      <c r="F3" s="1158"/>
      <c r="G3" s="1151" t="s">
        <v>406</v>
      </c>
      <c r="H3" s="1151"/>
      <c r="I3" s="1152" t="str">
        <f>IF(Belegung!$N$96=0,"",Belegung!$N$96)</f>
        <v/>
      </c>
      <c r="J3" s="1152"/>
      <c r="K3" s="288" t="str">
        <f>IF(Grundlagen!$C$43=0,"",Grundlagen!$C$43)</f>
        <v/>
      </c>
    </row>
    <row r="4" spans="1:11" ht="12.75" customHeight="1" x14ac:dyDescent="0.25">
      <c r="G4" s="1151" t="s">
        <v>325</v>
      </c>
      <c r="H4" s="1151"/>
      <c r="I4" s="1152" t="str">
        <f>IF(Belegung!$N$110=0,"",Belegung!$N$110)</f>
        <v/>
      </c>
      <c r="J4" s="1152"/>
      <c r="K4" s="288" t="str">
        <f>IF(Grundlagen!$C$44=0,"",Grundlagen!$C$44)</f>
        <v/>
      </c>
    </row>
    <row r="5" spans="1:11" ht="12.75" customHeight="1" x14ac:dyDescent="0.25">
      <c r="A5" s="1153" t="s">
        <v>10</v>
      </c>
      <c r="B5" s="1153"/>
      <c r="C5" s="1153"/>
      <c r="D5" s="1153"/>
      <c r="E5" s="1154" t="s">
        <v>407</v>
      </c>
      <c r="F5" s="1154"/>
      <c r="G5" s="1155" t="s">
        <v>5</v>
      </c>
      <c r="H5" s="1155"/>
      <c r="I5" s="1156" t="str">
        <f>IF(SUM(I2:I4)=0,"",SUM(I2:I4))</f>
        <v/>
      </c>
      <c r="J5" s="1156"/>
      <c r="K5" s="292" t="str">
        <f>IF(SUM(K2:K4)=0,"",SUM(K2:K4))</f>
        <v/>
      </c>
    </row>
    <row r="6" spans="1:11" ht="12.75" customHeight="1" x14ac:dyDescent="0.25">
      <c r="A6" s="414"/>
      <c r="B6" s="414"/>
      <c r="C6" s="415"/>
      <c r="D6" s="416"/>
      <c r="E6" s="417"/>
      <c r="G6" s="1155" t="str">
        <f>'INTERN Kostenrechnung'!F1</f>
        <v>Erzieher/h</v>
      </c>
      <c r="H6" s="1155"/>
      <c r="I6" s="1159" t="str">
        <f>IF(I5="","",D23/I5)</f>
        <v/>
      </c>
      <c r="J6" s="1159"/>
      <c r="K6" s="418"/>
    </row>
    <row r="7" spans="1:11" ht="8.4499999999999993" customHeight="1" x14ac:dyDescent="0.25">
      <c r="A7" s="414"/>
      <c r="B7" s="414"/>
      <c r="E7" s="417"/>
      <c r="K7" s="109"/>
    </row>
    <row r="8" spans="1:11" ht="15" customHeight="1" x14ac:dyDescent="0.25">
      <c r="A8" s="1115" t="s">
        <v>275</v>
      </c>
      <c r="B8" s="1160" t="s">
        <v>328</v>
      </c>
      <c r="C8" s="419" t="s">
        <v>362</v>
      </c>
      <c r="D8" s="420" t="s">
        <v>408</v>
      </c>
      <c r="E8" s="1161" t="s">
        <v>409</v>
      </c>
      <c r="F8" s="1162"/>
      <c r="G8" s="1162"/>
      <c r="H8" s="1140" t="s">
        <v>410</v>
      </c>
      <c r="I8" s="1163"/>
      <c r="J8" s="1163"/>
      <c r="K8" s="1164"/>
    </row>
    <row r="9" spans="1:11" ht="12.75" customHeight="1" x14ac:dyDescent="0.25">
      <c r="A9" s="1116"/>
      <c r="B9" s="1160"/>
      <c r="C9" s="421" t="s">
        <v>411</v>
      </c>
      <c r="D9" s="422" t="s">
        <v>411</v>
      </c>
      <c r="E9" s="1165"/>
      <c r="F9" s="1166"/>
      <c r="G9" s="1166"/>
      <c r="H9" s="1167" t="s">
        <v>412</v>
      </c>
      <c r="I9" s="1168"/>
      <c r="J9" s="1168"/>
      <c r="K9" s="1169"/>
    </row>
    <row r="10" spans="1:11" ht="15" customHeight="1" x14ac:dyDescent="0.25">
      <c r="A10" s="1116"/>
      <c r="B10" s="1160"/>
      <c r="C10" s="1170" t="s">
        <v>413</v>
      </c>
      <c r="D10" s="1172" t="s">
        <v>689</v>
      </c>
      <c r="E10" s="423" t="s">
        <v>284</v>
      </c>
      <c r="F10" s="423" t="s">
        <v>286</v>
      </c>
      <c r="G10" s="424" t="s">
        <v>288</v>
      </c>
      <c r="H10" s="1167" t="s">
        <v>414</v>
      </c>
      <c r="I10" s="1168"/>
      <c r="J10" s="1168"/>
      <c r="K10" s="1169"/>
    </row>
    <row r="11" spans="1:11" ht="12.75" customHeight="1" x14ac:dyDescent="0.25">
      <c r="A11" s="1117"/>
      <c r="B11" s="1160"/>
      <c r="C11" s="1171"/>
      <c r="D11" s="1173"/>
      <c r="E11" s="1182" t="s">
        <v>415</v>
      </c>
      <c r="F11" s="1182"/>
      <c r="G11" s="1183"/>
      <c r="H11" s="1184"/>
      <c r="I11" s="1185"/>
      <c r="J11" s="1185"/>
      <c r="K11" s="1186"/>
    </row>
    <row r="12" spans="1:11" s="200" customFormat="1" ht="15" customHeight="1" x14ac:dyDescent="0.25">
      <c r="A12" s="425"/>
      <c r="B12" s="232"/>
      <c r="C12" s="426"/>
      <c r="D12" s="427"/>
      <c r="E12" s="428"/>
      <c r="F12" s="428"/>
      <c r="G12" s="428"/>
      <c r="H12" s="429"/>
      <c r="I12" s="429"/>
      <c r="J12" s="429"/>
      <c r="K12" s="430"/>
    </row>
    <row r="13" spans="1:11" ht="21.75" customHeight="1" x14ac:dyDescent="0.25">
      <c r="A13" s="353" t="s">
        <v>313</v>
      </c>
      <c r="B13" s="431" t="s">
        <v>270</v>
      </c>
      <c r="C13" s="432"/>
      <c r="D13" s="433"/>
      <c r="E13" s="433"/>
      <c r="F13" s="433"/>
      <c r="G13" s="433"/>
      <c r="H13" s="1187"/>
      <c r="I13" s="1188"/>
      <c r="J13" s="1188"/>
      <c r="K13" s="1189"/>
    </row>
    <row r="14" spans="1:11" ht="15" x14ac:dyDescent="0.25">
      <c r="A14" s="353" t="s">
        <v>416</v>
      </c>
      <c r="B14" s="434" t="s">
        <v>417</v>
      </c>
      <c r="C14" s="435"/>
      <c r="D14" s="436"/>
      <c r="E14" s="433"/>
      <c r="F14" s="433"/>
      <c r="G14" s="433"/>
      <c r="H14" s="1187"/>
      <c r="I14" s="1188"/>
      <c r="J14" s="1188"/>
      <c r="K14" s="1189"/>
    </row>
    <row r="15" spans="1:11" ht="39.75" customHeight="1" x14ac:dyDescent="0.25">
      <c r="A15" s="356" t="s">
        <v>418</v>
      </c>
      <c r="B15" s="437" t="s">
        <v>650</v>
      </c>
      <c r="C15" s="438"/>
      <c r="D15" s="439">
        <f>'päd Personal'!J58+'päd Personal'!J70</f>
        <v>0</v>
      </c>
      <c r="E15" s="440" t="str">
        <f>IF($D15="","",(IF($K$2="","",$D15/$I$5*$I2)))</f>
        <v/>
      </c>
      <c r="F15" s="440" t="str">
        <f t="shared" ref="F15:F22" si="0">IF($D15="","",(IF($K$3="","",$D15/$I$5*$I$3)))</f>
        <v/>
      </c>
      <c r="G15" s="440" t="str">
        <f t="shared" ref="G15:G22" si="1">IF($D15="","",(IF($K$4="","",$D15/$I$5*$I$4)))</f>
        <v/>
      </c>
      <c r="H15" s="1190"/>
      <c r="I15" s="1191"/>
      <c r="J15" s="1191"/>
      <c r="K15" s="1192"/>
    </row>
    <row r="16" spans="1:11" ht="26.25" customHeight="1" x14ac:dyDescent="0.25">
      <c r="A16" s="356" t="s">
        <v>419</v>
      </c>
      <c r="B16" s="437" t="s">
        <v>651</v>
      </c>
      <c r="C16" s="438"/>
      <c r="D16" s="439">
        <f>'päd Personal'!J19</f>
        <v>0</v>
      </c>
      <c r="E16" s="440" t="str">
        <f t="shared" ref="E16:E22" si="2">IF($D16="","",(IF($K$2="","",$D16/$I$5*$I$2)))</f>
        <v/>
      </c>
      <c r="F16" s="440" t="str">
        <f t="shared" si="0"/>
        <v/>
      </c>
      <c r="G16" s="440" t="str">
        <f t="shared" si="1"/>
        <v/>
      </c>
      <c r="H16" s="1193"/>
      <c r="I16" s="1194"/>
      <c r="J16" s="1194"/>
      <c r="K16" s="1195"/>
    </row>
    <row r="17" spans="1:15" ht="15" customHeight="1" x14ac:dyDescent="0.25">
      <c r="A17" s="356" t="s">
        <v>420</v>
      </c>
      <c r="B17" s="437" t="s">
        <v>421</v>
      </c>
      <c r="C17" s="438"/>
      <c r="D17" s="439">
        <f>'päd Personal'!O18+'päd Personal'!O57+'päd Personal'!O69+'päd Personal'!O110</f>
        <v>0</v>
      </c>
      <c r="E17" s="440" t="str">
        <f t="shared" si="2"/>
        <v/>
      </c>
      <c r="F17" s="440" t="str">
        <f t="shared" si="0"/>
        <v/>
      </c>
      <c r="G17" s="440" t="str">
        <f t="shared" si="1"/>
        <v/>
      </c>
      <c r="H17" s="1174"/>
      <c r="I17" s="1175"/>
      <c r="J17" s="1175"/>
      <c r="K17" s="1176"/>
    </row>
    <row r="18" spans="1:15" ht="25.5" x14ac:dyDescent="0.25">
      <c r="A18" s="356" t="s">
        <v>422</v>
      </c>
      <c r="B18" s="437" t="s">
        <v>423</v>
      </c>
      <c r="C18" s="438"/>
      <c r="D18" s="439">
        <f>'päd Personal'!M18+'päd Personal'!N18+'päd Personal'!M57+'päd Personal'!N57+'päd Personal'!M69+'päd Personal'!N69+'päd Personal'!M110+'päd Personal'!N110</f>
        <v>0</v>
      </c>
      <c r="E18" s="440" t="str">
        <f t="shared" si="2"/>
        <v/>
      </c>
      <c r="F18" s="440" t="str">
        <f t="shared" si="0"/>
        <v/>
      </c>
      <c r="G18" s="440" t="str">
        <f t="shared" si="1"/>
        <v/>
      </c>
      <c r="H18" s="1174"/>
      <c r="I18" s="1175"/>
      <c r="J18" s="1175"/>
      <c r="K18" s="1176"/>
    </row>
    <row r="19" spans="1:15" ht="15" customHeight="1" x14ac:dyDescent="0.25">
      <c r="A19" s="892" t="s">
        <v>424</v>
      </c>
      <c r="B19" s="867" t="s">
        <v>702</v>
      </c>
      <c r="C19" s="438"/>
      <c r="D19" s="439">
        <f>'päd Personal'!P18+'päd Personal'!P57+'päd Personal'!P69+'päd Personal'!P110</f>
        <v>0</v>
      </c>
      <c r="E19" s="440" t="str">
        <f>IF($D19="","",(IF($K$2="","",$D19/$I$5*$I$2)))</f>
        <v/>
      </c>
      <c r="F19" s="440" t="str">
        <f>IF($D19="","",(IF($K$3="","",$D19/$I$5*$I$3)))</f>
        <v/>
      </c>
      <c r="G19" s="440" t="str">
        <f>IF($D19="","",(IF($K$4="","",$D19/$I$5*$I$4)))</f>
        <v/>
      </c>
      <c r="H19" s="1174"/>
      <c r="I19" s="1177"/>
      <c r="J19" s="1177"/>
      <c r="K19" s="1178"/>
    </row>
    <row r="20" spans="1:15" ht="15" customHeight="1" x14ac:dyDescent="0.25">
      <c r="A20" s="892" t="s">
        <v>425</v>
      </c>
      <c r="B20" s="437" t="s">
        <v>426</v>
      </c>
      <c r="C20" s="438"/>
      <c r="D20" s="438"/>
      <c r="E20" s="440" t="str">
        <f>IF($D20="","",(IF($K$2="","",$D20/$I$5*$I$2)))</f>
        <v/>
      </c>
      <c r="F20" s="440" t="str">
        <f>IF($D20="","",(IF($K$3="","",$D20/$I$5*$I$3)))</f>
        <v/>
      </c>
      <c r="G20" s="440" t="str">
        <f>IF($D20="","",(IF($K$4="","",$D20/$I$5*$I$4)))</f>
        <v/>
      </c>
      <c r="H20" s="1174"/>
      <c r="I20" s="1175"/>
      <c r="J20" s="1175"/>
      <c r="K20" s="1176"/>
    </row>
    <row r="21" spans="1:15" ht="15" customHeight="1" x14ac:dyDescent="0.25">
      <c r="A21" s="892" t="s">
        <v>427</v>
      </c>
      <c r="B21" s="437" t="s">
        <v>703</v>
      </c>
      <c r="C21" s="438"/>
      <c r="D21" s="438"/>
      <c r="E21" s="440" t="str">
        <f>IF($D21="","",(IF($K$2="","",$D21/$I$5*$I$2)))</f>
        <v/>
      </c>
      <c r="F21" s="440" t="str">
        <f>IF($D21="","",(IF($K$3="","",$D21/$I$5*$I$3)))</f>
        <v/>
      </c>
      <c r="G21" s="440" t="str">
        <f>IF($D21="","",(IF($K$4="","",$D21/$I$5*$I$4)))</f>
        <v/>
      </c>
      <c r="H21" s="1179"/>
      <c r="I21" s="1180"/>
      <c r="J21" s="1180"/>
      <c r="K21" s="1181"/>
    </row>
    <row r="22" spans="1:15" ht="15" customHeight="1" x14ac:dyDescent="0.25">
      <c r="A22" s="356" t="s">
        <v>428</v>
      </c>
      <c r="B22" s="441" t="str">
        <f>('INTERN Personalstunden'!$D$59)</f>
        <v>abzüglich/zuzüglich Personalkostenüberhang/-defizit</v>
      </c>
      <c r="C22" s="438"/>
      <c r="D22" s="442">
        <f>'INTERN Personalstunden'!$E$59</f>
        <v>0</v>
      </c>
      <c r="E22" s="440" t="str">
        <f t="shared" si="2"/>
        <v/>
      </c>
      <c r="F22" s="440" t="str">
        <f t="shared" si="0"/>
        <v/>
      </c>
      <c r="G22" s="440" t="str">
        <f t="shared" si="1"/>
        <v/>
      </c>
      <c r="H22" s="1174"/>
      <c r="I22" s="1175"/>
      <c r="J22" s="1175"/>
      <c r="K22" s="1176"/>
    </row>
    <row r="23" spans="1:15" ht="15" customHeight="1" x14ac:dyDescent="0.25">
      <c r="A23" s="443"/>
      <c r="B23" s="444" t="s">
        <v>1</v>
      </c>
      <c r="C23" s="445">
        <f>SUM(C15:C22)</f>
        <v>0</v>
      </c>
      <c r="D23" s="445">
        <f>SUM(D15:D22)</f>
        <v>0</v>
      </c>
      <c r="E23" s="446">
        <f>SUM(E15:E22)</f>
        <v>0</v>
      </c>
      <c r="F23" s="446">
        <f>SUM(F15:F22)</f>
        <v>0</v>
      </c>
      <c r="G23" s="446">
        <f>SUM(G15:G22)</f>
        <v>0</v>
      </c>
      <c r="H23" s="1196"/>
      <c r="I23" s="1188"/>
      <c r="J23" s="1188"/>
      <c r="K23" s="1189"/>
    </row>
    <row r="25" spans="1:15" ht="21.75" customHeight="1" x14ac:dyDescent="0.25">
      <c r="A25" s="353" t="s">
        <v>297</v>
      </c>
      <c r="B25" s="431" t="s">
        <v>310</v>
      </c>
      <c r="C25" s="432"/>
      <c r="D25" s="433"/>
      <c r="E25" s="433"/>
      <c r="F25" s="433"/>
      <c r="G25" s="433"/>
      <c r="H25" s="1187"/>
      <c r="I25" s="1188"/>
      <c r="J25" s="1188"/>
      <c r="K25" s="1189"/>
    </row>
    <row r="26" spans="1:15" ht="15" x14ac:dyDescent="0.25">
      <c r="A26" s="353" t="s">
        <v>429</v>
      </c>
      <c r="B26" s="434" t="s">
        <v>310</v>
      </c>
      <c r="C26" s="435"/>
      <c r="D26" s="436"/>
      <c r="E26" s="453"/>
      <c r="F26" s="453"/>
      <c r="G26" s="453"/>
      <c r="H26" s="1187"/>
      <c r="I26" s="1188"/>
      <c r="J26" s="1188"/>
      <c r="K26" s="1189"/>
    </row>
    <row r="27" spans="1:15" ht="12.75" customHeight="1" x14ac:dyDescent="0.25">
      <c r="A27" s="1197" t="s">
        <v>430</v>
      </c>
      <c r="B27" s="1199" t="s">
        <v>431</v>
      </c>
      <c r="C27" s="1201"/>
      <c r="D27" s="1203">
        <f>SUM(E27:G28)</f>
        <v>0</v>
      </c>
      <c r="E27" s="1205" t="str">
        <f>IF($K$2="","",H28*$K$2)</f>
        <v/>
      </c>
      <c r="F27" s="1205" t="str">
        <f>IF($K$3="","",I28*$K$3)</f>
        <v/>
      </c>
      <c r="G27" s="1205" t="str">
        <f>IF($K$4="","",J28*$K$4)</f>
        <v/>
      </c>
      <c r="H27" s="454" t="s">
        <v>284</v>
      </c>
      <c r="I27" s="454" t="s">
        <v>286</v>
      </c>
      <c r="J27" s="454" t="s">
        <v>288</v>
      </c>
      <c r="K27" s="1213"/>
      <c r="L27" s="454" t="s">
        <v>284</v>
      </c>
      <c r="M27" s="454" t="s">
        <v>286</v>
      </c>
      <c r="N27" s="454" t="s">
        <v>288</v>
      </c>
      <c r="O27" s="1240"/>
    </row>
    <row r="28" spans="1:15" ht="12.75" customHeight="1" x14ac:dyDescent="0.25">
      <c r="A28" s="1198"/>
      <c r="B28" s="1200"/>
      <c r="C28" s="1202"/>
      <c r="D28" s="1204"/>
      <c r="E28" s="1206"/>
      <c r="F28" s="1206"/>
      <c r="G28" s="1206"/>
      <c r="H28" s="455">
        <f>L28/12*Grundlagen!C26</f>
        <v>0</v>
      </c>
      <c r="I28" s="455">
        <f>M28/12*Grundlagen!C26</f>
        <v>0</v>
      </c>
      <c r="J28" s="455">
        <f>N28/12*Grundlagen!C26</f>
        <v>0</v>
      </c>
      <c r="K28" s="1214"/>
      <c r="L28" s="884">
        <v>54</v>
      </c>
      <c r="M28" s="884">
        <v>54</v>
      </c>
      <c r="N28" s="884">
        <v>37</v>
      </c>
      <c r="O28" s="1241"/>
    </row>
    <row r="29" spans="1:15" s="456" customFormat="1" ht="12.75" customHeight="1" x14ac:dyDescent="0.25">
      <c r="A29" s="1197" t="s">
        <v>432</v>
      </c>
      <c r="B29" s="1216" t="s">
        <v>433</v>
      </c>
      <c r="C29" s="1201"/>
      <c r="D29" s="1220">
        <f>IF(SUM(K2:K4)=0,0,IF(K4=K5,IF(K4&lt;100.999,J31,K31),IF(K5&lt;100.999,H31,I31)))</f>
        <v>0</v>
      </c>
      <c r="E29" s="1223" t="str">
        <f>IF($K$2="","",$D$29/$K$5*$K$2)</f>
        <v/>
      </c>
      <c r="F29" s="1223" t="str">
        <f>IF($K$3="","",$D$29/$K$5*$K$3)</f>
        <v/>
      </c>
      <c r="G29" s="1223" t="str">
        <f>IF($K$4="","",$D$29/$K$5*$K$4)</f>
        <v/>
      </c>
      <c r="H29" s="1226" t="s">
        <v>434</v>
      </c>
      <c r="I29" s="1227"/>
      <c r="J29" s="1228" t="s">
        <v>435</v>
      </c>
      <c r="K29" s="1227"/>
      <c r="L29" s="1226" t="s">
        <v>434</v>
      </c>
      <c r="M29" s="1227"/>
      <c r="N29" s="1228" t="s">
        <v>435</v>
      </c>
      <c r="O29" s="1227"/>
    </row>
    <row r="30" spans="1:15" s="456" customFormat="1" ht="12.75" customHeight="1" x14ac:dyDescent="0.25">
      <c r="A30" s="1215"/>
      <c r="B30" s="1217"/>
      <c r="C30" s="1219"/>
      <c r="D30" s="1221"/>
      <c r="E30" s="1224"/>
      <c r="F30" s="1224"/>
      <c r="G30" s="1224"/>
      <c r="H30" s="457" t="s">
        <v>436</v>
      </c>
      <c r="I30" s="457" t="s">
        <v>437</v>
      </c>
      <c r="J30" s="457" t="s">
        <v>436</v>
      </c>
      <c r="K30" s="458" t="s">
        <v>437</v>
      </c>
      <c r="L30" s="457" t="s">
        <v>436</v>
      </c>
      <c r="M30" s="457" t="s">
        <v>437</v>
      </c>
      <c r="N30" s="457" t="s">
        <v>436</v>
      </c>
      <c r="O30" s="458" t="s">
        <v>437</v>
      </c>
    </row>
    <row r="31" spans="1:15" s="456" customFormat="1" ht="12.75" customHeight="1" x14ac:dyDescent="0.25">
      <c r="A31" s="1198"/>
      <c r="B31" s="1218"/>
      <c r="C31" s="1202"/>
      <c r="D31" s="1222"/>
      <c r="E31" s="1225"/>
      <c r="F31" s="1225"/>
      <c r="G31" s="1225"/>
      <c r="H31" s="459">
        <f>L31/12*Grundlagen!C26</f>
        <v>0</v>
      </c>
      <c r="I31" s="459">
        <f>M31/12*Grundlagen!C26</f>
        <v>0</v>
      </c>
      <c r="J31" s="459">
        <f>N31/12*Grundlagen!C26</f>
        <v>0</v>
      </c>
      <c r="K31" s="460">
        <f>O31/12*Grundlagen!C26</f>
        <v>0</v>
      </c>
      <c r="L31" s="885">
        <v>1500</v>
      </c>
      <c r="M31" s="885">
        <v>2000</v>
      </c>
      <c r="N31" s="885">
        <v>1250</v>
      </c>
      <c r="O31" s="886">
        <v>1500</v>
      </c>
    </row>
    <row r="32" spans="1:15" ht="15" customHeight="1" x14ac:dyDescent="0.25">
      <c r="A32" s="443"/>
      <c r="B32" s="444" t="s">
        <v>1</v>
      </c>
      <c r="C32" s="445">
        <f>SUM(C27:C31)</f>
        <v>0</v>
      </c>
      <c r="D32" s="445">
        <f>SUM(D27:D31)</f>
        <v>0</v>
      </c>
      <c r="E32" s="446">
        <f>SUM(E27:E31)</f>
        <v>0</v>
      </c>
      <c r="F32" s="446">
        <f>SUM(F27:F31)</f>
        <v>0</v>
      </c>
      <c r="G32" s="446">
        <f>SUM(G27:G31)</f>
        <v>0</v>
      </c>
      <c r="H32" s="1207"/>
      <c r="I32" s="1208"/>
      <c r="J32" s="1208"/>
      <c r="K32" s="1209"/>
    </row>
    <row r="33" spans="1:11" s="200" customFormat="1" ht="15" customHeight="1" x14ac:dyDescent="0.25">
      <c r="A33" s="447"/>
      <c r="B33" s="448"/>
      <c r="C33" s="449"/>
      <c r="D33" s="450"/>
      <c r="E33" s="450"/>
      <c r="F33" s="451"/>
      <c r="G33" s="451"/>
      <c r="H33" s="452"/>
      <c r="I33" s="452"/>
      <c r="J33" s="452"/>
      <c r="K33" s="430"/>
    </row>
    <row r="34" spans="1:11" ht="15" x14ac:dyDescent="0.25">
      <c r="A34" s="353" t="s">
        <v>438</v>
      </c>
      <c r="B34" s="434" t="s">
        <v>439</v>
      </c>
      <c r="C34" s="435"/>
      <c r="D34" s="436"/>
      <c r="E34" s="433"/>
      <c r="F34" s="433"/>
      <c r="G34" s="433"/>
      <c r="H34" s="1210"/>
      <c r="I34" s="1208"/>
      <c r="J34" s="1208"/>
      <c r="K34" s="1209"/>
    </row>
    <row r="35" spans="1:11" ht="24" customHeight="1" x14ac:dyDescent="0.25">
      <c r="A35" s="356" t="s">
        <v>440</v>
      </c>
      <c r="B35" s="461" t="s">
        <v>441</v>
      </c>
      <c r="C35" s="462"/>
      <c r="D35" s="463"/>
      <c r="E35" s="440" t="str">
        <f>IF($K$2="","",$D$35/$K$5*$K$2)</f>
        <v/>
      </c>
      <c r="F35" s="440" t="str">
        <f>IF($K$3="","",$D$35/$K$5*$K$3)</f>
        <v/>
      </c>
      <c r="G35" s="440" t="str">
        <f>IF($K$4="","",$D$35/$K$5*$K$4)</f>
        <v/>
      </c>
      <c r="H35" s="1174"/>
      <c r="I35" s="1175"/>
      <c r="J35" s="1175"/>
      <c r="K35" s="1176"/>
    </row>
    <row r="36" spans="1:11" ht="15" customHeight="1" x14ac:dyDescent="0.25">
      <c r="A36" s="356" t="s">
        <v>442</v>
      </c>
      <c r="B36" s="461" t="s">
        <v>443</v>
      </c>
      <c r="C36" s="462"/>
      <c r="D36" s="463"/>
      <c r="E36" s="440" t="str">
        <f>IF($K$2="","",$D$36/$K$5*$K$2)</f>
        <v/>
      </c>
      <c r="F36" s="440" t="str">
        <f>IF($K$3="","",$D$36/$K$5*$K$3)</f>
        <v/>
      </c>
      <c r="G36" s="440" t="str">
        <f>IF($K$4="","",$D$36/$K$5*$K$4)</f>
        <v/>
      </c>
      <c r="H36" s="1174"/>
      <c r="I36" s="1177"/>
      <c r="J36" s="1177"/>
      <c r="K36" s="1178"/>
    </row>
    <row r="37" spans="1:11" ht="15" customHeight="1" x14ac:dyDescent="0.25">
      <c r="A37" s="443"/>
      <c r="B37" s="444" t="s">
        <v>1</v>
      </c>
      <c r="C37" s="445">
        <f>SUM(C35:C36)</f>
        <v>0</v>
      </c>
      <c r="D37" s="445">
        <f>SUM(D35:D36)</f>
        <v>0</v>
      </c>
      <c r="E37" s="446">
        <f>SUM(E35:E36)</f>
        <v>0</v>
      </c>
      <c r="F37" s="446">
        <f>SUM(F35:F36)</f>
        <v>0</v>
      </c>
      <c r="G37" s="446">
        <f>SUM(G35:G36)</f>
        <v>0</v>
      </c>
      <c r="H37" s="1207"/>
      <c r="I37" s="1211"/>
      <c r="J37" s="1211"/>
      <c r="K37" s="1212"/>
    </row>
    <row r="38" spans="1:11" s="200" customFormat="1" ht="15" customHeight="1" x14ac:dyDescent="0.25">
      <c r="A38" s="447"/>
      <c r="B38" s="448"/>
      <c r="C38" s="449"/>
      <c r="D38" s="450"/>
      <c r="E38" s="450"/>
      <c r="F38" s="451"/>
      <c r="G38" s="451"/>
      <c r="H38" s="452"/>
      <c r="I38" s="452"/>
      <c r="J38" s="452"/>
      <c r="K38" s="430"/>
    </row>
    <row r="39" spans="1:11" ht="21.75" customHeight="1" x14ac:dyDescent="0.25">
      <c r="A39" s="353" t="s">
        <v>298</v>
      </c>
      <c r="B39" s="431" t="s">
        <v>444</v>
      </c>
      <c r="C39" s="432"/>
      <c r="D39" s="433"/>
      <c r="E39" s="433"/>
      <c r="F39" s="433"/>
      <c r="G39" s="433"/>
      <c r="H39" s="1187"/>
      <c r="I39" s="1188"/>
      <c r="J39" s="1188"/>
      <c r="K39" s="1189"/>
    </row>
    <row r="40" spans="1:11" ht="25.5" x14ac:dyDescent="0.25">
      <c r="A40" s="353" t="s">
        <v>445</v>
      </c>
      <c r="B40" s="434" t="s">
        <v>446</v>
      </c>
      <c r="C40" s="435"/>
      <c r="D40" s="436"/>
      <c r="E40" s="433"/>
      <c r="F40" s="433"/>
      <c r="G40" s="433"/>
      <c r="H40" s="1231"/>
      <c r="I40" s="1232"/>
      <c r="J40" s="1232"/>
      <c r="K40" s="1233"/>
    </row>
    <row r="41" spans="1:11" ht="26.25" customHeight="1" x14ac:dyDescent="0.25">
      <c r="A41" s="356" t="s">
        <v>447</v>
      </c>
      <c r="B41" s="437" t="s">
        <v>652</v>
      </c>
      <c r="C41" s="438"/>
      <c r="D41" s="439">
        <f>'techn Personal'!I22</f>
        <v>0</v>
      </c>
      <c r="E41" s="440" t="str">
        <f>IF($K$2="","",D41/$K$5*$K$2)</f>
        <v/>
      </c>
      <c r="F41" s="440" t="str">
        <f t="shared" ref="F41:F43" si="3">IF($K$3="","",D41/$K$5*$K$3)</f>
        <v/>
      </c>
      <c r="G41" s="440" t="str">
        <f t="shared" ref="G41:G43" si="4">IF($K$4="","",D41/$K$5*$K$4)</f>
        <v/>
      </c>
      <c r="H41" s="1174"/>
      <c r="I41" s="1175"/>
      <c r="J41" s="1175"/>
      <c r="K41" s="1176"/>
    </row>
    <row r="42" spans="1:11" ht="15" customHeight="1" x14ac:dyDescent="0.25">
      <c r="A42" s="356" t="s">
        <v>448</v>
      </c>
      <c r="B42" s="461" t="s">
        <v>421</v>
      </c>
      <c r="C42" s="462"/>
      <c r="D42" s="440">
        <f>'techn Personal'!N21</f>
        <v>0</v>
      </c>
      <c r="E42" s="440" t="str">
        <f t="shared" ref="E42:E43" si="5">IF($K$2="","",D42/$K$5*$K$2)</f>
        <v/>
      </c>
      <c r="F42" s="440" t="str">
        <f t="shared" si="3"/>
        <v/>
      </c>
      <c r="G42" s="440" t="str">
        <f t="shared" si="4"/>
        <v/>
      </c>
      <c r="H42" s="1174"/>
      <c r="I42" s="1177"/>
      <c r="J42" s="1177"/>
      <c r="K42" s="1178"/>
    </row>
    <row r="43" spans="1:11" ht="25.5" x14ac:dyDescent="0.25">
      <c r="A43" s="356" t="s">
        <v>449</v>
      </c>
      <c r="B43" s="437" t="s">
        <v>423</v>
      </c>
      <c r="C43" s="438"/>
      <c r="D43" s="439">
        <f>'techn Personal'!L21+'techn Personal'!M21</f>
        <v>0</v>
      </c>
      <c r="E43" s="440" t="str">
        <f t="shared" si="5"/>
        <v/>
      </c>
      <c r="F43" s="440" t="str">
        <f t="shared" si="3"/>
        <v/>
      </c>
      <c r="G43" s="440" t="str">
        <f t="shared" si="4"/>
        <v/>
      </c>
      <c r="H43" s="1174"/>
      <c r="I43" s="1175"/>
      <c r="J43" s="1175"/>
      <c r="K43" s="1176"/>
    </row>
    <row r="44" spans="1:11" ht="15" customHeight="1" x14ac:dyDescent="0.25">
      <c r="A44" s="892" t="s">
        <v>450</v>
      </c>
      <c r="B44" s="867" t="s">
        <v>702</v>
      </c>
      <c r="C44" s="438"/>
      <c r="D44" s="439">
        <f>'techn Personal'!O21</f>
        <v>0</v>
      </c>
      <c r="E44" s="440" t="str">
        <f>IF($K$2="","",D44/$K$5*$K$2)</f>
        <v/>
      </c>
      <c r="F44" s="440" t="str">
        <f>IF($K$3="","",D44/$K$5*$K$3)</f>
        <v/>
      </c>
      <c r="G44" s="440" t="str">
        <f>IF($K$4="","",D44/$K$5*$K$4)</f>
        <v/>
      </c>
      <c r="H44" s="1174"/>
      <c r="I44" s="1177"/>
      <c r="J44" s="1177"/>
      <c r="K44" s="1178"/>
    </row>
    <row r="45" spans="1:11" ht="15" customHeight="1" x14ac:dyDescent="0.25">
      <c r="A45" s="892" t="s">
        <v>451</v>
      </c>
      <c r="B45" s="475" t="s">
        <v>452</v>
      </c>
      <c r="C45" s="462"/>
      <c r="D45" s="464"/>
      <c r="E45" s="440" t="str">
        <f>IF($K$2="","",D45/$K$5*$K$2)</f>
        <v/>
      </c>
      <c r="F45" s="440" t="str">
        <f>IF($K$3="","",D45/$K$5*$K$3)</f>
        <v/>
      </c>
      <c r="G45" s="440" t="str">
        <f>IF($K$4="","",D45/$K$5*$K$4)</f>
        <v/>
      </c>
      <c r="H45" s="1174"/>
      <c r="I45" s="1177"/>
      <c r="J45" s="1177"/>
      <c r="K45" s="1178"/>
    </row>
    <row r="46" spans="1:11" ht="15" customHeight="1" x14ac:dyDescent="0.25">
      <c r="A46" s="892" t="s">
        <v>453</v>
      </c>
      <c r="B46" s="437" t="s">
        <v>703</v>
      </c>
      <c r="C46" s="438"/>
      <c r="D46" s="438"/>
      <c r="E46" s="440" t="str">
        <f>IF($K$2="","",D46/$K$5*$K$2)</f>
        <v/>
      </c>
      <c r="F46" s="440" t="str">
        <f>IF($K$3="","",D46/$K$5*$K$3)</f>
        <v/>
      </c>
      <c r="G46" s="440" t="str">
        <f>IF($K$4="","",D46/$K$5*$K$4)</f>
        <v/>
      </c>
      <c r="H46" s="1174"/>
      <c r="I46" s="1177"/>
      <c r="J46" s="1177"/>
      <c r="K46" s="1178"/>
    </row>
    <row r="47" spans="1:11" ht="15" customHeight="1" x14ac:dyDescent="0.25">
      <c r="A47" s="892" t="s">
        <v>454</v>
      </c>
      <c r="B47" s="475" t="s">
        <v>455</v>
      </c>
      <c r="C47" s="462"/>
      <c r="D47" s="464"/>
      <c r="E47" s="440" t="str">
        <f>IF($K$2="","",D47/$K$5*$K$2)</f>
        <v/>
      </c>
      <c r="F47" s="440" t="str">
        <f>IF($K$3="","",D47/$K$5*$K$3)</f>
        <v/>
      </c>
      <c r="G47" s="440" t="str">
        <f>IF($K$4="","",D47/$K$5*$K$4)</f>
        <v/>
      </c>
      <c r="H47" s="1174"/>
      <c r="I47" s="1177"/>
      <c r="J47" s="1177"/>
      <c r="K47" s="1178"/>
    </row>
    <row r="48" spans="1:11" ht="15" customHeight="1" x14ac:dyDescent="0.25">
      <c r="A48" s="443"/>
      <c r="B48" s="444" t="s">
        <v>456</v>
      </c>
      <c r="C48" s="445">
        <f>SUM(C41:C47)</f>
        <v>0</v>
      </c>
      <c r="D48" s="445">
        <f t="shared" ref="D48:G48" si="6">SUM(D41:D47)</f>
        <v>0</v>
      </c>
      <c r="E48" s="445">
        <f t="shared" si="6"/>
        <v>0</v>
      </c>
      <c r="F48" s="445">
        <f t="shared" si="6"/>
        <v>0</v>
      </c>
      <c r="G48" s="445">
        <f t="shared" si="6"/>
        <v>0</v>
      </c>
      <c r="H48" s="1196"/>
      <c r="I48" s="1229"/>
      <c r="J48" s="1229"/>
      <c r="K48" s="1230"/>
    </row>
    <row r="50" spans="1:11" ht="25.5" x14ac:dyDescent="0.25">
      <c r="A50" s="353" t="s">
        <v>457</v>
      </c>
      <c r="B50" s="434" t="s">
        <v>458</v>
      </c>
      <c r="C50" s="471"/>
      <c r="D50" s="472"/>
      <c r="E50" s="473"/>
      <c r="F50" s="473"/>
      <c r="G50" s="473"/>
      <c r="H50" s="1231"/>
      <c r="I50" s="1232"/>
      <c r="J50" s="1232"/>
      <c r="K50" s="1233"/>
    </row>
    <row r="51" spans="1:11" ht="27" customHeight="1" x14ac:dyDescent="0.25">
      <c r="A51" s="356" t="s">
        <v>459</v>
      </c>
      <c r="B51" s="437" t="s">
        <v>653</v>
      </c>
      <c r="C51" s="438"/>
      <c r="D51" s="439">
        <f>'techn Personal'!I42</f>
        <v>0</v>
      </c>
      <c r="E51" s="440" t="str">
        <f t="shared" ref="E51:E53" si="7">IF($K$2="","",D51/$K$5*$K$2)</f>
        <v/>
      </c>
      <c r="F51" s="440" t="str">
        <f t="shared" ref="F51:F53" si="8">IF($K$3="","",D51/$K$5*$K$3)</f>
        <v/>
      </c>
      <c r="G51" s="440" t="str">
        <f t="shared" ref="G51:G53" si="9">IF($K$4="","",D51/$K$5*$K$4)</f>
        <v/>
      </c>
      <c r="H51" s="1174"/>
      <c r="I51" s="1177"/>
      <c r="J51" s="1177"/>
      <c r="K51" s="1178"/>
    </row>
    <row r="52" spans="1:11" ht="15" customHeight="1" x14ac:dyDescent="0.25">
      <c r="A52" s="356" t="s">
        <v>460</v>
      </c>
      <c r="B52" s="461" t="s">
        <v>421</v>
      </c>
      <c r="C52" s="462"/>
      <c r="D52" s="440">
        <f>'techn Personal'!N41</f>
        <v>0</v>
      </c>
      <c r="E52" s="440" t="str">
        <f t="shared" si="7"/>
        <v/>
      </c>
      <c r="F52" s="440" t="str">
        <f t="shared" si="8"/>
        <v/>
      </c>
      <c r="G52" s="440" t="str">
        <f t="shared" si="9"/>
        <v/>
      </c>
      <c r="H52" s="1174"/>
      <c r="I52" s="1177"/>
      <c r="J52" s="1177"/>
      <c r="K52" s="1178"/>
    </row>
    <row r="53" spans="1:11" ht="25.5" x14ac:dyDescent="0.25">
      <c r="A53" s="356" t="s">
        <v>461</v>
      </c>
      <c r="B53" s="437" t="s">
        <v>423</v>
      </c>
      <c r="C53" s="438"/>
      <c r="D53" s="439">
        <f>'techn Personal'!L41+'techn Personal'!M41</f>
        <v>0</v>
      </c>
      <c r="E53" s="440" t="str">
        <f t="shared" si="7"/>
        <v/>
      </c>
      <c r="F53" s="440" t="str">
        <f t="shared" si="8"/>
        <v/>
      </c>
      <c r="G53" s="440" t="str">
        <f t="shared" si="9"/>
        <v/>
      </c>
      <c r="H53" s="1174"/>
      <c r="I53" s="1177"/>
      <c r="J53" s="1177"/>
      <c r="K53" s="1178"/>
    </row>
    <row r="54" spans="1:11" ht="15" customHeight="1" x14ac:dyDescent="0.25">
      <c r="A54" s="892" t="s">
        <v>462</v>
      </c>
      <c r="B54" s="867" t="s">
        <v>702</v>
      </c>
      <c r="C54" s="438"/>
      <c r="D54" s="439">
        <f>'techn Personal'!O41</f>
        <v>0</v>
      </c>
      <c r="E54" s="440" t="str">
        <f>IF($K$2="","",D54/$K$5*$K$2)</f>
        <v/>
      </c>
      <c r="F54" s="440" t="str">
        <f>IF($K$3="","",D54/$K$5*$K$3)</f>
        <v/>
      </c>
      <c r="G54" s="440" t="str">
        <f>IF($K$4="","",D54/$K$5*$K$4)</f>
        <v/>
      </c>
      <c r="H54" s="1174"/>
      <c r="I54" s="1177"/>
      <c r="J54" s="1177"/>
      <c r="K54" s="1178"/>
    </row>
    <row r="55" spans="1:11" ht="15" customHeight="1" x14ac:dyDescent="0.25">
      <c r="A55" s="892" t="s">
        <v>463</v>
      </c>
      <c r="B55" s="461" t="s">
        <v>452</v>
      </c>
      <c r="C55" s="462"/>
      <c r="D55" s="464"/>
      <c r="E55" s="440" t="str">
        <f>IF($K$2="","",D55/$K$5*$K$2)</f>
        <v/>
      </c>
      <c r="F55" s="440" t="str">
        <f>IF($K$3="","",D55/$K$5*$K$3)</f>
        <v/>
      </c>
      <c r="G55" s="440" t="str">
        <f>IF($K$4="","",D55/$K$5*$K$4)</f>
        <v/>
      </c>
      <c r="H55" s="1174"/>
      <c r="I55" s="1177"/>
      <c r="J55" s="1177"/>
      <c r="K55" s="1178"/>
    </row>
    <row r="56" spans="1:11" ht="15" customHeight="1" x14ac:dyDescent="0.25">
      <c r="A56" s="892" t="s">
        <v>464</v>
      </c>
      <c r="B56" s="437" t="s">
        <v>703</v>
      </c>
      <c r="C56" s="438"/>
      <c r="D56" s="438"/>
      <c r="E56" s="440" t="str">
        <f>IF($K$2="","",D56/$K$5*$K$2)</f>
        <v/>
      </c>
      <c r="F56" s="440" t="str">
        <f>IF($K$3="","",D56/$K$5*$K$3)</f>
        <v/>
      </c>
      <c r="G56" s="440" t="str">
        <f>IF($K$4="","",D56/$K$5*$K$4)</f>
        <v/>
      </c>
      <c r="H56" s="1174"/>
      <c r="I56" s="1177"/>
      <c r="J56" s="1177"/>
      <c r="K56" s="1178"/>
    </row>
    <row r="57" spans="1:11" ht="15" customHeight="1" x14ac:dyDescent="0.25">
      <c r="A57" s="892" t="s">
        <v>465</v>
      </c>
      <c r="B57" s="461" t="s">
        <v>466</v>
      </c>
      <c r="C57" s="462"/>
      <c r="D57" s="464"/>
      <c r="E57" s="440" t="str">
        <f>IF($K$2="","",D57/$K$5*$K$2)</f>
        <v/>
      </c>
      <c r="F57" s="440" t="str">
        <f>IF($K$3="","",D57/$K$5*$K$3)</f>
        <v/>
      </c>
      <c r="G57" s="440" t="str">
        <f>IF($K$4="","",D57/$K$5*$K$4)</f>
        <v/>
      </c>
      <c r="H57" s="1174"/>
      <c r="I57" s="1177"/>
      <c r="J57" s="1177"/>
      <c r="K57" s="1178"/>
    </row>
    <row r="58" spans="1:11" ht="15" customHeight="1" x14ac:dyDescent="0.25">
      <c r="A58" s="892" t="s">
        <v>467</v>
      </c>
      <c r="B58" s="461" t="s">
        <v>468</v>
      </c>
      <c r="C58" s="462"/>
      <c r="D58" s="464"/>
      <c r="E58" s="440" t="str">
        <f>IF($K$2="","",D58/$K$5*$K$2)</f>
        <v/>
      </c>
      <c r="F58" s="440" t="str">
        <f>IF($K$3="","",D58/$K$5*$K$3)</f>
        <v/>
      </c>
      <c r="G58" s="440" t="str">
        <f>IF($K$4="","",D58/$K$5*$K$4)</f>
        <v/>
      </c>
      <c r="H58" s="1174"/>
      <c r="I58" s="1177"/>
      <c r="J58" s="1177"/>
      <c r="K58" s="1178"/>
    </row>
    <row r="59" spans="1:11" ht="15" customHeight="1" x14ac:dyDescent="0.25">
      <c r="A59" s="443"/>
      <c r="B59" s="444" t="s">
        <v>456</v>
      </c>
      <c r="C59" s="445">
        <f>SUM(C51:C58)</f>
        <v>0</v>
      </c>
      <c r="D59" s="445">
        <f t="shared" ref="D59:G59" si="10">SUM(D51:D58)</f>
        <v>0</v>
      </c>
      <c r="E59" s="445">
        <f t="shared" si="10"/>
        <v>0</v>
      </c>
      <c r="F59" s="445">
        <f t="shared" si="10"/>
        <v>0</v>
      </c>
      <c r="G59" s="445">
        <f t="shared" si="10"/>
        <v>0</v>
      </c>
      <c r="H59" s="1196"/>
      <c r="I59" s="1229"/>
      <c r="J59" s="1229"/>
      <c r="K59" s="1230"/>
    </row>
    <row r="61" spans="1:11" ht="25.5" x14ac:dyDescent="0.25">
      <c r="A61" s="353" t="s">
        <v>469</v>
      </c>
      <c r="B61" s="434" t="s">
        <v>470</v>
      </c>
      <c r="C61" s="435"/>
      <c r="D61" s="436"/>
      <c r="E61" s="433"/>
      <c r="F61" s="433"/>
      <c r="G61" s="433"/>
      <c r="H61" s="1231"/>
      <c r="I61" s="1232"/>
      <c r="J61" s="1232"/>
      <c r="K61" s="1233"/>
    </row>
    <row r="62" spans="1:11" ht="26.25" customHeight="1" x14ac:dyDescent="0.25">
      <c r="A62" s="474" t="s">
        <v>471</v>
      </c>
      <c r="B62" s="437" t="s">
        <v>654</v>
      </c>
      <c r="C62" s="438"/>
      <c r="D62" s="439">
        <f>'techn Personal'!I58</f>
        <v>0</v>
      </c>
      <c r="E62" s="440" t="str">
        <f t="shared" ref="E62:E64" si="11">IF($K$2="","",D62/$K$5*$K$2)</f>
        <v/>
      </c>
      <c r="F62" s="440" t="str">
        <f t="shared" ref="F62:F64" si="12">IF($K$3="","",D62/$K$5*$K$3)</f>
        <v/>
      </c>
      <c r="G62" s="440" t="str">
        <f t="shared" ref="G62:G64" si="13">IF($K$4="","",D62/$K$5*$K$4)</f>
        <v/>
      </c>
      <c r="H62" s="1174"/>
      <c r="I62" s="1177"/>
      <c r="J62" s="1177"/>
      <c r="K62" s="1178"/>
    </row>
    <row r="63" spans="1:11" ht="15" customHeight="1" x14ac:dyDescent="0.25">
      <c r="A63" s="474" t="s">
        <v>472</v>
      </c>
      <c r="B63" s="461" t="s">
        <v>421</v>
      </c>
      <c r="C63" s="462"/>
      <c r="D63" s="440">
        <f>'techn Personal'!N57</f>
        <v>0</v>
      </c>
      <c r="E63" s="440" t="str">
        <f t="shared" si="11"/>
        <v/>
      </c>
      <c r="F63" s="440" t="str">
        <f t="shared" si="12"/>
        <v/>
      </c>
      <c r="G63" s="440" t="str">
        <f t="shared" si="13"/>
        <v/>
      </c>
      <c r="H63" s="1174"/>
      <c r="I63" s="1177"/>
      <c r="J63" s="1177"/>
      <c r="K63" s="1178"/>
    </row>
    <row r="64" spans="1:11" ht="25.5" x14ac:dyDescent="0.25">
      <c r="A64" s="474" t="s">
        <v>473</v>
      </c>
      <c r="B64" s="437" t="s">
        <v>423</v>
      </c>
      <c r="C64" s="438"/>
      <c r="D64" s="439">
        <f>'techn Personal'!L57+'techn Personal'!M57</f>
        <v>0</v>
      </c>
      <c r="E64" s="440" t="str">
        <f t="shared" si="11"/>
        <v/>
      </c>
      <c r="F64" s="440" t="str">
        <f t="shared" si="12"/>
        <v/>
      </c>
      <c r="G64" s="440" t="str">
        <f t="shared" si="13"/>
        <v/>
      </c>
      <c r="H64" s="1174"/>
      <c r="I64" s="1177"/>
      <c r="J64" s="1177"/>
      <c r="K64" s="1178"/>
    </row>
    <row r="65" spans="1:11" ht="15" customHeight="1" x14ac:dyDescent="0.25">
      <c r="A65" s="891" t="s">
        <v>474</v>
      </c>
      <c r="B65" s="867" t="s">
        <v>702</v>
      </c>
      <c r="C65" s="438"/>
      <c r="D65" s="439">
        <f>'techn Personal'!O57</f>
        <v>0</v>
      </c>
      <c r="E65" s="440" t="str">
        <f>IF($K$2="","",D65/$K$5*$K$2)</f>
        <v/>
      </c>
      <c r="F65" s="440" t="str">
        <f>IF($K$3="","",D65/$K$5*$K$3)</f>
        <v/>
      </c>
      <c r="G65" s="440" t="str">
        <f>IF($K$4="","",D65/$K$5*$K$4)</f>
        <v/>
      </c>
      <c r="H65" s="1174"/>
      <c r="I65" s="1177"/>
      <c r="J65" s="1177"/>
      <c r="K65" s="1178"/>
    </row>
    <row r="66" spans="1:11" ht="15" customHeight="1" x14ac:dyDescent="0.25">
      <c r="A66" s="891" t="s">
        <v>475</v>
      </c>
      <c r="B66" s="461" t="s">
        <v>452</v>
      </c>
      <c r="C66" s="462"/>
      <c r="D66" s="464"/>
      <c r="E66" s="440" t="str">
        <f>IF($K$2="","",D66/$K$5*$K$2)</f>
        <v/>
      </c>
      <c r="F66" s="440" t="str">
        <f>IF($K$3="","",D66/$K$5*$K$3)</f>
        <v/>
      </c>
      <c r="G66" s="440" t="str">
        <f>IF($K$4="","",D66/$K$5*$K$4)</f>
        <v/>
      </c>
      <c r="H66" s="1174"/>
      <c r="I66" s="1177"/>
      <c r="J66" s="1177"/>
      <c r="K66" s="1178"/>
    </row>
    <row r="67" spans="1:11" ht="15" customHeight="1" x14ac:dyDescent="0.25">
      <c r="A67" s="891" t="s">
        <v>476</v>
      </c>
      <c r="B67" s="437" t="s">
        <v>703</v>
      </c>
      <c r="C67" s="438"/>
      <c r="D67" s="438"/>
      <c r="E67" s="440" t="str">
        <f>IF($K$2="","",D67/$K$5*$K$2)</f>
        <v/>
      </c>
      <c r="F67" s="440" t="str">
        <f>IF($K$3="","",D67/$K$5*$K$3)</f>
        <v/>
      </c>
      <c r="G67" s="440" t="str">
        <f>IF($K$4="","",D67/$K$5*$K$4)</f>
        <v/>
      </c>
      <c r="H67" s="1174"/>
      <c r="I67" s="1177"/>
      <c r="J67" s="1177"/>
      <c r="K67" s="1178"/>
    </row>
    <row r="68" spans="1:11" ht="15" customHeight="1" x14ac:dyDescent="0.25">
      <c r="A68" s="891" t="s">
        <v>477</v>
      </c>
      <c r="B68" s="461" t="s">
        <v>478</v>
      </c>
      <c r="C68" s="462"/>
      <c r="D68" s="464"/>
      <c r="E68" s="440" t="str">
        <f>IF($K$2="","",D68/$K$5*$K$2)</f>
        <v/>
      </c>
      <c r="F68" s="440" t="str">
        <f>IF($K$3="","",D68/$K$5*$K$3)</f>
        <v/>
      </c>
      <c r="G68" s="440" t="str">
        <f>IF($K$4="","",D68/$K$5*$K$4)</f>
        <v/>
      </c>
      <c r="H68" s="1174"/>
      <c r="I68" s="1177"/>
      <c r="J68" s="1177"/>
      <c r="K68" s="1178"/>
    </row>
    <row r="69" spans="1:11" ht="15" customHeight="1" x14ac:dyDescent="0.25">
      <c r="A69" s="443"/>
      <c r="B69" s="444" t="s">
        <v>456</v>
      </c>
      <c r="C69" s="445">
        <f>SUM(C62:C68)</f>
        <v>0</v>
      </c>
      <c r="D69" s="445">
        <f t="shared" ref="D69:G69" si="14">SUM(D62:D68)</f>
        <v>0</v>
      </c>
      <c r="E69" s="445">
        <f t="shared" si="14"/>
        <v>0</v>
      </c>
      <c r="F69" s="445">
        <f t="shared" si="14"/>
        <v>0</v>
      </c>
      <c r="G69" s="445">
        <f t="shared" si="14"/>
        <v>0</v>
      </c>
      <c r="H69" s="1196"/>
      <c r="I69" s="1229"/>
      <c r="J69" s="1229"/>
      <c r="K69" s="1230"/>
    </row>
    <row r="71" spans="1:11" ht="15" x14ac:dyDescent="0.25">
      <c r="A71" s="353" t="s">
        <v>479</v>
      </c>
      <c r="B71" s="434" t="s">
        <v>480</v>
      </c>
      <c r="C71" s="471"/>
      <c r="D71" s="472"/>
      <c r="E71" s="473"/>
      <c r="F71" s="473"/>
      <c r="G71" s="473"/>
      <c r="H71" s="1231"/>
      <c r="I71" s="1232"/>
      <c r="J71" s="1232"/>
      <c r="K71" s="1233"/>
    </row>
    <row r="72" spans="1:11" ht="15" customHeight="1" x14ac:dyDescent="0.25">
      <c r="A72" s="356" t="s">
        <v>481</v>
      </c>
      <c r="B72" s="461" t="s">
        <v>482</v>
      </c>
      <c r="C72" s="462"/>
      <c r="D72" s="464"/>
      <c r="E72" s="440" t="str">
        <f t="shared" ref="E72:E84" si="15">IF($K$2="","",D72/$K$5*$K$2)</f>
        <v/>
      </c>
      <c r="F72" s="440" t="str">
        <f t="shared" ref="F72:F84" si="16">IF($K$3="","",D72/$K$5*$K$3)</f>
        <v/>
      </c>
      <c r="G72" s="440" t="str">
        <f t="shared" ref="G72:G84" si="17">IF($K$4="","",D72/$K$5*$K$4)</f>
        <v/>
      </c>
      <c r="H72" s="1174"/>
      <c r="I72" s="1177"/>
      <c r="J72" s="1177"/>
      <c r="K72" s="1178"/>
    </row>
    <row r="73" spans="1:11" ht="15" customHeight="1" x14ac:dyDescent="0.25">
      <c r="A73" s="356" t="s">
        <v>483</v>
      </c>
      <c r="B73" s="461" t="s">
        <v>484</v>
      </c>
      <c r="C73" s="462"/>
      <c r="D73" s="464"/>
      <c r="E73" s="440" t="str">
        <f t="shared" si="15"/>
        <v/>
      </c>
      <c r="F73" s="440" t="str">
        <f t="shared" si="16"/>
        <v/>
      </c>
      <c r="G73" s="440" t="str">
        <f t="shared" si="17"/>
        <v/>
      </c>
      <c r="H73" s="1174"/>
      <c r="I73" s="1177"/>
      <c r="J73" s="1177"/>
      <c r="K73" s="1178"/>
    </row>
    <row r="74" spans="1:11" ht="15" customHeight="1" x14ac:dyDescent="0.25">
      <c r="A74" s="356" t="s">
        <v>485</v>
      </c>
      <c r="B74" s="461" t="s">
        <v>486</v>
      </c>
      <c r="C74" s="462"/>
      <c r="D74" s="464"/>
      <c r="E74" s="440" t="str">
        <f t="shared" si="15"/>
        <v/>
      </c>
      <c r="F74" s="440" t="str">
        <f t="shared" si="16"/>
        <v/>
      </c>
      <c r="G74" s="440" t="str">
        <f t="shared" si="17"/>
        <v/>
      </c>
      <c r="H74" s="1174"/>
      <c r="I74" s="1177"/>
      <c r="J74" s="1177"/>
      <c r="K74" s="1178"/>
    </row>
    <row r="75" spans="1:11" ht="15" customHeight="1" x14ac:dyDescent="0.25">
      <c r="A75" s="356" t="s">
        <v>487</v>
      </c>
      <c r="B75" s="475" t="s">
        <v>488</v>
      </c>
      <c r="C75" s="462"/>
      <c r="D75" s="464"/>
      <c r="E75" s="440" t="str">
        <f t="shared" si="15"/>
        <v/>
      </c>
      <c r="F75" s="440" t="str">
        <f t="shared" si="16"/>
        <v/>
      </c>
      <c r="G75" s="440" t="str">
        <f t="shared" si="17"/>
        <v/>
      </c>
      <c r="H75" s="1174"/>
      <c r="I75" s="1177"/>
      <c r="J75" s="1177"/>
      <c r="K75" s="1178"/>
    </row>
    <row r="76" spans="1:11" ht="15" customHeight="1" x14ac:dyDescent="0.25">
      <c r="A76" s="356" t="s">
        <v>489</v>
      </c>
      <c r="B76" s="475" t="s">
        <v>490</v>
      </c>
      <c r="C76" s="462"/>
      <c r="D76" s="464"/>
      <c r="E76" s="440" t="str">
        <f t="shared" si="15"/>
        <v/>
      </c>
      <c r="F76" s="440" t="str">
        <f t="shared" si="16"/>
        <v/>
      </c>
      <c r="G76" s="440" t="str">
        <f t="shared" si="17"/>
        <v/>
      </c>
      <c r="H76" s="1174"/>
      <c r="I76" s="1177"/>
      <c r="J76" s="1177"/>
      <c r="K76" s="1178"/>
    </row>
    <row r="77" spans="1:11" ht="15" customHeight="1" x14ac:dyDescent="0.25">
      <c r="A77" s="356" t="s">
        <v>491</v>
      </c>
      <c r="B77" s="475" t="s">
        <v>492</v>
      </c>
      <c r="C77" s="462"/>
      <c r="D77" s="464"/>
      <c r="E77" s="440" t="str">
        <f t="shared" si="15"/>
        <v/>
      </c>
      <c r="F77" s="440" t="str">
        <f t="shared" si="16"/>
        <v/>
      </c>
      <c r="G77" s="440" t="str">
        <f t="shared" si="17"/>
        <v/>
      </c>
      <c r="H77" s="1174"/>
      <c r="I77" s="1177"/>
      <c r="J77" s="1177"/>
      <c r="K77" s="1178"/>
    </row>
    <row r="78" spans="1:11" ht="15" customHeight="1" x14ac:dyDescent="0.25">
      <c r="A78" s="356" t="s">
        <v>493</v>
      </c>
      <c r="B78" s="461" t="s">
        <v>494</v>
      </c>
      <c r="C78" s="462"/>
      <c r="D78" s="464"/>
      <c r="E78" s="440" t="str">
        <f t="shared" si="15"/>
        <v/>
      </c>
      <c r="F78" s="440" t="str">
        <f t="shared" si="16"/>
        <v/>
      </c>
      <c r="G78" s="440" t="str">
        <f t="shared" si="17"/>
        <v/>
      </c>
      <c r="H78" s="1174"/>
      <c r="I78" s="1177"/>
      <c r="J78" s="1177"/>
      <c r="K78" s="1178"/>
    </row>
    <row r="79" spans="1:11" ht="15" customHeight="1" x14ac:dyDescent="0.25">
      <c r="A79" s="356" t="s">
        <v>495</v>
      </c>
      <c r="B79" s="461" t="s">
        <v>496</v>
      </c>
      <c r="C79" s="462"/>
      <c r="D79" s="464"/>
      <c r="E79" s="440" t="str">
        <f t="shared" si="15"/>
        <v/>
      </c>
      <c r="F79" s="440" t="str">
        <f t="shared" si="16"/>
        <v/>
      </c>
      <c r="G79" s="440" t="str">
        <f t="shared" si="17"/>
        <v/>
      </c>
      <c r="H79" s="1174"/>
      <c r="I79" s="1177"/>
      <c r="J79" s="1177"/>
      <c r="K79" s="1178"/>
    </row>
    <row r="80" spans="1:11" ht="15" customHeight="1" x14ac:dyDescent="0.25">
      <c r="A80" s="356" t="s">
        <v>497</v>
      </c>
      <c r="B80" s="461" t="s">
        <v>498</v>
      </c>
      <c r="C80" s="462"/>
      <c r="D80" s="464"/>
      <c r="E80" s="440" t="str">
        <f t="shared" si="15"/>
        <v/>
      </c>
      <c r="F80" s="440" t="str">
        <f t="shared" si="16"/>
        <v/>
      </c>
      <c r="G80" s="440" t="str">
        <f t="shared" si="17"/>
        <v/>
      </c>
      <c r="H80" s="1174"/>
      <c r="I80" s="1177"/>
      <c r="J80" s="1177"/>
      <c r="K80" s="1178"/>
    </row>
    <row r="81" spans="1:11" ht="15" customHeight="1" x14ac:dyDescent="0.25">
      <c r="A81" s="476" t="s">
        <v>499</v>
      </c>
      <c r="B81" s="475" t="s">
        <v>500</v>
      </c>
      <c r="C81" s="462"/>
      <c r="D81" s="464"/>
      <c r="E81" s="440" t="str">
        <f t="shared" si="15"/>
        <v/>
      </c>
      <c r="F81" s="440" t="str">
        <f t="shared" si="16"/>
        <v/>
      </c>
      <c r="G81" s="440" t="str">
        <f t="shared" si="17"/>
        <v/>
      </c>
      <c r="H81" s="1174"/>
      <c r="I81" s="1177"/>
      <c r="J81" s="1177"/>
      <c r="K81" s="1178"/>
    </row>
    <row r="82" spans="1:11" ht="15" customHeight="1" x14ac:dyDescent="0.25">
      <c r="A82" s="476" t="s">
        <v>501</v>
      </c>
      <c r="B82" s="475" t="s">
        <v>502</v>
      </c>
      <c r="C82" s="462"/>
      <c r="D82" s="464"/>
      <c r="E82" s="440" t="str">
        <f t="shared" si="15"/>
        <v/>
      </c>
      <c r="F82" s="440" t="str">
        <f t="shared" si="16"/>
        <v/>
      </c>
      <c r="G82" s="440" t="str">
        <f t="shared" si="17"/>
        <v/>
      </c>
      <c r="H82" s="1174"/>
      <c r="I82" s="1177"/>
      <c r="J82" s="1177"/>
      <c r="K82" s="1178"/>
    </row>
    <row r="83" spans="1:11" ht="15" customHeight="1" x14ac:dyDescent="0.25">
      <c r="A83" s="476" t="s">
        <v>503</v>
      </c>
      <c r="B83" s="475" t="s">
        <v>504</v>
      </c>
      <c r="C83" s="462"/>
      <c r="D83" s="464"/>
      <c r="E83" s="440" t="str">
        <f t="shared" si="15"/>
        <v/>
      </c>
      <c r="F83" s="440" t="str">
        <f t="shared" si="16"/>
        <v/>
      </c>
      <c r="G83" s="440" t="str">
        <f t="shared" si="17"/>
        <v/>
      </c>
      <c r="H83" s="1174"/>
      <c r="I83" s="1177"/>
      <c r="J83" s="1177"/>
      <c r="K83" s="1178"/>
    </row>
    <row r="84" spans="1:11" ht="15" customHeight="1" x14ac:dyDescent="0.25">
      <c r="A84" s="476" t="s">
        <v>505</v>
      </c>
      <c r="B84" s="475" t="s">
        <v>506</v>
      </c>
      <c r="C84" s="462"/>
      <c r="D84" s="464"/>
      <c r="E84" s="440" t="str">
        <f t="shared" si="15"/>
        <v/>
      </c>
      <c r="F84" s="440" t="str">
        <f t="shared" si="16"/>
        <v/>
      </c>
      <c r="G84" s="440" t="str">
        <f t="shared" si="17"/>
        <v/>
      </c>
      <c r="H84" s="1174"/>
      <c r="I84" s="1177"/>
      <c r="J84" s="1177"/>
      <c r="K84" s="1178"/>
    </row>
    <row r="85" spans="1:11" ht="15" customHeight="1" x14ac:dyDescent="0.25">
      <c r="A85" s="443"/>
      <c r="B85" s="444" t="s">
        <v>456</v>
      </c>
      <c r="C85" s="445">
        <f>SUM(C72:C83)-C84</f>
        <v>0</v>
      </c>
      <c r="D85" s="445">
        <f>SUM(D72:D83)-D84</f>
        <v>0</v>
      </c>
      <c r="E85" s="446">
        <f>SUM(E72:E83)-SUM(E84:E84)</f>
        <v>0</v>
      </c>
      <c r="F85" s="446">
        <f t="shared" ref="F85:G85" si="18">SUM(F72:F83)-SUM(F84:F84)</f>
        <v>0</v>
      </c>
      <c r="G85" s="446">
        <f t="shared" si="18"/>
        <v>0</v>
      </c>
      <c r="H85" s="1196"/>
      <c r="I85" s="1229"/>
      <c r="J85" s="1229"/>
      <c r="K85" s="1230"/>
    </row>
    <row r="86" spans="1:11" s="200" customFormat="1" ht="15" customHeight="1" x14ac:dyDescent="0.25">
      <c r="A86" s="465"/>
      <c r="B86" s="466"/>
      <c r="C86" s="467"/>
      <c r="D86" s="468"/>
      <c r="E86" s="468"/>
      <c r="F86" s="468"/>
      <c r="G86" s="468"/>
      <c r="H86" s="469"/>
      <c r="I86" s="469"/>
      <c r="J86" s="469"/>
      <c r="K86" s="470"/>
    </row>
    <row r="87" spans="1:11" ht="15" x14ac:dyDescent="0.25">
      <c r="A87" s="353" t="s">
        <v>507</v>
      </c>
      <c r="B87" s="434" t="s">
        <v>508</v>
      </c>
      <c r="C87" s="435"/>
      <c r="D87" s="436"/>
      <c r="E87" s="433"/>
      <c r="F87" s="433"/>
      <c r="G87" s="433"/>
      <c r="H87" s="1231"/>
      <c r="I87" s="1232"/>
      <c r="J87" s="1232"/>
      <c r="K87" s="1233"/>
    </row>
    <row r="88" spans="1:11" ht="15" customHeight="1" x14ac:dyDescent="0.25">
      <c r="A88" s="356" t="s">
        <v>509</v>
      </c>
      <c r="B88" s="461" t="s">
        <v>510</v>
      </c>
      <c r="C88" s="462"/>
      <c r="D88" s="464"/>
      <c r="E88" s="440" t="str">
        <f>IF($K$2="","",D88/$K$5*$K$2)</f>
        <v/>
      </c>
      <c r="F88" s="440" t="str">
        <f>IF($K$3="","",D88/$K$5*$K$3)</f>
        <v/>
      </c>
      <c r="G88" s="440" t="str">
        <f>IF($K$4="","",D88/$K$5*$K$4)</f>
        <v/>
      </c>
      <c r="H88" s="1174"/>
      <c r="I88" s="1177"/>
      <c r="J88" s="1177"/>
      <c r="K88" s="1178"/>
    </row>
    <row r="89" spans="1:11" ht="15" customHeight="1" x14ac:dyDescent="0.25">
      <c r="A89" s="356" t="s">
        <v>511</v>
      </c>
      <c r="B89" s="475" t="s">
        <v>512</v>
      </c>
      <c r="C89" s="462"/>
      <c r="D89" s="464"/>
      <c r="E89" s="440" t="str">
        <f t="shared" ref="E89:E90" si="19">IF($K$2="","",D89/$K$5*$K$2)</f>
        <v/>
      </c>
      <c r="F89" s="440" t="str">
        <f t="shared" ref="F89:F90" si="20">IF($K$3="","",D89/$K$5*$K$3)</f>
        <v/>
      </c>
      <c r="G89" s="440" t="str">
        <f t="shared" ref="G89:G90" si="21">IF($K$4="","",D89/$K$5*$K$4)</f>
        <v/>
      </c>
      <c r="H89" s="1174"/>
      <c r="I89" s="1177"/>
      <c r="J89" s="1177"/>
      <c r="K89" s="1178"/>
    </row>
    <row r="90" spans="1:11" ht="15" customHeight="1" x14ac:dyDescent="0.25">
      <c r="A90" s="356" t="s">
        <v>513</v>
      </c>
      <c r="B90" s="461" t="s">
        <v>514</v>
      </c>
      <c r="C90" s="462"/>
      <c r="D90" s="464"/>
      <c r="E90" s="440" t="str">
        <f t="shared" si="19"/>
        <v/>
      </c>
      <c r="F90" s="440" t="str">
        <f t="shared" si="20"/>
        <v/>
      </c>
      <c r="G90" s="440" t="str">
        <f t="shared" si="21"/>
        <v/>
      </c>
      <c r="H90" s="1174"/>
      <c r="I90" s="1177"/>
      <c r="J90" s="1177"/>
      <c r="K90" s="1178"/>
    </row>
    <row r="91" spans="1:11" ht="15" customHeight="1" x14ac:dyDescent="0.25">
      <c r="A91" s="443"/>
      <c r="B91" s="444" t="s">
        <v>456</v>
      </c>
      <c r="C91" s="445">
        <f>SUM(C88:C90)</f>
        <v>0</v>
      </c>
      <c r="D91" s="445">
        <f>SUM(D88:D90)</f>
        <v>0</v>
      </c>
      <c r="E91" s="446">
        <f>SUM(E88:E90)</f>
        <v>0</v>
      </c>
      <c r="F91" s="446">
        <f t="shared" ref="F91:G91" si="22">SUM(F88:F90)</f>
        <v>0</v>
      </c>
      <c r="G91" s="446">
        <f t="shared" si="22"/>
        <v>0</v>
      </c>
      <c r="H91" s="1196"/>
      <c r="I91" s="1229"/>
      <c r="J91" s="1229"/>
      <c r="K91" s="1230"/>
    </row>
    <row r="92" spans="1:11" s="200" customFormat="1" ht="15" customHeight="1" x14ac:dyDescent="0.25">
      <c r="A92" s="465"/>
      <c r="B92" s="466"/>
      <c r="C92" s="467"/>
      <c r="D92" s="468"/>
      <c r="E92" s="468"/>
      <c r="F92" s="468"/>
      <c r="G92" s="468"/>
      <c r="H92" s="469"/>
      <c r="I92" s="469"/>
      <c r="J92" s="469"/>
      <c r="K92" s="470"/>
    </row>
    <row r="93" spans="1:11" ht="15" x14ac:dyDescent="0.25">
      <c r="A93" s="353" t="s">
        <v>515</v>
      </c>
      <c r="B93" s="434" t="s">
        <v>516</v>
      </c>
      <c r="C93" s="435"/>
      <c r="D93" s="436"/>
      <c r="E93" s="433"/>
      <c r="F93" s="433"/>
      <c r="G93" s="433"/>
      <c r="H93" s="1231"/>
      <c r="I93" s="1232"/>
      <c r="J93" s="1232"/>
      <c r="K93" s="1233"/>
    </row>
    <row r="94" spans="1:11" ht="15" customHeight="1" x14ac:dyDescent="0.25">
      <c r="A94" s="356" t="s">
        <v>517</v>
      </c>
      <c r="B94" s="461" t="s">
        <v>518</v>
      </c>
      <c r="C94" s="462"/>
      <c r="D94" s="464"/>
      <c r="E94" s="440" t="str">
        <f t="shared" ref="E94:E100" si="23">IF($K$2="","",D94/$K$5*$K$2)</f>
        <v/>
      </c>
      <c r="F94" s="440" t="str">
        <f t="shared" ref="F94:F100" si="24">IF($K$3="","",D94/$K$5*$K$3)</f>
        <v/>
      </c>
      <c r="G94" s="440" t="str">
        <f t="shared" ref="G94:G100" si="25">IF($K$4="","",D94/$K$5*$K$4)</f>
        <v/>
      </c>
      <c r="H94" s="1174"/>
      <c r="I94" s="1177"/>
      <c r="J94" s="1177"/>
      <c r="K94" s="1178"/>
    </row>
    <row r="95" spans="1:11" ht="15" customHeight="1" x14ac:dyDescent="0.25">
      <c r="A95" s="356" t="s">
        <v>519</v>
      </c>
      <c r="B95" s="461" t="s">
        <v>520</v>
      </c>
      <c r="C95" s="462"/>
      <c r="D95" s="464"/>
      <c r="E95" s="440" t="str">
        <f t="shared" si="23"/>
        <v/>
      </c>
      <c r="F95" s="440" t="str">
        <f t="shared" si="24"/>
        <v/>
      </c>
      <c r="G95" s="440" t="str">
        <f t="shared" si="25"/>
        <v/>
      </c>
      <c r="H95" s="1174"/>
      <c r="I95" s="1177"/>
      <c r="J95" s="1177"/>
      <c r="K95" s="1178"/>
    </row>
    <row r="96" spans="1:11" ht="15" customHeight="1" x14ac:dyDescent="0.25">
      <c r="A96" s="356" t="s">
        <v>521</v>
      </c>
      <c r="B96" s="461" t="s">
        <v>522</v>
      </c>
      <c r="C96" s="462"/>
      <c r="D96" s="464"/>
      <c r="E96" s="440" t="str">
        <f t="shared" si="23"/>
        <v/>
      </c>
      <c r="F96" s="440" t="str">
        <f t="shared" si="24"/>
        <v/>
      </c>
      <c r="G96" s="440" t="str">
        <f t="shared" si="25"/>
        <v/>
      </c>
      <c r="H96" s="1174"/>
      <c r="I96" s="1177"/>
      <c r="J96" s="1177"/>
      <c r="K96" s="1178"/>
    </row>
    <row r="97" spans="1:14" ht="15" customHeight="1" x14ac:dyDescent="0.25">
      <c r="A97" s="356" t="s">
        <v>523</v>
      </c>
      <c r="B97" s="461" t="s">
        <v>524</v>
      </c>
      <c r="C97" s="462"/>
      <c r="D97" s="464"/>
      <c r="E97" s="440" t="str">
        <f t="shared" si="23"/>
        <v/>
      </c>
      <c r="F97" s="440" t="str">
        <f t="shared" si="24"/>
        <v/>
      </c>
      <c r="G97" s="440" t="str">
        <f t="shared" si="25"/>
        <v/>
      </c>
      <c r="H97" s="1174"/>
      <c r="I97" s="1177"/>
      <c r="J97" s="1177"/>
      <c r="K97" s="1178"/>
    </row>
    <row r="98" spans="1:14" ht="15" customHeight="1" x14ac:dyDescent="0.25">
      <c r="A98" s="356" t="s">
        <v>525</v>
      </c>
      <c r="B98" s="461" t="s">
        <v>526</v>
      </c>
      <c r="C98" s="462"/>
      <c r="D98" s="464"/>
      <c r="E98" s="440" t="str">
        <f t="shared" si="23"/>
        <v/>
      </c>
      <c r="F98" s="440" t="str">
        <f t="shared" si="24"/>
        <v/>
      </c>
      <c r="G98" s="440" t="str">
        <f t="shared" si="25"/>
        <v/>
      </c>
      <c r="H98" s="1174"/>
      <c r="I98" s="1177"/>
      <c r="J98" s="1177"/>
      <c r="K98" s="1178"/>
    </row>
    <row r="99" spans="1:14" ht="15" customHeight="1" x14ac:dyDescent="0.25">
      <c r="A99" s="356" t="s">
        <v>527</v>
      </c>
      <c r="B99" s="461" t="s">
        <v>528</v>
      </c>
      <c r="C99" s="462"/>
      <c r="D99" s="464"/>
      <c r="E99" s="440" t="str">
        <f t="shared" si="23"/>
        <v/>
      </c>
      <c r="F99" s="440" t="str">
        <f t="shared" si="24"/>
        <v/>
      </c>
      <c r="G99" s="440" t="str">
        <f t="shared" si="25"/>
        <v/>
      </c>
      <c r="H99" s="1174"/>
      <c r="I99" s="1177"/>
      <c r="J99" s="1177"/>
      <c r="K99" s="1178"/>
    </row>
    <row r="100" spans="1:14" ht="15" customHeight="1" x14ac:dyDescent="0.25">
      <c r="A100" s="356" t="s">
        <v>529</v>
      </c>
      <c r="B100" s="461" t="s">
        <v>530</v>
      </c>
      <c r="C100" s="462"/>
      <c r="D100" s="464"/>
      <c r="E100" s="440" t="str">
        <f t="shared" si="23"/>
        <v/>
      </c>
      <c r="F100" s="440" t="str">
        <f t="shared" si="24"/>
        <v/>
      </c>
      <c r="G100" s="440" t="str">
        <f t="shared" si="25"/>
        <v/>
      </c>
      <c r="H100" s="1174"/>
      <c r="I100" s="1177"/>
      <c r="J100" s="1177"/>
      <c r="K100" s="1178"/>
    </row>
    <row r="101" spans="1:14" ht="15" customHeight="1" x14ac:dyDescent="0.25">
      <c r="A101" s="443"/>
      <c r="B101" s="444" t="s">
        <v>456</v>
      </c>
      <c r="C101" s="445">
        <f>SUM(C94:C100)</f>
        <v>0</v>
      </c>
      <c r="D101" s="445">
        <f>SUM(D94:D100)</f>
        <v>0</v>
      </c>
      <c r="E101" s="446">
        <f>SUM(E94:E100)</f>
        <v>0</v>
      </c>
      <c r="F101" s="446">
        <f>SUM(F94:F100)</f>
        <v>0</v>
      </c>
      <c r="G101" s="446">
        <f>SUM(G94:G100)</f>
        <v>0</v>
      </c>
      <c r="H101" s="1196"/>
      <c r="I101" s="1229"/>
      <c r="J101" s="1229"/>
      <c r="K101" s="1230"/>
    </row>
    <row r="102" spans="1:14" s="200" customFormat="1" ht="15" customHeight="1" x14ac:dyDescent="0.25">
      <c r="A102" s="465"/>
      <c r="B102" s="466"/>
      <c r="C102" s="467"/>
      <c r="D102" s="468"/>
      <c r="E102" s="468"/>
      <c r="F102" s="468"/>
      <c r="G102" s="468"/>
      <c r="H102" s="469"/>
      <c r="I102" s="469"/>
      <c r="J102" s="469"/>
      <c r="K102" s="470"/>
    </row>
    <row r="103" spans="1:14" ht="21.75" customHeight="1" x14ac:dyDescent="0.25">
      <c r="A103" s="353" t="s">
        <v>299</v>
      </c>
      <c r="B103" s="431" t="s">
        <v>340</v>
      </c>
      <c r="C103" s="432"/>
      <c r="D103" s="433"/>
      <c r="E103" s="433"/>
      <c r="F103" s="433"/>
      <c r="G103" s="433"/>
      <c r="H103" s="1210"/>
      <c r="I103" s="1208"/>
      <c r="J103" s="1208"/>
      <c r="K103" s="1209"/>
    </row>
    <row r="104" spans="1:14" ht="15" customHeight="1" x14ac:dyDescent="0.25">
      <c r="A104" s="1234" t="s">
        <v>531</v>
      </c>
      <c r="B104" s="1236" t="s">
        <v>532</v>
      </c>
      <c r="C104" s="1237"/>
      <c r="D104" s="1203">
        <f>SUM(E104:G105)</f>
        <v>0</v>
      </c>
      <c r="E104" s="1203" t="str">
        <f>IF($K$2="","",H105*$K$2)</f>
        <v/>
      </c>
      <c r="F104" s="1203" t="str">
        <f>IF($K$3="","",I105*$K$3)</f>
        <v/>
      </c>
      <c r="G104" s="1203" t="str">
        <f>IF($K$4="","",J105*$K$4)</f>
        <v/>
      </c>
      <c r="H104" s="454" t="s">
        <v>284</v>
      </c>
      <c r="I104" s="454" t="s">
        <v>286</v>
      </c>
      <c r="J104" s="454" t="s">
        <v>288</v>
      </c>
      <c r="K104" s="477"/>
      <c r="L104" s="454" t="s">
        <v>284</v>
      </c>
      <c r="M104" s="454" t="s">
        <v>286</v>
      </c>
      <c r="N104" s="454" t="s">
        <v>288</v>
      </c>
    </row>
    <row r="105" spans="1:14" ht="15" customHeight="1" x14ac:dyDescent="0.25">
      <c r="A105" s="1235"/>
      <c r="B105" s="1235"/>
      <c r="C105" s="1238"/>
      <c r="D105" s="1204"/>
      <c r="E105" s="1239"/>
      <c r="F105" s="1239"/>
      <c r="G105" s="1239"/>
      <c r="H105" s="478">
        <f>L105/12*Grundlagen!C26</f>
        <v>0</v>
      </c>
      <c r="I105" s="478">
        <f>M105/12*Grundlagen!C26</f>
        <v>0</v>
      </c>
      <c r="J105" s="478">
        <f>N105/12*Grundlagen!C26</f>
        <v>0</v>
      </c>
      <c r="K105" s="479"/>
      <c r="L105" s="887">
        <v>230</v>
      </c>
      <c r="M105" s="887">
        <v>230</v>
      </c>
      <c r="N105" s="887">
        <v>100</v>
      </c>
    </row>
    <row r="106" spans="1:14" ht="15" customHeight="1" x14ac:dyDescent="0.25">
      <c r="A106" s="356" t="s">
        <v>533</v>
      </c>
      <c r="B106" s="310" t="s">
        <v>272</v>
      </c>
      <c r="C106" s="480"/>
      <c r="D106" s="481"/>
      <c r="E106" s="440" t="str">
        <f>IF($K$2="","",H106*$K$2)</f>
        <v/>
      </c>
      <c r="F106" s="440" t="str">
        <f>IF($K$3="","",I106*$K$3)</f>
        <v/>
      </c>
      <c r="G106" s="440" t="str">
        <f>IF($K$4="","",J106*$K$4)</f>
        <v/>
      </c>
      <c r="H106" s="478">
        <f>IF($D$106=0,0,IF(K2="","",(($D$106-((IF($K$2="",0,$K$2*$H$105))+(IF($K$3="",0,$K$3*$I$105))+(IF($K$4="",0,$K$4*$J$105))))/$K$5)+H105))</f>
        <v>0</v>
      </c>
      <c r="I106" s="478">
        <f>IF($D$106=0,0,IF(K3="","",(($D$106-((IF($K$2="",0,$K$2*$H$105))+(IF($K$3="",0,$K$3*$I$105))+(IF($K$4="",0,$K$4*$J$105))))/$K$5)+I105))</f>
        <v>0</v>
      </c>
      <c r="J106" s="478">
        <f>IF($D$106=0,0,IF(K4="","",(($D$106-((IF($K$2="",0,$K$2*$H$105))+(IF($K$3="",0,$K$3*$I$105))+(IF($K$4="",0,$K$4*$J$105))))/$K$5)+J105))</f>
        <v>0</v>
      </c>
      <c r="K106" s="479"/>
    </row>
    <row r="107" spans="1:14" ht="15" customHeight="1" x14ac:dyDescent="0.25">
      <c r="A107" s="443"/>
      <c r="B107" s="444" t="s">
        <v>456</v>
      </c>
      <c r="C107" s="445">
        <f>IF(C106&gt;C104,C106,C104)</f>
        <v>0</v>
      </c>
      <c r="D107" s="445">
        <f>IF(D106&gt;D104,D106,D104)</f>
        <v>0</v>
      </c>
      <c r="E107" s="445">
        <f>IF(D106&gt;D104,SUM(E106),SUM(E104))</f>
        <v>0</v>
      </c>
      <c r="F107" s="445">
        <f>IF(D106&gt;D104,SUM(F106),SUM(F104))</f>
        <v>0</v>
      </c>
      <c r="G107" s="445">
        <f>IF(D106&gt;D104,SUM(G106),SUM(G104))</f>
        <v>0</v>
      </c>
      <c r="H107" s="1196"/>
      <c r="I107" s="1229"/>
      <c r="J107" s="1229"/>
      <c r="K107" s="1230"/>
    </row>
    <row r="108" spans="1:14" s="200" customFormat="1" ht="15" customHeight="1" x14ac:dyDescent="0.25">
      <c r="A108" s="465"/>
      <c r="B108" s="466"/>
      <c r="C108" s="467"/>
      <c r="D108" s="468"/>
      <c r="E108" s="468"/>
      <c r="F108" s="468"/>
      <c r="G108" s="468"/>
      <c r="H108" s="469"/>
      <c r="I108" s="469"/>
      <c r="J108" s="469"/>
      <c r="K108" s="470"/>
    </row>
    <row r="109" spans="1:14" ht="21.75" customHeight="1" x14ac:dyDescent="0.25">
      <c r="A109" s="353" t="s">
        <v>300</v>
      </c>
      <c r="B109" s="431" t="s">
        <v>341</v>
      </c>
      <c r="C109" s="432"/>
      <c r="D109" s="433"/>
      <c r="E109" s="433"/>
      <c r="F109" s="433"/>
      <c r="G109" s="433"/>
      <c r="H109" s="1187"/>
      <c r="I109" s="1188"/>
      <c r="J109" s="1188"/>
      <c r="K109" s="1189"/>
    </row>
    <row r="110" spans="1:14" ht="15" customHeight="1" x14ac:dyDescent="0.25">
      <c r="A110" s="356" t="s">
        <v>300</v>
      </c>
      <c r="B110" s="437" t="s">
        <v>534</v>
      </c>
      <c r="C110" s="462"/>
      <c r="D110" s="464"/>
      <c r="E110" s="440" t="str">
        <f>IF($K$2="","",D110/$K$5*$K$2)</f>
        <v/>
      </c>
      <c r="F110" s="440" t="str">
        <f>IF($K$3="","",D110/$K$5*$K$3)</f>
        <v/>
      </c>
      <c r="G110" s="440" t="str">
        <f>IF($K$4="","",D110/$K$5*$K$4)</f>
        <v/>
      </c>
      <c r="H110" s="1174"/>
      <c r="I110" s="1177"/>
      <c r="J110" s="1177"/>
      <c r="K110" s="1178"/>
    </row>
    <row r="111" spans="1:14" ht="15" customHeight="1" x14ac:dyDescent="0.25">
      <c r="A111" s="443"/>
      <c r="B111" s="444" t="s">
        <v>456</v>
      </c>
      <c r="C111" s="445">
        <f>SUM(C110:C110)</f>
        <v>0</v>
      </c>
      <c r="D111" s="445">
        <f>SUM(D110:D110)</f>
        <v>0</v>
      </c>
      <c r="E111" s="446">
        <f>IF(K2="",0,$D$111/$K$5*K2)</f>
        <v>0</v>
      </c>
      <c r="F111" s="446">
        <f>IF(K3="",0,$D$111/$K$5*K3)</f>
        <v>0</v>
      </c>
      <c r="G111" s="446">
        <f>IF(K4="",0,$D$111/$K$5*K4)</f>
        <v>0</v>
      </c>
      <c r="H111" s="1196"/>
      <c r="I111" s="1229"/>
      <c r="J111" s="1229"/>
      <c r="K111" s="1230"/>
    </row>
    <row r="112" spans="1:14" s="200" customFormat="1" ht="15" customHeight="1" x14ac:dyDescent="0.25">
      <c r="A112" s="465"/>
      <c r="B112" s="466"/>
      <c r="C112" s="467"/>
      <c r="D112" s="468"/>
      <c r="E112" s="468"/>
      <c r="F112" s="468"/>
      <c r="G112" s="468"/>
      <c r="H112" s="469"/>
      <c r="I112" s="469"/>
      <c r="J112" s="469"/>
      <c r="K112" s="470"/>
    </row>
    <row r="113" spans="1:11" ht="21.75" customHeight="1" x14ac:dyDescent="0.25">
      <c r="A113" s="353" t="s">
        <v>301</v>
      </c>
      <c r="B113" s="431" t="s">
        <v>342</v>
      </c>
      <c r="C113" s="432"/>
      <c r="D113" s="433"/>
      <c r="E113" s="433"/>
      <c r="F113" s="433"/>
      <c r="G113" s="433"/>
      <c r="H113" s="1187"/>
      <c r="I113" s="1188"/>
      <c r="J113" s="1188"/>
      <c r="K113" s="1189"/>
    </row>
    <row r="114" spans="1:11" ht="25.5" x14ac:dyDescent="0.25">
      <c r="A114" s="356" t="s">
        <v>535</v>
      </c>
      <c r="B114" s="437" t="s">
        <v>710</v>
      </c>
      <c r="C114" s="462"/>
      <c r="D114" s="483"/>
      <c r="E114" s="440" t="str">
        <f>IF($K$2="","",D114/$K$5*$K$2)</f>
        <v/>
      </c>
      <c r="F114" s="440" t="str">
        <f>IF($K$3="","",D114/$K$5*$K$3)</f>
        <v/>
      </c>
      <c r="G114" s="440" t="str">
        <f>IF($K$4="","",D114/$K$5*$K$4)</f>
        <v/>
      </c>
      <c r="H114" s="1174"/>
      <c r="I114" s="1177"/>
      <c r="J114" s="1177"/>
      <c r="K114" s="1178"/>
    </row>
    <row r="115" spans="1:11" ht="15" customHeight="1" x14ac:dyDescent="0.25">
      <c r="A115" s="356" t="s">
        <v>536</v>
      </c>
      <c r="B115" s="437" t="s">
        <v>711</v>
      </c>
      <c r="C115" s="462"/>
      <c r="D115" s="484">
        <f>'päd Personal'!Q85</f>
        <v>0</v>
      </c>
      <c r="E115" s="440" t="str">
        <f>IF($K$2="","",D115/$K$5*$K$2)</f>
        <v/>
      </c>
      <c r="F115" s="440" t="str">
        <f>IF($K$3="","",D115/$K$5*$K$3)</f>
        <v/>
      </c>
      <c r="G115" s="440" t="str">
        <f>IF($K$4="","",D115/$K$5*$K$4)</f>
        <v/>
      </c>
      <c r="H115" s="1174"/>
      <c r="I115" s="1177"/>
      <c r="J115" s="1177"/>
      <c r="K115" s="1178"/>
    </row>
    <row r="116" spans="1:11" ht="15" hidden="1" customHeight="1" x14ac:dyDescent="0.25">
      <c r="A116" s="356" t="s">
        <v>537</v>
      </c>
      <c r="B116" s="437" t="s">
        <v>538</v>
      </c>
      <c r="C116" s="462"/>
      <c r="D116" s="484">
        <f>'päd Personal'!Q117</f>
        <v>0</v>
      </c>
      <c r="E116" s="440" t="str">
        <f>IF($K$2="","",D116/$K$5*$K$2)</f>
        <v/>
      </c>
      <c r="F116" s="440" t="str">
        <f>IF($K$3="","",D116/$K$5*$K$3)</f>
        <v/>
      </c>
      <c r="G116" s="440" t="str">
        <f>IF($K$4="","",D116/$K$5*$K$4)</f>
        <v/>
      </c>
      <c r="H116" s="1174"/>
      <c r="I116" s="1177"/>
      <c r="J116" s="1177"/>
      <c r="K116" s="1178"/>
    </row>
    <row r="117" spans="1:11" ht="15" customHeight="1" x14ac:dyDescent="0.25">
      <c r="A117" s="443"/>
      <c r="B117" s="444" t="s">
        <v>456</v>
      </c>
      <c r="C117" s="445">
        <f>SUM(C114:C116)</f>
        <v>0</v>
      </c>
      <c r="D117" s="445">
        <f>SUM(D114:D116)</f>
        <v>0</v>
      </c>
      <c r="E117" s="446">
        <f>SUM(E114:E116)</f>
        <v>0</v>
      </c>
      <c r="F117" s="446">
        <f>SUM(F114:F116)</f>
        <v>0</v>
      </c>
      <c r="G117" s="446">
        <f>SUM(G114:G116)</f>
        <v>0</v>
      </c>
      <c r="H117" s="1196"/>
      <c r="I117" s="1229"/>
      <c r="J117" s="1229"/>
      <c r="K117" s="1230"/>
    </row>
    <row r="118" spans="1:11" s="200" customFormat="1" ht="15" customHeight="1" x14ac:dyDescent="0.25">
      <c r="A118" s="465"/>
      <c r="B118" s="466"/>
      <c r="C118" s="467"/>
      <c r="D118" s="468"/>
      <c r="E118" s="468"/>
      <c r="F118" s="468"/>
      <c r="G118" s="468"/>
      <c r="H118" s="469"/>
      <c r="I118" s="469"/>
      <c r="J118" s="469"/>
      <c r="K118" s="470"/>
    </row>
    <row r="119" spans="1:11" ht="21.75" customHeight="1" x14ac:dyDescent="0.25">
      <c r="A119" s="353" t="s">
        <v>302</v>
      </c>
      <c r="B119" s="431" t="s">
        <v>539</v>
      </c>
      <c r="C119" s="432"/>
      <c r="D119" s="433"/>
      <c r="E119" s="433"/>
      <c r="F119" s="433"/>
      <c r="G119" s="433"/>
      <c r="H119" s="1187"/>
      <c r="I119" s="1188"/>
      <c r="J119" s="1188"/>
      <c r="K119" s="1189"/>
    </row>
    <row r="120" spans="1:11" ht="15" customHeight="1" x14ac:dyDescent="0.25">
      <c r="A120" s="356" t="s">
        <v>540</v>
      </c>
      <c r="B120" s="437" t="s">
        <v>273</v>
      </c>
      <c r="C120" s="462"/>
      <c r="D120" s="482"/>
      <c r="E120" s="440" t="str">
        <f>IF($K$2="","",D120/$K$5*$K$2)</f>
        <v/>
      </c>
      <c r="F120" s="440" t="str">
        <f>IF($K$3="","",D120/$K$5*$K$3)</f>
        <v/>
      </c>
      <c r="G120" s="440" t="str">
        <f>IF($K$4="","",D120/$K$5*$K$4)</f>
        <v/>
      </c>
      <c r="H120" s="1174"/>
      <c r="I120" s="1177"/>
      <c r="J120" s="1177"/>
      <c r="K120" s="1178"/>
    </row>
    <row r="121" spans="1:11" ht="15" customHeight="1" x14ac:dyDescent="0.25">
      <c r="A121" s="356" t="s">
        <v>541</v>
      </c>
      <c r="B121" s="437" t="s">
        <v>542</v>
      </c>
      <c r="C121" s="462"/>
      <c r="D121" s="482"/>
      <c r="E121" s="440" t="str">
        <f>IF($K$2="","",D121/$K$5*$K$2)</f>
        <v/>
      </c>
      <c r="F121" s="440" t="str">
        <f>IF($K$3="","",D121/$K$5*$K$3)</f>
        <v/>
      </c>
      <c r="G121" s="440" t="str">
        <f>IF($K$4="","",D121/$K$5*$K$4)</f>
        <v/>
      </c>
      <c r="H121" s="1174"/>
      <c r="I121" s="1177"/>
      <c r="J121" s="1177"/>
      <c r="K121" s="1178"/>
    </row>
    <row r="122" spans="1:11" ht="15" customHeight="1" x14ac:dyDescent="0.25">
      <c r="A122" s="443"/>
      <c r="B122" s="444" t="s">
        <v>456</v>
      </c>
      <c r="C122" s="445">
        <f>SUM(C120:C121)</f>
        <v>0</v>
      </c>
      <c r="D122" s="445">
        <f>SUM(D120:D121)</f>
        <v>0</v>
      </c>
      <c r="E122" s="446">
        <f>SUM(E120:E121)</f>
        <v>0</v>
      </c>
      <c r="F122" s="446">
        <f>SUM(F120:F121)</f>
        <v>0</v>
      </c>
      <c r="G122" s="446">
        <f>SUM(G120:G121)</f>
        <v>0</v>
      </c>
      <c r="H122" s="1196"/>
      <c r="I122" s="1229"/>
      <c r="J122" s="1229"/>
      <c r="K122" s="1230"/>
    </row>
    <row r="123" spans="1:11" s="200" customFormat="1" ht="15" customHeight="1" x14ac:dyDescent="0.25">
      <c r="A123" s="465"/>
      <c r="B123" s="466"/>
      <c r="C123" s="467"/>
      <c r="D123" s="468"/>
      <c r="E123" s="468"/>
      <c r="F123" s="468"/>
      <c r="G123" s="468"/>
      <c r="H123" s="469"/>
      <c r="I123" s="469"/>
      <c r="J123" s="469"/>
      <c r="K123" s="470"/>
    </row>
    <row r="124" spans="1:11" ht="21.75" customHeight="1" x14ac:dyDescent="0.25">
      <c r="A124" s="353" t="s">
        <v>303</v>
      </c>
      <c r="B124" s="431" t="s">
        <v>543</v>
      </c>
      <c r="C124" s="432"/>
      <c r="D124" s="433"/>
      <c r="E124" s="433"/>
      <c r="F124" s="433"/>
      <c r="G124" s="433"/>
      <c r="H124" s="1187"/>
      <c r="I124" s="1188"/>
      <c r="J124" s="1188"/>
      <c r="K124" s="1189"/>
    </row>
    <row r="125" spans="1:11" ht="15" customHeight="1" x14ac:dyDescent="0.25">
      <c r="A125" s="356" t="s">
        <v>544</v>
      </c>
      <c r="B125" s="437" t="s">
        <v>543</v>
      </c>
      <c r="C125" s="462"/>
      <c r="D125" s="482"/>
      <c r="E125" s="440" t="str">
        <f>IF($K$2="","",D125/$K$5*$K$2)</f>
        <v/>
      </c>
      <c r="F125" s="440" t="str">
        <f>IF($K$3="","",D125/$K$5*$K$3)</f>
        <v/>
      </c>
      <c r="G125" s="440" t="str">
        <f>IF($K$4="","",D125/$K$5*$K$4)</f>
        <v/>
      </c>
      <c r="H125" s="1174"/>
      <c r="I125" s="1177"/>
      <c r="J125" s="1177"/>
      <c r="K125" s="1178"/>
    </row>
    <row r="126" spans="1:11" ht="15" customHeight="1" x14ac:dyDescent="0.25">
      <c r="A126" s="356" t="s">
        <v>545</v>
      </c>
      <c r="B126" s="437" t="s">
        <v>546</v>
      </c>
      <c r="C126" s="462"/>
      <c r="D126" s="484">
        <f>'päd Personal'!Q143+'techn Personal'!P70</f>
        <v>0</v>
      </c>
      <c r="E126" s="440" t="str">
        <f>IF($K$2="","",D126/$K$5*$K$2)</f>
        <v/>
      </c>
      <c r="F126" s="440" t="str">
        <f>IF($K$3="","",D126/$K$5*$K$3)</f>
        <v/>
      </c>
      <c r="G126" s="440" t="str">
        <f>IF($K$4="","",D126/$K$5*$K$4)</f>
        <v/>
      </c>
      <c r="H126" s="1174"/>
      <c r="I126" s="1177"/>
      <c r="J126" s="1177"/>
      <c r="K126" s="1178"/>
    </row>
    <row r="127" spans="1:11" ht="15" customHeight="1" x14ac:dyDescent="0.25">
      <c r="A127" s="443"/>
      <c r="B127" s="444" t="s">
        <v>456</v>
      </c>
      <c r="C127" s="445">
        <f>SUM(C125:C126)</f>
        <v>0</v>
      </c>
      <c r="D127" s="445">
        <f>SUM(D125:D126)</f>
        <v>0</v>
      </c>
      <c r="E127" s="446">
        <f>SUM(E125:E126)</f>
        <v>0</v>
      </c>
      <c r="F127" s="446">
        <f t="shared" ref="F127:G127" si="26">SUM(F125:F126)</f>
        <v>0</v>
      </c>
      <c r="G127" s="446">
        <f t="shared" si="26"/>
        <v>0</v>
      </c>
      <c r="H127" s="1196"/>
      <c r="I127" s="1229"/>
      <c r="J127" s="1229"/>
      <c r="K127" s="1230"/>
    </row>
    <row r="128" spans="1:11" s="200" customFormat="1" ht="15" customHeight="1" x14ac:dyDescent="0.25">
      <c r="A128" s="465"/>
      <c r="B128" s="466"/>
      <c r="C128" s="467"/>
      <c r="D128" s="468"/>
      <c r="E128" s="468"/>
      <c r="F128" s="468"/>
      <c r="G128" s="468"/>
      <c r="H128" s="469"/>
      <c r="I128" s="469"/>
      <c r="J128" s="469"/>
      <c r="K128" s="470"/>
    </row>
    <row r="129" spans="1:11" ht="15" customHeight="1" x14ac:dyDescent="0.25">
      <c r="A129" s="443"/>
      <c r="B129" s="444" t="s">
        <v>547</v>
      </c>
      <c r="C129" s="445">
        <f>SUM(C23+C32+C37+C48+C59+C69+C85+C91+C101+C107+C111+C117+C122+C127)</f>
        <v>0</v>
      </c>
      <c r="D129" s="445">
        <f>SUM(D23+D32+D37+D48+D59+D69+D85+D91+D101+D107+D111+D117+D122+D127)</f>
        <v>0</v>
      </c>
      <c r="E129" s="445">
        <f>SUM(E23+E32+E37+E48+E59+E69+E85+E91+E101+E107+E111+E117+E122+E127)</f>
        <v>0</v>
      </c>
      <c r="F129" s="445">
        <f>SUM(F23+F32+F37+F48+F59+F69+F85+F91+F101+F107+F111+F117+F122+F127)</f>
        <v>0</v>
      </c>
      <c r="G129" s="445">
        <f>SUM(G23+G32+G37+G48+G59+G69+G85+G91+G101+G107+G111+G117+G122+G127)</f>
        <v>0</v>
      </c>
      <c r="H129" s="1196"/>
      <c r="I129" s="1229"/>
      <c r="J129" s="1229"/>
      <c r="K129" s="1230"/>
    </row>
    <row r="130" spans="1:11" s="200" customFormat="1" ht="15" customHeight="1" x14ac:dyDescent="0.25">
      <c r="A130" s="465"/>
      <c r="B130" s="466"/>
      <c r="C130" s="467"/>
      <c r="D130" s="468"/>
      <c r="E130" s="468"/>
      <c r="F130" s="468"/>
      <c r="G130" s="468"/>
      <c r="H130" s="469"/>
      <c r="I130" s="469"/>
      <c r="J130" s="469"/>
      <c r="K130" s="470"/>
    </row>
    <row r="131" spans="1:11" ht="21.75" customHeight="1" x14ac:dyDescent="0.25">
      <c r="A131" s="353" t="s">
        <v>304</v>
      </c>
      <c r="B131" s="431" t="s">
        <v>548</v>
      </c>
      <c r="C131" s="432"/>
      <c r="D131" s="433"/>
      <c r="E131" s="433"/>
      <c r="F131" s="433"/>
      <c r="G131" s="433"/>
      <c r="H131" s="1187"/>
      <c r="I131" s="1188"/>
      <c r="J131" s="1188"/>
      <c r="K131" s="1189"/>
    </row>
    <row r="132" spans="1:11" ht="15" customHeight="1" x14ac:dyDescent="0.25">
      <c r="A132" s="356" t="s">
        <v>549</v>
      </c>
      <c r="B132" s="485" t="s">
        <v>550</v>
      </c>
      <c r="C132" s="462"/>
      <c r="D132" s="482"/>
      <c r="E132" s="440" t="str">
        <f>IF($K$2="","",D132/$K$5*$K$2)</f>
        <v/>
      </c>
      <c r="F132" s="440" t="str">
        <f>IF($K$3="","",D132/$K$5*$K$3)</f>
        <v/>
      </c>
      <c r="G132" s="440" t="str">
        <f>IF($K$4="","",D132/$K$5*$K$4)</f>
        <v/>
      </c>
      <c r="H132" s="1174"/>
      <c r="I132" s="1177"/>
      <c r="J132" s="1177"/>
      <c r="K132" s="1178"/>
    </row>
    <row r="133" spans="1:11" ht="15" customHeight="1" x14ac:dyDescent="0.25">
      <c r="A133" s="356" t="s">
        <v>551</v>
      </c>
      <c r="B133" s="485" t="s">
        <v>552</v>
      </c>
      <c r="C133" s="462"/>
      <c r="D133" s="482"/>
      <c r="E133" s="440" t="str">
        <f t="shared" ref="E133:E139" si="27">IF($K$2="","",D133/$K$5*$K$2)</f>
        <v/>
      </c>
      <c r="F133" s="440" t="str">
        <f t="shared" ref="F133:F139" si="28">IF($K$3="","",D133/$K$5*$K$3)</f>
        <v/>
      </c>
      <c r="G133" s="440" t="str">
        <f t="shared" ref="G133:G139" si="29">IF($K$4="","",D133/$K$5*$K$4)</f>
        <v/>
      </c>
      <c r="H133" s="1174"/>
      <c r="I133" s="1177"/>
      <c r="J133" s="1177"/>
      <c r="K133" s="1178"/>
    </row>
    <row r="134" spans="1:11" ht="15" customHeight="1" x14ac:dyDescent="0.25">
      <c r="A134" s="356" t="s">
        <v>553</v>
      </c>
      <c r="B134" s="437" t="s">
        <v>554</v>
      </c>
      <c r="C134" s="462"/>
      <c r="D134" s="482"/>
      <c r="E134" s="440" t="str">
        <f t="shared" si="27"/>
        <v/>
      </c>
      <c r="F134" s="440" t="str">
        <f t="shared" si="28"/>
        <v/>
      </c>
      <c r="G134" s="440" t="str">
        <f t="shared" si="29"/>
        <v/>
      </c>
      <c r="H134" s="1174"/>
      <c r="I134" s="1177"/>
      <c r="J134" s="1177"/>
      <c r="K134" s="1178"/>
    </row>
    <row r="135" spans="1:11" ht="24" x14ac:dyDescent="0.25">
      <c r="A135" s="356" t="s">
        <v>555</v>
      </c>
      <c r="B135" s="437" t="s">
        <v>556</v>
      </c>
      <c r="C135" s="462"/>
      <c r="D135" s="482"/>
      <c r="E135" s="440" t="str">
        <f t="shared" si="27"/>
        <v/>
      </c>
      <c r="F135" s="440" t="str">
        <f t="shared" si="28"/>
        <v/>
      </c>
      <c r="G135" s="440" t="str">
        <f t="shared" si="29"/>
        <v/>
      </c>
      <c r="H135" s="1174"/>
      <c r="I135" s="1177"/>
      <c r="J135" s="1177"/>
      <c r="K135" s="1178"/>
    </row>
    <row r="136" spans="1:11" ht="15" customHeight="1" x14ac:dyDescent="0.25">
      <c r="A136" s="356" t="s">
        <v>557</v>
      </c>
      <c r="B136" s="437" t="s">
        <v>558</v>
      </c>
      <c r="C136" s="462"/>
      <c r="D136" s="482"/>
      <c r="E136" s="440" t="str">
        <f t="shared" si="27"/>
        <v/>
      </c>
      <c r="F136" s="440" t="str">
        <f t="shared" si="28"/>
        <v/>
      </c>
      <c r="G136" s="440" t="str">
        <f t="shared" si="29"/>
        <v/>
      </c>
      <c r="H136" s="1174"/>
      <c r="I136" s="1177"/>
      <c r="J136" s="1177"/>
      <c r="K136" s="1178"/>
    </row>
    <row r="137" spans="1:11" ht="15" customHeight="1" x14ac:dyDescent="0.25">
      <c r="A137" s="356" t="s">
        <v>559</v>
      </c>
      <c r="B137" s="437" t="s">
        <v>560</v>
      </c>
      <c r="C137" s="462"/>
      <c r="D137" s="482"/>
      <c r="E137" s="440" t="str">
        <f t="shared" si="27"/>
        <v/>
      </c>
      <c r="F137" s="440" t="str">
        <f t="shared" si="28"/>
        <v/>
      </c>
      <c r="G137" s="440" t="str">
        <f t="shared" si="29"/>
        <v/>
      </c>
      <c r="H137" s="1174"/>
      <c r="I137" s="1177"/>
      <c r="J137" s="1177"/>
      <c r="K137" s="1178"/>
    </row>
    <row r="138" spans="1:11" ht="15" customHeight="1" x14ac:dyDescent="0.25">
      <c r="A138" s="356" t="s">
        <v>561</v>
      </c>
      <c r="B138" s="437" t="s">
        <v>562</v>
      </c>
      <c r="C138" s="462"/>
      <c r="D138" s="482"/>
      <c r="E138" s="440" t="str">
        <f t="shared" si="27"/>
        <v/>
      </c>
      <c r="F138" s="440" t="str">
        <f t="shared" si="28"/>
        <v/>
      </c>
      <c r="G138" s="440" t="str">
        <f t="shared" si="29"/>
        <v/>
      </c>
      <c r="H138" s="1174"/>
      <c r="I138" s="1177"/>
      <c r="J138" s="1177"/>
      <c r="K138" s="1178"/>
    </row>
    <row r="139" spans="1:11" ht="15" customHeight="1" x14ac:dyDescent="0.25">
      <c r="A139" s="356" t="s">
        <v>563</v>
      </c>
      <c r="B139" s="437" t="s">
        <v>564</v>
      </c>
      <c r="C139" s="462"/>
      <c r="D139" s="482"/>
      <c r="E139" s="440" t="str">
        <f t="shared" si="27"/>
        <v/>
      </c>
      <c r="F139" s="440" t="str">
        <f t="shared" si="28"/>
        <v/>
      </c>
      <c r="G139" s="440" t="str">
        <f t="shared" si="29"/>
        <v/>
      </c>
      <c r="H139" s="1174"/>
      <c r="I139" s="1177"/>
      <c r="J139" s="1177"/>
      <c r="K139" s="1178"/>
    </row>
    <row r="140" spans="1:11" ht="15" customHeight="1" x14ac:dyDescent="0.25">
      <c r="A140" s="443"/>
      <c r="B140" s="444" t="s">
        <v>456</v>
      </c>
      <c r="C140" s="445">
        <f>SUM(C132:C139)</f>
        <v>0</v>
      </c>
      <c r="D140" s="445">
        <f>SUM(D132:D139)</f>
        <v>0</v>
      </c>
      <c r="E140" s="446">
        <f>SUM(E132:E139)</f>
        <v>0</v>
      </c>
      <c r="F140" s="446">
        <f>SUM(F132:F139)</f>
        <v>0</v>
      </c>
      <c r="G140" s="446">
        <f>SUM(G132:G139)</f>
        <v>0</v>
      </c>
      <c r="H140" s="1196"/>
      <c r="I140" s="1229"/>
      <c r="J140" s="1229"/>
      <c r="K140" s="1230"/>
    </row>
    <row r="141" spans="1:11" s="200" customFormat="1" ht="15" customHeight="1" x14ac:dyDescent="0.25">
      <c r="A141" s="465"/>
      <c r="B141" s="466"/>
      <c r="C141" s="467"/>
      <c r="D141" s="468"/>
      <c r="E141" s="468"/>
      <c r="F141" s="468"/>
      <c r="G141" s="468"/>
      <c r="H141" s="469"/>
      <c r="I141" s="469"/>
      <c r="J141" s="469"/>
      <c r="K141" s="470"/>
    </row>
    <row r="142" spans="1:11" ht="15" customHeight="1" x14ac:dyDescent="0.25">
      <c r="A142" s="443"/>
      <c r="B142" s="444" t="s">
        <v>565</v>
      </c>
      <c r="C142" s="445">
        <f>C140</f>
        <v>0</v>
      </c>
      <c r="D142" s="445">
        <f t="shared" ref="D142:G142" si="30">D140</f>
        <v>0</v>
      </c>
      <c r="E142" s="445">
        <f t="shared" si="30"/>
        <v>0</v>
      </c>
      <c r="F142" s="445">
        <f t="shared" si="30"/>
        <v>0</v>
      </c>
      <c r="G142" s="445">
        <f t="shared" si="30"/>
        <v>0</v>
      </c>
      <c r="H142" s="1196"/>
      <c r="I142" s="1229"/>
      <c r="J142" s="1229"/>
      <c r="K142" s="1230"/>
    </row>
    <row r="143" spans="1:11" x14ac:dyDescent="0.25">
      <c r="C143" s="449"/>
    </row>
    <row r="144" spans="1:11" ht="15" customHeight="1" x14ac:dyDescent="0.25">
      <c r="C144" s="449"/>
    </row>
    <row r="145" spans="1:11" ht="21.75" customHeight="1" x14ac:dyDescent="0.25">
      <c r="A145" s="353" t="s">
        <v>305</v>
      </c>
      <c r="B145" s="431" t="s">
        <v>566</v>
      </c>
      <c r="C145" s="1242"/>
      <c r="D145" s="1243"/>
      <c r="E145" s="433"/>
      <c r="F145" s="433"/>
      <c r="G145" s="433"/>
      <c r="H145" s="1187"/>
      <c r="I145" s="1188"/>
      <c r="J145" s="1188"/>
      <c r="K145" s="1189"/>
    </row>
    <row r="146" spans="1:11" ht="15" customHeight="1" x14ac:dyDescent="0.25">
      <c r="A146" s="356" t="s">
        <v>567</v>
      </c>
      <c r="B146" s="485" t="s">
        <v>568</v>
      </c>
      <c r="C146" s="462"/>
      <c r="D146" s="482"/>
      <c r="E146" s="440" t="str">
        <f>IF($K$2="","",D146/$K$5*$K$2)</f>
        <v/>
      </c>
      <c r="F146" s="440" t="str">
        <f>IF($K$3="","",D146/$K$5*$K$3)</f>
        <v/>
      </c>
      <c r="G146" s="440" t="str">
        <f>IF($K$4="","",D146/$K$5*$K$4)</f>
        <v/>
      </c>
      <c r="H146" s="1174"/>
      <c r="I146" s="1177"/>
      <c r="J146" s="1177"/>
      <c r="K146" s="1178"/>
    </row>
    <row r="147" spans="1:11" ht="24" x14ac:dyDescent="0.25">
      <c r="A147" s="356" t="s">
        <v>569</v>
      </c>
      <c r="B147" s="437" t="s">
        <v>570</v>
      </c>
      <c r="C147" s="462"/>
      <c r="D147" s="482"/>
      <c r="E147" s="440" t="str">
        <f>IF($K$2="","",D147/$K$5*$K$2)</f>
        <v/>
      </c>
      <c r="F147" s="440" t="str">
        <f>IF($K$3="","",D147/$K$5*$K$3)</f>
        <v/>
      </c>
      <c r="G147" s="440" t="str">
        <f>IF($K$4="","",D147/$K$5*$K$4)</f>
        <v/>
      </c>
      <c r="H147" s="1174"/>
      <c r="I147" s="1177"/>
      <c r="J147" s="1177"/>
      <c r="K147" s="1178"/>
    </row>
    <row r="148" spans="1:11" ht="24" x14ac:dyDescent="0.25">
      <c r="A148" s="356" t="s">
        <v>571</v>
      </c>
      <c r="B148" s="437" t="s">
        <v>572</v>
      </c>
      <c r="C148" s="462"/>
      <c r="D148" s="482"/>
      <c r="E148" s="440" t="str">
        <f>IF($K$2="","",D148/$K$5*$K$2)</f>
        <v/>
      </c>
      <c r="F148" s="440" t="str">
        <f>IF($K$3="","",D148/$K$5*$K$3)</f>
        <v/>
      </c>
      <c r="G148" s="440" t="str">
        <f>IF($K$4="","",D148/$K$5*$K$4)</f>
        <v/>
      </c>
      <c r="H148" s="1174"/>
      <c r="I148" s="1177"/>
      <c r="J148" s="1177"/>
      <c r="K148" s="1178"/>
    </row>
    <row r="149" spans="1:11" ht="15" customHeight="1" x14ac:dyDescent="0.25">
      <c r="A149" s="443"/>
      <c r="B149" s="444" t="s">
        <v>456</v>
      </c>
      <c r="C149" s="445">
        <f>C146-SUM(C147:C148)</f>
        <v>0</v>
      </c>
      <c r="D149" s="445">
        <f>D146-SUM(D147:D148)</f>
        <v>0</v>
      </c>
      <c r="E149" s="446">
        <f>SUM(E139:E148)</f>
        <v>0</v>
      </c>
      <c r="F149" s="446">
        <f>SUM(F139:F148)</f>
        <v>0</v>
      </c>
      <c r="G149" s="446">
        <f>SUM(G139:G148)</f>
        <v>0</v>
      </c>
      <c r="H149" s="1196"/>
      <c r="I149" s="1229"/>
      <c r="J149" s="1229"/>
      <c r="K149" s="1230"/>
    </row>
    <row r="150" spans="1:11" ht="15" customHeight="1" x14ac:dyDescent="0.25">
      <c r="C150" s="449"/>
    </row>
    <row r="151" spans="1:11" ht="21.75" customHeight="1" x14ac:dyDescent="0.25">
      <c r="A151" s="353" t="s">
        <v>306</v>
      </c>
      <c r="B151" s="431" t="s">
        <v>573</v>
      </c>
      <c r="C151" s="1242"/>
      <c r="D151" s="1243"/>
      <c r="E151" s="433"/>
      <c r="F151" s="433"/>
      <c r="G151" s="433"/>
      <c r="H151" s="1187"/>
      <c r="I151" s="1188"/>
      <c r="J151" s="1188"/>
      <c r="K151" s="1189"/>
    </row>
    <row r="152" spans="1:11" ht="15" customHeight="1" x14ac:dyDescent="0.25">
      <c r="A152" s="356" t="s">
        <v>306</v>
      </c>
      <c r="B152" s="485" t="s">
        <v>574</v>
      </c>
      <c r="C152" s="462"/>
      <c r="D152" s="484">
        <f>'päd Personal'!Q150</f>
        <v>0</v>
      </c>
      <c r="E152" s="440" t="str">
        <f>IF($K$2="","",D152/$K$5*$K$2)</f>
        <v/>
      </c>
      <c r="F152" s="440" t="str">
        <f>IF($K$3="","",D152/$K$5*$K$3)</f>
        <v/>
      </c>
      <c r="G152" s="440" t="str">
        <f>IF($K$4="","",D152/$K$5*$K$4)</f>
        <v/>
      </c>
      <c r="H152" s="1174"/>
      <c r="I152" s="1177"/>
      <c r="J152" s="1177"/>
      <c r="K152" s="1178"/>
    </row>
    <row r="153" spans="1:11" ht="15" customHeight="1" x14ac:dyDescent="0.25">
      <c r="A153" s="443"/>
      <c r="B153" s="444" t="s">
        <v>456</v>
      </c>
      <c r="C153" s="445">
        <f>SUM(C152)</f>
        <v>0</v>
      </c>
      <c r="D153" s="445">
        <f>SUM(D152)</f>
        <v>0</v>
      </c>
      <c r="E153" s="445">
        <f t="shared" ref="E153:G153" si="31">SUM(E152)</f>
        <v>0</v>
      </c>
      <c r="F153" s="445">
        <f t="shared" si="31"/>
        <v>0</v>
      </c>
      <c r="G153" s="445">
        <f t="shared" si="31"/>
        <v>0</v>
      </c>
      <c r="H153" s="1196"/>
      <c r="I153" s="1229"/>
      <c r="J153" s="1229"/>
      <c r="K153" s="1230"/>
    </row>
    <row r="154" spans="1:11" ht="12" customHeight="1" x14ac:dyDescent="0.25"/>
    <row r="155" spans="1:11" ht="12" customHeight="1" x14ac:dyDescent="0.25"/>
    <row r="156" spans="1:11" ht="12" customHeight="1" x14ac:dyDescent="0.25"/>
    <row r="157" spans="1:11" ht="12" customHeight="1" x14ac:dyDescent="0.25"/>
    <row r="158" spans="1:11" ht="12" customHeight="1" x14ac:dyDescent="0.25"/>
    <row r="159" spans="1:11" ht="12" customHeight="1" x14ac:dyDescent="0.25"/>
    <row r="160" spans="1:11" ht="12" customHeight="1" x14ac:dyDescent="0.25"/>
    <row r="161" spans="2:7" ht="12" customHeight="1" x14ac:dyDescent="0.25"/>
    <row r="162" spans="2:7" ht="12" customHeight="1" x14ac:dyDescent="0.25"/>
    <row r="164" spans="2:7" x14ac:dyDescent="0.25">
      <c r="B164" s="487"/>
      <c r="C164" s="449"/>
      <c r="E164" s="488"/>
      <c r="F164" s="488"/>
      <c r="G164" s="488"/>
    </row>
    <row r="165" spans="2:7" x14ac:dyDescent="0.25">
      <c r="B165" s="489" t="s">
        <v>575</v>
      </c>
      <c r="E165" s="490" t="s">
        <v>576</v>
      </c>
    </row>
  </sheetData>
  <sheetProtection algorithmName="SHA-512" hashValue="OElqY4qu6UOmyVTcqOSidCYArkLxIGsa6KXekZEYAQPuFtYmvExZUGWQtSPU5FsKSz7juKwCDICz7jO0H9H6Bw==" saltValue="G7pAX91b2XMYD7ps8/Pgfg==" spinCount="100000" sheet="1" objects="1" scenarios="1"/>
  <mergeCells count="169">
    <mergeCell ref="O27:O28"/>
    <mergeCell ref="L29:M29"/>
    <mergeCell ref="N29:O29"/>
    <mergeCell ref="C151:D151"/>
    <mergeCell ref="H151:K151"/>
    <mergeCell ref="H152:K152"/>
    <mergeCell ref="H153:K153"/>
    <mergeCell ref="C145:D145"/>
    <mergeCell ref="H145:K145"/>
    <mergeCell ref="H146:K146"/>
    <mergeCell ref="H147:K147"/>
    <mergeCell ref="H148:K148"/>
    <mergeCell ref="H149:K149"/>
    <mergeCell ref="H136:K136"/>
    <mergeCell ref="H137:K137"/>
    <mergeCell ref="H138:K138"/>
    <mergeCell ref="H139:K139"/>
    <mergeCell ref="H140:K140"/>
    <mergeCell ref="H142:K142"/>
    <mergeCell ref="H129:K129"/>
    <mergeCell ref="H131:K131"/>
    <mergeCell ref="H132:K132"/>
    <mergeCell ref="H133:K133"/>
    <mergeCell ref="H134:K134"/>
    <mergeCell ref="H135:K135"/>
    <mergeCell ref="H121:K121"/>
    <mergeCell ref="H122:K122"/>
    <mergeCell ref="H124:K124"/>
    <mergeCell ref="H125:K125"/>
    <mergeCell ref="H126:K126"/>
    <mergeCell ref="H127:K127"/>
    <mergeCell ref="H114:K114"/>
    <mergeCell ref="H115:K115"/>
    <mergeCell ref="H116:K116"/>
    <mergeCell ref="H117:K117"/>
    <mergeCell ref="H119:K119"/>
    <mergeCell ref="H120:K120"/>
    <mergeCell ref="H107:K107"/>
    <mergeCell ref="H109:K109"/>
    <mergeCell ref="H110:K110"/>
    <mergeCell ref="H111:K111"/>
    <mergeCell ref="H113:K113"/>
    <mergeCell ref="H99:K99"/>
    <mergeCell ref="H100:K100"/>
    <mergeCell ref="H101:K101"/>
    <mergeCell ref="H103:K103"/>
    <mergeCell ref="A104:A105"/>
    <mergeCell ref="B104:B105"/>
    <mergeCell ref="C104:C105"/>
    <mergeCell ref="D104:D105"/>
    <mergeCell ref="E104:E105"/>
    <mergeCell ref="F104:F105"/>
    <mergeCell ref="H93:K93"/>
    <mergeCell ref="H94:K94"/>
    <mergeCell ref="H95:K95"/>
    <mergeCell ref="H96:K96"/>
    <mergeCell ref="H97:K97"/>
    <mergeCell ref="H98:K98"/>
    <mergeCell ref="G104:G105"/>
    <mergeCell ref="H85:K85"/>
    <mergeCell ref="H87:K87"/>
    <mergeCell ref="H88:K88"/>
    <mergeCell ref="H89:K89"/>
    <mergeCell ref="H90:K90"/>
    <mergeCell ref="H91:K91"/>
    <mergeCell ref="H79:K79"/>
    <mergeCell ref="H80:K80"/>
    <mergeCell ref="H81:K81"/>
    <mergeCell ref="H82:K82"/>
    <mergeCell ref="H83:K83"/>
    <mergeCell ref="H84:K84"/>
    <mergeCell ref="H73:K73"/>
    <mergeCell ref="H74:K74"/>
    <mergeCell ref="H75:K75"/>
    <mergeCell ref="H76:K76"/>
    <mergeCell ref="H77:K77"/>
    <mergeCell ref="H78:K78"/>
    <mergeCell ref="H66:K66"/>
    <mergeCell ref="H67:K67"/>
    <mergeCell ref="H68:K68"/>
    <mergeCell ref="H69:K69"/>
    <mergeCell ref="H71:K71"/>
    <mergeCell ref="H72:K72"/>
    <mergeCell ref="H59:K59"/>
    <mergeCell ref="H61:K61"/>
    <mergeCell ref="H62:K62"/>
    <mergeCell ref="H63:K63"/>
    <mergeCell ref="H64:K64"/>
    <mergeCell ref="H65:K65"/>
    <mergeCell ref="H53:K53"/>
    <mergeCell ref="H54:K54"/>
    <mergeCell ref="H55:K55"/>
    <mergeCell ref="H56:K56"/>
    <mergeCell ref="H57:K57"/>
    <mergeCell ref="H58:K58"/>
    <mergeCell ref="H46:K46"/>
    <mergeCell ref="H47:K47"/>
    <mergeCell ref="H48:K48"/>
    <mergeCell ref="H50:K50"/>
    <mergeCell ref="H51:K51"/>
    <mergeCell ref="H52:K52"/>
    <mergeCell ref="H40:K40"/>
    <mergeCell ref="H41:K41"/>
    <mergeCell ref="H42:K42"/>
    <mergeCell ref="H43:K43"/>
    <mergeCell ref="H44:K44"/>
    <mergeCell ref="H45:K45"/>
    <mergeCell ref="H32:K32"/>
    <mergeCell ref="H34:K34"/>
    <mergeCell ref="H35:K35"/>
    <mergeCell ref="H36:K36"/>
    <mergeCell ref="H37:K37"/>
    <mergeCell ref="H39:K39"/>
    <mergeCell ref="K27:K28"/>
    <mergeCell ref="A29:A31"/>
    <mergeCell ref="B29:B31"/>
    <mergeCell ref="C29:C31"/>
    <mergeCell ref="D29:D31"/>
    <mergeCell ref="E29:E31"/>
    <mergeCell ref="F29:F31"/>
    <mergeCell ref="G29:G31"/>
    <mergeCell ref="H29:I29"/>
    <mergeCell ref="J29:K29"/>
    <mergeCell ref="H23:K23"/>
    <mergeCell ref="H25:K25"/>
    <mergeCell ref="H26:K26"/>
    <mergeCell ref="A27:A28"/>
    <mergeCell ref="B27:B28"/>
    <mergeCell ref="C27:C28"/>
    <mergeCell ref="D27:D28"/>
    <mergeCell ref="E27:E28"/>
    <mergeCell ref="F27:F28"/>
    <mergeCell ref="G27:G28"/>
    <mergeCell ref="H17:K17"/>
    <mergeCell ref="H18:K18"/>
    <mergeCell ref="H19:K19"/>
    <mergeCell ref="H20:K20"/>
    <mergeCell ref="H21:K21"/>
    <mergeCell ref="H22:K22"/>
    <mergeCell ref="E11:G11"/>
    <mergeCell ref="H11:K11"/>
    <mergeCell ref="H13:K13"/>
    <mergeCell ref="H14:K14"/>
    <mergeCell ref="H15:K15"/>
    <mergeCell ref="H16:K16"/>
    <mergeCell ref="G6:H6"/>
    <mergeCell ref="I6:J6"/>
    <mergeCell ref="A8:A11"/>
    <mergeCell ref="B8:B11"/>
    <mergeCell ref="E8:G8"/>
    <mergeCell ref="H8:K8"/>
    <mergeCell ref="E9:G9"/>
    <mergeCell ref="H9:K9"/>
    <mergeCell ref="C10:C11"/>
    <mergeCell ref="H10:K10"/>
    <mergeCell ref="D10:D11"/>
    <mergeCell ref="G4:H4"/>
    <mergeCell ref="I4:J4"/>
    <mergeCell ref="A5:D5"/>
    <mergeCell ref="E5:F5"/>
    <mergeCell ref="G5:H5"/>
    <mergeCell ref="I5:J5"/>
    <mergeCell ref="I1:J1"/>
    <mergeCell ref="C2:F2"/>
    <mergeCell ref="G2:H2"/>
    <mergeCell ref="I2:J2"/>
    <mergeCell ref="C3:F3"/>
    <mergeCell ref="G3:H3"/>
    <mergeCell ref="I3:J3"/>
  </mergeCells>
  <dataValidations count="3">
    <dataValidation type="decimal" errorStyle="information" operator="lessThan" allowBlank="1" showInputMessage="1" showErrorMessage="1" errorTitle="Ausstattung/Pflege Grünanlagen" error="lt. RL max. 500,00 € - höhere Kosten bitte begründen und nachweisen" sqref="D90">
      <formula1>500.001</formula1>
    </dataValidation>
    <dataValidation type="decimal" errorStyle="information" operator="lessThan" allowBlank="1" showInputMessage="1" showErrorMessage="1" errorTitle="Instandhaltungskosten" error="lt. RL max. 3.000,00 € - höhere Kosten bitte begründen und nachweisen" sqref="D88">
      <formula1>3000.001</formula1>
    </dataValidation>
    <dataValidation type="decimal" errorStyle="information" operator="lessThan" allowBlank="1" showInputMessage="1" showErrorMessage="1" errorTitle="Qualitätsentwicklung" error="lt. RL max. 3.000,00 € - höhere Kosten bitte begründen und nachweisen" sqref="D110">
      <formula1>3000.001</formula1>
    </dataValidation>
  </dataValidations>
  <printOptions horizontalCentered="1"/>
  <pageMargins left="0.19685039370078741" right="0.19685039370078741" top="1.1811023622047245" bottom="0.39370078740157483" header="0.19685039370078741" footer="0.19685039370078741"/>
  <pageSetup paperSize="9" fitToHeight="6" orientation="landscape" r:id="rId1"/>
  <headerFooter>
    <oddHeader xml:space="preserve">&amp;L&amp;"Arial,Fett"&amp;22Salzlandkreis&amp;11
&amp;12Der Landrat&amp;C&amp;"Arial,Fett"
&amp;12Kostenplan&amp;R&amp;G
</oddHeader>
    <oddFooter>&amp;C&amp;"Arial,Standard"&amp;8Ausfertigung vom &amp;D &amp;T&amp;R&amp;"Arial,Standard"&amp;8&amp;P von &amp;N</oddFooter>
  </headerFooter>
  <rowBreaks count="9" manualBreakCount="9">
    <brk id="24" max="16383" man="1"/>
    <brk id="38" max="16383" man="1"/>
    <brk id="49" max="16383" man="1"/>
    <brk id="60" max="16383" man="1"/>
    <brk id="70" max="16383" man="1"/>
    <brk id="92" max="16383" man="1"/>
    <brk id="112" max="16383" man="1"/>
    <brk id="130" max="16383" man="1"/>
    <brk id="144"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F0000"/>
  </sheetPr>
  <dimension ref="A1:L175"/>
  <sheetViews>
    <sheetView view="pageLayout" zoomScaleNormal="100" workbookViewId="0">
      <selection activeCell="B1" sqref="B1"/>
    </sheetView>
  </sheetViews>
  <sheetFormatPr baseColWidth="10" defaultColWidth="11.42578125" defaultRowHeight="14.25" x14ac:dyDescent="0.25"/>
  <cols>
    <col min="1" max="1" width="13.28515625" style="757" bestFit="1" customWidth="1"/>
    <col min="2" max="2" width="24.42578125" style="757" customWidth="1"/>
    <col min="3" max="3" width="12.42578125" style="756" customWidth="1"/>
    <col min="4" max="4" width="10.140625" style="757" customWidth="1"/>
    <col min="5" max="6" width="15" style="757" customWidth="1"/>
    <col min="7" max="7" width="13.28515625" style="757" bestFit="1" customWidth="1"/>
    <col min="8" max="8" width="24.42578125" style="757" customWidth="1"/>
    <col min="9" max="9" width="12.42578125" style="756" customWidth="1"/>
    <col min="10" max="10" width="10.140625" style="757" customWidth="1"/>
    <col min="11" max="12" width="15" style="757" customWidth="1"/>
    <col min="13" max="16384" width="11.42578125" style="757"/>
  </cols>
  <sheetData>
    <row r="1" spans="1:12" ht="15" x14ac:dyDescent="0.25">
      <c r="A1" s="754" t="s">
        <v>274</v>
      </c>
      <c r="B1" s="755">
        <f>IF(Grundlagen!C4="","",Grundlagen!C4)</f>
        <v>2025</v>
      </c>
      <c r="G1" s="754" t="s">
        <v>274</v>
      </c>
      <c r="H1" s="755">
        <f>IF(Grundlagen!$C$4="","",Grundlagen!$C$4)</f>
        <v>2025</v>
      </c>
    </row>
    <row r="2" spans="1:12" ht="15" x14ac:dyDescent="0.25">
      <c r="A2" s="754" t="s">
        <v>17</v>
      </c>
      <c r="B2" s="1246" t="str">
        <f>IF(Grundlagen!$C$6="","",Grundlagen!$C$6)</f>
        <v/>
      </c>
      <c r="C2" s="1247"/>
      <c r="D2" s="1247"/>
      <c r="E2" s="1247"/>
      <c r="G2" s="754" t="s">
        <v>17</v>
      </c>
      <c r="H2" s="1246" t="str">
        <f>IF(Grundlagen!$C$6="","",Grundlagen!$C$6)</f>
        <v/>
      </c>
      <c r="I2" s="1247"/>
      <c r="J2" s="1247"/>
      <c r="K2" s="1247"/>
      <c r="L2" s="1248" t="s">
        <v>374</v>
      </c>
    </row>
    <row r="3" spans="1:12" ht="15" x14ac:dyDescent="0.25">
      <c r="A3" s="754" t="s">
        <v>16</v>
      </c>
      <c r="B3" s="1249" t="str">
        <f>IF(Grundlagen!$C$9="","",Grundlagen!$C$9)</f>
        <v/>
      </c>
      <c r="C3" s="1250"/>
      <c r="D3" s="1250"/>
      <c r="E3" s="1250"/>
      <c r="G3" s="754" t="s">
        <v>16</v>
      </c>
      <c r="H3" s="1249" t="str">
        <f>IF(Grundlagen!$C$9="","",Grundlagen!$C$9)</f>
        <v/>
      </c>
      <c r="I3" s="1250"/>
      <c r="J3" s="1250"/>
      <c r="K3" s="1250"/>
      <c r="L3" s="1248"/>
    </row>
    <row r="4" spans="1:12" s="758" customFormat="1" ht="11.25" x14ac:dyDescent="0.25">
      <c r="C4" s="759"/>
      <c r="I4" s="759"/>
    </row>
    <row r="5" spans="1:12" ht="15" x14ac:dyDescent="0.25">
      <c r="A5" s="760" t="s">
        <v>375</v>
      </c>
      <c r="C5" s="761" t="s">
        <v>321</v>
      </c>
      <c r="D5" s="761" t="s">
        <v>322</v>
      </c>
      <c r="E5" s="1244" t="s">
        <v>367</v>
      </c>
      <c r="F5" s="1244"/>
      <c r="G5" s="760" t="s">
        <v>375</v>
      </c>
      <c r="I5" s="761" t="s">
        <v>321</v>
      </c>
      <c r="J5" s="761" t="s">
        <v>322</v>
      </c>
      <c r="K5" s="1245" t="s">
        <v>376</v>
      </c>
      <c r="L5" s="1245"/>
    </row>
    <row r="6" spans="1:12" x14ac:dyDescent="0.25">
      <c r="A6" s="757" t="s">
        <v>377</v>
      </c>
      <c r="C6" s="762">
        <f>IF(Grundlagen!C26="",0,IF('päd Personal'!G18="FEHLER",0,'päd Personal'!G18+'päd Personal'!G57))</f>
        <v>0</v>
      </c>
      <c r="D6" s="763">
        <f>(IF('päd Personal'!E18&gt;=1,1,'päd Personal'!E18))+'päd Personal'!E57</f>
        <v>0</v>
      </c>
      <c r="E6" s="1251"/>
      <c r="F6" s="1251"/>
      <c r="G6" s="757" t="s">
        <v>377</v>
      </c>
      <c r="I6" s="764">
        <f>IF(C6=0,0,C6)</f>
        <v>0</v>
      </c>
      <c r="J6" s="765">
        <f>IF(D6=0,0,D6)</f>
        <v>0</v>
      </c>
      <c r="K6" s="1252"/>
      <c r="L6" s="1252"/>
    </row>
    <row r="7" spans="1:12" x14ac:dyDescent="0.25">
      <c r="A7" s="757" t="s">
        <v>378</v>
      </c>
      <c r="C7" s="762">
        <f>IF(Grundlagen!C26="",0,'päd Personal'!$G$69)</f>
        <v>0</v>
      </c>
      <c r="D7" s="763">
        <f>'päd Personal'!$E$69</f>
        <v>0</v>
      </c>
      <c r="E7" s="1251"/>
      <c r="F7" s="1251"/>
      <c r="G7" s="757" t="s">
        <v>378</v>
      </c>
      <c r="I7" s="764">
        <f>IF(C7=0,0,C7)</f>
        <v>0</v>
      </c>
      <c r="J7" s="765">
        <f t="shared" ref="J7:J12" si="0">IF(D7=0,0,D7)</f>
        <v>0</v>
      </c>
      <c r="K7" s="1252"/>
      <c r="L7" s="1252"/>
    </row>
    <row r="8" spans="1:12" x14ac:dyDescent="0.25">
      <c r="A8" s="757" t="s">
        <v>379</v>
      </c>
      <c r="D8" s="763">
        <f>IF('päd Personal'!$E$18&gt;=1,1,'päd Personal'!$E$18)</f>
        <v>0</v>
      </c>
      <c r="E8" s="1251"/>
      <c r="F8" s="1251"/>
      <c r="G8" s="757" t="s">
        <v>379</v>
      </c>
      <c r="J8" s="765">
        <f t="shared" si="0"/>
        <v>0</v>
      </c>
      <c r="K8" s="1252"/>
      <c r="L8" s="1252"/>
    </row>
    <row r="9" spans="1:12" x14ac:dyDescent="0.25">
      <c r="A9" s="757" t="s">
        <v>380</v>
      </c>
      <c r="D9" s="763">
        <f>'päd Personal'!$E$85</f>
        <v>0</v>
      </c>
      <c r="E9" s="1251"/>
      <c r="F9" s="1251"/>
      <c r="G9" s="757" t="s">
        <v>380</v>
      </c>
      <c r="J9" s="765">
        <f t="shared" si="0"/>
        <v>0</v>
      </c>
      <c r="K9" s="1252"/>
      <c r="L9" s="1252"/>
    </row>
    <row r="10" spans="1:12" x14ac:dyDescent="0.25">
      <c r="A10" s="757" t="s">
        <v>381</v>
      </c>
      <c r="C10" s="762">
        <f>IF(Grundlagen!C26="",0,'päd Personal'!G110)</f>
        <v>0</v>
      </c>
      <c r="D10" s="763">
        <f>'päd Personal'!$E$110</f>
        <v>0</v>
      </c>
      <c r="E10" s="1251"/>
      <c r="F10" s="1251"/>
      <c r="G10" s="757" t="s">
        <v>381</v>
      </c>
      <c r="I10" s="764">
        <f>IF(C10=0,0,C10)</f>
        <v>0</v>
      </c>
      <c r="J10" s="765">
        <f t="shared" si="0"/>
        <v>0</v>
      </c>
      <c r="K10" s="1252"/>
      <c r="L10" s="1252"/>
    </row>
    <row r="11" spans="1:12" x14ac:dyDescent="0.25">
      <c r="A11" s="894">
        <f>IF('päd Personal'!G136=0,0,IF(Grundlagen!C26="",0,'päd Personal'!G136))</f>
        <v>0</v>
      </c>
      <c r="B11" s="757" t="s">
        <v>382</v>
      </c>
      <c r="C11" s="766"/>
      <c r="D11" s="763">
        <f>'päd Personal'!$E$136</f>
        <v>0</v>
      </c>
      <c r="E11" s="1251"/>
      <c r="F11" s="1251"/>
      <c r="G11" s="895">
        <f>IF(A11=0,0,A11)</f>
        <v>0</v>
      </c>
      <c r="H11" s="757" t="s">
        <v>382</v>
      </c>
      <c r="I11" s="766"/>
      <c r="J11" s="765">
        <f t="shared" si="0"/>
        <v>0</v>
      </c>
      <c r="K11" s="1252"/>
      <c r="L11" s="1252"/>
    </row>
    <row r="12" spans="1:12" x14ac:dyDescent="0.25">
      <c r="A12" s="757" t="s">
        <v>383</v>
      </c>
      <c r="C12" s="766"/>
      <c r="D12" s="763">
        <f>'päd Personal'!$E$143</f>
        <v>0</v>
      </c>
      <c r="E12" s="1251"/>
      <c r="F12" s="1251"/>
      <c r="G12" s="757" t="s">
        <v>383</v>
      </c>
      <c r="I12" s="766"/>
      <c r="J12" s="765">
        <f t="shared" si="0"/>
        <v>0</v>
      </c>
      <c r="K12" s="1252"/>
      <c r="L12" s="1252"/>
    </row>
    <row r="13" spans="1:12" ht="15" x14ac:dyDescent="0.25">
      <c r="B13" s="754" t="s">
        <v>264</v>
      </c>
      <c r="C13" s="767">
        <f>SUM(C6:C7)+C10</f>
        <v>0</v>
      </c>
      <c r="D13" s="768">
        <f>SUM(D6:D7)+SUM(D9:D12)</f>
        <v>0</v>
      </c>
      <c r="H13" s="754" t="s">
        <v>264</v>
      </c>
      <c r="I13" s="767">
        <f>SUM(I6:I7)+I10</f>
        <v>0</v>
      </c>
      <c r="J13" s="768">
        <f>SUM(J6:J7)+SUM(J9:J12)</f>
        <v>0</v>
      </c>
      <c r="K13" s="1252"/>
      <c r="L13" s="1252"/>
    </row>
    <row r="14" spans="1:12" s="758" customFormat="1" ht="11.25" x14ac:dyDescent="0.25">
      <c r="C14" s="759"/>
      <c r="I14" s="759"/>
    </row>
    <row r="15" spans="1:12" ht="15" x14ac:dyDescent="0.2">
      <c r="A15" s="760" t="s">
        <v>263</v>
      </c>
      <c r="G15" s="760" t="s">
        <v>263</v>
      </c>
      <c r="J15" s="769" t="s">
        <v>292</v>
      </c>
    </row>
    <row r="16" spans="1:12" x14ac:dyDescent="0.25">
      <c r="A16" s="757" t="s">
        <v>384</v>
      </c>
      <c r="C16" s="762">
        <f>IF(Grundlagen!C26="",0,IF('päd Personal'!B15="",('päd Personal'!C57/Grundlagen!C26),'päd Personal'!C57/Grundlagen!C26))</f>
        <v>0</v>
      </c>
      <c r="D16" s="770" t="str">
        <f>IF('päd Personal'!C57=0,"",'päd Personal'!C57)</f>
        <v/>
      </c>
      <c r="E16" s="770" t="str">
        <f>IF(D16="","","Monate Beschäftigung / Betriebsmonate")</f>
        <v/>
      </c>
      <c r="F16" s="771"/>
      <c r="G16" s="757" t="s">
        <v>384</v>
      </c>
      <c r="I16" s="762">
        <f>IF(J16="",0,J16/Grundlagen!C26)</f>
        <v>0</v>
      </c>
      <c r="J16" s="772" t="str">
        <f t="shared" ref="J16:J22" si="1">D16</f>
        <v/>
      </c>
    </row>
    <row r="17" spans="1:12" x14ac:dyDescent="0.25">
      <c r="A17" s="757" t="s">
        <v>378</v>
      </c>
      <c r="C17" s="762">
        <f>IF(Grundlagen!C26="",0,'päd Personal'!C69/Grundlagen!C26)</f>
        <v>0</v>
      </c>
      <c r="D17" s="770" t="str">
        <f>IF('päd Personal'!C69=0,"",'päd Personal'!C69)</f>
        <v/>
      </c>
      <c r="E17" s="770" t="str">
        <f t="shared" ref="E17:E22" si="2">IF(D17="","","Monate Beschäftigung / Betriebsmonate")</f>
        <v/>
      </c>
      <c r="F17" s="771"/>
      <c r="G17" s="757" t="s">
        <v>378</v>
      </c>
      <c r="I17" s="762">
        <f>IF(J17="",0,J17/Grundlagen!C26)</f>
        <v>0</v>
      </c>
      <c r="J17" s="772" t="str">
        <f t="shared" si="1"/>
        <v/>
      </c>
    </row>
    <row r="18" spans="1:12" x14ac:dyDescent="0.25">
      <c r="A18" s="757" t="s">
        <v>263</v>
      </c>
      <c r="C18" s="762">
        <f>IF(D8=0,0,5)</f>
        <v>0</v>
      </c>
      <c r="D18" s="770" t="str">
        <f>IF('päd Personal'!C15=0,"",'päd Personal'!C15)</f>
        <v/>
      </c>
      <c r="E18" s="770" t="str">
        <f t="shared" si="2"/>
        <v/>
      </c>
      <c r="F18" s="771"/>
      <c r="G18" s="757" t="s">
        <v>263</v>
      </c>
      <c r="I18" s="762">
        <f>IF(J8=0,0,5)</f>
        <v>0</v>
      </c>
      <c r="J18" s="772" t="str">
        <f t="shared" si="1"/>
        <v/>
      </c>
    </row>
    <row r="19" spans="1:12" x14ac:dyDescent="0.25">
      <c r="A19" s="757" t="s">
        <v>385</v>
      </c>
      <c r="C19" s="762">
        <f>IF(Grundlagen!C26="",0,('päd Personal'!C85/Grundlagen!C26)+('päd.Personal - unentgeltlich'!$F$26/Grundlagen!C26))</f>
        <v>0</v>
      </c>
      <c r="D19" s="770" t="str">
        <f>IF(('päd Personal'!C85+'päd Personal'!C103)=0,"",('päd Personal'!C85+'päd Personal'!C103))</f>
        <v/>
      </c>
      <c r="E19" s="770" t="str">
        <f t="shared" si="2"/>
        <v/>
      </c>
      <c r="F19" s="771"/>
      <c r="G19" s="757" t="s">
        <v>385</v>
      </c>
      <c r="I19" s="762">
        <f>IF(J19="",0,J19/Grundlagen!C26)</f>
        <v>0</v>
      </c>
      <c r="J19" s="772" t="str">
        <f t="shared" si="1"/>
        <v/>
      </c>
    </row>
    <row r="20" spans="1:12" x14ac:dyDescent="0.25">
      <c r="A20" s="757" t="s">
        <v>381</v>
      </c>
      <c r="C20" s="762">
        <f>IF(Grundlagen!C26="",0,'päd Personal'!C110/Grundlagen!C26)</f>
        <v>0</v>
      </c>
      <c r="D20" s="770" t="str">
        <f>IF('päd Personal'!C110=0,"",'päd Personal'!C110)</f>
        <v/>
      </c>
      <c r="E20" s="770" t="str">
        <f t="shared" si="2"/>
        <v/>
      </c>
      <c r="F20" s="771"/>
      <c r="G20" s="757" t="s">
        <v>381</v>
      </c>
      <c r="I20" s="762">
        <f>IF(J20="",0,J20/Grundlagen!C26)</f>
        <v>0</v>
      </c>
      <c r="J20" s="772" t="str">
        <f t="shared" si="1"/>
        <v/>
      </c>
    </row>
    <row r="21" spans="1:12" x14ac:dyDescent="0.25">
      <c r="A21" s="894">
        <f>IF('päd Personal'!G136=0,0,IF(Grundlagen!C26="",0,'päd Personal'!G136))</f>
        <v>0</v>
      </c>
      <c r="B21" s="757" t="s">
        <v>382</v>
      </c>
      <c r="C21" s="762">
        <f>IF(Grundlagen!C26="",0,'päd Personal'!C136/Grundlagen!C26)</f>
        <v>0</v>
      </c>
      <c r="D21" s="770" t="str">
        <f>IF('päd Personal'!C136=0,"",'päd Personal'!C136)</f>
        <v/>
      </c>
      <c r="E21" s="770" t="str">
        <f t="shared" si="2"/>
        <v/>
      </c>
      <c r="F21" s="771"/>
      <c r="G21" s="895">
        <f>IF(A11=0,0,A11)</f>
        <v>0</v>
      </c>
      <c r="H21" s="757" t="s">
        <v>382</v>
      </c>
      <c r="I21" s="762">
        <f>IF(J21="",0,J21/Grundlagen!C26)</f>
        <v>0</v>
      </c>
      <c r="J21" s="772" t="str">
        <f t="shared" si="1"/>
        <v/>
      </c>
    </row>
    <row r="22" spans="1:12" x14ac:dyDescent="0.25">
      <c r="A22" s="757" t="s">
        <v>383</v>
      </c>
      <c r="C22" s="762">
        <f>IF(Grundlagen!C26="",0,'päd Personal'!C150/Grundlagen!C26)</f>
        <v>0</v>
      </c>
      <c r="D22" s="770" t="str">
        <f>IF('päd Personal'!C150=0,"",'päd Personal'!C150)</f>
        <v/>
      </c>
      <c r="E22" s="770" t="str">
        <f t="shared" si="2"/>
        <v/>
      </c>
      <c r="F22" s="771"/>
      <c r="G22" s="757" t="s">
        <v>383</v>
      </c>
      <c r="I22" s="762">
        <f>IF(J22="",0,J22/Grundlagen!C26)</f>
        <v>0</v>
      </c>
      <c r="J22" s="772" t="str">
        <f t="shared" si="1"/>
        <v/>
      </c>
    </row>
    <row r="23" spans="1:12" ht="15" x14ac:dyDescent="0.25">
      <c r="B23" s="754" t="s">
        <v>266</v>
      </c>
      <c r="C23" s="767">
        <f>SUM(C16:C22)</f>
        <v>0</v>
      </c>
      <c r="D23" s="774"/>
      <c r="H23" s="754" t="s">
        <v>266</v>
      </c>
      <c r="I23" s="767">
        <f>SUM(I16:I22)</f>
        <v>0</v>
      </c>
      <c r="J23" s="774"/>
    </row>
    <row r="24" spans="1:12" s="758" customFormat="1" ht="11.25" x14ac:dyDescent="0.25">
      <c r="C24" s="759"/>
      <c r="I24" s="759"/>
    </row>
    <row r="25" spans="1:12" x14ac:dyDescent="0.25">
      <c r="A25" s="757" t="s">
        <v>263</v>
      </c>
      <c r="C25" s="762">
        <f>ROUNDUP(IF(C23=0,0,IF(Grundlagen!$C$59=0,Grundlagen!C58,Grundlagen!C59)),0)</f>
        <v>0</v>
      </c>
      <c r="G25" s="757" t="s">
        <v>263</v>
      </c>
      <c r="I25" s="764">
        <f>C25</f>
        <v>0</v>
      </c>
      <c r="J25" s="1252"/>
      <c r="K25" s="1252"/>
      <c r="L25" s="1252"/>
    </row>
    <row r="26" spans="1:12" x14ac:dyDescent="0.25">
      <c r="A26" s="775"/>
      <c r="B26" s="758"/>
      <c r="C26" s="759"/>
      <c r="D26" s="758"/>
      <c r="E26" s="758"/>
      <c r="F26" s="758"/>
      <c r="G26" s="775"/>
      <c r="H26" s="758"/>
      <c r="I26" s="759"/>
      <c r="J26" s="758"/>
      <c r="K26" s="758"/>
    </row>
    <row r="27" spans="1:12" ht="15" x14ac:dyDescent="0.25">
      <c r="A27" s="776" t="s">
        <v>675</v>
      </c>
      <c r="B27" s="758"/>
      <c r="C27" s="759"/>
      <c r="D27" s="758"/>
      <c r="E27" s="758"/>
      <c r="F27" s="758"/>
      <c r="G27" s="776" t="s">
        <v>675</v>
      </c>
      <c r="H27" s="758"/>
      <c r="I27" s="759"/>
      <c r="J27" s="758"/>
    </row>
    <row r="28" spans="1:12" x14ac:dyDescent="0.25">
      <c r="A28" s="862" t="s">
        <v>677</v>
      </c>
      <c r="C28" s="762">
        <f>IF(D13=0,0,E28*12/52)</f>
        <v>0</v>
      </c>
      <c r="E28" s="866">
        <v>2</v>
      </c>
      <c r="F28" s="770" t="s">
        <v>666</v>
      </c>
      <c r="G28" s="862" t="s">
        <v>677</v>
      </c>
      <c r="I28" s="762">
        <f>IF(J13=0,0,K28*12/52)</f>
        <v>0</v>
      </c>
      <c r="K28" s="859">
        <f>E28</f>
        <v>2</v>
      </c>
      <c r="L28" s="860" t="str">
        <f>F28</f>
        <v>h im Monat</v>
      </c>
    </row>
    <row r="29" spans="1:12" x14ac:dyDescent="0.25">
      <c r="A29" s="824" t="s">
        <v>259</v>
      </c>
      <c r="C29" s="823">
        <f>IF(C13=0,0,(E29/12/4.348)*((C13+A11)/Grundlagen!C16))</f>
        <v>0</v>
      </c>
      <c r="D29" s="820"/>
      <c r="E29" s="866">
        <v>16</v>
      </c>
      <c r="F29" s="770" t="s">
        <v>667</v>
      </c>
      <c r="G29" s="824" t="s">
        <v>259</v>
      </c>
      <c r="I29" s="823">
        <f>IF(I13=0,0,(K29/12/4.348)*((I13+G11)/Grundlagen!C16))</f>
        <v>0</v>
      </c>
      <c r="J29" s="820"/>
      <c r="K29" s="859">
        <f t="shared" ref="K29:K31" si="3">E29</f>
        <v>16</v>
      </c>
      <c r="L29" s="860" t="str">
        <f t="shared" ref="L29:L31" si="4">F29</f>
        <v>h im Jahr</v>
      </c>
    </row>
    <row r="30" spans="1:12" hidden="1" x14ac:dyDescent="0.25">
      <c r="A30" s="835" t="s">
        <v>661</v>
      </c>
      <c r="C30" s="823">
        <f>IF(D30="Ja",IF(C13=0,0,(E30/12/4.348)*(C13/Grundlagen!C16)),0)</f>
        <v>0</v>
      </c>
      <c r="D30" s="836" t="str">
        <f>IF(Grundlagen!J66="","",Grundlagen!J66)</f>
        <v/>
      </c>
      <c r="E30" s="859">
        <f>IF(Grundlagen!N66="",14,Grundlagen!N66-'INTERN Personalstunden'!E29)</f>
        <v>14</v>
      </c>
      <c r="F30" s="770" t="s">
        <v>667</v>
      </c>
      <c r="G30" s="835" t="s">
        <v>663</v>
      </c>
      <c r="I30" s="823">
        <f>IF(J30="Ja",IF(I13=0,0,(K30/12/4.348)*(I13/Grundlagen!C16)),0)</f>
        <v>0</v>
      </c>
      <c r="J30" s="772"/>
      <c r="K30" s="866">
        <f t="shared" si="3"/>
        <v>14</v>
      </c>
      <c r="L30" s="860" t="str">
        <f t="shared" si="4"/>
        <v>h im Jahr</v>
      </c>
    </row>
    <row r="31" spans="1:12" s="758" customFormat="1" hidden="1" x14ac:dyDescent="0.25">
      <c r="A31" s="835" t="s">
        <v>662</v>
      </c>
      <c r="B31" s="757"/>
      <c r="C31" s="823">
        <f>IF(D31="Ja",IF(C13=0,0,(E31/12/4.348*(Grundlagen!C16/5))*(C13/Grundlagen!C16)),0)</f>
        <v>0</v>
      </c>
      <c r="D31" s="836" t="str">
        <f>IF(Grundlagen!J67="","",Grundlagen!J67)</f>
        <v/>
      </c>
      <c r="E31" s="859">
        <f>IF(Grundlagen!N67="",2,Grundlagen!N67)</f>
        <v>2</v>
      </c>
      <c r="F31" s="770" t="s">
        <v>668</v>
      </c>
      <c r="G31" s="835" t="s">
        <v>662</v>
      </c>
      <c r="H31" s="757"/>
      <c r="I31" s="823">
        <f>IF(J31="Ja",IF(I13=0,0,(K31/12/4.348*(Grundlagen!C16/5))*(I13/Grundlagen!C16)),0)</f>
        <v>0</v>
      </c>
      <c r="J31" s="772"/>
      <c r="K31" s="866">
        <f t="shared" si="3"/>
        <v>2</v>
      </c>
      <c r="L31" s="860" t="str">
        <f t="shared" si="4"/>
        <v>Tage im Jahr</v>
      </c>
    </row>
    <row r="32" spans="1:12" ht="15" x14ac:dyDescent="0.25">
      <c r="B32" s="754" t="s">
        <v>266</v>
      </c>
      <c r="C32" s="767">
        <f>SUM(C28:C31)</f>
        <v>0</v>
      </c>
      <c r="D32" s="758"/>
      <c r="E32" s="758"/>
      <c r="F32" s="758"/>
      <c r="H32" s="754" t="s">
        <v>266</v>
      </c>
      <c r="I32" s="767">
        <f>SUM(I28:I31)</f>
        <v>0</v>
      </c>
      <c r="J32" s="758"/>
      <c r="K32" s="758"/>
      <c r="L32" s="758"/>
    </row>
    <row r="33" spans="1:12" x14ac:dyDescent="0.25">
      <c r="A33" s="775"/>
      <c r="B33" s="758"/>
      <c r="C33" s="759"/>
      <c r="D33" s="758"/>
      <c r="E33" s="758"/>
      <c r="F33" s="758"/>
      <c r="G33" s="775"/>
      <c r="H33" s="758"/>
      <c r="I33" s="759"/>
      <c r="J33" s="758"/>
      <c r="K33" s="758"/>
      <c r="L33" s="758"/>
    </row>
    <row r="34" spans="1:12" ht="15" x14ac:dyDescent="0.25">
      <c r="A34" s="776" t="s">
        <v>386</v>
      </c>
      <c r="G34" s="776" t="s">
        <v>386</v>
      </c>
    </row>
    <row r="35" spans="1:12" x14ac:dyDescent="0.25">
      <c r="A35" s="777" t="s">
        <v>387</v>
      </c>
      <c r="B35" s="777" t="s">
        <v>284</v>
      </c>
      <c r="C35" s="762">
        <f>Belegung!$N$83</f>
        <v>0</v>
      </c>
      <c r="G35" s="777" t="s">
        <v>387</v>
      </c>
      <c r="H35" s="777" t="s">
        <v>284</v>
      </c>
      <c r="I35" s="762">
        <f>IF(C35=0,0,C35)</f>
        <v>0</v>
      </c>
    </row>
    <row r="36" spans="1:12" x14ac:dyDescent="0.25">
      <c r="B36" s="777" t="s">
        <v>286</v>
      </c>
      <c r="C36" s="762">
        <f>Belegung!$N$95</f>
        <v>0</v>
      </c>
      <c r="H36" s="777" t="s">
        <v>286</v>
      </c>
      <c r="I36" s="762">
        <f t="shared" ref="I36:I37" si="5">IF(C36=0,0,C36)</f>
        <v>0</v>
      </c>
    </row>
    <row r="37" spans="1:12" x14ac:dyDescent="0.25">
      <c r="B37" s="777" t="s">
        <v>288</v>
      </c>
      <c r="C37" s="762">
        <f>Belegung!$N$109</f>
        <v>0</v>
      </c>
      <c r="H37" s="777" t="s">
        <v>288</v>
      </c>
      <c r="I37" s="762">
        <f t="shared" si="5"/>
        <v>0</v>
      </c>
    </row>
    <row r="38" spans="1:12" x14ac:dyDescent="0.25">
      <c r="A38" s="861" t="s">
        <v>388</v>
      </c>
      <c r="C38" s="762">
        <f>C25</f>
        <v>0</v>
      </c>
      <c r="G38" s="861" t="s">
        <v>388</v>
      </c>
      <c r="I38" s="762">
        <f>IF(I25=I23,I23,I25)</f>
        <v>0</v>
      </c>
    </row>
    <row r="39" spans="1:12" x14ac:dyDescent="0.25">
      <c r="A39" s="861" t="s">
        <v>676</v>
      </c>
      <c r="B39" s="826"/>
      <c r="C39" s="762">
        <f>C32</f>
        <v>0</v>
      </c>
      <c r="G39" s="861" t="s">
        <v>676</v>
      </c>
      <c r="H39" s="826"/>
      <c r="I39" s="762">
        <f>I32</f>
        <v>0</v>
      </c>
    </row>
    <row r="40" spans="1:12" s="758" customFormat="1" x14ac:dyDescent="0.25">
      <c r="A40" s="861" t="s">
        <v>389</v>
      </c>
      <c r="B40" s="757"/>
      <c r="C40" s="778">
        <f>Grundlagen!C73</f>
        <v>0</v>
      </c>
      <c r="D40" s="757"/>
      <c r="E40" s="757"/>
      <c r="F40" s="757"/>
      <c r="G40" s="861" t="s">
        <v>389</v>
      </c>
      <c r="H40" s="757"/>
      <c r="I40" s="764">
        <f>IF(C40=0,0,C40)</f>
        <v>0</v>
      </c>
      <c r="J40" s="1257"/>
      <c r="K40" s="1257"/>
      <c r="L40" s="1257"/>
    </row>
    <row r="41" spans="1:12" ht="15" x14ac:dyDescent="0.25">
      <c r="B41" s="754" t="s">
        <v>390</v>
      </c>
      <c r="C41" s="767">
        <f>SUM(C35:C40)</f>
        <v>0</v>
      </c>
      <c r="D41" s="774"/>
      <c r="H41" s="754" t="s">
        <v>390</v>
      </c>
      <c r="I41" s="767">
        <f>SUM(I35:I40)</f>
        <v>0</v>
      </c>
      <c r="J41" s="1257"/>
      <c r="K41" s="1257"/>
      <c r="L41" s="1257"/>
    </row>
    <row r="42" spans="1:12" x14ac:dyDescent="0.25">
      <c r="A42" s="758"/>
      <c r="B42" s="758"/>
      <c r="C42" s="759"/>
      <c r="D42" s="758"/>
      <c r="E42" s="758"/>
      <c r="F42" s="758"/>
      <c r="G42" s="758"/>
      <c r="H42" s="758"/>
      <c r="I42" s="759"/>
      <c r="J42" s="758"/>
      <c r="K42" s="758"/>
      <c r="L42" s="758"/>
    </row>
    <row r="43" spans="1:12" ht="15" x14ac:dyDescent="0.25">
      <c r="A43" s="760" t="s">
        <v>391</v>
      </c>
      <c r="G43" s="760" t="s">
        <v>391</v>
      </c>
    </row>
    <row r="44" spans="1:12" x14ac:dyDescent="0.25">
      <c r="A44" s="757" t="s">
        <v>392</v>
      </c>
      <c r="C44" s="762">
        <f>C13</f>
        <v>0</v>
      </c>
      <c r="G44" s="757" t="s">
        <v>392</v>
      </c>
      <c r="I44" s="762">
        <f>I13</f>
        <v>0</v>
      </c>
    </row>
    <row r="45" spans="1:12" s="779" customFormat="1" x14ac:dyDescent="0.25">
      <c r="A45" s="757" t="s">
        <v>393</v>
      </c>
      <c r="B45" s="757"/>
      <c r="C45" s="762">
        <f>IF(C41=5.46,0,C41)</f>
        <v>0</v>
      </c>
      <c r="D45" s="757"/>
      <c r="E45" s="757"/>
      <c r="F45" s="757"/>
      <c r="G45" s="757" t="s">
        <v>393</v>
      </c>
      <c r="H45" s="757"/>
      <c r="I45" s="762">
        <f>IF(I41=5.46,0,I41)</f>
        <v>0</v>
      </c>
      <c r="J45" s="757"/>
      <c r="K45" s="757"/>
      <c r="L45" s="757"/>
    </row>
    <row r="46" spans="1:12" ht="15" x14ac:dyDescent="0.25">
      <c r="B46" s="754" t="s">
        <v>394</v>
      </c>
      <c r="C46" s="767">
        <f>IF(C44-C45=0,0,C44-C45)</f>
        <v>0</v>
      </c>
      <c r="D46" s="774" t="str">
        <f>IF(C46&gt;0,"PLUS",(IF(C46=0,"","MINUS ist umgehend auszugleichen!")))</f>
        <v/>
      </c>
      <c r="H46" s="754" t="s">
        <v>394</v>
      </c>
      <c r="I46" s="767">
        <f>IF(I44-I45=0,0,I44-I45)</f>
        <v>0</v>
      </c>
      <c r="J46" s="774" t="str">
        <f>IF(I46&gt;0,"PLUS",(IF(I46=0,"","MINUS ist umgehend auszugleichen!")))</f>
        <v/>
      </c>
    </row>
    <row r="47" spans="1:12" s="779" customFormat="1" ht="11.25" x14ac:dyDescent="0.25">
      <c r="B47" s="780"/>
      <c r="C47" s="781"/>
      <c r="D47" s="782"/>
      <c r="H47" s="780"/>
      <c r="I47" s="781"/>
      <c r="J47" s="782"/>
    </row>
    <row r="48" spans="1:12" s="833" customFormat="1" ht="15" x14ac:dyDescent="0.25">
      <c r="A48" s="757"/>
      <c r="B48" s="754" t="s">
        <v>395</v>
      </c>
      <c r="C48" s="784"/>
      <c r="D48" s="757"/>
      <c r="E48" s="756"/>
      <c r="F48" s="756"/>
      <c r="G48" s="757"/>
      <c r="H48" s="754" t="s">
        <v>395</v>
      </c>
      <c r="I48" s="784"/>
      <c r="J48" s="1252"/>
      <c r="K48" s="1252"/>
      <c r="L48" s="1252"/>
    </row>
    <row r="49" spans="1:12" s="779" customFormat="1" ht="11.25" x14ac:dyDescent="0.25">
      <c r="B49" s="780"/>
      <c r="C49" s="781"/>
      <c r="D49" s="782"/>
      <c r="E49" s="783"/>
      <c r="F49" s="783"/>
      <c r="H49" s="780"/>
      <c r="I49" s="781"/>
      <c r="J49" s="782"/>
      <c r="K49" s="783"/>
      <c r="L49" s="783"/>
    </row>
    <row r="50" spans="1:12" ht="15" x14ac:dyDescent="0.25">
      <c r="B50" s="754" t="s">
        <v>396</v>
      </c>
      <c r="C50" s="767">
        <f>IF(C46&gt;=0,C46-C48,0)</f>
        <v>0</v>
      </c>
      <c r="D50" s="774" t="str">
        <f>IF(C50=0,"","PLUS")</f>
        <v/>
      </c>
      <c r="E50" s="1254"/>
      <c r="F50" s="1254"/>
      <c r="H50" s="754" t="s">
        <v>396</v>
      </c>
      <c r="I50" s="767">
        <f>IF(I46&gt;=0,I46-I48,0)</f>
        <v>0</v>
      </c>
      <c r="J50" s="774" t="str">
        <f>IF(I50=0,"","PLUS")</f>
        <v/>
      </c>
      <c r="K50" s="1254"/>
      <c r="L50" s="1254"/>
    </row>
    <row r="51" spans="1:12" x14ac:dyDescent="0.25">
      <c r="A51" s="779"/>
      <c r="B51" s="780"/>
      <c r="C51" s="785"/>
      <c r="D51" s="779"/>
      <c r="E51" s="773"/>
      <c r="F51" s="773"/>
      <c r="G51" s="779"/>
      <c r="H51" s="780"/>
      <c r="I51" s="785"/>
      <c r="J51" s="779"/>
      <c r="K51" s="773"/>
      <c r="L51" s="773"/>
    </row>
    <row r="52" spans="1:12" x14ac:dyDescent="0.25">
      <c r="A52" s="779"/>
      <c r="B52" s="780"/>
      <c r="C52" s="785"/>
      <c r="D52" s="779"/>
      <c r="E52" s="773"/>
      <c r="F52" s="773"/>
      <c r="G52" s="779"/>
      <c r="H52" s="780"/>
      <c r="I52" s="785"/>
      <c r="J52" s="779"/>
      <c r="K52" s="773"/>
      <c r="L52" s="773"/>
    </row>
    <row r="53" spans="1:12" ht="15" x14ac:dyDescent="0.25">
      <c r="A53" s="786"/>
      <c r="B53" s="787"/>
      <c r="C53" s="788"/>
      <c r="D53" s="789"/>
      <c r="E53" s="790"/>
      <c r="F53" s="791"/>
      <c r="G53" s="786"/>
      <c r="H53" s="787"/>
      <c r="I53" s="788"/>
      <c r="J53" s="789"/>
      <c r="K53" s="790"/>
      <c r="L53" s="791"/>
    </row>
    <row r="54" spans="1:12" ht="15" x14ac:dyDescent="0.25">
      <c r="A54" s="1255" t="s">
        <v>397</v>
      </c>
      <c r="B54" s="1256"/>
      <c r="C54" s="792"/>
      <c r="D54" s="793"/>
      <c r="E54" s="792" t="s">
        <v>398</v>
      </c>
      <c r="F54" s="794" t="s">
        <v>399</v>
      </c>
      <c r="G54" s="1255" t="s">
        <v>400</v>
      </c>
      <c r="H54" s="1256"/>
      <c r="I54" s="792"/>
      <c r="J54" s="793"/>
      <c r="K54" s="792" t="s">
        <v>398</v>
      </c>
      <c r="L54" s="794" t="s">
        <v>399</v>
      </c>
    </row>
    <row r="55" spans="1:12" x14ac:dyDescent="0.25">
      <c r="A55" s="795"/>
      <c r="B55" s="793"/>
      <c r="C55" s="792"/>
      <c r="D55" s="796" t="s">
        <v>401</v>
      </c>
      <c r="E55" s="797">
        <f>SUM(Kostenplan!D15:D21)</f>
        <v>0</v>
      </c>
      <c r="F55" s="798">
        <f>IF(E55="",0,E55/52)</f>
        <v>0</v>
      </c>
      <c r="G55" s="795"/>
      <c r="H55" s="793"/>
      <c r="I55" s="792"/>
      <c r="J55" s="796" t="s">
        <v>401</v>
      </c>
      <c r="K55" s="799">
        <f>IF(E55=0,0,E55)</f>
        <v>0</v>
      </c>
      <c r="L55" s="798">
        <f>IF(K55="",0,K55/52)</f>
        <v>0</v>
      </c>
    </row>
    <row r="56" spans="1:12" s="758" customFormat="1" x14ac:dyDescent="0.25">
      <c r="A56" s="795"/>
      <c r="B56" s="793"/>
      <c r="C56" s="792"/>
      <c r="D56" s="796" t="s">
        <v>402</v>
      </c>
      <c r="E56" s="797">
        <f>IF(E55=0,0,E55/C44)</f>
        <v>0</v>
      </c>
      <c r="F56" s="798">
        <f>IF(F55=0,0,F55/C44)</f>
        <v>0</v>
      </c>
      <c r="G56" s="795"/>
      <c r="H56" s="793"/>
      <c r="I56" s="792"/>
      <c r="J56" s="796" t="s">
        <v>402</v>
      </c>
      <c r="K56" s="797">
        <f>IF(K55=0,0,K55/I44)</f>
        <v>0</v>
      </c>
      <c r="L56" s="798">
        <f>IF(L55=0,0,L55/I44)</f>
        <v>0</v>
      </c>
    </row>
    <row r="57" spans="1:12" x14ac:dyDescent="0.25">
      <c r="A57" s="795"/>
      <c r="B57" s="793"/>
      <c r="C57" s="796" t="s">
        <v>403</v>
      </c>
      <c r="D57" s="800">
        <f>IF(D46="MINUS ist umgehend auszugleichen!",C46,IF(C50="",0,C50))</f>
        <v>0</v>
      </c>
      <c r="E57" s="797">
        <f>IF(D57=0,0,-(D57*E56))</f>
        <v>0</v>
      </c>
      <c r="F57" s="798">
        <f>IF(D57=0,0,-(D57*F56))</f>
        <v>0</v>
      </c>
      <c r="G57" s="795"/>
      <c r="H57" s="793"/>
      <c r="I57" s="796" t="s">
        <v>403</v>
      </c>
      <c r="J57" s="800">
        <f>IF(J46="MINUS ist umgehend auszugleichen!",I46,IF(I50="",0,I50))</f>
        <v>0</v>
      </c>
      <c r="K57" s="797">
        <f>IF(J57=0,0,-(J57*K56))</f>
        <v>0</v>
      </c>
      <c r="L57" s="798">
        <f>IF(J57=0,0,-(J57*L56))</f>
        <v>0</v>
      </c>
    </row>
    <row r="58" spans="1:12" x14ac:dyDescent="0.25">
      <c r="A58" s="801"/>
      <c r="B58" s="802"/>
      <c r="C58" s="803"/>
      <c r="D58" s="802"/>
      <c r="E58" s="804"/>
      <c r="F58" s="805"/>
      <c r="G58" s="801"/>
      <c r="H58" s="802"/>
      <c r="I58" s="803"/>
      <c r="J58" s="802"/>
      <c r="K58" s="804"/>
      <c r="L58" s="805"/>
    </row>
    <row r="59" spans="1:12" ht="19.5" x14ac:dyDescent="0.25">
      <c r="A59" s="795"/>
      <c r="B59" s="793"/>
      <c r="C59" s="792"/>
      <c r="D59" s="806" t="str">
        <f>IF(E59=0,"abzüglich/zuzüglich Personalkostenüberhang/-defizit",(IF(D57&lt;0,"zuzüglich Personalkostendefizit","abzüglich Personalkostenüberhang")))</f>
        <v>abzüglich/zuzüglich Personalkostenüberhang/-defizit</v>
      </c>
      <c r="E59" s="807">
        <f>IF(E57=0,0,E57)</f>
        <v>0</v>
      </c>
      <c r="F59" s="808"/>
      <c r="G59" s="795"/>
      <c r="H59" s="793"/>
      <c r="I59" s="792"/>
      <c r="J59" s="806" t="str">
        <f>IF(K59=0,"abzüglich/zuzüglich Personalkostenüberhang/-defizit",(IF(J57&lt;0,"zuzüglich Personalkostendefizit","abzüglich Personalkostenüberhang")))</f>
        <v>abzüglich/zuzüglich Personalkostenüberhang/-defizit</v>
      </c>
      <c r="K59" s="807">
        <f>IF(K57=0,0,K57)</f>
        <v>0</v>
      </c>
      <c r="L59" s="808"/>
    </row>
    <row r="60" spans="1:12" ht="19.5" x14ac:dyDescent="0.25">
      <c r="A60" s="809"/>
      <c r="B60" s="1253" t="s">
        <v>404</v>
      </c>
      <c r="C60" s="1253"/>
      <c r="D60" s="1253"/>
      <c r="E60" s="810">
        <f>IF(E59=0,E55,E55+E59)</f>
        <v>0</v>
      </c>
      <c r="F60" s="811"/>
      <c r="G60" s="809"/>
      <c r="H60" s="1253" t="s">
        <v>404</v>
      </c>
      <c r="I60" s="1253"/>
      <c r="J60" s="1253"/>
      <c r="K60" s="810">
        <f>IF(K59=0,K55,K55+K59)</f>
        <v>0</v>
      </c>
      <c r="L60" s="811"/>
    </row>
    <row r="175" spans="3:9" x14ac:dyDescent="0.25">
      <c r="C175" s="757"/>
      <c r="I175" s="757"/>
    </row>
  </sheetData>
  <mergeCells count="32">
    <mergeCell ref="B60:D60"/>
    <mergeCell ref="H60:J60"/>
    <mergeCell ref="E12:F12"/>
    <mergeCell ref="K12:L12"/>
    <mergeCell ref="K13:L13"/>
    <mergeCell ref="J25:L25"/>
    <mergeCell ref="J48:L48"/>
    <mergeCell ref="E50:F50"/>
    <mergeCell ref="K50:L50"/>
    <mergeCell ref="A54:B54"/>
    <mergeCell ref="G54:H54"/>
    <mergeCell ref="J40:L40"/>
    <mergeCell ref="J41:L41"/>
    <mergeCell ref="E9:F9"/>
    <mergeCell ref="K9:L9"/>
    <mergeCell ref="E10:F10"/>
    <mergeCell ref="K10:L10"/>
    <mergeCell ref="E11:F11"/>
    <mergeCell ref="K11:L11"/>
    <mergeCell ref="E6:F6"/>
    <mergeCell ref="K6:L6"/>
    <mergeCell ref="E7:F7"/>
    <mergeCell ref="K7:L7"/>
    <mergeCell ref="E8:F8"/>
    <mergeCell ref="K8:L8"/>
    <mergeCell ref="E5:F5"/>
    <mergeCell ref="K5:L5"/>
    <mergeCell ref="B2:E2"/>
    <mergeCell ref="H2:K2"/>
    <mergeCell ref="L2:L3"/>
    <mergeCell ref="B3:E3"/>
    <mergeCell ref="H3:K3"/>
  </mergeCells>
  <dataValidations count="1">
    <dataValidation type="list" allowBlank="1" showInputMessage="1" showErrorMessage="1" sqref="J30:J31">
      <formula1>beantragt</formula1>
    </dataValidation>
  </dataValidations>
  <hyperlinks>
    <hyperlink ref="E5" location="'päd Personal'!A1" tooltip="Weiterleitung zum Personalbogen" display="zum Personalbogen"/>
  </hyperlinks>
  <printOptions horizontalCentered="1"/>
  <pageMargins left="0.19685039370078741" right="0.19685039370078741" top="1.1811023622047245" bottom="0.78740157480314965" header="0.19685039370078741" footer="0.19685039370078741"/>
  <pageSetup paperSize="9" orientation="portrait" r:id="rId1"/>
  <headerFooter>
    <oddHeader xml:space="preserve">&amp;L&amp;"Arial,Fett"&amp;22Salzlandkreis&amp;11
&amp;12Der Landrat&amp;C&amp;"Arial,Fett"
Personalstunden&amp;R&amp;G
</oddHeader>
    <oddFooter>&amp;L&amp;"Arial,Standard"&amp;8Ausfertigung vom &amp;D &amp;T&amp;R&amp;"Arial,Standard"&amp;8&amp;P von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0000"/>
  </sheetPr>
  <dimension ref="A1:L170"/>
  <sheetViews>
    <sheetView showGridLines="0" view="pageLayout" zoomScale="90" zoomScaleNormal="80" zoomScalePageLayoutView="90" workbookViewId="0">
      <selection activeCell="B1" sqref="B1"/>
    </sheetView>
  </sheetViews>
  <sheetFormatPr baseColWidth="10" defaultColWidth="11.42578125" defaultRowHeight="12.75" x14ac:dyDescent="0.25"/>
  <cols>
    <col min="1" max="1" width="12.7109375" style="341" bestFit="1" customWidth="1"/>
    <col min="2" max="2" width="58.28515625" style="285" customWidth="1"/>
    <col min="3" max="3" width="20.7109375" style="109" customWidth="1"/>
    <col min="4" max="4" width="18.5703125" style="109" bestFit="1" customWidth="1"/>
    <col min="5" max="5" width="20.7109375" style="109" customWidth="1"/>
    <col min="6" max="6" width="18.5703125" style="109" customWidth="1"/>
    <col min="7" max="7" width="14.42578125" style="109" bestFit="1" customWidth="1"/>
    <col min="8" max="8" width="11.140625" style="109" bestFit="1" customWidth="1"/>
    <col min="9" max="9" width="23.28515625" style="109" bestFit="1" customWidth="1"/>
    <col min="10" max="11" width="14.5703125" style="109" customWidth="1"/>
    <col min="12" max="12" width="13.42578125" style="109" customWidth="1"/>
    <col min="13" max="13" width="11.42578125" style="109" customWidth="1"/>
    <col min="14" max="16384" width="11.42578125" style="109"/>
  </cols>
  <sheetData>
    <row r="1" spans="1:12" x14ac:dyDescent="0.25">
      <c r="A1" s="320" t="s">
        <v>350</v>
      </c>
      <c r="B1" s="286">
        <f>IF(Grundlagen!$C$4=0,"",Grundlagen!$C$4)</f>
        <v>2025</v>
      </c>
      <c r="D1" s="321"/>
      <c r="F1" s="322" t="s">
        <v>327</v>
      </c>
      <c r="G1" s="323" t="str">
        <f>IF(G2="","",E20/G2)</f>
        <v/>
      </c>
      <c r="H1" s="324" t="s">
        <v>351</v>
      </c>
      <c r="I1" s="325" t="str">
        <f>IF(Belegung!$N$84=0,"",Belegung!$N$84)</f>
        <v/>
      </c>
      <c r="J1" s="324" t="s">
        <v>352</v>
      </c>
      <c r="K1" s="326" t="str">
        <f>IF(Belegung!$N$16=0,"",Belegung!$N$16)</f>
        <v/>
      </c>
      <c r="L1" s="327" t="s">
        <v>353</v>
      </c>
    </row>
    <row r="2" spans="1:12" x14ac:dyDescent="0.25">
      <c r="A2" s="320" t="s">
        <v>354</v>
      </c>
      <c r="B2" s="289" t="str">
        <f>IF(Grundlagen!$C$6=0,"",Grundlagen!$C$6)</f>
        <v/>
      </c>
      <c r="D2" s="328"/>
      <c r="F2" s="329" t="s">
        <v>355</v>
      </c>
      <c r="G2" s="330" t="str">
        <f>IF(SUM(I1:I3)+G3=0,"",SUM(I1:I3)+G3)</f>
        <v/>
      </c>
      <c r="H2" s="331" t="s">
        <v>356</v>
      </c>
      <c r="I2" s="330" t="str">
        <f>IF(Belegung!$N$96=0,"",Belegung!$N$96)</f>
        <v/>
      </c>
      <c r="J2" s="331" t="s">
        <v>357</v>
      </c>
      <c r="K2" s="332" t="str">
        <f>IF(Belegung!$N$26=0,"",Belegung!$N$26)</f>
        <v/>
      </c>
      <c r="L2" s="333" t="str">
        <f>IF(SUM(K1:K3)=0,"",SUM(K1:K3))</f>
        <v/>
      </c>
    </row>
    <row r="3" spans="1:12" ht="13.5" thickBot="1" x14ac:dyDescent="0.3">
      <c r="A3" s="320" t="s">
        <v>358</v>
      </c>
      <c r="B3" s="290" t="str">
        <f>IF(Grundlagen!$C$9=0,"",Grundlagen!$C$9)</f>
        <v/>
      </c>
      <c r="D3" s="334"/>
      <c r="F3" s="335" t="s">
        <v>359</v>
      </c>
      <c r="G3" s="336"/>
      <c r="H3" s="337" t="s">
        <v>360</v>
      </c>
      <c r="I3" s="338" t="str">
        <f>IF(Belegung!$N$110=0,"",Belegung!$N$110)</f>
        <v/>
      </c>
      <c r="J3" s="337" t="s">
        <v>361</v>
      </c>
      <c r="K3" s="339" t="str">
        <f>IF(Belegung!$N$36=0,"",Belegung!$N$36)</f>
        <v/>
      </c>
      <c r="L3" s="340"/>
    </row>
    <row r="4" spans="1:12" x14ac:dyDescent="0.25">
      <c r="F4" s="342"/>
      <c r="G4" s="343"/>
      <c r="H4" s="344"/>
      <c r="I4" s="345"/>
      <c r="J4" s="344"/>
      <c r="K4" s="346"/>
      <c r="L4" s="347"/>
    </row>
    <row r="5" spans="1:12" s="296" customFormat="1" x14ac:dyDescent="0.25">
      <c r="A5" s="1264" t="s">
        <v>275</v>
      </c>
      <c r="B5" s="1266" t="s">
        <v>328</v>
      </c>
      <c r="C5" s="348" t="s">
        <v>362</v>
      </c>
      <c r="D5" s="1258" t="s">
        <v>363</v>
      </c>
      <c r="E5" s="1258" t="s">
        <v>329</v>
      </c>
      <c r="F5" s="1258" t="s">
        <v>363</v>
      </c>
      <c r="G5" s="348" t="s">
        <v>364</v>
      </c>
      <c r="H5" s="348" t="s">
        <v>365</v>
      </c>
      <c r="I5" s="349" t="s">
        <v>366</v>
      </c>
      <c r="J5" s="1260" t="s">
        <v>330</v>
      </c>
      <c r="K5" s="1261"/>
      <c r="L5" s="1262"/>
    </row>
    <row r="6" spans="1:12" s="296" customFormat="1" x14ac:dyDescent="0.25">
      <c r="A6" s="1265"/>
      <c r="B6" s="1267"/>
      <c r="C6" s="350" t="s">
        <v>367</v>
      </c>
      <c r="D6" s="1259"/>
      <c r="E6" s="1259"/>
      <c r="F6" s="1259"/>
      <c r="G6" s="350" t="s">
        <v>368</v>
      </c>
      <c r="H6" s="350" t="s">
        <v>369</v>
      </c>
      <c r="I6" s="351" t="s">
        <v>369</v>
      </c>
      <c r="J6" s="297" t="s">
        <v>331</v>
      </c>
      <c r="K6" s="297" t="s">
        <v>332</v>
      </c>
      <c r="L6" s="297" t="s">
        <v>333</v>
      </c>
    </row>
    <row r="7" spans="1:12" s="201" customFormat="1" x14ac:dyDescent="0.25">
      <c r="A7" s="352"/>
      <c r="B7" s="298"/>
      <c r="C7" s="231"/>
      <c r="D7" s="299"/>
      <c r="E7" s="299"/>
      <c r="F7" s="299"/>
      <c r="G7" s="231"/>
      <c r="H7" s="231"/>
      <c r="I7" s="231"/>
      <c r="J7" s="276"/>
      <c r="K7" s="276"/>
      <c r="L7" s="276"/>
    </row>
    <row r="8" spans="1:12" x14ac:dyDescent="0.25">
      <c r="A8" s="353" t="str">
        <f>Kostenplan!A13</f>
        <v>1</v>
      </c>
      <c r="B8" s="406" t="str">
        <f>Kostenplan!B13</f>
        <v>Personalkosten</v>
      </c>
      <c r="C8" s="301"/>
      <c r="D8" s="310"/>
      <c r="E8" s="301"/>
      <c r="F8" s="310"/>
      <c r="G8" s="354"/>
      <c r="H8" s="310"/>
      <c r="I8" s="310"/>
      <c r="J8" s="301"/>
      <c r="K8" s="301"/>
      <c r="L8" s="301"/>
    </row>
    <row r="9" spans="1:12" x14ac:dyDescent="0.25">
      <c r="A9" s="353" t="str">
        <f>Kostenplan!A14</f>
        <v>1.1</v>
      </c>
      <c r="B9" s="406" t="str">
        <f>Kostenplan!B14</f>
        <v>Kosten päd. Personal und Leitung</v>
      </c>
      <c r="C9" s="355"/>
      <c r="D9" s="200"/>
      <c r="E9" s="355"/>
      <c r="F9" s="310"/>
      <c r="G9" s="354"/>
      <c r="H9" s="310"/>
      <c r="I9" s="310"/>
      <c r="J9" s="355"/>
      <c r="K9" s="355"/>
      <c r="L9" s="355"/>
    </row>
    <row r="10" spans="1:12" ht="39" customHeight="1" x14ac:dyDescent="0.25">
      <c r="A10" s="356" t="str">
        <f>Kostenplan!A15</f>
        <v>1.1.1</v>
      </c>
      <c r="B10" s="365" t="str">
        <f>Kostenplan!B15</f>
        <v xml:space="preserve">Kosten der päd. Fach-/Hilfskräfte, einschl. Erziehertätigkeit der Leiter/innen                                                                                                       (inkl. AG-Anteile zur SV und BAV SV-frei)  </v>
      </c>
      <c r="C10" s="303">
        <f>Kostenplan!C15</f>
        <v>0</v>
      </c>
      <c r="D10" s="357"/>
      <c r="E10" s="358">
        <f>Kostenplan!D15</f>
        <v>0</v>
      </c>
      <c r="F10" s="359"/>
      <c r="G10" s="360">
        <f t="shared" ref="G10:G17" si="0">E10-C10</f>
        <v>0</v>
      </c>
      <c r="H10" s="361">
        <f t="shared" ref="H10:H17" si="1">IF(C10=0,0,E10*100/C10)</f>
        <v>0</v>
      </c>
      <c r="I10" s="362">
        <f>IF(H10=0,0,H10-100)</f>
        <v>0</v>
      </c>
      <c r="J10" s="303" t="str">
        <f>IF($K$1="","",((E10/$G$2)*$I$1)/$K$1)</f>
        <v/>
      </c>
      <c r="K10" s="303" t="str">
        <f>IF($K$2="","",((E10/$G$2)*$I$2)/$K$2)</f>
        <v/>
      </c>
      <c r="L10" s="303" t="str">
        <f>IF($K$3="","",((E10/$G$2)*$I$3)/$K$3)</f>
        <v/>
      </c>
    </row>
    <row r="11" spans="1:12" ht="26.25" customHeight="1" x14ac:dyDescent="0.25">
      <c r="A11" s="356" t="str">
        <f>Kostenplan!A16</f>
        <v>1.1.2</v>
      </c>
      <c r="B11" s="365" t="str">
        <f>Kostenplan!B16</f>
        <v xml:space="preserve">Leitungsstunden                                                                                                                                                                                                     (inkl. AG-Anteile zur SV und BAV SV-frei) </v>
      </c>
      <c r="C11" s="303">
        <f>Kostenplan!C16</f>
        <v>0</v>
      </c>
      <c r="D11" s="357"/>
      <c r="E11" s="358">
        <f>Kostenplan!D16</f>
        <v>0</v>
      </c>
      <c r="F11" s="359"/>
      <c r="G11" s="360">
        <f t="shared" si="0"/>
        <v>0</v>
      </c>
      <c r="H11" s="361">
        <f t="shared" si="1"/>
        <v>0</v>
      </c>
      <c r="I11" s="362">
        <f t="shared" ref="I11:I17" si="2">IF(H11=0,0,H11-100)</f>
        <v>0</v>
      </c>
      <c r="J11" s="303" t="str">
        <f t="shared" ref="J11:J17" si="3">IF($K$1="","",((E11/$G$2)*$I$1)/$K$1)</f>
        <v/>
      </c>
      <c r="K11" s="303" t="str">
        <f t="shared" ref="K11:K17" si="4">IF($K$2="","",((E11/$G$2)*$I$2)/$K$2)</f>
        <v/>
      </c>
      <c r="L11" s="303" t="str">
        <f t="shared" ref="L11:L17" si="5">IF($K$3="","",((E11/$G$2)*$I$3)/$K$3)</f>
        <v/>
      </c>
    </row>
    <row r="12" spans="1:12" x14ac:dyDescent="0.25">
      <c r="A12" s="356" t="str">
        <f>Kostenplan!A17</f>
        <v>1.1.3</v>
      </c>
      <c r="B12" s="365" t="str">
        <f>Kostenplan!B17</f>
        <v>Schwerbehindertenausgleichsabgabe</v>
      </c>
      <c r="C12" s="303">
        <f>Kostenplan!C17</f>
        <v>0</v>
      </c>
      <c r="D12" s="357"/>
      <c r="E12" s="358">
        <f>Kostenplan!D17</f>
        <v>0</v>
      </c>
      <c r="F12" s="359"/>
      <c r="G12" s="360">
        <f t="shared" si="0"/>
        <v>0</v>
      </c>
      <c r="H12" s="361">
        <f t="shared" si="1"/>
        <v>0</v>
      </c>
      <c r="I12" s="362">
        <f t="shared" si="2"/>
        <v>0</v>
      </c>
      <c r="J12" s="303" t="str">
        <f t="shared" si="3"/>
        <v/>
      </c>
      <c r="K12" s="303" t="str">
        <f t="shared" si="4"/>
        <v/>
      </c>
      <c r="L12" s="303" t="str">
        <f t="shared" si="5"/>
        <v/>
      </c>
    </row>
    <row r="13" spans="1:12" ht="25.5" x14ac:dyDescent="0.25">
      <c r="A13" s="356" t="str">
        <f>Kostenplan!A18</f>
        <v>1.1.4</v>
      </c>
      <c r="B13" s="365" t="str">
        <f>Kostenplan!B18</f>
        <v>Berufsgenossenschaft (inkl. etwaig Wohlfahrtspflege) bzw. Unfallkasse</v>
      </c>
      <c r="C13" s="303">
        <f>Kostenplan!C18</f>
        <v>0</v>
      </c>
      <c r="D13" s="357"/>
      <c r="E13" s="358">
        <f>Kostenplan!D18</f>
        <v>0</v>
      </c>
      <c r="F13" s="359"/>
      <c r="G13" s="360">
        <f t="shared" si="0"/>
        <v>0</v>
      </c>
      <c r="H13" s="361">
        <f t="shared" si="1"/>
        <v>0</v>
      </c>
      <c r="I13" s="362">
        <f t="shared" si="2"/>
        <v>0</v>
      </c>
      <c r="J13" s="303" t="str">
        <f t="shared" si="3"/>
        <v/>
      </c>
      <c r="K13" s="303" t="str">
        <f t="shared" si="4"/>
        <v/>
      </c>
      <c r="L13" s="303" t="str">
        <f t="shared" si="5"/>
        <v/>
      </c>
    </row>
    <row r="14" spans="1:12" x14ac:dyDescent="0.25">
      <c r="A14" s="356" t="str">
        <f>Kostenplan!A19</f>
        <v>1.1.5</v>
      </c>
      <c r="B14" s="365" t="str">
        <f>Kostenplan!B19</f>
        <v>Finanzierungsbeitrag / Sanierungsgeld</v>
      </c>
      <c r="C14" s="303">
        <f>Kostenplan!C19</f>
        <v>0</v>
      </c>
      <c r="D14" s="357"/>
      <c r="E14" s="358">
        <f>Kostenplan!D19</f>
        <v>0</v>
      </c>
      <c r="F14" s="893"/>
      <c r="G14" s="360">
        <f>E14-C14</f>
        <v>0</v>
      </c>
      <c r="H14" s="361">
        <f>IF(C14=0,0,E14*100/C14)</f>
        <v>0</v>
      </c>
      <c r="I14" s="362">
        <f>IF(H14=0,0,H14-100)</f>
        <v>0</v>
      </c>
      <c r="J14" s="303" t="str">
        <f>IF($K$1="","",((E14/$G$2)*$I$1)/$K$1)</f>
        <v/>
      </c>
      <c r="K14" s="303" t="str">
        <f>IF($K$2="","",((E14/$G$2)*$I$2)/$K$2)</f>
        <v/>
      </c>
      <c r="L14" s="303" t="str">
        <f>IF($K$3="","",((E14/$G$2)*$I$3)/$K$3)</f>
        <v/>
      </c>
    </row>
    <row r="15" spans="1:12" x14ac:dyDescent="0.25">
      <c r="A15" s="356" t="str">
        <f>Kostenplan!A20</f>
        <v>1.1.6</v>
      </c>
      <c r="B15" s="365" t="str">
        <f>Kostenplan!B20</f>
        <v>Betriebsmedizin / Arbeitsmedizin</v>
      </c>
      <c r="C15" s="303">
        <f>Kostenplan!C20</f>
        <v>0</v>
      </c>
      <c r="D15" s="357"/>
      <c r="E15" s="302">
        <f>Kostenplan!D20</f>
        <v>0</v>
      </c>
      <c r="F15" s="363"/>
      <c r="G15" s="360">
        <f>E15-C15</f>
        <v>0</v>
      </c>
      <c r="H15" s="361">
        <f>IF(C15=0,0,E15*100/C15)</f>
        <v>0</v>
      </c>
      <c r="I15" s="362">
        <f>IF(H15=0,0,H15-100)</f>
        <v>0</v>
      </c>
      <c r="J15" s="303" t="str">
        <f>IF($K$1="","",((E15/$G$2)*$I$1)/$K$1)</f>
        <v/>
      </c>
      <c r="K15" s="303" t="str">
        <f>IF($K$2="","",((E15/$G$2)*$I$2)/$K$2)</f>
        <v/>
      </c>
      <c r="L15" s="303" t="str">
        <f>IF($K$3="","",((E15/$G$2)*$I$3)/$K$3)</f>
        <v/>
      </c>
    </row>
    <row r="16" spans="1:12" x14ac:dyDescent="0.25">
      <c r="A16" s="356" t="str">
        <f>Kostenplan!A21</f>
        <v>1.1.7</v>
      </c>
      <c r="B16" s="365" t="str">
        <f>Kostenplan!B21</f>
        <v>sonstige Personalnebenkosten</v>
      </c>
      <c r="C16" s="303">
        <f>Kostenplan!C21</f>
        <v>0</v>
      </c>
      <c r="D16" s="357"/>
      <c r="E16" s="302">
        <f>Kostenplan!D21</f>
        <v>0</v>
      </c>
      <c r="F16" s="364"/>
      <c r="G16" s="360">
        <f>E16-C16</f>
        <v>0</v>
      </c>
      <c r="H16" s="361">
        <f>IF(C16=0,0,E16*100/C16)</f>
        <v>0</v>
      </c>
      <c r="I16" s="362">
        <f>IF(H16=0,0,H16-100)</f>
        <v>0</v>
      </c>
      <c r="J16" s="303" t="str">
        <f>IF($K$1="","",((E16/$G$2)*$I$1)/$K$1)</f>
        <v/>
      </c>
      <c r="K16" s="303" t="str">
        <f>IF($K$2="","",((E16/$G$2)*$I$2)/$K$2)</f>
        <v/>
      </c>
      <c r="L16" s="303" t="str">
        <f>IF($K$3="","",((E16/$G$2)*$I$3)/$K$3)</f>
        <v/>
      </c>
    </row>
    <row r="17" spans="1:12" x14ac:dyDescent="0.25">
      <c r="A17" s="356" t="str">
        <f>Kostenplan!A22</f>
        <v>1.1.8</v>
      </c>
      <c r="B17" s="365" t="str">
        <f>IF('INTERN Personalstunden'!J59='INTERN Personalstunden'!J59,'INTERN Personalstunden'!J59,'INTERN Personalstunden'!J59)</f>
        <v>abzüglich/zuzüglich Personalkostenüberhang/-defizit</v>
      </c>
      <c r="C17" s="303">
        <f>Kostenplan!C22</f>
        <v>0</v>
      </c>
      <c r="D17" s="357"/>
      <c r="E17" s="366">
        <f>IF('INTERN Personalstunden'!K59=0,0,'INTERN Personalstunden'!K59)</f>
        <v>0</v>
      </c>
      <c r="F17" s="367"/>
      <c r="G17" s="360">
        <f t="shared" si="0"/>
        <v>0</v>
      </c>
      <c r="H17" s="361">
        <f t="shared" si="1"/>
        <v>0</v>
      </c>
      <c r="I17" s="362">
        <f t="shared" si="2"/>
        <v>0</v>
      </c>
      <c r="J17" s="303" t="str">
        <f t="shared" si="3"/>
        <v/>
      </c>
      <c r="K17" s="303" t="str">
        <f t="shared" si="4"/>
        <v/>
      </c>
      <c r="L17" s="303" t="str">
        <f t="shared" si="5"/>
        <v/>
      </c>
    </row>
    <row r="18" spans="1:12" s="296" customFormat="1" ht="15" x14ac:dyDescent="0.25">
      <c r="A18" s="331"/>
      <c r="B18" s="306" t="s">
        <v>1</v>
      </c>
      <c r="C18" s="307">
        <f>IF(B17="abzüglich Personalkostenüberhang",(SUM(C10:C16))-C17,SUM(C10:C17))</f>
        <v>0</v>
      </c>
      <c r="D18" s="368"/>
      <c r="E18" s="307">
        <f>SUM(E10:E17)</f>
        <v>0</v>
      </c>
      <c r="F18" s="368"/>
      <c r="G18" s="369">
        <f>E18-C18</f>
        <v>0</v>
      </c>
      <c r="H18" s="370">
        <f>IF(C18=0,0,E18*100/C18)</f>
        <v>0</v>
      </c>
      <c r="I18" s="370">
        <f>IF(H18=0,0,H18-100)</f>
        <v>0</v>
      </c>
      <c r="J18" s="371">
        <f>IF($K$1="",0,($I$1/$K$1*$G$1*$K$1)/$K$1)</f>
        <v>0</v>
      </c>
      <c r="K18" s="371">
        <f>IF($K$2="",0,($I$2/$K$2*$G$1*$K$2)/$K$2)</f>
        <v>0</v>
      </c>
      <c r="L18" s="371">
        <f>IF($K$3="",0,($I$3/$K$3*$G$1*$K$3)/$K$3)</f>
        <v>0</v>
      </c>
    </row>
    <row r="20" spans="1:12" s="296" customFormat="1" x14ac:dyDescent="0.25">
      <c r="A20" s="320"/>
      <c r="B20" s="308" t="s">
        <v>349</v>
      </c>
      <c r="C20" s="309">
        <f>C18</f>
        <v>0</v>
      </c>
      <c r="D20" s="372"/>
      <c r="E20" s="309">
        <f>E18</f>
        <v>0</v>
      </c>
      <c r="F20" s="372"/>
      <c r="G20" s="309">
        <f>E20-C20</f>
        <v>0</v>
      </c>
      <c r="H20" s="373">
        <f>IF(C20=0,0,E20*100/C20)</f>
        <v>0</v>
      </c>
      <c r="I20" s="373">
        <f>IF(H20=0,0,H20-100)</f>
        <v>0</v>
      </c>
      <c r="J20" s="309">
        <f>J18</f>
        <v>0</v>
      </c>
      <c r="K20" s="309">
        <f>K18</f>
        <v>0</v>
      </c>
      <c r="L20" s="309">
        <f>L18</f>
        <v>0</v>
      </c>
    </row>
    <row r="22" spans="1:12" x14ac:dyDescent="0.25">
      <c r="A22" s="353" t="str">
        <f>Kostenplan!A25</f>
        <v>2</v>
      </c>
      <c r="B22" s="406" t="str">
        <f>Kostenplan!B25</f>
        <v>Sachkosten</v>
      </c>
      <c r="C22" s="374"/>
      <c r="D22" s="310"/>
      <c r="E22" s="310"/>
      <c r="F22" s="310"/>
      <c r="G22" s="310"/>
      <c r="H22" s="310"/>
      <c r="I22" s="310"/>
      <c r="J22" s="310"/>
      <c r="K22" s="310"/>
      <c r="L22" s="310"/>
    </row>
    <row r="23" spans="1:12" x14ac:dyDescent="0.25">
      <c r="A23" s="353" t="str">
        <f>Kostenplan!A26</f>
        <v>2.1</v>
      </c>
      <c r="B23" s="406" t="str">
        <f>Kostenplan!B26</f>
        <v>Sachkosten</v>
      </c>
      <c r="C23" s="374"/>
      <c r="D23" s="310"/>
      <c r="E23" s="310"/>
      <c r="F23" s="310"/>
      <c r="G23" s="310"/>
      <c r="H23" s="310"/>
      <c r="I23" s="310"/>
      <c r="J23" s="374"/>
      <c r="K23" s="374"/>
      <c r="L23" s="374"/>
    </row>
    <row r="24" spans="1:12" x14ac:dyDescent="0.25">
      <c r="A24" s="356" t="str">
        <f>Kostenplan!A27</f>
        <v>2.1.1</v>
      </c>
      <c r="B24" s="365" t="str">
        <f>Kostenplan!B27</f>
        <v>kindbezogene Sachkosten</v>
      </c>
      <c r="C24" s="375">
        <f>Kostenplan!$C$28</f>
        <v>0</v>
      </c>
      <c r="D24" s="376"/>
      <c r="E24" s="377">
        <f>Kostenplan!$D$27</f>
        <v>0</v>
      </c>
      <c r="F24" s="361"/>
      <c r="G24" s="378">
        <f>E24-C24</f>
        <v>0</v>
      </c>
      <c r="H24" s="361">
        <f>IF(C24=0,0,E24*100/C24)</f>
        <v>0</v>
      </c>
      <c r="I24" s="362">
        <f>IF(H24=0,0,H24-100)</f>
        <v>0</v>
      </c>
      <c r="J24" s="379">
        <f>IF($K$1="",0,Kostenplan!H28)</f>
        <v>0</v>
      </c>
      <c r="K24" s="379">
        <f>IF($K$2="",0,Kostenplan!I28)</f>
        <v>0</v>
      </c>
      <c r="L24" s="379">
        <f>IF($K$3="",0,Kostenplan!J28)</f>
        <v>0</v>
      </c>
    </row>
    <row r="25" spans="1:12" x14ac:dyDescent="0.25">
      <c r="A25" s="356" t="str">
        <f>Kostenplan!A29</f>
        <v>2.1.2</v>
      </c>
      <c r="B25" s="365" t="str">
        <f>Kostenplan!B29</f>
        <v>Raum- und Wirtschaftsausstattung</v>
      </c>
      <c r="C25" s="375">
        <f>Kostenplan!$C$29</f>
        <v>0</v>
      </c>
      <c r="D25" s="376"/>
      <c r="E25" s="380">
        <f>Kostenplan!$D$29</f>
        <v>0</v>
      </c>
      <c r="F25" s="361"/>
      <c r="G25" s="378">
        <f>E25-C25</f>
        <v>0</v>
      </c>
      <c r="H25" s="361">
        <f>IF(C25=0,0,E25*100/C25)</f>
        <v>0</v>
      </c>
      <c r="I25" s="362">
        <f>IF(H25=0,0,H25-100)</f>
        <v>0</v>
      </c>
      <c r="J25" s="379">
        <f>IF($K$1="",0,E25/$L$2)</f>
        <v>0</v>
      </c>
      <c r="K25" s="379">
        <f>IF($K$2="",0,E25/$L$2)</f>
        <v>0</v>
      </c>
      <c r="L25" s="379">
        <f>IF($K$3="",0,E25/$L$2)</f>
        <v>0</v>
      </c>
    </row>
    <row r="26" spans="1:12" s="296" customFormat="1" ht="15" x14ac:dyDescent="0.25">
      <c r="A26" s="331"/>
      <c r="B26" s="306" t="s">
        <v>1</v>
      </c>
      <c r="C26" s="381">
        <f>SUM(C24:C25)</f>
        <v>0</v>
      </c>
      <c r="D26" s="368"/>
      <c r="E26" s="307">
        <f>SUM(E24:E25)</f>
        <v>0</v>
      </c>
      <c r="F26" s="368"/>
      <c r="G26" s="369">
        <f>E26-C26</f>
        <v>0</v>
      </c>
      <c r="H26" s="370">
        <f>IF(C26=0,0,E26*100/C26)</f>
        <v>0</v>
      </c>
      <c r="I26" s="370">
        <f>IF(H26=0,0,H26-100)</f>
        <v>0</v>
      </c>
      <c r="J26" s="382">
        <f>SUM(J23:J25)</f>
        <v>0</v>
      </c>
      <c r="K26" s="382">
        <f t="shared" ref="K26:L26" si="6">SUM(K23:K25)</f>
        <v>0</v>
      </c>
      <c r="L26" s="382">
        <f t="shared" si="6"/>
        <v>0</v>
      </c>
    </row>
    <row r="27" spans="1:12" x14ac:dyDescent="0.25">
      <c r="C27" s="383"/>
      <c r="E27" s="383"/>
    </row>
    <row r="28" spans="1:12" x14ac:dyDescent="0.25">
      <c r="A28" s="353" t="str">
        <f>Kostenplan!A34</f>
        <v>2.2</v>
      </c>
      <c r="B28" s="406" t="str">
        <f>Kostenplan!B34</f>
        <v>Fortbildung</v>
      </c>
      <c r="C28" s="374"/>
      <c r="D28" s="310"/>
      <c r="E28" s="374"/>
      <c r="F28" s="310"/>
      <c r="G28" s="310"/>
      <c r="H28" s="310"/>
      <c r="I28" s="310"/>
      <c r="J28" s="310"/>
      <c r="K28" s="310"/>
      <c r="L28" s="310"/>
    </row>
    <row r="29" spans="1:12" ht="25.5" x14ac:dyDescent="0.25">
      <c r="A29" s="356" t="str">
        <f>Kostenplan!A35</f>
        <v>2.2.1</v>
      </c>
      <c r="B29" s="365" t="str">
        <f>Kostenplan!$B$35</f>
        <v>Fort- und Weiterbildung (inkl. Supervision, Fachberatung und Fahrtkosten)</v>
      </c>
      <c r="C29" s="375">
        <f>Kostenplan!C35</f>
        <v>0</v>
      </c>
      <c r="D29" s="384"/>
      <c r="E29" s="380">
        <f>Kostenplan!D35</f>
        <v>0</v>
      </c>
      <c r="F29" s="361"/>
      <c r="G29" s="378">
        <f>E29-C29</f>
        <v>0</v>
      </c>
      <c r="H29" s="361">
        <f>IF(C29=0,0,E29*100/C29)</f>
        <v>0</v>
      </c>
      <c r="I29" s="361">
        <f>IF(H29=0,0,H29-100)</f>
        <v>0</v>
      </c>
      <c r="J29" s="379">
        <f>IF($K$1="",0,E29/$L$2)</f>
        <v>0</v>
      </c>
      <c r="K29" s="379">
        <f>IF($K$2="",0,E29/$L$2)</f>
        <v>0</v>
      </c>
      <c r="L29" s="379">
        <f>IF($K$3="",0,E29/$L$2)</f>
        <v>0</v>
      </c>
    </row>
    <row r="30" spans="1:12" x14ac:dyDescent="0.25">
      <c r="A30" s="356" t="str">
        <f>Kostenplan!A36</f>
        <v>2.2.2</v>
      </c>
      <c r="B30" s="365" t="str">
        <f>Kostenplan!$B$36</f>
        <v>sonstige Ausbildungskosten</v>
      </c>
      <c r="C30" s="375">
        <f>Kostenplan!C36</f>
        <v>0</v>
      </c>
      <c r="D30" s="384"/>
      <c r="E30" s="385">
        <f>Kostenplan!D36</f>
        <v>0</v>
      </c>
      <c r="F30" s="361"/>
      <c r="G30" s="378">
        <f>E30-C30</f>
        <v>0</v>
      </c>
      <c r="H30" s="361">
        <f>IF(C30=0,0,E30*100/C30)</f>
        <v>0</v>
      </c>
      <c r="I30" s="361">
        <f>IF(H30=0,0,H30-100)</f>
        <v>0</v>
      </c>
      <c r="J30" s="379">
        <f>IF($K$1="",0,E30/$L$2)</f>
        <v>0</v>
      </c>
      <c r="K30" s="379">
        <f>IF($K$2="",0,E30/$L$2)</f>
        <v>0</v>
      </c>
      <c r="L30" s="379">
        <f>IF($K$3="",0,E30/$L$2)</f>
        <v>0</v>
      </c>
    </row>
    <row r="31" spans="1:12" s="296" customFormat="1" ht="15" x14ac:dyDescent="0.25">
      <c r="A31" s="331"/>
      <c r="B31" s="306" t="s">
        <v>1</v>
      </c>
      <c r="C31" s="381">
        <f>SUM(C29:C30)</f>
        <v>0</v>
      </c>
      <c r="D31" s="368"/>
      <c r="E31" s="307">
        <f>SUM(E29:E30)</f>
        <v>0</v>
      </c>
      <c r="F31" s="368"/>
      <c r="G31" s="369">
        <f>E31-C31</f>
        <v>0</v>
      </c>
      <c r="H31" s="370">
        <f>IF(C31=0,0,E31*100/C31)</f>
        <v>0</v>
      </c>
      <c r="I31" s="370">
        <f>IF(H31=0,0,H31-100)</f>
        <v>0</v>
      </c>
      <c r="J31" s="381">
        <f>SUM(J29:J30)</f>
        <v>0</v>
      </c>
      <c r="K31" s="381">
        <f t="shared" ref="K31:L31" si="7">SUM(K29:K30)</f>
        <v>0</v>
      </c>
      <c r="L31" s="381">
        <f t="shared" si="7"/>
        <v>0</v>
      </c>
    </row>
    <row r="32" spans="1:12" x14ac:dyDescent="0.25">
      <c r="C32" s="383"/>
      <c r="E32" s="383"/>
    </row>
    <row r="33" spans="1:12" s="296" customFormat="1" x14ac:dyDescent="0.25">
      <c r="A33" s="320"/>
      <c r="B33" s="308" t="s">
        <v>349</v>
      </c>
      <c r="C33" s="309">
        <f>SUM(C26+C31)</f>
        <v>0</v>
      </c>
      <c r="D33" s="372"/>
      <c r="E33" s="309">
        <f>SUM(E26+E31)</f>
        <v>0</v>
      </c>
      <c r="F33" s="372"/>
      <c r="G33" s="309">
        <f>SUM(G26+G31)</f>
        <v>0</v>
      </c>
      <c r="H33" s="373">
        <f>IF(C33=0,0,E33*100/C33)</f>
        <v>0</v>
      </c>
      <c r="I33" s="373">
        <f>IF(H33=0,0,H33-100)</f>
        <v>0</v>
      </c>
      <c r="J33" s="309">
        <f>J26+J31</f>
        <v>0</v>
      </c>
      <c r="K33" s="309">
        <f>K31+K26</f>
        <v>0</v>
      </c>
      <c r="L33" s="309">
        <f>L31+L26</f>
        <v>0</v>
      </c>
    </row>
    <row r="35" spans="1:12" x14ac:dyDescent="0.25">
      <c r="A35" s="353" t="str">
        <f>Kostenplan!A39</f>
        <v>3</v>
      </c>
      <c r="B35" s="406" t="str">
        <f>Kostenplan!B39</f>
        <v>Betriebskosten</v>
      </c>
      <c r="C35" s="310"/>
      <c r="D35" s="310"/>
      <c r="E35" s="310"/>
      <c r="F35" s="310"/>
      <c r="G35" s="310"/>
      <c r="H35" s="310"/>
      <c r="I35" s="310"/>
      <c r="J35" s="310"/>
      <c r="K35" s="310"/>
      <c r="L35" s="310"/>
    </row>
    <row r="36" spans="1:12" x14ac:dyDescent="0.25">
      <c r="A36" s="353" t="str">
        <f>Kostenplan!A40</f>
        <v>3.1</v>
      </c>
      <c r="B36" s="406" t="str">
        <f>Kostenplan!B40</f>
        <v>Hausmeister, Hausmeisterdienstleitungen</v>
      </c>
      <c r="C36" s="374"/>
      <c r="D36" s="386"/>
      <c r="E36" s="387"/>
      <c r="F36" s="387"/>
      <c r="G36" s="387"/>
      <c r="H36" s="387"/>
      <c r="I36" s="387"/>
      <c r="J36" s="387"/>
      <c r="K36" s="387"/>
      <c r="L36" s="387"/>
    </row>
    <row r="37" spans="1:12" ht="26.25" customHeight="1" x14ac:dyDescent="0.25">
      <c r="A37" s="356" t="str">
        <f>Kostenplan!A41</f>
        <v>3.1.1</v>
      </c>
      <c r="B37" s="365" t="str">
        <f>Kostenplan!B41</f>
        <v xml:space="preserve">Personalkosten                                                                                                                                                                                                       (inkl. AG-Anteile zur SV und BAV SV-frei) </v>
      </c>
      <c r="C37" s="303">
        <f>Kostenplan!C41</f>
        <v>0</v>
      </c>
      <c r="D37" s="388"/>
      <c r="E37" s="377">
        <f>Kostenplan!D41</f>
        <v>0</v>
      </c>
      <c r="F37" s="376"/>
      <c r="G37" s="360">
        <f t="shared" ref="G37:G39" si="8">E37-C37</f>
        <v>0</v>
      </c>
      <c r="H37" s="389">
        <f t="shared" ref="H37:H39" si="9">IF(C37=0,0,E37*100/C37)</f>
        <v>0</v>
      </c>
      <c r="I37" s="389">
        <f t="shared" ref="I37:I39" si="10">IF(H37=0,0,H37-100)</f>
        <v>0</v>
      </c>
      <c r="J37" s="379">
        <f>IF($K$1="",0,E37/$L$2)</f>
        <v>0</v>
      </c>
      <c r="K37" s="379">
        <f>IF($K$2="",0,E37/$L$2)</f>
        <v>0</v>
      </c>
      <c r="L37" s="379">
        <f>IF($K$3="",0,E37/$L$2)</f>
        <v>0</v>
      </c>
    </row>
    <row r="38" spans="1:12" x14ac:dyDescent="0.25">
      <c r="A38" s="356" t="str">
        <f>Kostenplan!A42</f>
        <v>3.1.2</v>
      </c>
      <c r="B38" s="365" t="str">
        <f>Kostenplan!B42</f>
        <v>Schwerbehindertenausgleichsabgabe</v>
      </c>
      <c r="C38" s="303">
        <f>Kostenplan!C42</f>
        <v>0</v>
      </c>
      <c r="D38" s="388"/>
      <c r="E38" s="377">
        <f>Kostenplan!D42</f>
        <v>0</v>
      </c>
      <c r="F38" s="376"/>
      <c r="G38" s="360">
        <f t="shared" si="8"/>
        <v>0</v>
      </c>
      <c r="H38" s="389">
        <f t="shared" si="9"/>
        <v>0</v>
      </c>
      <c r="I38" s="389">
        <f t="shared" si="10"/>
        <v>0</v>
      </c>
      <c r="J38" s="379">
        <f t="shared" ref="J38:J39" si="11">IF($K$1="",0,E38/$L$2)</f>
        <v>0</v>
      </c>
      <c r="K38" s="379">
        <f t="shared" ref="K38:K39" si="12">IF($K$2="",0,E38/$L$2)</f>
        <v>0</v>
      </c>
      <c r="L38" s="379">
        <f t="shared" ref="L38:L39" si="13">IF($K$3="",0,E38/$L$2)</f>
        <v>0</v>
      </c>
    </row>
    <row r="39" spans="1:12" ht="26.25" customHeight="1" x14ac:dyDescent="0.25">
      <c r="A39" s="356" t="str">
        <f>Kostenplan!A43</f>
        <v>3.1.3</v>
      </c>
      <c r="B39" s="365" t="str">
        <f>Kostenplan!B43</f>
        <v>Berufsgenossenschaft (inkl. etwaig Wohlfahrtspflege) bzw. Unfallkasse</v>
      </c>
      <c r="C39" s="303">
        <f>Kostenplan!C43</f>
        <v>0</v>
      </c>
      <c r="D39" s="388"/>
      <c r="E39" s="377">
        <f>Kostenplan!D43</f>
        <v>0</v>
      </c>
      <c r="F39" s="376"/>
      <c r="G39" s="360">
        <f t="shared" si="8"/>
        <v>0</v>
      </c>
      <c r="H39" s="389">
        <f t="shared" si="9"/>
        <v>0</v>
      </c>
      <c r="I39" s="389">
        <f t="shared" si="10"/>
        <v>0</v>
      </c>
      <c r="J39" s="379">
        <f t="shared" si="11"/>
        <v>0</v>
      </c>
      <c r="K39" s="379">
        <f t="shared" si="12"/>
        <v>0</v>
      </c>
      <c r="L39" s="379">
        <f t="shared" si="13"/>
        <v>0</v>
      </c>
    </row>
    <row r="40" spans="1:12" x14ac:dyDescent="0.25">
      <c r="A40" s="356" t="str">
        <f>Kostenplan!A44</f>
        <v>3.1.4</v>
      </c>
      <c r="B40" s="813" t="str">
        <f>Kostenplan!B44</f>
        <v>Finanzierungsbeitrag / Sanierungsgeld</v>
      </c>
      <c r="C40" s="303">
        <f>Kostenplan!C44</f>
        <v>0</v>
      </c>
      <c r="D40" s="388"/>
      <c r="E40" s="377">
        <f>Kostenplan!D44</f>
        <v>0</v>
      </c>
      <c r="F40" s="376"/>
      <c r="G40" s="360">
        <f>E40-C40</f>
        <v>0</v>
      </c>
      <c r="H40" s="389">
        <f>IF(C40=0,0,E40*100/C40)</f>
        <v>0</v>
      </c>
      <c r="I40" s="389">
        <f>IF(H40=0,0,H40-100)</f>
        <v>0</v>
      </c>
      <c r="J40" s="379">
        <f>IF($K$1="",0,E40/$L$2)</f>
        <v>0</v>
      </c>
      <c r="K40" s="379">
        <f>IF($K$2="",0,E40/$L$2)</f>
        <v>0</v>
      </c>
      <c r="L40" s="379">
        <f>IF($K$3="",0,E40/$L$2)</f>
        <v>0</v>
      </c>
    </row>
    <row r="41" spans="1:12" x14ac:dyDescent="0.25">
      <c r="A41" s="356" t="str">
        <f>Kostenplan!A45</f>
        <v>3.1.5</v>
      </c>
      <c r="B41" s="813" t="str">
        <f>Kostenplan!B45</f>
        <v>Betriebsmedizin, Arbeitsmedizin</v>
      </c>
      <c r="C41" s="303">
        <f>Kostenplan!C45</f>
        <v>0</v>
      </c>
      <c r="D41" s="388"/>
      <c r="E41" s="385">
        <f>Kostenplan!D45</f>
        <v>0</v>
      </c>
      <c r="F41" s="376"/>
      <c r="G41" s="360">
        <f>E41-C41</f>
        <v>0</v>
      </c>
      <c r="H41" s="389">
        <f>IF(C41=0,0,E41*100/C41)</f>
        <v>0</v>
      </c>
      <c r="I41" s="389">
        <f>IF(H41=0,0,H41-100)</f>
        <v>0</v>
      </c>
      <c r="J41" s="379">
        <f>IF($K$1="",0,E41/$L$2)</f>
        <v>0</v>
      </c>
      <c r="K41" s="379">
        <f>IF($K$2="",0,E41/$L$2)</f>
        <v>0</v>
      </c>
      <c r="L41" s="379">
        <f>IF($K$3="",0,E41/$L$2)</f>
        <v>0</v>
      </c>
    </row>
    <row r="42" spans="1:12" x14ac:dyDescent="0.25">
      <c r="A42" s="356" t="str">
        <f>Kostenplan!A46</f>
        <v>3.1.6</v>
      </c>
      <c r="B42" s="813" t="str">
        <f>Kostenplan!B46</f>
        <v>sonstige Personalnebenkosten</v>
      </c>
      <c r="C42" s="303">
        <f>Kostenplan!C46</f>
        <v>0</v>
      </c>
      <c r="D42" s="388"/>
      <c r="E42" s="385">
        <f>Kostenplan!D46</f>
        <v>0</v>
      </c>
      <c r="F42" s="376"/>
      <c r="G42" s="360">
        <f>E42-C42</f>
        <v>0</v>
      </c>
      <c r="H42" s="389">
        <f>IF(C42=0,0,E42*100/C42)</f>
        <v>0</v>
      </c>
      <c r="I42" s="389">
        <f>IF(H42=0,0,H42-100)</f>
        <v>0</v>
      </c>
      <c r="J42" s="379">
        <f>IF($K$1="",0,E42/$L$2)</f>
        <v>0</v>
      </c>
      <c r="K42" s="379">
        <f>IF($K$2="",0,E42/$L$2)</f>
        <v>0</v>
      </c>
      <c r="L42" s="379">
        <f>IF($K$3="",0,E42/$L$2)</f>
        <v>0</v>
      </c>
    </row>
    <row r="43" spans="1:12" x14ac:dyDescent="0.25">
      <c r="A43" s="356" t="str">
        <f>Kostenplan!A47</f>
        <v>3.1.7</v>
      </c>
      <c r="B43" s="813" t="str">
        <f>Kostenplan!B47</f>
        <v>Fremdfirmen für Hausmeisterdienste</v>
      </c>
      <c r="C43" s="303">
        <f>Kostenplan!C47</f>
        <v>0</v>
      </c>
      <c r="D43" s="388"/>
      <c r="E43" s="385">
        <f>Kostenplan!D47</f>
        <v>0</v>
      </c>
      <c r="F43" s="376"/>
      <c r="G43" s="360">
        <f>E43-C43</f>
        <v>0</v>
      </c>
      <c r="H43" s="389">
        <f>IF(C43=0,0,E43*100/C43)</f>
        <v>0</v>
      </c>
      <c r="I43" s="389">
        <f>IF(H43=0,0,H43-100)</f>
        <v>0</v>
      </c>
      <c r="J43" s="379">
        <f>IF($K$1="",0,E43/$L$2)</f>
        <v>0</v>
      </c>
      <c r="K43" s="379">
        <f>IF($K$2="",0,E43/$L$2)</f>
        <v>0</v>
      </c>
      <c r="L43" s="379">
        <f>IF($K$3="",0,E43/$L$2)</f>
        <v>0</v>
      </c>
    </row>
    <row r="44" spans="1:12" s="296" customFormat="1" ht="15" x14ac:dyDescent="0.25">
      <c r="A44" s="331"/>
      <c r="B44" s="306" t="s">
        <v>1</v>
      </c>
      <c r="C44" s="371">
        <f>SUM(C37:C43)</f>
        <v>0</v>
      </c>
      <c r="D44" s="368"/>
      <c r="E44" s="307">
        <f>SUM(E37:E43)</f>
        <v>0</v>
      </c>
      <c r="F44" s="368"/>
      <c r="G44" s="369">
        <f>E44-C44</f>
        <v>0</v>
      </c>
      <c r="H44" s="370">
        <f>IF(C44=0,0,E44*100/C44)</f>
        <v>0</v>
      </c>
      <c r="I44" s="370">
        <f>IF(H44=0,0,H44-100)</f>
        <v>0</v>
      </c>
      <c r="J44" s="381">
        <f>SUM(J37:J43)</f>
        <v>0</v>
      </c>
      <c r="K44" s="381">
        <f>SUM(K37:K43)</f>
        <v>0</v>
      </c>
      <c r="L44" s="381">
        <f>SUM(L37:L43)</f>
        <v>0</v>
      </c>
    </row>
    <row r="46" spans="1:12" x14ac:dyDescent="0.25">
      <c r="A46" s="353" t="str">
        <f>Kostenplan!A50</f>
        <v>3.2</v>
      </c>
      <c r="B46" s="406" t="str">
        <f>Kostenplan!B50</f>
        <v>Reinigungskraft, Reinigungsdienstleistungen</v>
      </c>
      <c r="C46" s="390"/>
      <c r="D46" s="386"/>
      <c r="E46" s="387"/>
      <c r="F46" s="387"/>
      <c r="G46" s="387"/>
      <c r="H46" s="387"/>
      <c r="I46" s="387"/>
      <c r="J46" s="310"/>
      <c r="K46" s="310"/>
      <c r="L46" s="310"/>
    </row>
    <row r="47" spans="1:12" ht="26.25" customHeight="1" x14ac:dyDescent="0.25">
      <c r="A47" s="356" t="str">
        <f>Kostenplan!A51</f>
        <v>3.2.1</v>
      </c>
      <c r="B47" s="365" t="str">
        <f>Kostenplan!B51</f>
        <v>Personalkosten                                                                                                                                                                                                       (inkl. AG-Anteile zur SV und BAV SV-frei)</v>
      </c>
      <c r="C47" s="303">
        <f>Kostenplan!C51</f>
        <v>0</v>
      </c>
      <c r="D47" s="388"/>
      <c r="E47" s="377">
        <f>Kostenplan!D51</f>
        <v>0</v>
      </c>
      <c r="F47" s="376"/>
      <c r="G47" s="360">
        <f t="shared" ref="G47:G49" si="14">E47-C47</f>
        <v>0</v>
      </c>
      <c r="H47" s="389">
        <f t="shared" ref="H47:H49" si="15">IF(C47=0,0,E47*100/C47)</f>
        <v>0</v>
      </c>
      <c r="I47" s="389">
        <f t="shared" ref="I47:I49" si="16">IF(H47=0,0,H47-100)</f>
        <v>0</v>
      </c>
      <c r="J47" s="379">
        <f>IF($K$1="",0,E47/$L$2)</f>
        <v>0</v>
      </c>
      <c r="K47" s="379">
        <f>IF($K$2="",0,E47/$L$2)</f>
        <v>0</v>
      </c>
      <c r="L47" s="379">
        <f>IF($K$3="",0,E47/$L$2)</f>
        <v>0</v>
      </c>
    </row>
    <row r="48" spans="1:12" x14ac:dyDescent="0.25">
      <c r="A48" s="356" t="str">
        <f>Kostenplan!A52</f>
        <v>3.2.2</v>
      </c>
      <c r="B48" s="365" t="str">
        <f>Kostenplan!B52</f>
        <v>Schwerbehindertenausgleichsabgabe</v>
      </c>
      <c r="C48" s="303">
        <f>Kostenplan!C52</f>
        <v>0</v>
      </c>
      <c r="D48" s="388"/>
      <c r="E48" s="377">
        <f>Kostenplan!D52</f>
        <v>0</v>
      </c>
      <c r="F48" s="376"/>
      <c r="G48" s="360">
        <f t="shared" si="14"/>
        <v>0</v>
      </c>
      <c r="H48" s="389">
        <f t="shared" si="15"/>
        <v>0</v>
      </c>
      <c r="I48" s="389">
        <f t="shared" si="16"/>
        <v>0</v>
      </c>
      <c r="J48" s="379">
        <f t="shared" ref="J48:J49" si="17">IF($K$1="",0,E48/$L$2)</f>
        <v>0</v>
      </c>
      <c r="K48" s="379">
        <f t="shared" ref="K48:K49" si="18">IF($K$2="",0,E48/$L$2)</f>
        <v>0</v>
      </c>
      <c r="L48" s="379">
        <f t="shared" ref="L48:L49" si="19">IF($K$3="",0,E48/$L$2)</f>
        <v>0</v>
      </c>
    </row>
    <row r="49" spans="1:12" ht="26.25" customHeight="1" x14ac:dyDescent="0.25">
      <c r="A49" s="356" t="str">
        <f>Kostenplan!A53</f>
        <v>3.2.3</v>
      </c>
      <c r="B49" s="365" t="str">
        <f>Kostenplan!B53</f>
        <v>Berufsgenossenschaft (inkl. etwaig Wohlfahrtspflege) bzw. Unfallkasse</v>
      </c>
      <c r="C49" s="303">
        <f>Kostenplan!C53</f>
        <v>0</v>
      </c>
      <c r="D49" s="388"/>
      <c r="E49" s="377">
        <f>Kostenplan!D53</f>
        <v>0</v>
      </c>
      <c r="F49" s="376"/>
      <c r="G49" s="360">
        <f t="shared" si="14"/>
        <v>0</v>
      </c>
      <c r="H49" s="389">
        <f t="shared" si="15"/>
        <v>0</v>
      </c>
      <c r="I49" s="389">
        <f t="shared" si="16"/>
        <v>0</v>
      </c>
      <c r="J49" s="379">
        <f t="shared" si="17"/>
        <v>0</v>
      </c>
      <c r="K49" s="379">
        <f t="shared" si="18"/>
        <v>0</v>
      </c>
      <c r="L49" s="379">
        <f t="shared" si="19"/>
        <v>0</v>
      </c>
    </row>
    <row r="50" spans="1:12" x14ac:dyDescent="0.25">
      <c r="A50" s="356" t="str">
        <f>Kostenplan!A54</f>
        <v>3.2.4</v>
      </c>
      <c r="B50" s="365" t="str">
        <f>Kostenplan!B54</f>
        <v>Finanzierungsbeitrag / Sanierungsgeld</v>
      </c>
      <c r="C50" s="303">
        <f>Kostenplan!C54</f>
        <v>0</v>
      </c>
      <c r="D50" s="388"/>
      <c r="E50" s="377">
        <f>Kostenplan!D54</f>
        <v>0</v>
      </c>
      <c r="F50" s="376"/>
      <c r="G50" s="360">
        <f>E50-C50</f>
        <v>0</v>
      </c>
      <c r="H50" s="389">
        <f>IF(C50=0,0,E50*100/C50)</f>
        <v>0</v>
      </c>
      <c r="I50" s="389">
        <f>IF(H50=0,0,H50-100)</f>
        <v>0</v>
      </c>
      <c r="J50" s="379">
        <f>IF($K$1="",0,E50/$L$2)</f>
        <v>0</v>
      </c>
      <c r="K50" s="379">
        <f>IF($K$2="",0,E50/$L$2)</f>
        <v>0</v>
      </c>
      <c r="L50" s="379">
        <f>IF($K$3="",0,E50/$L$2)</f>
        <v>0</v>
      </c>
    </row>
    <row r="51" spans="1:12" x14ac:dyDescent="0.25">
      <c r="A51" s="356" t="str">
        <f>Kostenplan!A55</f>
        <v>3.2.5</v>
      </c>
      <c r="B51" s="365" t="str">
        <f>Kostenplan!B55</f>
        <v>Betriebsmedizin, Arbeitsmedizin</v>
      </c>
      <c r="C51" s="303">
        <f>Kostenplan!C55</f>
        <v>0</v>
      </c>
      <c r="D51" s="388"/>
      <c r="E51" s="385">
        <f>Kostenplan!D55</f>
        <v>0</v>
      </c>
      <c r="F51" s="376"/>
      <c r="G51" s="360">
        <f>E51-C51</f>
        <v>0</v>
      </c>
      <c r="H51" s="389">
        <f>IF(C51=0,0,E51*100/C51)</f>
        <v>0</v>
      </c>
      <c r="I51" s="389">
        <f>IF(H51=0,0,H51-100)</f>
        <v>0</v>
      </c>
      <c r="J51" s="379">
        <f>IF($K$1="",0,E51/$L$2)</f>
        <v>0</v>
      </c>
      <c r="K51" s="379">
        <f>IF($K$2="",0,E51/$L$2)</f>
        <v>0</v>
      </c>
      <c r="L51" s="379">
        <f>IF($K$3="",0,E51/$L$2)</f>
        <v>0</v>
      </c>
    </row>
    <row r="52" spans="1:12" x14ac:dyDescent="0.25">
      <c r="A52" s="356" t="str">
        <f>Kostenplan!A56</f>
        <v>3.2.6</v>
      </c>
      <c r="B52" s="365" t="str">
        <f>Kostenplan!B56</f>
        <v>sonstige Personalnebenkosten</v>
      </c>
      <c r="C52" s="303">
        <f>Kostenplan!C56</f>
        <v>0</v>
      </c>
      <c r="D52" s="388"/>
      <c r="E52" s="385">
        <f>Kostenplan!D56</f>
        <v>0</v>
      </c>
      <c r="F52" s="376"/>
      <c r="G52" s="360">
        <f>E52-C52</f>
        <v>0</v>
      </c>
      <c r="H52" s="389">
        <f>IF(C52=0,0,E52*100/C52)</f>
        <v>0</v>
      </c>
      <c r="I52" s="389">
        <f>IF(H52=0,0,H52-100)</f>
        <v>0</v>
      </c>
      <c r="J52" s="379">
        <f>IF($K$1="",0,E52/$L$2)</f>
        <v>0</v>
      </c>
      <c r="K52" s="379">
        <f>IF($K$2="",0,E52/$L$2)</f>
        <v>0</v>
      </c>
      <c r="L52" s="379">
        <f>IF($K$3="",0,E52/$L$2)</f>
        <v>0</v>
      </c>
    </row>
    <row r="53" spans="1:12" x14ac:dyDescent="0.25">
      <c r="A53" s="356" t="str">
        <f>Kostenplan!A57</f>
        <v>3.2.7</v>
      </c>
      <c r="B53" s="365" t="str">
        <f>Kostenplan!B57</f>
        <v>Kosten der Fremdreinigung</v>
      </c>
      <c r="C53" s="303">
        <f>Kostenplan!C57</f>
        <v>0</v>
      </c>
      <c r="D53" s="388"/>
      <c r="E53" s="385">
        <f>Kostenplan!D57</f>
        <v>0</v>
      </c>
      <c r="F53" s="376"/>
      <c r="G53" s="360">
        <f>E53-C53</f>
        <v>0</v>
      </c>
      <c r="H53" s="389">
        <f>IF(C53=0,0,E53*100/C53)</f>
        <v>0</v>
      </c>
      <c r="I53" s="389">
        <f>IF(H53=0,0,H53-100)</f>
        <v>0</v>
      </c>
      <c r="J53" s="379">
        <f>IF($K$1="",0,E53/$L$2)</f>
        <v>0</v>
      </c>
      <c r="K53" s="379">
        <f>IF($K$2="",0,E53/$L$2)</f>
        <v>0</v>
      </c>
      <c r="L53" s="379">
        <f>IF($K$3="",0,E53/$L$2)</f>
        <v>0</v>
      </c>
    </row>
    <row r="54" spans="1:12" x14ac:dyDescent="0.25">
      <c r="A54" s="356" t="str">
        <f>Kostenplan!A58</f>
        <v>3.2.8</v>
      </c>
      <c r="B54" s="365" t="str">
        <f>Kostenplan!B58</f>
        <v>Reinigungsmittel</v>
      </c>
      <c r="C54" s="303">
        <f>Kostenplan!C58</f>
        <v>0</v>
      </c>
      <c r="D54" s="388"/>
      <c r="E54" s="385">
        <f>Kostenplan!D58</f>
        <v>0</v>
      </c>
      <c r="F54" s="376"/>
      <c r="G54" s="360">
        <f>E54-C54</f>
        <v>0</v>
      </c>
      <c r="H54" s="389">
        <f>IF(C54=0,0,E54*100/C54)</f>
        <v>0</v>
      </c>
      <c r="I54" s="389">
        <f>IF(H54=0,0,H54-100)</f>
        <v>0</v>
      </c>
      <c r="J54" s="379">
        <f>IF($K$1="",0,E54/$L$2)</f>
        <v>0</v>
      </c>
      <c r="K54" s="379">
        <f>IF($K$2="",0,E54/$L$2)</f>
        <v>0</v>
      </c>
      <c r="L54" s="379">
        <f>IF($K$3="",0,E54/$L$2)</f>
        <v>0</v>
      </c>
    </row>
    <row r="55" spans="1:12" s="296" customFormat="1" ht="15" x14ac:dyDescent="0.25">
      <c r="A55" s="331"/>
      <c r="B55" s="306" t="s">
        <v>1</v>
      </c>
      <c r="C55" s="371">
        <f>SUM(C47:C54)</f>
        <v>0</v>
      </c>
      <c r="D55" s="368"/>
      <c r="E55" s="307">
        <f>SUM(E47:E54)</f>
        <v>0</v>
      </c>
      <c r="F55" s="368"/>
      <c r="G55" s="369">
        <f t="shared" ref="G55" si="20">E55-C55</f>
        <v>0</v>
      </c>
      <c r="H55" s="370">
        <f t="shared" ref="H55" si="21">IF(C55=0,0,E55*100/C55)</f>
        <v>0</v>
      </c>
      <c r="I55" s="370">
        <f t="shared" ref="I55" si="22">IF(H55=0,0,H55-100)</f>
        <v>0</v>
      </c>
      <c r="J55" s="381">
        <f>SUM(J47:J54)</f>
        <v>0</v>
      </c>
      <c r="K55" s="381">
        <f>SUM(K47:K54)</f>
        <v>0</v>
      </c>
      <c r="L55" s="381">
        <f>SUM(L47:L54)</f>
        <v>0</v>
      </c>
    </row>
    <row r="57" spans="1:12" x14ac:dyDescent="0.25">
      <c r="A57" s="353" t="str">
        <f>Kostenplan!A61</f>
        <v>3.3</v>
      </c>
      <c r="B57" s="406" t="str">
        <f>Kostenplan!B61</f>
        <v>Wirtschaftskraft/Haushaltshilfe/ Küchenkraft</v>
      </c>
      <c r="C57" s="390"/>
      <c r="D57" s="386"/>
      <c r="E57" s="387"/>
      <c r="F57" s="387"/>
      <c r="G57" s="387"/>
      <c r="H57" s="387"/>
      <c r="I57" s="387"/>
      <c r="J57" s="310"/>
      <c r="K57" s="310"/>
      <c r="L57" s="310"/>
    </row>
    <row r="58" spans="1:12" ht="26.25" customHeight="1" x14ac:dyDescent="0.25">
      <c r="A58" s="356" t="str">
        <f>Kostenplan!A62</f>
        <v>3.3.1</v>
      </c>
      <c r="B58" s="365" t="str">
        <f>Kostenplan!B62</f>
        <v>Personalkosten                                                                                                                                                                                                       (inkl. AG-Anteile zur SV und BAV SV-frei)</v>
      </c>
      <c r="C58" s="303">
        <f>Kostenplan!C62</f>
        <v>0</v>
      </c>
      <c r="D58" s="388"/>
      <c r="E58" s="377">
        <f>Kostenplan!D62</f>
        <v>0</v>
      </c>
      <c r="F58" s="376"/>
      <c r="G58" s="360">
        <f t="shared" ref="G58:G60" si="23">E58-C58</f>
        <v>0</v>
      </c>
      <c r="H58" s="389">
        <f t="shared" ref="H58:H60" si="24">IF(C58=0,0,E58*100/C58)</f>
        <v>0</v>
      </c>
      <c r="I58" s="389">
        <f t="shared" ref="I58:I60" si="25">IF(H58=0,0,H58-100)</f>
        <v>0</v>
      </c>
      <c r="J58" s="379">
        <f t="shared" ref="J58:J60" si="26">IF($K$1="",0,E58/$L$2)</f>
        <v>0</v>
      </c>
      <c r="K58" s="379">
        <f t="shared" ref="K58:K60" si="27">IF($K$2="",0,E58/$L$2)</f>
        <v>0</v>
      </c>
      <c r="L58" s="379">
        <f t="shared" ref="L58:L60" si="28">IF($K$3="",0,E58/$L$2)</f>
        <v>0</v>
      </c>
    </row>
    <row r="59" spans="1:12" x14ac:dyDescent="0.25">
      <c r="A59" s="356" t="str">
        <f>Kostenplan!A63</f>
        <v>3.3.2</v>
      </c>
      <c r="B59" s="365" t="str">
        <f>Kostenplan!B63</f>
        <v>Schwerbehindertenausgleichsabgabe</v>
      </c>
      <c r="C59" s="303">
        <f>Kostenplan!C63</f>
        <v>0</v>
      </c>
      <c r="D59" s="388"/>
      <c r="E59" s="377">
        <f>Kostenplan!D63</f>
        <v>0</v>
      </c>
      <c r="F59" s="376"/>
      <c r="G59" s="360">
        <f t="shared" si="23"/>
        <v>0</v>
      </c>
      <c r="H59" s="389">
        <f t="shared" si="24"/>
        <v>0</v>
      </c>
      <c r="I59" s="389">
        <f t="shared" si="25"/>
        <v>0</v>
      </c>
      <c r="J59" s="379">
        <f t="shared" si="26"/>
        <v>0</v>
      </c>
      <c r="K59" s="379">
        <f t="shared" si="27"/>
        <v>0</v>
      </c>
      <c r="L59" s="379">
        <f t="shared" si="28"/>
        <v>0</v>
      </c>
    </row>
    <row r="60" spans="1:12" ht="26.25" customHeight="1" x14ac:dyDescent="0.25">
      <c r="A60" s="356" t="str">
        <f>Kostenplan!A64</f>
        <v>3.3.3</v>
      </c>
      <c r="B60" s="365" t="str">
        <f>Kostenplan!B64</f>
        <v>Berufsgenossenschaft (inkl. etwaig Wohlfahrtspflege) bzw. Unfallkasse</v>
      </c>
      <c r="C60" s="303">
        <f>Kostenplan!C64</f>
        <v>0</v>
      </c>
      <c r="D60" s="388"/>
      <c r="E60" s="377">
        <f>Kostenplan!D64</f>
        <v>0</v>
      </c>
      <c r="F60" s="376"/>
      <c r="G60" s="360">
        <f t="shared" si="23"/>
        <v>0</v>
      </c>
      <c r="H60" s="389">
        <f t="shared" si="24"/>
        <v>0</v>
      </c>
      <c r="I60" s="389">
        <f t="shared" si="25"/>
        <v>0</v>
      </c>
      <c r="J60" s="379">
        <f t="shared" si="26"/>
        <v>0</v>
      </c>
      <c r="K60" s="379">
        <f t="shared" si="27"/>
        <v>0</v>
      </c>
      <c r="L60" s="379">
        <f t="shared" si="28"/>
        <v>0</v>
      </c>
    </row>
    <row r="61" spans="1:12" x14ac:dyDescent="0.25">
      <c r="A61" s="356" t="str">
        <f>Kostenplan!A65</f>
        <v>3.3.4</v>
      </c>
      <c r="B61" s="365" t="str">
        <f>Kostenplan!B65</f>
        <v>Finanzierungsbeitrag / Sanierungsgeld</v>
      </c>
      <c r="C61" s="303">
        <f>Kostenplan!C65</f>
        <v>0</v>
      </c>
      <c r="D61" s="388"/>
      <c r="E61" s="377">
        <f>Kostenplan!D65</f>
        <v>0</v>
      </c>
      <c r="F61" s="376"/>
      <c r="G61" s="360">
        <f>E61-C61</f>
        <v>0</v>
      </c>
      <c r="H61" s="389">
        <f>IF(C61=0,0,E61*100/C61)</f>
        <v>0</v>
      </c>
      <c r="I61" s="389">
        <f>IF(H61=0,0,H61-100)</f>
        <v>0</v>
      </c>
      <c r="J61" s="379">
        <f>IF($K$1="",0,E61/$L$2)</f>
        <v>0</v>
      </c>
      <c r="K61" s="379">
        <f>IF($K$2="",0,E61/$L$2)</f>
        <v>0</v>
      </c>
      <c r="L61" s="379">
        <f>IF($K$3="",0,E61/$L$2)</f>
        <v>0</v>
      </c>
    </row>
    <row r="62" spans="1:12" x14ac:dyDescent="0.25">
      <c r="A62" s="356" t="str">
        <f>Kostenplan!A66</f>
        <v>3.3.5</v>
      </c>
      <c r="B62" s="365" t="str">
        <f>Kostenplan!B66</f>
        <v>Betriebsmedizin, Arbeitsmedizin</v>
      </c>
      <c r="C62" s="303">
        <f>Kostenplan!C66</f>
        <v>0</v>
      </c>
      <c r="D62" s="388"/>
      <c r="E62" s="385">
        <f>Kostenplan!D66</f>
        <v>0</v>
      </c>
      <c r="F62" s="376"/>
      <c r="G62" s="360">
        <f>E62-C62</f>
        <v>0</v>
      </c>
      <c r="H62" s="389">
        <f>IF(C62=0,0,E62*100/C62)</f>
        <v>0</v>
      </c>
      <c r="I62" s="389">
        <f>IF(H62=0,0,H62-100)</f>
        <v>0</v>
      </c>
      <c r="J62" s="379">
        <f>IF($K$1="",0,E62/$L$2)</f>
        <v>0</v>
      </c>
      <c r="K62" s="379">
        <f>IF($K$2="",0,E62/$L$2)</f>
        <v>0</v>
      </c>
      <c r="L62" s="379">
        <f>IF($K$3="",0,E62/$L$2)</f>
        <v>0</v>
      </c>
    </row>
    <row r="63" spans="1:12" x14ac:dyDescent="0.25">
      <c r="A63" s="356" t="str">
        <f>Kostenplan!A67</f>
        <v>3.3.6</v>
      </c>
      <c r="B63" s="365" t="str">
        <f>Kostenplan!B67</f>
        <v>sonstige Personalnebenkosten</v>
      </c>
      <c r="C63" s="303">
        <f>Kostenplan!C67</f>
        <v>0</v>
      </c>
      <c r="D63" s="388"/>
      <c r="E63" s="385">
        <f>Kostenplan!D67</f>
        <v>0</v>
      </c>
      <c r="F63" s="376"/>
      <c r="G63" s="360">
        <f>E63-C63</f>
        <v>0</v>
      </c>
      <c r="H63" s="389">
        <f>IF(C63=0,0,E63*100/C63)</f>
        <v>0</v>
      </c>
      <c r="I63" s="389">
        <f>IF(H63=0,0,H63-100)</f>
        <v>0</v>
      </c>
      <c r="J63" s="379">
        <f>IF($K$1="",0,E63/$L$2)</f>
        <v>0</v>
      </c>
      <c r="K63" s="379">
        <f>IF($K$2="",0,E63/$L$2)</f>
        <v>0</v>
      </c>
      <c r="L63" s="379">
        <f>IF($K$3="",0,E63/$L$2)</f>
        <v>0</v>
      </c>
    </row>
    <row r="64" spans="1:12" x14ac:dyDescent="0.25">
      <c r="A64" s="356" t="str">
        <f>Kostenplan!A68</f>
        <v>3.3.7</v>
      </c>
      <c r="B64" s="365" t="str">
        <f>Kostenplan!B68</f>
        <v>Kosten für Fremdfirmen</v>
      </c>
      <c r="C64" s="303">
        <f>Kostenplan!C68</f>
        <v>0</v>
      </c>
      <c r="D64" s="388"/>
      <c r="E64" s="385">
        <f>Kostenplan!D68</f>
        <v>0</v>
      </c>
      <c r="F64" s="376"/>
      <c r="G64" s="360">
        <f>E64-C64</f>
        <v>0</v>
      </c>
      <c r="H64" s="389">
        <f>IF(C64=0,0,E64*100/C64)</f>
        <v>0</v>
      </c>
      <c r="I64" s="389">
        <f>IF(H64=0,0,H64-100)</f>
        <v>0</v>
      </c>
      <c r="J64" s="379">
        <f>IF($K$1="",0,E64/$L$2)</f>
        <v>0</v>
      </c>
      <c r="K64" s="379">
        <f>IF($K$2="",0,E64/$L$2)</f>
        <v>0</v>
      </c>
      <c r="L64" s="379">
        <f>IF($K$3="",0,E64/$L$2)</f>
        <v>0</v>
      </c>
    </row>
    <row r="65" spans="1:12" s="296" customFormat="1" ht="15" x14ac:dyDescent="0.25">
      <c r="A65" s="331"/>
      <c r="B65" s="306" t="s">
        <v>1</v>
      </c>
      <c r="C65" s="371">
        <f>SUM(C58:C64)</f>
        <v>0</v>
      </c>
      <c r="D65" s="368"/>
      <c r="E65" s="307">
        <f>SUM(E58:E64)</f>
        <v>0</v>
      </c>
      <c r="F65" s="368"/>
      <c r="G65" s="369">
        <f>E65-C65</f>
        <v>0</v>
      </c>
      <c r="H65" s="370">
        <f>IF(C65=0,0,E65*100/C65)</f>
        <v>0</v>
      </c>
      <c r="I65" s="370">
        <f>IF(H65=0,0,H65-100)</f>
        <v>0</v>
      </c>
      <c r="J65" s="381">
        <f>SUM(J58:J64)</f>
        <v>0</v>
      </c>
      <c r="K65" s="381">
        <f>SUM(K58:K64)</f>
        <v>0</v>
      </c>
      <c r="L65" s="381">
        <f>SUM(L58:L64)</f>
        <v>0</v>
      </c>
    </row>
    <row r="67" spans="1:12" x14ac:dyDescent="0.25">
      <c r="A67" s="353" t="str">
        <f>Kostenplan!A71</f>
        <v>3.4</v>
      </c>
      <c r="B67" s="406" t="str">
        <f>Kostenplan!B71</f>
        <v>Bewirtschaftungskosten</v>
      </c>
      <c r="C67" s="390"/>
      <c r="D67" s="387"/>
      <c r="E67" s="387"/>
      <c r="F67" s="387"/>
      <c r="G67" s="387"/>
      <c r="H67" s="387"/>
      <c r="I67" s="387"/>
      <c r="J67" s="310"/>
      <c r="K67" s="310"/>
      <c r="L67" s="310"/>
    </row>
    <row r="68" spans="1:12" x14ac:dyDescent="0.25">
      <c r="A68" s="356" t="str">
        <f>Kostenplan!A72</f>
        <v>3.4.1</v>
      </c>
      <c r="B68" s="365" t="str">
        <f>Kostenplan!B72</f>
        <v>Grundsteuer</v>
      </c>
      <c r="C68" s="303">
        <f>Kostenplan!C72</f>
        <v>0</v>
      </c>
      <c r="D68" s="388"/>
      <c r="E68" s="385">
        <f>Kostenplan!D72</f>
        <v>0</v>
      </c>
      <c r="F68" s="376"/>
      <c r="G68" s="360">
        <f t="shared" ref="G68:G80" si="29">E68-C68</f>
        <v>0</v>
      </c>
      <c r="H68" s="389">
        <f t="shared" ref="H68:H80" si="30">IF(C68=0,0,E68*100/C68)</f>
        <v>0</v>
      </c>
      <c r="I68" s="389">
        <f t="shared" ref="I68:I80" si="31">IF(H68=0,0,H68-100)</f>
        <v>0</v>
      </c>
      <c r="J68" s="379">
        <f>IF($K$1="",0,E68/$L$2)</f>
        <v>0</v>
      </c>
      <c r="K68" s="379">
        <f t="shared" ref="K68:K80" si="32">IF($K$2="",0,E68/$L$2)</f>
        <v>0</v>
      </c>
      <c r="L68" s="379">
        <f t="shared" ref="L68:L80" si="33">IF($K$3="",0,E68/$L$2)</f>
        <v>0</v>
      </c>
    </row>
    <row r="69" spans="1:12" x14ac:dyDescent="0.25">
      <c r="A69" s="356" t="str">
        <f>Kostenplan!A73</f>
        <v>3.4.2</v>
      </c>
      <c r="B69" s="365" t="str">
        <f>Kostenplan!B73</f>
        <v>Wasser/Abwasser</v>
      </c>
      <c r="C69" s="303">
        <f>Kostenplan!C73</f>
        <v>0</v>
      </c>
      <c r="D69" s="388"/>
      <c r="E69" s="385">
        <f>Kostenplan!D73</f>
        <v>0</v>
      </c>
      <c r="F69" s="376"/>
      <c r="G69" s="360">
        <f t="shared" si="29"/>
        <v>0</v>
      </c>
      <c r="H69" s="389">
        <f t="shared" si="30"/>
        <v>0</v>
      </c>
      <c r="I69" s="389">
        <f t="shared" si="31"/>
        <v>0</v>
      </c>
      <c r="J69" s="379">
        <f t="shared" ref="J69:J80" si="34">IF($K$1="",0,E69/$L$2)</f>
        <v>0</v>
      </c>
      <c r="K69" s="379">
        <f t="shared" si="32"/>
        <v>0</v>
      </c>
      <c r="L69" s="379">
        <f t="shared" si="33"/>
        <v>0</v>
      </c>
    </row>
    <row r="70" spans="1:12" x14ac:dyDescent="0.25">
      <c r="A70" s="356" t="str">
        <f>Kostenplan!A74</f>
        <v>3.4.3</v>
      </c>
      <c r="B70" s="365" t="str">
        <f>Kostenplan!B74</f>
        <v>Heizkosten</v>
      </c>
      <c r="C70" s="303">
        <f>Kostenplan!C74</f>
        <v>0</v>
      </c>
      <c r="D70" s="388"/>
      <c r="E70" s="385">
        <f>Kostenplan!D74</f>
        <v>0</v>
      </c>
      <c r="F70" s="376"/>
      <c r="G70" s="360">
        <f t="shared" si="29"/>
        <v>0</v>
      </c>
      <c r="H70" s="389">
        <f t="shared" si="30"/>
        <v>0</v>
      </c>
      <c r="I70" s="389">
        <f t="shared" si="31"/>
        <v>0</v>
      </c>
      <c r="J70" s="379">
        <f t="shared" si="34"/>
        <v>0</v>
      </c>
      <c r="K70" s="379">
        <f t="shared" si="32"/>
        <v>0</v>
      </c>
      <c r="L70" s="379">
        <f t="shared" si="33"/>
        <v>0</v>
      </c>
    </row>
    <row r="71" spans="1:12" x14ac:dyDescent="0.25">
      <c r="A71" s="356" t="str">
        <f>Kostenplan!A75</f>
        <v>3.4.4</v>
      </c>
      <c r="B71" s="365" t="str">
        <f>Kostenplan!B75</f>
        <v>Energie</v>
      </c>
      <c r="C71" s="303">
        <f>Kostenplan!C75</f>
        <v>0</v>
      </c>
      <c r="D71" s="388"/>
      <c r="E71" s="385">
        <f>Kostenplan!D75</f>
        <v>0</v>
      </c>
      <c r="F71" s="376"/>
      <c r="G71" s="360">
        <f t="shared" si="29"/>
        <v>0</v>
      </c>
      <c r="H71" s="389">
        <f t="shared" si="30"/>
        <v>0</v>
      </c>
      <c r="I71" s="389">
        <f t="shared" si="31"/>
        <v>0</v>
      </c>
      <c r="J71" s="379">
        <f t="shared" si="34"/>
        <v>0</v>
      </c>
      <c r="K71" s="379">
        <f t="shared" si="32"/>
        <v>0</v>
      </c>
      <c r="L71" s="379">
        <f t="shared" si="33"/>
        <v>0</v>
      </c>
    </row>
    <row r="72" spans="1:12" x14ac:dyDescent="0.25">
      <c r="A72" s="356" t="str">
        <f>Kostenplan!A76</f>
        <v>3.4.5</v>
      </c>
      <c r="B72" s="365" t="str">
        <f>Kostenplan!B76</f>
        <v>Abfallentsorgung</v>
      </c>
      <c r="C72" s="303">
        <f>Kostenplan!C76</f>
        <v>0</v>
      </c>
      <c r="D72" s="388"/>
      <c r="E72" s="385">
        <f>Kostenplan!D76</f>
        <v>0</v>
      </c>
      <c r="F72" s="376"/>
      <c r="G72" s="360">
        <f t="shared" si="29"/>
        <v>0</v>
      </c>
      <c r="H72" s="389">
        <f t="shared" si="30"/>
        <v>0</v>
      </c>
      <c r="I72" s="389">
        <f t="shared" si="31"/>
        <v>0</v>
      </c>
      <c r="J72" s="379">
        <f t="shared" si="34"/>
        <v>0</v>
      </c>
      <c r="K72" s="379">
        <f t="shared" si="32"/>
        <v>0</v>
      </c>
      <c r="L72" s="379">
        <f t="shared" si="33"/>
        <v>0</v>
      </c>
    </row>
    <row r="73" spans="1:12" x14ac:dyDescent="0.25">
      <c r="A73" s="356" t="str">
        <f>Kostenplan!A77</f>
        <v>3.4.6</v>
      </c>
      <c r="B73" s="365" t="str">
        <f>Kostenplan!B77</f>
        <v>Straßenreinigung und Winterdienst</v>
      </c>
      <c r="C73" s="303">
        <f>Kostenplan!C77</f>
        <v>0</v>
      </c>
      <c r="D73" s="388"/>
      <c r="E73" s="385">
        <f>Kostenplan!D77</f>
        <v>0</v>
      </c>
      <c r="F73" s="376"/>
      <c r="G73" s="360">
        <f t="shared" si="29"/>
        <v>0</v>
      </c>
      <c r="H73" s="389">
        <f t="shared" si="30"/>
        <v>0</v>
      </c>
      <c r="I73" s="389">
        <f t="shared" si="31"/>
        <v>0</v>
      </c>
      <c r="J73" s="379">
        <f t="shared" si="34"/>
        <v>0</v>
      </c>
      <c r="K73" s="379">
        <f t="shared" si="32"/>
        <v>0</v>
      </c>
      <c r="L73" s="379">
        <f t="shared" si="33"/>
        <v>0</v>
      </c>
    </row>
    <row r="74" spans="1:12" x14ac:dyDescent="0.25">
      <c r="A74" s="356" t="str">
        <f>Kostenplan!A78</f>
        <v>3.4.7</v>
      </c>
      <c r="B74" s="365" t="str">
        <f>Kostenplan!B78</f>
        <v>Schornsteinfeger</v>
      </c>
      <c r="C74" s="303">
        <f>Kostenplan!C78</f>
        <v>0</v>
      </c>
      <c r="D74" s="388"/>
      <c r="E74" s="385">
        <f>Kostenplan!D78</f>
        <v>0</v>
      </c>
      <c r="F74" s="376"/>
      <c r="G74" s="360">
        <f t="shared" si="29"/>
        <v>0</v>
      </c>
      <c r="H74" s="389">
        <f t="shared" si="30"/>
        <v>0</v>
      </c>
      <c r="I74" s="389">
        <f t="shared" si="31"/>
        <v>0</v>
      </c>
      <c r="J74" s="379">
        <f t="shared" si="34"/>
        <v>0</v>
      </c>
      <c r="K74" s="379">
        <f t="shared" si="32"/>
        <v>0</v>
      </c>
      <c r="L74" s="379">
        <f t="shared" si="33"/>
        <v>0</v>
      </c>
    </row>
    <row r="75" spans="1:12" x14ac:dyDescent="0.25">
      <c r="A75" s="356" t="str">
        <f>Kostenplan!A79</f>
        <v>3.4.8</v>
      </c>
      <c r="B75" s="365" t="str">
        <f>Kostenplan!B79</f>
        <v xml:space="preserve">Wartungen </v>
      </c>
      <c r="C75" s="303">
        <f>Kostenplan!C79</f>
        <v>0</v>
      </c>
      <c r="D75" s="388"/>
      <c r="E75" s="385">
        <f>Kostenplan!D79</f>
        <v>0</v>
      </c>
      <c r="F75" s="376"/>
      <c r="G75" s="360">
        <f t="shared" si="29"/>
        <v>0</v>
      </c>
      <c r="H75" s="389">
        <f t="shared" si="30"/>
        <v>0</v>
      </c>
      <c r="I75" s="389">
        <f t="shared" si="31"/>
        <v>0</v>
      </c>
      <c r="J75" s="379">
        <f t="shared" si="34"/>
        <v>0</v>
      </c>
      <c r="K75" s="379">
        <f t="shared" si="32"/>
        <v>0</v>
      </c>
      <c r="L75" s="379">
        <f t="shared" si="33"/>
        <v>0</v>
      </c>
    </row>
    <row r="76" spans="1:12" x14ac:dyDescent="0.25">
      <c r="A76" s="356" t="str">
        <f>Kostenplan!A80</f>
        <v>3.4.9</v>
      </c>
      <c r="B76" s="365" t="str">
        <f>Kostenplan!B80</f>
        <v>Versicherung</v>
      </c>
      <c r="C76" s="303">
        <f>Kostenplan!C80</f>
        <v>0</v>
      </c>
      <c r="D76" s="388"/>
      <c r="E76" s="385">
        <f>Kostenplan!D80</f>
        <v>0</v>
      </c>
      <c r="F76" s="376"/>
      <c r="G76" s="360">
        <f t="shared" si="29"/>
        <v>0</v>
      </c>
      <c r="H76" s="389">
        <f t="shared" si="30"/>
        <v>0</v>
      </c>
      <c r="I76" s="389">
        <f t="shared" si="31"/>
        <v>0</v>
      </c>
      <c r="J76" s="379">
        <f t="shared" si="34"/>
        <v>0</v>
      </c>
      <c r="K76" s="379">
        <f t="shared" si="32"/>
        <v>0</v>
      </c>
      <c r="L76" s="379">
        <f t="shared" si="33"/>
        <v>0</v>
      </c>
    </row>
    <row r="77" spans="1:12" x14ac:dyDescent="0.25">
      <c r="A77" s="356" t="str">
        <f>Kostenplan!A81</f>
        <v>3.4.10</v>
      </c>
      <c r="B77" s="365" t="str">
        <f>Kostenplan!B81</f>
        <v>Rundfunkgebühren</v>
      </c>
      <c r="C77" s="303">
        <f>Kostenplan!C81</f>
        <v>0</v>
      </c>
      <c r="D77" s="388"/>
      <c r="E77" s="385">
        <f>Kostenplan!D81</f>
        <v>0</v>
      </c>
      <c r="F77" s="376"/>
      <c r="G77" s="360">
        <f t="shared" si="29"/>
        <v>0</v>
      </c>
      <c r="H77" s="389">
        <f t="shared" si="30"/>
        <v>0</v>
      </c>
      <c r="I77" s="389">
        <f t="shared" si="31"/>
        <v>0</v>
      </c>
      <c r="J77" s="379">
        <f t="shared" si="34"/>
        <v>0</v>
      </c>
      <c r="K77" s="379">
        <f t="shared" si="32"/>
        <v>0</v>
      </c>
      <c r="L77" s="379">
        <f t="shared" si="33"/>
        <v>0</v>
      </c>
    </row>
    <row r="78" spans="1:12" x14ac:dyDescent="0.25">
      <c r="A78" s="356" t="str">
        <f>Kostenplan!A82</f>
        <v>3.4.11</v>
      </c>
      <c r="B78" s="365" t="str">
        <f>Kostenplan!B82</f>
        <v>Kosten kommunaler Gutachten</v>
      </c>
      <c r="C78" s="303">
        <f>Kostenplan!C82</f>
        <v>0</v>
      </c>
      <c r="D78" s="388"/>
      <c r="E78" s="385">
        <f>Kostenplan!D82</f>
        <v>0</v>
      </c>
      <c r="F78" s="376"/>
      <c r="G78" s="360">
        <f t="shared" si="29"/>
        <v>0</v>
      </c>
      <c r="H78" s="389">
        <f t="shared" si="30"/>
        <v>0</v>
      </c>
      <c r="I78" s="389">
        <f t="shared" si="31"/>
        <v>0</v>
      </c>
      <c r="J78" s="379">
        <f t="shared" si="34"/>
        <v>0</v>
      </c>
      <c r="K78" s="379">
        <f t="shared" si="32"/>
        <v>0</v>
      </c>
      <c r="L78" s="379">
        <f t="shared" si="33"/>
        <v>0</v>
      </c>
    </row>
    <row r="79" spans="1:12" x14ac:dyDescent="0.25">
      <c r="A79" s="356" t="str">
        <f>Kostenplan!A83</f>
        <v>3.4.12</v>
      </c>
      <c r="B79" s="365" t="str">
        <f>Kostenplan!B83</f>
        <v>Sicherheitsdienstleistungen</v>
      </c>
      <c r="C79" s="303">
        <f>Kostenplan!C83</f>
        <v>0</v>
      </c>
      <c r="D79" s="388"/>
      <c r="E79" s="385">
        <f>Kostenplan!D83</f>
        <v>0</v>
      </c>
      <c r="F79" s="376"/>
      <c r="G79" s="360">
        <f t="shared" si="29"/>
        <v>0</v>
      </c>
      <c r="H79" s="389">
        <f t="shared" si="30"/>
        <v>0</v>
      </c>
      <c r="I79" s="389">
        <f t="shared" si="31"/>
        <v>0</v>
      </c>
      <c r="J79" s="379">
        <f t="shared" si="34"/>
        <v>0</v>
      </c>
      <c r="K79" s="379">
        <f t="shared" si="32"/>
        <v>0</v>
      </c>
      <c r="L79" s="379">
        <f t="shared" si="33"/>
        <v>0</v>
      </c>
    </row>
    <row r="80" spans="1:12" x14ac:dyDescent="0.25">
      <c r="A80" s="356" t="str">
        <f>Kostenplan!A84</f>
        <v>3.4.13</v>
      </c>
      <c r="B80" s="365" t="str">
        <f>Kostenplan!B84</f>
        <v>abzgl. Sonderleistungen (z.B. Kneipp, o.ä.)</v>
      </c>
      <c r="C80" s="303">
        <f>Kostenplan!C84</f>
        <v>0</v>
      </c>
      <c r="D80" s="388"/>
      <c r="E80" s="385">
        <f>Kostenplan!D84</f>
        <v>0</v>
      </c>
      <c r="F80" s="376"/>
      <c r="G80" s="360">
        <f t="shared" si="29"/>
        <v>0</v>
      </c>
      <c r="H80" s="389">
        <f t="shared" si="30"/>
        <v>0</v>
      </c>
      <c r="I80" s="389">
        <f t="shared" si="31"/>
        <v>0</v>
      </c>
      <c r="J80" s="379">
        <f t="shared" si="34"/>
        <v>0</v>
      </c>
      <c r="K80" s="379">
        <f t="shared" si="32"/>
        <v>0</v>
      </c>
      <c r="L80" s="379">
        <f t="shared" si="33"/>
        <v>0</v>
      </c>
    </row>
    <row r="81" spans="1:12" s="296" customFormat="1" ht="15" x14ac:dyDescent="0.25">
      <c r="A81" s="331"/>
      <c r="B81" s="306" t="s">
        <v>1</v>
      </c>
      <c r="C81" s="371">
        <f>SUM(C68:C79)-C80</f>
        <v>0</v>
      </c>
      <c r="D81" s="368"/>
      <c r="E81" s="307">
        <f>SUM(E68:E79)-E80</f>
        <v>0</v>
      </c>
      <c r="F81" s="368"/>
      <c r="G81" s="369">
        <f>E81-C81</f>
        <v>0</v>
      </c>
      <c r="H81" s="370">
        <f>IF(C81=0,0,E81*100/C81)</f>
        <v>0</v>
      </c>
      <c r="I81" s="370">
        <f>IF(H81=0,0,H81-100)</f>
        <v>0</v>
      </c>
      <c r="J81" s="381">
        <f>SUM(J68:J79)-J80</f>
        <v>0</v>
      </c>
      <c r="K81" s="381">
        <f>SUM(K68:K79)-K80</f>
        <v>0</v>
      </c>
      <c r="L81" s="381">
        <f>SUM(L68:L79)-L80</f>
        <v>0</v>
      </c>
    </row>
    <row r="82" spans="1:12" x14ac:dyDescent="0.25">
      <c r="J82" s="391"/>
    </row>
    <row r="83" spans="1:12" x14ac:dyDescent="0.25">
      <c r="A83" s="353" t="str">
        <f>Kostenplan!A87</f>
        <v>3.5</v>
      </c>
      <c r="B83" s="406" t="str">
        <f>Kostenplan!B87</f>
        <v>Instandhaltung</v>
      </c>
      <c r="C83" s="374"/>
      <c r="D83" s="392"/>
      <c r="E83" s="374"/>
      <c r="F83" s="310"/>
      <c r="G83" s="310"/>
      <c r="H83" s="310"/>
      <c r="I83" s="310"/>
      <c r="J83" s="310"/>
      <c r="K83" s="310"/>
      <c r="L83" s="310"/>
    </row>
    <row r="84" spans="1:12" x14ac:dyDescent="0.25">
      <c r="A84" s="356" t="str">
        <f>Kostenplan!A88</f>
        <v>3.5.1</v>
      </c>
      <c r="B84" s="365" t="str">
        <f>Kostenplan!B88</f>
        <v>Instandhaltungskosten</v>
      </c>
      <c r="C84" s="303">
        <f>Kostenplan!C88</f>
        <v>0</v>
      </c>
      <c r="D84" s="376"/>
      <c r="E84" s="385">
        <f>Kostenplan!D88</f>
        <v>0</v>
      </c>
      <c r="F84" s="376"/>
      <c r="G84" s="393">
        <f>E84-C84</f>
        <v>0</v>
      </c>
      <c r="H84" s="394">
        <f>IF(C84=0,0,E84*100/C84)</f>
        <v>0</v>
      </c>
      <c r="I84" s="394">
        <f>IF(H84=0,0,H84-100)</f>
        <v>0</v>
      </c>
      <c r="J84" s="379">
        <f t="shared" ref="J84:J86" si="35">IF($K$1="",0,E84/$L$2)</f>
        <v>0</v>
      </c>
      <c r="K84" s="379">
        <f t="shared" ref="K84:K86" si="36">IF($K$2="",0,E84/$L$2)</f>
        <v>0</v>
      </c>
      <c r="L84" s="379">
        <f t="shared" ref="L84:L86" si="37">IF($K$3="",0,E84/$L$2)</f>
        <v>0</v>
      </c>
    </row>
    <row r="85" spans="1:12" x14ac:dyDescent="0.25">
      <c r="A85" s="356" t="str">
        <f>Kostenplan!A89</f>
        <v>3.5.2</v>
      </c>
      <c r="B85" s="365" t="str">
        <f>Kostenplan!B89</f>
        <v>Neu-/Ersatzbeschaffungen (unter 1.000 € netto)</v>
      </c>
      <c r="C85" s="303">
        <f>Kostenplan!C89</f>
        <v>0</v>
      </c>
      <c r="D85" s="376"/>
      <c r="E85" s="385">
        <f>Kostenplan!D89</f>
        <v>0</v>
      </c>
      <c r="F85" s="376"/>
      <c r="G85" s="393">
        <f t="shared" ref="G85:G86" si="38">E85-C85</f>
        <v>0</v>
      </c>
      <c r="H85" s="394">
        <f t="shared" ref="H85:H86" si="39">IF(C85=0,0,E85*100/C85)</f>
        <v>0</v>
      </c>
      <c r="I85" s="394">
        <f t="shared" ref="I85:I86" si="40">IF(H85=0,0,H85-100)</f>
        <v>0</v>
      </c>
      <c r="J85" s="379">
        <f t="shared" si="35"/>
        <v>0</v>
      </c>
      <c r="K85" s="379">
        <f t="shared" si="36"/>
        <v>0</v>
      </c>
      <c r="L85" s="379">
        <f t="shared" si="37"/>
        <v>0</v>
      </c>
    </row>
    <row r="86" spans="1:12" x14ac:dyDescent="0.25">
      <c r="A86" s="356" t="str">
        <f>Kostenplan!A90</f>
        <v>3.5.3</v>
      </c>
      <c r="B86" s="365" t="str">
        <f>Kostenplan!B90</f>
        <v>Ausstattung und Pflege Grünanlagen</v>
      </c>
      <c r="C86" s="303">
        <f>Kostenplan!C90</f>
        <v>0</v>
      </c>
      <c r="D86" s="376"/>
      <c r="E86" s="385">
        <f>Kostenplan!D90</f>
        <v>0</v>
      </c>
      <c r="F86" s="376"/>
      <c r="G86" s="393">
        <f t="shared" si="38"/>
        <v>0</v>
      </c>
      <c r="H86" s="394">
        <f t="shared" si="39"/>
        <v>0</v>
      </c>
      <c r="I86" s="394">
        <f t="shared" si="40"/>
        <v>0</v>
      </c>
      <c r="J86" s="379">
        <f t="shared" si="35"/>
        <v>0</v>
      </c>
      <c r="K86" s="379">
        <f t="shared" si="36"/>
        <v>0</v>
      </c>
      <c r="L86" s="379">
        <f t="shared" si="37"/>
        <v>0</v>
      </c>
    </row>
    <row r="87" spans="1:12" s="296" customFormat="1" ht="15" x14ac:dyDescent="0.25">
      <c r="A87" s="331"/>
      <c r="B87" s="306" t="s">
        <v>1</v>
      </c>
      <c r="C87" s="371">
        <f>SUM(C84:C86)</f>
        <v>0</v>
      </c>
      <c r="D87" s="368"/>
      <c r="E87" s="307">
        <f>SUM(E84:E86)</f>
        <v>0</v>
      </c>
      <c r="F87" s="368"/>
      <c r="G87" s="369">
        <f>E87-C87</f>
        <v>0</v>
      </c>
      <c r="H87" s="370">
        <f>IF(C87=0,0,E87*100/C87)</f>
        <v>0</v>
      </c>
      <c r="I87" s="370">
        <f>IF(H87=0,0,H87-100)</f>
        <v>0</v>
      </c>
      <c r="J87" s="381">
        <f>SUM(J84:J86)</f>
        <v>0</v>
      </c>
      <c r="K87" s="381">
        <f t="shared" ref="K87:L87" si="41">SUM(K84:K86)</f>
        <v>0</v>
      </c>
      <c r="L87" s="381">
        <f t="shared" si="41"/>
        <v>0</v>
      </c>
    </row>
    <row r="88" spans="1:12" x14ac:dyDescent="0.25">
      <c r="J88" s="391"/>
    </row>
    <row r="89" spans="1:12" x14ac:dyDescent="0.25">
      <c r="A89" s="353" t="str">
        <f>Kostenplan!A93</f>
        <v>3.6</v>
      </c>
      <c r="B89" s="406" t="str">
        <f>Kostenplan!B93</f>
        <v>Miete, Pacht, Erbbauzins</v>
      </c>
      <c r="C89" s="374"/>
      <c r="D89" s="395"/>
      <c r="E89" s="396"/>
      <c r="F89" s="395"/>
      <c r="G89" s="395"/>
      <c r="H89" s="395"/>
      <c r="I89" s="395"/>
      <c r="J89" s="310"/>
      <c r="K89" s="310"/>
      <c r="L89" s="310"/>
    </row>
    <row r="90" spans="1:12" x14ac:dyDescent="0.25">
      <c r="A90" s="356" t="str">
        <f>Kostenplan!A94</f>
        <v>3.6.1</v>
      </c>
      <c r="B90" s="365" t="str">
        <f>Kostenplan!B94</f>
        <v>Kaltmiete</v>
      </c>
      <c r="C90" s="303">
        <f>Kostenplan!C94</f>
        <v>0</v>
      </c>
      <c r="D90" s="376"/>
      <c r="E90" s="385">
        <f>Kostenplan!D94</f>
        <v>0</v>
      </c>
      <c r="F90" s="376"/>
      <c r="G90" s="393">
        <f>E90-C90</f>
        <v>0</v>
      </c>
      <c r="H90" s="394">
        <f>IF(C90=0,0,E90*100/C90)</f>
        <v>0</v>
      </c>
      <c r="I90" s="394">
        <f>IF(H90=0,0,H90-100)</f>
        <v>0</v>
      </c>
      <c r="J90" s="379">
        <f t="shared" ref="J90:J96" si="42">IF($K$1="",0,E90/$L$2)</f>
        <v>0</v>
      </c>
      <c r="K90" s="379">
        <f t="shared" ref="K90:K96" si="43">IF($K$2="",0,E90/$L$2)</f>
        <v>0</v>
      </c>
      <c r="L90" s="379">
        <f t="shared" ref="L90:L96" si="44">IF($K$3="",0,E90/$L$2)</f>
        <v>0</v>
      </c>
    </row>
    <row r="91" spans="1:12" x14ac:dyDescent="0.25">
      <c r="A91" s="356" t="str">
        <f>Kostenplan!A95</f>
        <v>3.6.2</v>
      </c>
      <c r="B91" s="365" t="str">
        <f>Kostenplan!B95</f>
        <v>Kaltmiete - sonstige Gebäude</v>
      </c>
      <c r="C91" s="303">
        <f>Kostenplan!C95</f>
        <v>0</v>
      </c>
      <c r="D91" s="376"/>
      <c r="E91" s="385">
        <f>Kostenplan!D95</f>
        <v>0</v>
      </c>
      <c r="F91" s="376"/>
      <c r="G91" s="393">
        <f>E91-C91</f>
        <v>0</v>
      </c>
      <c r="H91" s="394">
        <f>IF(C91=0,0,E91*100/C91)</f>
        <v>0</v>
      </c>
      <c r="I91" s="394">
        <f>IF(H91=0,0,H91-100)</f>
        <v>0</v>
      </c>
      <c r="J91" s="379">
        <f t="shared" si="42"/>
        <v>0</v>
      </c>
      <c r="K91" s="379">
        <f t="shared" si="43"/>
        <v>0</v>
      </c>
      <c r="L91" s="379">
        <f t="shared" si="44"/>
        <v>0</v>
      </c>
    </row>
    <row r="92" spans="1:12" x14ac:dyDescent="0.25">
      <c r="A92" s="356" t="str">
        <f>Kostenplan!A96</f>
        <v>3.6.3</v>
      </c>
      <c r="B92" s="365" t="str">
        <f>Kostenplan!B96</f>
        <v>Pacht</v>
      </c>
      <c r="C92" s="303">
        <f>Kostenplan!C96</f>
        <v>0</v>
      </c>
      <c r="D92" s="376"/>
      <c r="E92" s="385">
        <f>Kostenplan!D96</f>
        <v>0</v>
      </c>
      <c r="F92" s="376"/>
      <c r="G92" s="393">
        <f>E92-C92</f>
        <v>0</v>
      </c>
      <c r="H92" s="394">
        <f>IF(C92=0,0,E92*100/C92)</f>
        <v>0</v>
      </c>
      <c r="I92" s="394">
        <f>IF(H92=0,0,H92-100)</f>
        <v>0</v>
      </c>
      <c r="J92" s="379">
        <f t="shared" si="42"/>
        <v>0</v>
      </c>
      <c r="K92" s="379">
        <f t="shared" si="43"/>
        <v>0</v>
      </c>
      <c r="L92" s="379">
        <f t="shared" si="44"/>
        <v>0</v>
      </c>
    </row>
    <row r="93" spans="1:12" x14ac:dyDescent="0.25">
      <c r="A93" s="356" t="str">
        <f>Kostenplan!A97</f>
        <v>3.6.4</v>
      </c>
      <c r="B93" s="365" t="str">
        <f>Kostenplan!B97</f>
        <v>Erbbauzins</v>
      </c>
      <c r="C93" s="303">
        <f>Kostenplan!C97</f>
        <v>0</v>
      </c>
      <c r="D93" s="376"/>
      <c r="E93" s="385">
        <f>Kostenplan!D97</f>
        <v>0</v>
      </c>
      <c r="F93" s="376"/>
      <c r="G93" s="393">
        <f>E93-C93</f>
        <v>0</v>
      </c>
      <c r="H93" s="394">
        <f>IF(C93=0,0,E93*100/C93)</f>
        <v>0</v>
      </c>
      <c r="I93" s="394">
        <f>IF(H93=0,0,H93-100)</f>
        <v>0</v>
      </c>
      <c r="J93" s="379">
        <f t="shared" si="42"/>
        <v>0</v>
      </c>
      <c r="K93" s="379">
        <f t="shared" si="43"/>
        <v>0</v>
      </c>
      <c r="L93" s="379">
        <f t="shared" si="44"/>
        <v>0</v>
      </c>
    </row>
    <row r="94" spans="1:12" x14ac:dyDescent="0.25">
      <c r="A94" s="356" t="str">
        <f>Kostenplan!A98</f>
        <v>3.6.5</v>
      </c>
      <c r="B94" s="365" t="str">
        <f>Kostenplan!B98</f>
        <v>kalkulatorische Miete</v>
      </c>
      <c r="C94" s="303">
        <f>Kostenplan!C98</f>
        <v>0</v>
      </c>
      <c r="D94" s="376"/>
      <c r="E94" s="385">
        <f>Kostenplan!D98</f>
        <v>0</v>
      </c>
      <c r="F94" s="376"/>
      <c r="G94" s="393">
        <f t="shared" ref="G94:G96" si="45">E94-C94</f>
        <v>0</v>
      </c>
      <c r="H94" s="394">
        <f t="shared" ref="H94:H96" si="46">IF(C94=0,0,E94*100/C94)</f>
        <v>0</v>
      </c>
      <c r="I94" s="394">
        <f t="shared" ref="I94:I96" si="47">IF(H94=0,0,H94-100)</f>
        <v>0</v>
      </c>
      <c r="J94" s="379">
        <f t="shared" si="42"/>
        <v>0</v>
      </c>
      <c r="K94" s="379">
        <f t="shared" si="43"/>
        <v>0</v>
      </c>
      <c r="L94" s="379">
        <f t="shared" si="44"/>
        <v>0</v>
      </c>
    </row>
    <row r="95" spans="1:12" x14ac:dyDescent="0.25">
      <c r="A95" s="356" t="str">
        <f>Kostenplan!A99</f>
        <v>3.6.6</v>
      </c>
      <c r="B95" s="365" t="str">
        <f>Kostenplan!B99</f>
        <v>Abschreibung auf Gebäude</v>
      </c>
      <c r="C95" s="303">
        <f>Kostenplan!C99</f>
        <v>0</v>
      </c>
      <c r="D95" s="376"/>
      <c r="E95" s="385">
        <f>Kostenplan!D99</f>
        <v>0</v>
      </c>
      <c r="F95" s="376"/>
      <c r="G95" s="393">
        <f t="shared" si="45"/>
        <v>0</v>
      </c>
      <c r="H95" s="394">
        <f t="shared" si="46"/>
        <v>0</v>
      </c>
      <c r="I95" s="394">
        <f t="shared" si="47"/>
        <v>0</v>
      </c>
      <c r="J95" s="379">
        <f>IF($K$1="",0,E95/$L$2)</f>
        <v>0</v>
      </c>
      <c r="K95" s="379">
        <f t="shared" si="43"/>
        <v>0</v>
      </c>
      <c r="L95" s="379">
        <f t="shared" si="44"/>
        <v>0</v>
      </c>
    </row>
    <row r="96" spans="1:12" x14ac:dyDescent="0.25">
      <c r="A96" s="356" t="str">
        <f>Kostenplan!A100</f>
        <v>3.6.7</v>
      </c>
      <c r="B96" s="365" t="str">
        <f>Kostenplan!B100</f>
        <v>Darlehen und Darlehenszinsen</v>
      </c>
      <c r="C96" s="303">
        <f>Kostenplan!C100</f>
        <v>0</v>
      </c>
      <c r="D96" s="376"/>
      <c r="E96" s="385">
        <f>Kostenplan!D100</f>
        <v>0</v>
      </c>
      <c r="F96" s="376"/>
      <c r="G96" s="393">
        <f t="shared" si="45"/>
        <v>0</v>
      </c>
      <c r="H96" s="394">
        <f t="shared" si="46"/>
        <v>0</v>
      </c>
      <c r="I96" s="394">
        <f t="shared" si="47"/>
        <v>0</v>
      </c>
      <c r="J96" s="379">
        <f t="shared" si="42"/>
        <v>0</v>
      </c>
      <c r="K96" s="379">
        <f t="shared" si="43"/>
        <v>0</v>
      </c>
      <c r="L96" s="379">
        <f t="shared" si="44"/>
        <v>0</v>
      </c>
    </row>
    <row r="97" spans="1:12" s="296" customFormat="1" ht="15" x14ac:dyDescent="0.25">
      <c r="A97" s="331"/>
      <c r="B97" s="306" t="s">
        <v>1</v>
      </c>
      <c r="C97" s="371">
        <f>SUM(C90:C96)</f>
        <v>0</v>
      </c>
      <c r="D97" s="368"/>
      <c r="E97" s="307">
        <f>SUM(E90:E96)</f>
        <v>0</v>
      </c>
      <c r="F97" s="368"/>
      <c r="G97" s="369">
        <f>SUM(G90:G96)</f>
        <v>0</v>
      </c>
      <c r="H97" s="370">
        <f>IF(C97=0,0,E97*100/C97)</f>
        <v>0</v>
      </c>
      <c r="I97" s="370">
        <f>IF(H97=0,0,H97-100)</f>
        <v>0</v>
      </c>
      <c r="J97" s="381">
        <f>SUM(J90:J96)</f>
        <v>0</v>
      </c>
      <c r="K97" s="381">
        <f>SUM(K90:K96)</f>
        <v>0</v>
      </c>
      <c r="L97" s="381">
        <f>SUM(L90:L96)</f>
        <v>0</v>
      </c>
    </row>
    <row r="98" spans="1:12" x14ac:dyDescent="0.25">
      <c r="A98" s="397"/>
      <c r="B98" s="398"/>
      <c r="C98" s="399"/>
      <c r="D98" s="400"/>
      <c r="E98" s="399"/>
      <c r="F98" s="400"/>
      <c r="G98" s="400"/>
      <c r="H98" s="400"/>
      <c r="I98" s="400"/>
    </row>
    <row r="99" spans="1:12" s="296" customFormat="1" x14ac:dyDescent="0.25">
      <c r="A99" s="320"/>
      <c r="B99" s="308" t="s">
        <v>349</v>
      </c>
      <c r="C99" s="309">
        <f>SUM(C44+C55+C65+C81+C87+C97)</f>
        <v>0</v>
      </c>
      <c r="D99" s="372"/>
      <c r="E99" s="309">
        <f>SUM(E44+E55+E65+E81+E87+E97)</f>
        <v>0</v>
      </c>
      <c r="F99" s="372"/>
      <c r="G99" s="309">
        <f>E99-C99</f>
        <v>0</v>
      </c>
      <c r="H99" s="373">
        <f>IF(C99=0,0,E99*100/C99)</f>
        <v>0</v>
      </c>
      <c r="I99" s="373">
        <f>IF(H99=0,0,H99-100)</f>
        <v>0</v>
      </c>
      <c r="J99" s="309">
        <f>J87+J81+J55+J65+J44+J97</f>
        <v>0</v>
      </c>
      <c r="K99" s="309">
        <f>K87+K81+K55+K65+K44+K97</f>
        <v>0</v>
      </c>
      <c r="L99" s="309">
        <f>L87+L81+L55+L65+L44+L97</f>
        <v>0</v>
      </c>
    </row>
    <row r="101" spans="1:12" x14ac:dyDescent="0.25">
      <c r="A101" s="353" t="str">
        <f>Kostenplan!A103</f>
        <v>4</v>
      </c>
      <c r="B101" s="406" t="str">
        <f>Kostenplan!B103</f>
        <v>Verwaltungskosten</v>
      </c>
      <c r="C101" s="310"/>
      <c r="D101" s="310"/>
      <c r="E101" s="310"/>
      <c r="F101" s="310"/>
      <c r="G101" s="310"/>
      <c r="H101" s="310"/>
      <c r="I101" s="310"/>
      <c r="J101" s="310"/>
      <c r="K101" s="310"/>
      <c r="L101" s="310"/>
    </row>
    <row r="102" spans="1:12" x14ac:dyDescent="0.25">
      <c r="A102" s="356" t="str">
        <f>Kostenplan!A104</f>
        <v>4.1</v>
      </c>
      <c r="B102" s="365" t="str">
        <f>Kostenplan!B104</f>
        <v>Verwaltungskosten oder</v>
      </c>
      <c r="C102" s="375">
        <f>Kostenplan!$C$104</f>
        <v>0</v>
      </c>
      <c r="D102" s="376"/>
      <c r="E102" s="377">
        <f>Kostenplan!$D$104</f>
        <v>0</v>
      </c>
      <c r="F102" s="376"/>
      <c r="G102" s="385">
        <f>E102-C102</f>
        <v>0</v>
      </c>
      <c r="H102" s="394">
        <f>IF(C102=0,0,E102*100/C102)</f>
        <v>0</v>
      </c>
      <c r="I102" s="394">
        <f>IF(H102=0,0,H102-100)</f>
        <v>0</v>
      </c>
      <c r="J102" s="379">
        <f>IF($K$1="",0,Kostenplan!$H$105)</f>
        <v>0</v>
      </c>
      <c r="K102" s="379">
        <f>IF($K$2="",0,Kostenplan!$I$105)</f>
        <v>0</v>
      </c>
      <c r="L102" s="379">
        <f>IF($K$3="",0,Kostenplan!$J$105)</f>
        <v>0</v>
      </c>
    </row>
    <row r="103" spans="1:12" x14ac:dyDescent="0.25">
      <c r="A103" s="356" t="str">
        <f>Kostenplan!A106</f>
        <v>4.2</v>
      </c>
      <c r="B103" s="365" t="str">
        <f>Kostenplan!B106</f>
        <v>Offenlegung der Verwaltungskosten</v>
      </c>
      <c r="C103" s="375">
        <f>Kostenplan!$C$106</f>
        <v>0</v>
      </c>
      <c r="D103" s="376"/>
      <c r="E103" s="380">
        <f>Kostenplan!D106</f>
        <v>0</v>
      </c>
      <c r="F103" s="376"/>
      <c r="G103" s="385">
        <f>E103-C103</f>
        <v>0</v>
      </c>
      <c r="H103" s="394">
        <f>IF(C103=0,0,E103*100/C103)</f>
        <v>0</v>
      </c>
      <c r="I103" s="394">
        <f>IF(H103=0,0,H103-100)</f>
        <v>0</v>
      </c>
      <c r="J103" s="379">
        <f>IF($E$103=0,0,IF(K1="",0,(($E$103-((IF($K$1="",0,$K$1*$J$102))+(IF($K$2="",0,$K$2*$K$102))+(IF($K$3="",0,$K$3*$L$102))))/$L$2)+J102))</f>
        <v>0</v>
      </c>
      <c r="K103" s="379">
        <f>IF($E$103=0,0,IF(K2="",0,(($E$103-((IF($K$1="",0,$K$1*$J$102))+(IF($K$2="",0,$K$2*$K$102))+(IF($K$3="",0,$K$3*$L$102))))/$L$2)+K102))</f>
        <v>0</v>
      </c>
      <c r="L103" s="379">
        <f>IF($E$103=0,0,IF(K3="",0,(($E$103-((IF($K$1="",0,$K$1*$J$102))+(IF($K$2="",0,$K$2*$K$102))+(IF($K$3="",0,$K$3*$L$102))))/$L$2)+L102))</f>
        <v>0</v>
      </c>
    </row>
    <row r="104" spans="1:12" s="296" customFormat="1" ht="15" x14ac:dyDescent="0.25">
      <c r="A104" s="331"/>
      <c r="B104" s="306" t="s">
        <v>1</v>
      </c>
      <c r="C104" s="307">
        <f>IF(C103&gt;C102,C103,C102)</f>
        <v>0</v>
      </c>
      <c r="D104" s="368"/>
      <c r="E104" s="307">
        <f>IF(E103&gt;E102,E103,E102)</f>
        <v>0</v>
      </c>
      <c r="F104" s="368"/>
      <c r="G104" s="369">
        <f>IF(E103&gt;BV102,G103,G102)</f>
        <v>0</v>
      </c>
      <c r="H104" s="370">
        <f>IF(C104=0,0,E104*100/C104)</f>
        <v>0</v>
      </c>
      <c r="I104" s="370">
        <f>IF(H104=0,0,H104-100)</f>
        <v>0</v>
      </c>
      <c r="J104" s="381">
        <f>IF(E103&gt;E102,J103,J102)</f>
        <v>0</v>
      </c>
      <c r="K104" s="381">
        <f>IF(E103&gt;E102,K103,K102)</f>
        <v>0</v>
      </c>
      <c r="L104" s="382">
        <f>IF(E103&gt;E102,L103,L102)</f>
        <v>0</v>
      </c>
    </row>
    <row r="106" spans="1:12" s="296" customFormat="1" x14ac:dyDescent="0.25">
      <c r="A106" s="320"/>
      <c r="B106" s="308" t="s">
        <v>349</v>
      </c>
      <c r="C106" s="401">
        <f>SUM(C104)</f>
        <v>0</v>
      </c>
      <c r="D106" s="317"/>
      <c r="E106" s="401">
        <f>SUM(E104)</f>
        <v>0</v>
      </c>
      <c r="F106" s="317"/>
      <c r="G106" s="401">
        <f>E106-C106</f>
        <v>0</v>
      </c>
      <c r="H106" s="402">
        <f>IF(C106=0,0,E106*100/C106)</f>
        <v>0</v>
      </c>
      <c r="I106" s="402">
        <f>IF(H106=0,0,H106-100)</f>
        <v>0</v>
      </c>
      <c r="J106" s="401">
        <f>J104</f>
        <v>0</v>
      </c>
      <c r="K106" s="401">
        <f>K104</f>
        <v>0</v>
      </c>
      <c r="L106" s="401">
        <f>L104</f>
        <v>0</v>
      </c>
    </row>
    <row r="108" spans="1:12" x14ac:dyDescent="0.25">
      <c r="A108" s="353" t="str">
        <f>Kostenplan!A109</f>
        <v>5</v>
      </c>
      <c r="B108" s="406" t="str">
        <f>Kostenplan!B109</f>
        <v>Qualitätsentwicklung</v>
      </c>
      <c r="C108" s="375"/>
      <c r="D108" s="384"/>
      <c r="E108" s="375"/>
      <c r="F108" s="384"/>
      <c r="G108" s="384"/>
      <c r="H108" s="384"/>
      <c r="I108" s="384"/>
      <c r="J108" s="384"/>
      <c r="K108" s="384"/>
      <c r="L108" s="384"/>
    </row>
    <row r="109" spans="1:12" x14ac:dyDescent="0.25">
      <c r="A109" s="356" t="str">
        <f>Kostenplan!A110</f>
        <v>5</v>
      </c>
      <c r="B109" s="365" t="str">
        <f>Kostenplan!B110</f>
        <v>Qualitätsentwicklungskosten</v>
      </c>
      <c r="C109" s="375">
        <f>Kostenplan!C110</f>
        <v>0</v>
      </c>
      <c r="D109" s="403"/>
      <c r="E109" s="385">
        <f>Kostenplan!D110</f>
        <v>0</v>
      </c>
      <c r="F109" s="403"/>
      <c r="G109" s="385">
        <f>E109-C109</f>
        <v>0</v>
      </c>
      <c r="H109" s="394">
        <f>IF(C109=0,0,E109*100/C109)</f>
        <v>0</v>
      </c>
      <c r="I109" s="394">
        <f>IF(H109=0,0,H109-100)</f>
        <v>0</v>
      </c>
      <c r="J109" s="379">
        <f t="shared" ref="J109" si="48">IF($K$1="",0,E109/$L$2)</f>
        <v>0</v>
      </c>
      <c r="K109" s="379">
        <f t="shared" ref="K109" si="49">IF($K$2="",0,E109/$L$2)</f>
        <v>0</v>
      </c>
      <c r="L109" s="379">
        <f t="shared" ref="L109" si="50">IF($K$3="",0,E109/$L$2)</f>
        <v>0</v>
      </c>
    </row>
    <row r="110" spans="1:12" s="296" customFormat="1" ht="15" x14ac:dyDescent="0.25">
      <c r="A110" s="331"/>
      <c r="B110" s="306" t="s">
        <v>1</v>
      </c>
      <c r="C110" s="307">
        <f>IF(SUM(C109:C109)&gt;3000,3000,SUM(C109:C109))</f>
        <v>0</v>
      </c>
      <c r="D110" s="368"/>
      <c r="E110" s="307">
        <f>IF(SUM(E109:E109)&gt;3000,3000,SUM(E109:E109))</f>
        <v>0</v>
      </c>
      <c r="F110" s="368"/>
      <c r="G110" s="369">
        <f>IF(SUM(G109:G109)&gt;3000,3000,SUM(G109:G109))</f>
        <v>0</v>
      </c>
      <c r="H110" s="370">
        <f>IF(C110=0,0,E110*100/C110)</f>
        <v>0</v>
      </c>
      <c r="I110" s="370">
        <f>IF(H110=0,0,H110-100)</f>
        <v>0</v>
      </c>
      <c r="J110" s="381">
        <f>IF(SUM(J109:J109)=0,0,IF(SUM(J109:J109)&gt;3000/L2,3000/L2,SUM(J109:J109)))</f>
        <v>0</v>
      </c>
      <c r="K110" s="381">
        <f>IF(SUM(K109:K109)=0,0,IF(SUM(K109:K109)&gt;3000/L2,3000/L2,SUM(K109:K109)))</f>
        <v>0</v>
      </c>
      <c r="L110" s="381">
        <f>IF(SUM(L109:L109)=0,0,IF(SUM(L109:L109)&gt;3000/L2,3000/L2,SUM(L109:L109)))</f>
        <v>0</v>
      </c>
    </row>
    <row r="112" spans="1:12" s="296" customFormat="1" x14ac:dyDescent="0.25">
      <c r="A112" s="320"/>
      <c r="B112" s="308" t="s">
        <v>349</v>
      </c>
      <c r="C112" s="309">
        <f>SUM(C110)</f>
        <v>0</v>
      </c>
      <c r="D112" s="372"/>
      <c r="E112" s="309">
        <f>SUM(E110)</f>
        <v>0</v>
      </c>
      <c r="F112" s="372"/>
      <c r="G112" s="309">
        <f>E112-C112</f>
        <v>0</v>
      </c>
      <c r="H112" s="373">
        <f>IF(C112=0,0,E112*100/C112)</f>
        <v>0</v>
      </c>
      <c r="I112" s="373">
        <f>IF(H112=0,0,H112-100)</f>
        <v>0</v>
      </c>
      <c r="J112" s="309">
        <f>J110</f>
        <v>0</v>
      </c>
      <c r="K112" s="309">
        <f>K110</f>
        <v>0</v>
      </c>
      <c r="L112" s="309">
        <f>L110</f>
        <v>0</v>
      </c>
    </row>
    <row r="114" spans="1:12" x14ac:dyDescent="0.25">
      <c r="A114" s="353" t="str">
        <f>Kostenplan!A113</f>
        <v>6</v>
      </c>
      <c r="B114" s="406" t="str">
        <f>Kostenplan!B113</f>
        <v>Weitere Personalkosten</v>
      </c>
      <c r="C114" s="310"/>
      <c r="D114" s="310"/>
      <c r="E114" s="310"/>
      <c r="F114" s="310"/>
      <c r="G114" s="310"/>
      <c r="H114" s="310"/>
      <c r="I114" s="310"/>
      <c r="J114" s="310"/>
      <c r="K114" s="310"/>
      <c r="L114" s="310"/>
    </row>
    <row r="115" spans="1:12" x14ac:dyDescent="0.25">
      <c r="A115" s="356" t="str">
        <f>Kostenplan!A114</f>
        <v>6.1</v>
      </c>
      <c r="B115" s="365" t="str">
        <f>Kostenplan!$B$114</f>
        <v>Brand- und Datenschutz, Hygiene- und  Arbeitssicherheit</v>
      </c>
      <c r="C115" s="375">
        <f>Kostenplan!C114</f>
        <v>0</v>
      </c>
      <c r="D115" s="384"/>
      <c r="E115" s="125">
        <f>Kostenplan!D114</f>
        <v>0</v>
      </c>
      <c r="F115" s="403"/>
      <c r="G115" s="385">
        <f>E115-C115</f>
        <v>0</v>
      </c>
      <c r="H115" s="394">
        <f>IF(C115=0,0,E115*100/C115)</f>
        <v>0</v>
      </c>
      <c r="I115" s="394">
        <f>IF(H115=0,0,H115-100)</f>
        <v>0</v>
      </c>
      <c r="J115" s="379">
        <f t="shared" ref="J115:J116" si="51">IF($K$1="",0,E115/$L$2)</f>
        <v>0</v>
      </c>
      <c r="K115" s="379">
        <f t="shared" ref="K115:K117" si="52">IF($K$2="",0,E115/$L$2)</f>
        <v>0</v>
      </c>
      <c r="L115" s="379">
        <f t="shared" ref="L115:L117" si="53">IF($K$3="",0,E115/$L$2)</f>
        <v>0</v>
      </c>
    </row>
    <row r="116" spans="1:12" x14ac:dyDescent="0.25">
      <c r="A116" s="356" t="str">
        <f>Kostenplan!A115</f>
        <v>6.2</v>
      </c>
      <c r="B116" s="365" t="str">
        <f>Kostenplan!B115</f>
        <v>Auszubildende, Praktikanten, BFD, FSJ</v>
      </c>
      <c r="C116" s="375">
        <f>Kostenplan!C115</f>
        <v>0</v>
      </c>
      <c r="D116" s="384"/>
      <c r="E116" s="125">
        <f>Kostenplan!D115</f>
        <v>0</v>
      </c>
      <c r="F116" s="403"/>
      <c r="G116" s="385">
        <f>E116-C116</f>
        <v>0</v>
      </c>
      <c r="H116" s="394">
        <f>IF(C116=0,0,E116*100/C116)</f>
        <v>0</v>
      </c>
      <c r="I116" s="394">
        <f>IF(H116=0,0,H116-100)</f>
        <v>0</v>
      </c>
      <c r="J116" s="379">
        <f t="shared" si="51"/>
        <v>0</v>
      </c>
      <c r="K116" s="379">
        <f t="shared" si="52"/>
        <v>0</v>
      </c>
      <c r="L116" s="379">
        <f t="shared" si="53"/>
        <v>0</v>
      </c>
    </row>
    <row r="117" spans="1:12" hidden="1" x14ac:dyDescent="0.25">
      <c r="A117" s="356" t="str">
        <f>Kostenplan!A116</f>
        <v>6.3</v>
      </c>
      <c r="B117" s="365" t="str">
        <f>Kostenplan!B116</f>
        <v>Altersteilzeit (Passivphase)</v>
      </c>
      <c r="C117" s="375">
        <f>Kostenplan!C116</f>
        <v>0</v>
      </c>
      <c r="D117" s="384"/>
      <c r="E117" s="125">
        <f>Kostenplan!D116</f>
        <v>0</v>
      </c>
      <c r="F117" s="403"/>
      <c r="G117" s="385">
        <f>E117-C117</f>
        <v>0</v>
      </c>
      <c r="H117" s="394">
        <f>IF(C117=0,0,E117*100/C117)</f>
        <v>0</v>
      </c>
      <c r="I117" s="394">
        <f>IF(H117=0,0,H117-100)</f>
        <v>0</v>
      </c>
      <c r="J117" s="379">
        <f>IF($K$1="",0,E117/$L$2)</f>
        <v>0</v>
      </c>
      <c r="K117" s="379">
        <f t="shared" si="52"/>
        <v>0</v>
      </c>
      <c r="L117" s="379">
        <f t="shared" si="53"/>
        <v>0</v>
      </c>
    </row>
    <row r="118" spans="1:12" s="296" customFormat="1" ht="15" x14ac:dyDescent="0.25">
      <c r="A118" s="331"/>
      <c r="B118" s="306" t="s">
        <v>1</v>
      </c>
      <c r="C118" s="371">
        <f>SUM(C115:C117)</f>
        <v>0</v>
      </c>
      <c r="D118" s="368"/>
      <c r="E118" s="307">
        <f>SUM(E115:E117)</f>
        <v>0</v>
      </c>
      <c r="F118" s="368"/>
      <c r="G118" s="369">
        <f>E118-C118</f>
        <v>0</v>
      </c>
      <c r="H118" s="370">
        <f>IF(C118=0,0,E118*100/C118)</f>
        <v>0</v>
      </c>
      <c r="I118" s="370">
        <f>IF(H118=0,0,H118-100)</f>
        <v>0</v>
      </c>
      <c r="J118" s="381">
        <f>SUM(J115:J117)</f>
        <v>0</v>
      </c>
      <c r="K118" s="381">
        <f t="shared" ref="K118:L118" si="54">SUM(K115:K117)</f>
        <v>0</v>
      </c>
      <c r="L118" s="381">
        <f t="shared" si="54"/>
        <v>0</v>
      </c>
    </row>
    <row r="120" spans="1:12" s="296" customFormat="1" x14ac:dyDescent="0.25">
      <c r="A120" s="320"/>
      <c r="B120" s="308" t="s">
        <v>349</v>
      </c>
      <c r="C120" s="309">
        <f>C118</f>
        <v>0</v>
      </c>
      <c r="D120" s="372"/>
      <c r="E120" s="309">
        <f>E118</f>
        <v>0</v>
      </c>
      <c r="F120" s="372"/>
      <c r="G120" s="309">
        <f>E120-C120</f>
        <v>0</v>
      </c>
      <c r="H120" s="373">
        <f>IF(C120=0,0,E120*100/C120)</f>
        <v>0</v>
      </c>
      <c r="I120" s="373">
        <f>IF(H120=0,0,H120-100)</f>
        <v>0</v>
      </c>
      <c r="J120" s="309">
        <f>J118</f>
        <v>0</v>
      </c>
      <c r="K120" s="309">
        <f>K118</f>
        <v>0</v>
      </c>
      <c r="L120" s="309">
        <f>L118</f>
        <v>0</v>
      </c>
    </row>
    <row r="122" spans="1:12" x14ac:dyDescent="0.25">
      <c r="A122" s="353" t="str">
        <f>Kostenplan!A119</f>
        <v>7</v>
      </c>
      <c r="B122" s="406" t="str">
        <f>Kostenplan!B119</f>
        <v>Investitionen und Abschreibungen</v>
      </c>
      <c r="C122" s="310"/>
      <c r="D122" s="310"/>
      <c r="E122" s="310"/>
      <c r="F122" s="310"/>
      <c r="G122" s="310"/>
      <c r="H122" s="310"/>
      <c r="I122" s="310"/>
      <c r="J122" s="310"/>
      <c r="K122" s="310"/>
      <c r="L122" s="310"/>
    </row>
    <row r="123" spans="1:12" x14ac:dyDescent="0.25">
      <c r="A123" s="356" t="str">
        <f>Kostenplan!A120</f>
        <v>7.1</v>
      </c>
      <c r="B123" s="365" t="str">
        <f>Kostenplan!B120</f>
        <v>Investitionen</v>
      </c>
      <c r="C123" s="375">
        <f>Kostenplan!C120</f>
        <v>0</v>
      </c>
      <c r="D123" s="384"/>
      <c r="E123" s="404">
        <f>Kostenplan!D120</f>
        <v>0</v>
      </c>
      <c r="F123" s="403"/>
      <c r="G123" s="385">
        <f>E123-C123</f>
        <v>0</v>
      </c>
      <c r="H123" s="394">
        <f>IF(C123=0,0,E123*100/C123)</f>
        <v>0</v>
      </c>
      <c r="I123" s="394">
        <f>IF(H123=0,0,H123-100)</f>
        <v>0</v>
      </c>
      <c r="J123" s="379">
        <f>IF($K$1="",0,E123/$L$2)</f>
        <v>0</v>
      </c>
      <c r="K123" s="379">
        <f t="shared" ref="K123:K124" si="55">IF($K$2="",0,E123/$L$2)</f>
        <v>0</v>
      </c>
      <c r="L123" s="379">
        <f t="shared" ref="L123:L124" si="56">IF($K$3="",0,E123/$L$2)</f>
        <v>0</v>
      </c>
    </row>
    <row r="124" spans="1:12" x14ac:dyDescent="0.25">
      <c r="A124" s="356" t="str">
        <f>Kostenplan!A121</f>
        <v>7.2</v>
      </c>
      <c r="B124" s="365" t="str">
        <f>Kostenplan!B121</f>
        <v>Abschreibungen (bewegliche Gegenstände)</v>
      </c>
      <c r="C124" s="375">
        <f>Kostenplan!C121</f>
        <v>0</v>
      </c>
      <c r="D124" s="384"/>
      <c r="E124" s="405">
        <f>Kostenplan!D121</f>
        <v>0</v>
      </c>
      <c r="F124" s="403"/>
      <c r="G124" s="385">
        <f>E124-C124</f>
        <v>0</v>
      </c>
      <c r="H124" s="394">
        <f>IF(C124=0,0,E124*100/C124)</f>
        <v>0</v>
      </c>
      <c r="I124" s="394">
        <f>IF(H124=0,0,H124-100)</f>
        <v>0</v>
      </c>
      <c r="J124" s="379">
        <f t="shared" ref="J124" si="57">IF($K$1="",0,E124/$L$2)</f>
        <v>0</v>
      </c>
      <c r="K124" s="379">
        <f t="shared" si="55"/>
        <v>0</v>
      </c>
      <c r="L124" s="379">
        <f t="shared" si="56"/>
        <v>0</v>
      </c>
    </row>
    <row r="125" spans="1:12" s="296" customFormat="1" ht="15" x14ac:dyDescent="0.25">
      <c r="A125" s="331"/>
      <c r="B125" s="306" t="s">
        <v>1</v>
      </c>
      <c r="C125" s="371">
        <f>SUM(C123:C124)</f>
        <v>0</v>
      </c>
      <c r="D125" s="368"/>
      <c r="E125" s="307">
        <f>SUM(E123:E124)</f>
        <v>0</v>
      </c>
      <c r="F125" s="368"/>
      <c r="G125" s="369">
        <f>E125-C125</f>
        <v>0</v>
      </c>
      <c r="H125" s="370">
        <f>IF(C125=0,0,E125*100/C125)</f>
        <v>0</v>
      </c>
      <c r="I125" s="370">
        <f>IF(H125=0,0,H125-100)</f>
        <v>0</v>
      </c>
      <c r="J125" s="381">
        <f>SUM(J123:J124)</f>
        <v>0</v>
      </c>
      <c r="K125" s="381">
        <f>SUM(K123:K124)</f>
        <v>0</v>
      </c>
      <c r="L125" s="381">
        <f>SUM(L123:L124)</f>
        <v>0</v>
      </c>
    </row>
    <row r="127" spans="1:12" s="296" customFormat="1" x14ac:dyDescent="0.25">
      <c r="A127" s="320"/>
      <c r="B127" s="308" t="s">
        <v>349</v>
      </c>
      <c r="C127" s="309">
        <f>C125</f>
        <v>0</v>
      </c>
      <c r="D127" s="372"/>
      <c r="E127" s="309">
        <f>E125</f>
        <v>0</v>
      </c>
      <c r="F127" s="372"/>
      <c r="G127" s="309">
        <f>E127-C127</f>
        <v>0</v>
      </c>
      <c r="H127" s="373">
        <f>IF(C127=0,0,E127*100/C127)</f>
        <v>0</v>
      </c>
      <c r="I127" s="373">
        <f>IF(H127=0,0,H127-100)</f>
        <v>0</v>
      </c>
      <c r="J127" s="309">
        <f>J125</f>
        <v>0</v>
      </c>
      <c r="K127" s="309">
        <f>K125</f>
        <v>0</v>
      </c>
      <c r="L127" s="309">
        <f>L125</f>
        <v>0</v>
      </c>
    </row>
    <row r="129" spans="1:12" x14ac:dyDescent="0.25">
      <c r="A129" s="353" t="str">
        <f>Kostenplan!A124</f>
        <v>8</v>
      </c>
      <c r="B129" s="406" t="str">
        <f>Kostenplan!B124</f>
        <v>Weitere Kosten</v>
      </c>
      <c r="C129" s="310"/>
      <c r="D129" s="310"/>
      <c r="E129" s="310"/>
      <c r="F129" s="310"/>
      <c r="G129" s="310"/>
      <c r="H129" s="310"/>
      <c r="I129" s="310"/>
      <c r="J129" s="310"/>
      <c r="K129" s="310"/>
      <c r="L129" s="310"/>
    </row>
    <row r="130" spans="1:12" x14ac:dyDescent="0.25">
      <c r="A130" s="356" t="str">
        <f>Kostenplan!A125</f>
        <v>8.1</v>
      </c>
      <c r="B130" s="365" t="str">
        <f>Kostenplan!$B$125</f>
        <v>Weitere Kosten</v>
      </c>
      <c r="C130" s="375">
        <f>Kostenplan!C125</f>
        <v>0</v>
      </c>
      <c r="D130" s="384"/>
      <c r="E130" s="404">
        <f>Kostenplan!D125</f>
        <v>0</v>
      </c>
      <c r="F130" s="403"/>
      <c r="G130" s="385">
        <f>E130-C130</f>
        <v>0</v>
      </c>
      <c r="H130" s="394">
        <f>IF(C130=0,0,E130*100/C130)</f>
        <v>0</v>
      </c>
      <c r="I130" s="394">
        <f>IF(H130=0,0,H130-100)</f>
        <v>0</v>
      </c>
      <c r="J130" s="379">
        <f>IF($K$1="",0,E130/$L$2)</f>
        <v>0</v>
      </c>
      <c r="K130" s="379">
        <f t="shared" ref="K130:K131" si="58">IF($K$2="",0,E130/$L$2)</f>
        <v>0</v>
      </c>
      <c r="L130" s="379">
        <f t="shared" ref="L130:L131" si="59">IF($K$3="",0,E130/$L$2)</f>
        <v>0</v>
      </c>
    </row>
    <row r="131" spans="1:12" x14ac:dyDescent="0.25">
      <c r="A131" s="356" t="str">
        <f>Kostenplan!A126</f>
        <v>8.2</v>
      </c>
      <c r="B131" s="365" t="str">
        <f>Kostenplan!$B$126</f>
        <v>Personalkosten (u.a. geringf. Beschäftigte)</v>
      </c>
      <c r="C131" s="375">
        <f>Kostenplan!C126</f>
        <v>0</v>
      </c>
      <c r="D131" s="384"/>
      <c r="E131" s="404">
        <f>Kostenplan!D126</f>
        <v>0</v>
      </c>
      <c r="F131" s="403"/>
      <c r="G131" s="385">
        <f>E131-C131</f>
        <v>0</v>
      </c>
      <c r="H131" s="394">
        <f>IF(C131=0,0,E131*100/C131)</f>
        <v>0</v>
      </c>
      <c r="I131" s="394">
        <f>IF(H131=0,0,H131-100)</f>
        <v>0</v>
      </c>
      <c r="J131" s="379">
        <f>IF($K$1="",0,E131/$L$2)</f>
        <v>0</v>
      </c>
      <c r="K131" s="379">
        <f t="shared" si="58"/>
        <v>0</v>
      </c>
      <c r="L131" s="379">
        <f t="shared" si="59"/>
        <v>0</v>
      </c>
    </row>
    <row r="132" spans="1:12" s="296" customFormat="1" ht="15" x14ac:dyDescent="0.25">
      <c r="A132" s="331"/>
      <c r="B132" s="306" t="s">
        <v>1</v>
      </c>
      <c r="C132" s="371">
        <f>SUM(C130:C131)</f>
        <v>0</v>
      </c>
      <c r="D132" s="368"/>
      <c r="E132" s="307">
        <f>SUM(E130:E131)</f>
        <v>0</v>
      </c>
      <c r="F132" s="368"/>
      <c r="G132" s="369">
        <f>E132-C132</f>
        <v>0</v>
      </c>
      <c r="H132" s="370">
        <f>IF(C132=0,0,E132*100/C132)</f>
        <v>0</v>
      </c>
      <c r="I132" s="370">
        <f>IF(H132=0,0,H132-100)</f>
        <v>0</v>
      </c>
      <c r="J132" s="381">
        <f>SUM(J130:J131)</f>
        <v>0</v>
      </c>
      <c r="K132" s="381">
        <f>SUM(K130:K131)</f>
        <v>0</v>
      </c>
      <c r="L132" s="381">
        <f>SUM(L130:L131)</f>
        <v>0</v>
      </c>
    </row>
    <row r="134" spans="1:12" s="296" customFormat="1" x14ac:dyDescent="0.25">
      <c r="A134" s="320"/>
      <c r="B134" s="308" t="s">
        <v>349</v>
      </c>
      <c r="C134" s="309">
        <f>SUM(C132)</f>
        <v>0</v>
      </c>
      <c r="D134" s="372"/>
      <c r="E134" s="309">
        <f>SUM(E132)</f>
        <v>0</v>
      </c>
      <c r="F134" s="372"/>
      <c r="G134" s="309">
        <f t="shared" ref="G134:L134" si="60">SUM(G132)</f>
        <v>0</v>
      </c>
      <c r="H134" s="373">
        <f t="shared" si="60"/>
        <v>0</v>
      </c>
      <c r="I134" s="373">
        <f t="shared" si="60"/>
        <v>0</v>
      </c>
      <c r="J134" s="309">
        <f t="shared" si="60"/>
        <v>0</v>
      </c>
      <c r="K134" s="309">
        <f t="shared" si="60"/>
        <v>0</v>
      </c>
      <c r="L134" s="309">
        <f t="shared" si="60"/>
        <v>0</v>
      </c>
    </row>
    <row r="136" spans="1:12" s="296" customFormat="1" x14ac:dyDescent="0.25">
      <c r="A136" s="320"/>
      <c r="B136" s="308" t="s">
        <v>370</v>
      </c>
      <c r="C136" s="309">
        <f>C20+C33+C99+C106+C112+C120+C127+C134</f>
        <v>0</v>
      </c>
      <c r="D136" s="372"/>
      <c r="E136" s="309">
        <f>E20+E33+E99+E106+E112+E120+E127+E134</f>
        <v>0</v>
      </c>
      <c r="F136" s="372"/>
      <c r="G136" s="309">
        <f>G20+G33+G99+G106+G112+G120+G127+G134</f>
        <v>0</v>
      </c>
      <c r="H136" s="373"/>
      <c r="I136" s="373"/>
      <c r="J136" s="309">
        <f>J20+J33+J99+J106+J112+J120+J127+J134</f>
        <v>0</v>
      </c>
      <c r="K136" s="309">
        <f>K20+K33+K99+K106+K112+K120+K127+K134</f>
        <v>0</v>
      </c>
      <c r="L136" s="309">
        <f>L20+L33+L99+L106+L112+L120+L127+L134</f>
        <v>0</v>
      </c>
    </row>
    <row r="138" spans="1:12" x14ac:dyDescent="0.25">
      <c r="A138" s="353" t="str">
        <f>Kostenplan!A131</f>
        <v>9</v>
      </c>
      <c r="B138" s="406" t="str">
        <f>Kostenplan!B131</f>
        <v>Einnahmen</v>
      </c>
      <c r="C138" s="310"/>
      <c r="D138" s="310"/>
      <c r="E138" s="310"/>
      <c r="F138" s="310"/>
      <c r="G138" s="310"/>
      <c r="H138" s="310"/>
      <c r="I138" s="310"/>
      <c r="J138" s="310"/>
      <c r="K138" s="310"/>
      <c r="L138" s="310"/>
    </row>
    <row r="139" spans="1:12" x14ac:dyDescent="0.25">
      <c r="A139" s="356" t="str">
        <f>Kostenplan!A132</f>
        <v>9.1</v>
      </c>
      <c r="B139" s="365" t="str">
        <f>Kostenplan!B132</f>
        <v>Zuweisungen nach § 12 KiFöG</v>
      </c>
      <c r="C139" s="375">
        <f>Kostenplan!C132</f>
        <v>0</v>
      </c>
      <c r="D139" s="384"/>
      <c r="E139" s="404">
        <f>Kostenplan!D132</f>
        <v>0</v>
      </c>
      <c r="F139" s="403"/>
      <c r="G139" s="385">
        <f>E139-C139</f>
        <v>0</v>
      </c>
      <c r="H139" s="394">
        <f>IF(C139=0,0,E139*100/C139)</f>
        <v>0</v>
      </c>
      <c r="I139" s="394">
        <f>IF(H139=0,0,H139-100)</f>
        <v>0</v>
      </c>
      <c r="J139" s="379">
        <f>IF($K$1="",0,E139/$L$2)</f>
        <v>0</v>
      </c>
      <c r="K139" s="379">
        <f t="shared" ref="K139:K146" si="61">IF($K$2="",0,E139/$L$2)</f>
        <v>0</v>
      </c>
      <c r="L139" s="379">
        <f t="shared" ref="L139:L146" si="62">IF($K$3="",0,E139/$L$2)</f>
        <v>0</v>
      </c>
    </row>
    <row r="140" spans="1:12" x14ac:dyDescent="0.25">
      <c r="A140" s="356" t="str">
        <f>Kostenplan!A133</f>
        <v>9.2</v>
      </c>
      <c r="B140" s="365" t="str">
        <f>Kostenplan!B133</f>
        <v>Zuweisungen nach § 12a KiFöG</v>
      </c>
      <c r="C140" s="375">
        <f>Kostenplan!C133</f>
        <v>0</v>
      </c>
      <c r="D140" s="384"/>
      <c r="E140" s="404">
        <f>Kostenplan!D133</f>
        <v>0</v>
      </c>
      <c r="F140" s="403"/>
      <c r="G140" s="385">
        <f t="shared" ref="G140:G146" si="63">E140-C140</f>
        <v>0</v>
      </c>
      <c r="H140" s="394">
        <f t="shared" ref="H140:H146" si="64">IF(C140=0,0,E140*100/C140)</f>
        <v>0</v>
      </c>
      <c r="I140" s="394">
        <f t="shared" ref="I140:I146" si="65">IF(H140=0,0,H140-100)</f>
        <v>0</v>
      </c>
      <c r="J140" s="379">
        <f t="shared" ref="J140:J146" si="66">IF($K$1="",0,E140/$L$2)</f>
        <v>0</v>
      </c>
      <c r="K140" s="379">
        <f t="shared" si="61"/>
        <v>0</v>
      </c>
      <c r="L140" s="379">
        <f t="shared" si="62"/>
        <v>0</v>
      </c>
    </row>
    <row r="141" spans="1:12" ht="12" customHeight="1" x14ac:dyDescent="0.25">
      <c r="A141" s="356" t="str">
        <f>Kostenplan!A134</f>
        <v>9.3</v>
      </c>
      <c r="B141" s="365" t="str">
        <f>Kostenplan!B134</f>
        <v>Fördermittel</v>
      </c>
      <c r="C141" s="375">
        <f>Kostenplan!C134</f>
        <v>0</v>
      </c>
      <c r="D141" s="384"/>
      <c r="E141" s="404">
        <f>Kostenplan!D134</f>
        <v>0</v>
      </c>
      <c r="F141" s="403"/>
      <c r="G141" s="385">
        <f t="shared" si="63"/>
        <v>0</v>
      </c>
      <c r="H141" s="394">
        <f t="shared" si="64"/>
        <v>0</v>
      </c>
      <c r="I141" s="394">
        <f t="shared" si="65"/>
        <v>0</v>
      </c>
      <c r="J141" s="379">
        <f t="shared" si="66"/>
        <v>0</v>
      </c>
      <c r="K141" s="379">
        <f t="shared" si="61"/>
        <v>0</v>
      </c>
      <c r="L141" s="379">
        <f t="shared" si="62"/>
        <v>0</v>
      </c>
    </row>
    <row r="142" spans="1:12" ht="25.5" x14ac:dyDescent="0.25">
      <c r="A142" s="356" t="str">
        <f>Kostenplan!A135</f>
        <v>9.4</v>
      </c>
      <c r="B142" s="365" t="str">
        <f>Kostenplan!B135</f>
        <v>Kostenbeiträge gem. Satzung (soweit Kostenerhebung durch Träger erfolgt)</v>
      </c>
      <c r="C142" s="375">
        <f>Kostenplan!C135</f>
        <v>0</v>
      </c>
      <c r="D142" s="384"/>
      <c r="E142" s="404">
        <f>Kostenplan!D135</f>
        <v>0</v>
      </c>
      <c r="F142" s="403"/>
      <c r="G142" s="385">
        <f t="shared" si="63"/>
        <v>0</v>
      </c>
      <c r="H142" s="394">
        <f t="shared" si="64"/>
        <v>0</v>
      </c>
      <c r="I142" s="394">
        <f t="shared" si="65"/>
        <v>0</v>
      </c>
      <c r="J142" s="379">
        <f t="shared" si="66"/>
        <v>0</v>
      </c>
      <c r="K142" s="379">
        <f t="shared" si="61"/>
        <v>0</v>
      </c>
      <c r="L142" s="379">
        <f t="shared" si="62"/>
        <v>0</v>
      </c>
    </row>
    <row r="143" spans="1:12" x14ac:dyDescent="0.25">
      <c r="A143" s="356" t="str">
        <f>Kostenplan!A136</f>
        <v>9.5</v>
      </c>
      <c r="B143" s="365" t="str">
        <f>Kostenplan!B136</f>
        <v>Zusatzbeiträge der Eltern</v>
      </c>
      <c r="C143" s="375">
        <f>Kostenplan!C136</f>
        <v>0</v>
      </c>
      <c r="D143" s="384"/>
      <c r="E143" s="404">
        <f>Kostenplan!D136</f>
        <v>0</v>
      </c>
      <c r="F143" s="403"/>
      <c r="G143" s="385">
        <f t="shared" si="63"/>
        <v>0</v>
      </c>
      <c r="H143" s="394">
        <f t="shared" si="64"/>
        <v>0</v>
      </c>
      <c r="I143" s="394">
        <f t="shared" si="65"/>
        <v>0</v>
      </c>
      <c r="J143" s="379">
        <f t="shared" si="66"/>
        <v>0</v>
      </c>
      <c r="K143" s="379">
        <f t="shared" si="61"/>
        <v>0</v>
      </c>
      <c r="L143" s="379">
        <f t="shared" si="62"/>
        <v>0</v>
      </c>
    </row>
    <row r="144" spans="1:12" x14ac:dyDescent="0.25">
      <c r="A144" s="356" t="str">
        <f>Kostenplan!A137</f>
        <v>9.6</v>
      </c>
      <c r="B144" s="365" t="str">
        <f>Kostenplan!B137</f>
        <v>Einnahmen für Gastkinder</v>
      </c>
      <c r="C144" s="375">
        <f>Kostenplan!C137</f>
        <v>0</v>
      </c>
      <c r="D144" s="384"/>
      <c r="E144" s="404">
        <f>Kostenplan!D137</f>
        <v>0</v>
      </c>
      <c r="F144" s="403"/>
      <c r="G144" s="385">
        <f t="shared" si="63"/>
        <v>0</v>
      </c>
      <c r="H144" s="394">
        <f t="shared" si="64"/>
        <v>0</v>
      </c>
      <c r="I144" s="394">
        <f t="shared" si="65"/>
        <v>0</v>
      </c>
      <c r="J144" s="379">
        <f t="shared" si="66"/>
        <v>0</v>
      </c>
      <c r="K144" s="379">
        <f t="shared" si="61"/>
        <v>0</v>
      </c>
      <c r="L144" s="379">
        <f t="shared" si="62"/>
        <v>0</v>
      </c>
    </row>
    <row r="145" spans="1:12" x14ac:dyDescent="0.25">
      <c r="A145" s="356" t="str">
        <f>Kostenplan!A138</f>
        <v>9.7</v>
      </c>
      <c r="B145" s="365" t="str">
        <f>Kostenplan!B138</f>
        <v>Einnahmen aus Mitteln des ÖTJH</v>
      </c>
      <c r="C145" s="375">
        <f>Kostenplan!C138</f>
        <v>0</v>
      </c>
      <c r="D145" s="384"/>
      <c r="E145" s="404">
        <f>Kostenplan!D138</f>
        <v>0</v>
      </c>
      <c r="F145" s="403"/>
      <c r="G145" s="385">
        <f t="shared" si="63"/>
        <v>0</v>
      </c>
      <c r="H145" s="394">
        <f t="shared" si="64"/>
        <v>0</v>
      </c>
      <c r="I145" s="394">
        <f t="shared" si="65"/>
        <v>0</v>
      </c>
      <c r="J145" s="379">
        <f t="shared" si="66"/>
        <v>0</v>
      </c>
      <c r="K145" s="379">
        <f t="shared" si="61"/>
        <v>0</v>
      </c>
      <c r="L145" s="379">
        <f t="shared" si="62"/>
        <v>0</v>
      </c>
    </row>
    <row r="146" spans="1:12" x14ac:dyDescent="0.25">
      <c r="A146" s="356" t="str">
        <f>Kostenplan!A139</f>
        <v>9.8</v>
      </c>
      <c r="B146" s="365" t="str">
        <f>Kostenplan!B139</f>
        <v>Sonstige Einnahmen</v>
      </c>
      <c r="C146" s="375">
        <f>Kostenplan!C139</f>
        <v>0</v>
      </c>
      <c r="D146" s="384"/>
      <c r="E146" s="404">
        <f>Kostenplan!D139</f>
        <v>0</v>
      </c>
      <c r="F146" s="403"/>
      <c r="G146" s="385">
        <f t="shared" si="63"/>
        <v>0</v>
      </c>
      <c r="H146" s="394">
        <f t="shared" si="64"/>
        <v>0</v>
      </c>
      <c r="I146" s="394">
        <f t="shared" si="65"/>
        <v>0</v>
      </c>
      <c r="J146" s="379">
        <f t="shared" si="66"/>
        <v>0</v>
      </c>
      <c r="K146" s="379">
        <f t="shared" si="61"/>
        <v>0</v>
      </c>
      <c r="L146" s="379">
        <f t="shared" si="62"/>
        <v>0</v>
      </c>
    </row>
    <row r="147" spans="1:12" s="296" customFormat="1" ht="15" x14ac:dyDescent="0.25">
      <c r="A147" s="331"/>
      <c r="B147" s="306" t="s">
        <v>1</v>
      </c>
      <c r="C147" s="371">
        <f>SUM(C139:C146)</f>
        <v>0</v>
      </c>
      <c r="D147" s="368"/>
      <c r="E147" s="307">
        <f>SUM(E139:E146)</f>
        <v>0</v>
      </c>
      <c r="F147" s="368"/>
      <c r="G147" s="369">
        <f>E147-C147</f>
        <v>0</v>
      </c>
      <c r="H147" s="370">
        <f>IF(C147=0,0,E147*100/C147)</f>
        <v>0</v>
      </c>
      <c r="I147" s="370">
        <f>IF(H147=0,0,H147-100)</f>
        <v>0</v>
      </c>
      <c r="J147" s="381">
        <f>SUM(J139:J146)</f>
        <v>0</v>
      </c>
      <c r="K147" s="381">
        <f>SUM(K139:K146)</f>
        <v>0</v>
      </c>
      <c r="L147" s="381">
        <f>SUM(L139:L146)</f>
        <v>0</v>
      </c>
    </row>
    <row r="149" spans="1:12" s="296" customFormat="1" x14ac:dyDescent="0.25">
      <c r="A149" s="320"/>
      <c r="B149" s="308" t="s">
        <v>349</v>
      </c>
      <c r="C149" s="309">
        <f>SUM(C147)</f>
        <v>0</v>
      </c>
      <c r="D149" s="372"/>
      <c r="E149" s="309">
        <f>SUM(E147)</f>
        <v>0</v>
      </c>
      <c r="F149" s="372"/>
      <c r="G149" s="309">
        <f t="shared" ref="G149:L149" si="67">SUM(G147)</f>
        <v>0</v>
      </c>
      <c r="H149" s="373">
        <f t="shared" si="67"/>
        <v>0</v>
      </c>
      <c r="I149" s="373">
        <f t="shared" si="67"/>
        <v>0</v>
      </c>
      <c r="J149" s="309">
        <f t="shared" si="67"/>
        <v>0</v>
      </c>
      <c r="K149" s="309">
        <f t="shared" si="67"/>
        <v>0</v>
      </c>
      <c r="L149" s="309">
        <f t="shared" si="67"/>
        <v>0</v>
      </c>
    </row>
    <row r="151" spans="1:12" s="296" customFormat="1" x14ac:dyDescent="0.25">
      <c r="A151" s="320"/>
      <c r="B151" s="308" t="s">
        <v>371</v>
      </c>
      <c r="C151" s="309">
        <f>C149</f>
        <v>0</v>
      </c>
      <c r="D151" s="372"/>
      <c r="E151" s="309">
        <f>E149</f>
        <v>0</v>
      </c>
      <c r="F151" s="372"/>
      <c r="G151" s="309">
        <f>G149</f>
        <v>0</v>
      </c>
      <c r="H151" s="373"/>
      <c r="I151" s="373"/>
      <c r="J151" s="309">
        <f>J149</f>
        <v>0</v>
      </c>
      <c r="K151" s="309">
        <f>K149</f>
        <v>0</v>
      </c>
      <c r="L151" s="309">
        <f>L149</f>
        <v>0</v>
      </c>
    </row>
    <row r="154" spans="1:12" x14ac:dyDescent="0.25">
      <c r="A154" s="1263" t="s">
        <v>372</v>
      </c>
      <c r="B154" s="1263"/>
    </row>
    <row r="155" spans="1:12" x14ac:dyDescent="0.25">
      <c r="A155" s="353" t="str">
        <f>Kostenplan!A145</f>
        <v>10</v>
      </c>
      <c r="B155" s="406" t="str">
        <f>Kostenplan!B145</f>
        <v>Sachkosten für Verpflegung</v>
      </c>
      <c r="C155" s="310"/>
      <c r="D155" s="310"/>
      <c r="E155" s="310"/>
      <c r="F155" s="310"/>
      <c r="G155" s="310"/>
      <c r="H155" s="310"/>
      <c r="I155" s="310"/>
      <c r="J155" s="310"/>
      <c r="K155" s="310"/>
      <c r="L155" s="310"/>
    </row>
    <row r="156" spans="1:12" x14ac:dyDescent="0.25">
      <c r="A156" s="356" t="str">
        <f>Kostenplan!A146</f>
        <v>10.1</v>
      </c>
      <c r="B156" s="365" t="str">
        <f>Kostenplan!B146</f>
        <v>Nahrungsmittel und Getränke</v>
      </c>
      <c r="C156" s="375">
        <f>Kostenplan!C146</f>
        <v>0</v>
      </c>
      <c r="D156" s="384"/>
      <c r="E156" s="404">
        <f>Kostenplan!D146</f>
        <v>0</v>
      </c>
      <c r="F156" s="403"/>
      <c r="G156" s="385">
        <f>E156-C156</f>
        <v>0</v>
      </c>
      <c r="H156" s="394">
        <f>IF(C156=0,0,E156*100/C156)</f>
        <v>0</v>
      </c>
      <c r="I156" s="394">
        <f>IF(H156=0,0,H156-100)</f>
        <v>0</v>
      </c>
      <c r="J156" s="379">
        <f>IF($K$1="",0,E156/$L$2)</f>
        <v>0</v>
      </c>
      <c r="K156" s="379">
        <f t="shared" ref="K156:K158" si="68">IF($K$2="",0,E156/$L$2)</f>
        <v>0</v>
      </c>
      <c r="L156" s="379">
        <f t="shared" ref="L156:L158" si="69">IF($K$3="",0,E156/$L$2)</f>
        <v>0</v>
      </c>
    </row>
    <row r="157" spans="1:12" x14ac:dyDescent="0.25">
      <c r="A157" s="356" t="str">
        <f>Kostenplan!A147</f>
        <v>10.2</v>
      </c>
      <c r="B157" s="365" t="str">
        <f>Kostenplan!B147</f>
        <v>abzgl. Essensbeiträge (soweit Einnahme erfolgt)</v>
      </c>
      <c r="C157" s="375">
        <f>Kostenplan!C147</f>
        <v>0</v>
      </c>
      <c r="D157" s="384"/>
      <c r="E157" s="404">
        <f>Kostenplan!D147</f>
        <v>0</v>
      </c>
      <c r="F157" s="403"/>
      <c r="G157" s="385">
        <f t="shared" ref="G157:G158" si="70">E157-C157</f>
        <v>0</v>
      </c>
      <c r="H157" s="394">
        <f t="shared" ref="H157:H158" si="71">IF(C157=0,0,E157*100/C157)</f>
        <v>0</v>
      </c>
      <c r="I157" s="394">
        <f t="shared" ref="I157:I158" si="72">IF(H157=0,0,H157-100)</f>
        <v>0</v>
      </c>
      <c r="J157" s="379">
        <f t="shared" ref="J157:J158" si="73">IF($K$1="",0,E157/$L$2)</f>
        <v>0</v>
      </c>
      <c r="K157" s="379">
        <f t="shared" si="68"/>
        <v>0</v>
      </c>
      <c r="L157" s="379">
        <f t="shared" si="69"/>
        <v>0</v>
      </c>
    </row>
    <row r="158" spans="1:12" x14ac:dyDescent="0.25">
      <c r="A158" s="356" t="str">
        <f>Kostenplan!A148</f>
        <v>10.3</v>
      </c>
      <c r="B158" s="365" t="str">
        <f>Kostenplan!B148</f>
        <v>abzgl. Getränkegelder (soweit Einnahme erfolgt)</v>
      </c>
      <c r="C158" s="375">
        <f>Kostenplan!C148</f>
        <v>0</v>
      </c>
      <c r="D158" s="384"/>
      <c r="E158" s="404">
        <f>Kostenplan!D148</f>
        <v>0</v>
      </c>
      <c r="F158" s="403"/>
      <c r="G158" s="385">
        <f t="shared" si="70"/>
        <v>0</v>
      </c>
      <c r="H158" s="394">
        <f t="shared" si="71"/>
        <v>0</v>
      </c>
      <c r="I158" s="394">
        <f t="shared" si="72"/>
        <v>0</v>
      </c>
      <c r="J158" s="379">
        <f t="shared" si="73"/>
        <v>0</v>
      </c>
      <c r="K158" s="379">
        <f t="shared" si="68"/>
        <v>0</v>
      </c>
      <c r="L158" s="379">
        <f t="shared" si="69"/>
        <v>0</v>
      </c>
    </row>
    <row r="159" spans="1:12" s="296" customFormat="1" ht="15" x14ac:dyDescent="0.25">
      <c r="A159" s="331"/>
      <c r="B159" s="306" t="s">
        <v>1</v>
      </c>
      <c r="C159" s="371">
        <f>C156-SUM(C157:C158)</f>
        <v>0</v>
      </c>
      <c r="D159" s="368"/>
      <c r="E159" s="371">
        <f>E156-SUM(E157:E158)</f>
        <v>0</v>
      </c>
      <c r="F159" s="368"/>
      <c r="G159" s="369">
        <f>E159-C159</f>
        <v>0</v>
      </c>
      <c r="H159" s="370">
        <f>IF(C159=0,0,E159*100/C159)</f>
        <v>0</v>
      </c>
      <c r="I159" s="370">
        <f>IF(H159=0,0,H159-100)</f>
        <v>0</v>
      </c>
      <c r="J159" s="381">
        <f>SUM(J147:J158)</f>
        <v>0</v>
      </c>
      <c r="K159" s="381">
        <f>SUM(K147:K158)</f>
        <v>0</v>
      </c>
      <c r="L159" s="381">
        <f>SUM(L156:L158)</f>
        <v>0</v>
      </c>
    </row>
    <row r="161" spans="1:12" s="296" customFormat="1" x14ac:dyDescent="0.25">
      <c r="A161" s="320"/>
      <c r="B161" s="308" t="s">
        <v>349</v>
      </c>
      <c r="C161" s="309">
        <f>SUM(C159)</f>
        <v>0</v>
      </c>
      <c r="D161" s="372"/>
      <c r="E161" s="309">
        <f>SUM(E159)</f>
        <v>0</v>
      </c>
      <c r="F161" s="372"/>
      <c r="G161" s="309">
        <f t="shared" ref="G161:L161" si="74">SUM(G159)</f>
        <v>0</v>
      </c>
      <c r="H161" s="373">
        <f t="shared" si="74"/>
        <v>0</v>
      </c>
      <c r="I161" s="373">
        <f t="shared" si="74"/>
        <v>0</v>
      </c>
      <c r="J161" s="309">
        <f t="shared" si="74"/>
        <v>0</v>
      </c>
      <c r="K161" s="309">
        <f t="shared" si="74"/>
        <v>0</v>
      </c>
      <c r="L161" s="309">
        <f t="shared" si="74"/>
        <v>0</v>
      </c>
    </row>
    <row r="163" spans="1:12" x14ac:dyDescent="0.25">
      <c r="A163" s="1263" t="s">
        <v>372</v>
      </c>
      <c r="B163" s="1263"/>
    </row>
    <row r="164" spans="1:12" x14ac:dyDescent="0.25">
      <c r="A164" s="353" t="str">
        <f>Kostenplan!A151</f>
        <v>11</v>
      </c>
      <c r="B164" s="406" t="str">
        <f>Kostenplan!B151</f>
        <v>Personalkosten § 23 KiFöG</v>
      </c>
      <c r="C164" s="310"/>
      <c r="D164" s="310"/>
      <c r="E164" s="310"/>
      <c r="F164" s="310"/>
      <c r="G164" s="310"/>
      <c r="H164" s="310"/>
      <c r="I164" s="310"/>
      <c r="J164" s="310"/>
      <c r="K164" s="310"/>
      <c r="L164" s="310"/>
    </row>
    <row r="165" spans="1:12" x14ac:dyDescent="0.25">
      <c r="A165" s="356" t="str">
        <f>Kostenplan!A152</f>
        <v>11</v>
      </c>
      <c r="B165" s="365" t="str">
        <f>Kostenplan!B152</f>
        <v>Personalkosten nach § 23 KiFöG</v>
      </c>
      <c r="C165" s="375">
        <f>Kostenplan!C152</f>
        <v>0</v>
      </c>
      <c r="D165" s="384"/>
      <c r="E165" s="404">
        <f>Kostenplan!D152</f>
        <v>0</v>
      </c>
      <c r="F165" s="403"/>
      <c r="G165" s="385">
        <f t="shared" ref="G165" si="75">E165-C165</f>
        <v>0</v>
      </c>
      <c r="H165" s="394">
        <f t="shared" ref="H165" si="76">IF(C165=0,0,E165*100/C165)</f>
        <v>0</v>
      </c>
      <c r="I165" s="394">
        <f t="shared" ref="I165" si="77">IF(H165=0,0,H165-100)</f>
        <v>0</v>
      </c>
      <c r="J165" s="379">
        <f t="shared" ref="J165" si="78">IF($K$1="",0,E165/$L$2)</f>
        <v>0</v>
      </c>
      <c r="K165" s="379">
        <f t="shared" ref="K165" si="79">IF($K$2="",0,E165/$L$2)</f>
        <v>0</v>
      </c>
      <c r="L165" s="379">
        <f t="shared" ref="L165" si="80">IF($K$3="",0,E165/$L$2)</f>
        <v>0</v>
      </c>
    </row>
    <row r="166" spans="1:12" s="296" customFormat="1" ht="15" x14ac:dyDescent="0.25">
      <c r="A166" s="331"/>
      <c r="B166" s="306" t="s">
        <v>1</v>
      </c>
      <c r="C166" s="371">
        <f>C165</f>
        <v>0</v>
      </c>
      <c r="D166" s="368"/>
      <c r="E166" s="371">
        <f>E165</f>
        <v>0</v>
      </c>
      <c r="F166" s="368"/>
      <c r="G166" s="369">
        <f>E166-C166</f>
        <v>0</v>
      </c>
      <c r="H166" s="370">
        <f>IF(C166=0,0,E166*100/C166)</f>
        <v>0</v>
      </c>
      <c r="I166" s="370">
        <f>IF(H166=0,0,H166-100)</f>
        <v>0</v>
      </c>
      <c r="J166" s="381">
        <f>SUM(J152:J165)</f>
        <v>0</v>
      </c>
      <c r="K166" s="381">
        <f>SUM(K152:K165)</f>
        <v>0</v>
      </c>
      <c r="L166" s="381">
        <f>L165</f>
        <v>0</v>
      </c>
    </row>
    <row r="168" spans="1:12" s="296" customFormat="1" x14ac:dyDescent="0.25">
      <c r="A168" s="320"/>
      <c r="B168" s="308" t="s">
        <v>349</v>
      </c>
      <c r="C168" s="309">
        <f>SUM(C166)</f>
        <v>0</v>
      </c>
      <c r="D168" s="372"/>
      <c r="E168" s="309">
        <f>SUM(E166)</f>
        <v>0</v>
      </c>
      <c r="F168" s="372"/>
      <c r="G168" s="309">
        <f t="shared" ref="G168:L168" si="81">SUM(G166)</f>
        <v>0</v>
      </c>
      <c r="H168" s="373">
        <f t="shared" si="81"/>
        <v>0</v>
      </c>
      <c r="I168" s="373">
        <f t="shared" si="81"/>
        <v>0</v>
      </c>
      <c r="J168" s="309">
        <f t="shared" si="81"/>
        <v>0</v>
      </c>
      <c r="K168" s="309">
        <f t="shared" si="81"/>
        <v>0</v>
      </c>
      <c r="L168" s="309">
        <f t="shared" si="81"/>
        <v>0</v>
      </c>
    </row>
    <row r="170" spans="1:12" s="296" customFormat="1" x14ac:dyDescent="0.25">
      <c r="A170" s="320"/>
      <c r="B170" s="308" t="s">
        <v>373</v>
      </c>
      <c r="C170" s="309">
        <f>C161+C168</f>
        <v>0</v>
      </c>
      <c r="D170" s="372"/>
      <c r="E170" s="309">
        <f>E161+E168</f>
        <v>0</v>
      </c>
      <c r="F170" s="372"/>
      <c r="G170" s="309">
        <f>G161+G168</f>
        <v>0</v>
      </c>
      <c r="H170" s="373"/>
      <c r="I170" s="373"/>
      <c r="J170" s="309">
        <f>J161+J168</f>
        <v>0</v>
      </c>
      <c r="K170" s="309">
        <f>K161+K168</f>
        <v>0</v>
      </c>
      <c r="L170" s="309">
        <f>L161+L168</f>
        <v>0</v>
      </c>
    </row>
  </sheetData>
  <mergeCells count="8">
    <mergeCell ref="E5:E6"/>
    <mergeCell ref="F5:F6"/>
    <mergeCell ref="J5:L5"/>
    <mergeCell ref="A154:B154"/>
    <mergeCell ref="A163:B163"/>
    <mergeCell ref="A5:A6"/>
    <mergeCell ref="B5:B6"/>
    <mergeCell ref="D5:D6"/>
  </mergeCells>
  <printOptions horizontalCentered="1"/>
  <pageMargins left="0.59055118110236227" right="0.59055118110236227" top="1.1811023622047245" bottom="0.78740157480314965" header="0.19685039370078741" footer="0.19685039370078741"/>
  <pageSetup paperSize="9" scale="54" fitToHeight="8" orientation="landscape" r:id="rId1"/>
  <headerFooter>
    <oddHeader xml:space="preserve">&amp;L&amp;"Arial,Fett"&amp;22Salzlandkreis&amp;11
&amp;12Der Landrat&amp;C&amp;"Arial,Fett"
Kostenkalkulation&amp;R&amp;G
</oddHeader>
    <oddFooter>&amp;L&amp;"Arial,Standard"&amp;8Ausfertigung vom &amp;D &amp;T&amp;R&amp;"Arial,Standard"&amp;8&amp;P von &amp;N</oddFooter>
  </headerFooter>
  <rowBreaks count="2" manualBreakCount="2">
    <brk id="56" max="16383" man="1"/>
    <brk id="11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F0000"/>
  </sheetPr>
  <dimension ref="A1:E175"/>
  <sheetViews>
    <sheetView showGridLines="0" view="pageLayout" zoomScale="90" zoomScaleNormal="80" zoomScalePageLayoutView="90" workbookViewId="0">
      <selection activeCell="A2" sqref="A2"/>
    </sheetView>
  </sheetViews>
  <sheetFormatPr baseColWidth="10" defaultColWidth="11.42578125" defaultRowHeight="12.75" x14ac:dyDescent="0.25"/>
  <cols>
    <col min="1" max="1" width="64.42578125" style="285" bestFit="1" customWidth="1"/>
    <col min="2" max="2" width="20.7109375" style="109" customWidth="1"/>
    <col min="3" max="5" width="14.5703125" style="109" customWidth="1"/>
    <col min="6" max="16384" width="11.42578125" style="109"/>
  </cols>
  <sheetData>
    <row r="1" spans="1:5" x14ac:dyDescent="0.25">
      <c r="B1" s="85"/>
      <c r="D1" s="248" t="s">
        <v>321</v>
      </c>
      <c r="E1" s="248" t="s">
        <v>322</v>
      </c>
    </row>
    <row r="2" spans="1:5" x14ac:dyDescent="0.25">
      <c r="A2" s="812">
        <f>IF(Grundlagen!$C$4=0,"",Grundlagen!$C$4)</f>
        <v>2025</v>
      </c>
      <c r="B2" s="1151" t="s">
        <v>323</v>
      </c>
      <c r="C2" s="1151"/>
      <c r="D2" s="287" t="str">
        <f>'INTERN Kostenrechnung'!$I$1</f>
        <v/>
      </c>
      <c r="E2" s="288" t="str">
        <f>'INTERN Kostenrechnung'!$K$1</f>
        <v/>
      </c>
    </row>
    <row r="3" spans="1:5" x14ac:dyDescent="0.25">
      <c r="A3" s="289" t="str">
        <f>IF(Grundlagen!$C$6=0,"",Grundlagen!$C$6)</f>
        <v/>
      </c>
      <c r="B3" s="1151" t="s">
        <v>324</v>
      </c>
      <c r="C3" s="1151"/>
      <c r="D3" s="287" t="str">
        <f>'INTERN Kostenrechnung'!$I$2</f>
        <v/>
      </c>
      <c r="E3" s="288" t="str">
        <f>'INTERN Kostenrechnung'!$K$2</f>
        <v/>
      </c>
    </row>
    <row r="4" spans="1:5" x14ac:dyDescent="0.25">
      <c r="A4" s="290" t="str">
        <f>IF(Grundlagen!$C$9=0,"",Grundlagen!$C$9)</f>
        <v/>
      </c>
      <c r="B4" s="1151" t="s">
        <v>325</v>
      </c>
      <c r="C4" s="1151"/>
      <c r="D4" s="287" t="str">
        <f>'INTERN Kostenrechnung'!$I$3</f>
        <v/>
      </c>
      <c r="E4" s="288" t="str">
        <f>'INTERN Kostenrechnung'!$K$3</f>
        <v/>
      </c>
    </row>
    <row r="5" spans="1:5" x14ac:dyDescent="0.25">
      <c r="B5" s="1155" t="s">
        <v>326</v>
      </c>
      <c r="C5" s="1155"/>
      <c r="D5" s="291" t="str">
        <f>'INTERN Kostenrechnung'!$G$2</f>
        <v/>
      </c>
      <c r="E5" s="292" t="str">
        <f>'INTERN Kostenrechnung'!$L$2</f>
        <v/>
      </c>
    </row>
    <row r="6" spans="1:5" x14ac:dyDescent="0.25">
      <c r="B6" s="1155" t="s">
        <v>327</v>
      </c>
      <c r="C6" s="1155"/>
      <c r="D6" s="293" t="str">
        <f>'INTERN Kostenrechnung'!$G$1</f>
        <v/>
      </c>
    </row>
    <row r="7" spans="1:5" x14ac:dyDescent="0.25">
      <c r="B7" s="85"/>
      <c r="C7" s="294"/>
      <c r="D7" s="276"/>
      <c r="E7" s="295"/>
    </row>
    <row r="8" spans="1:5" s="296" customFormat="1" x14ac:dyDescent="0.25">
      <c r="A8" s="1266" t="s">
        <v>328</v>
      </c>
      <c r="B8" s="1258" t="s">
        <v>329</v>
      </c>
      <c r="C8" s="1268" t="s">
        <v>330</v>
      </c>
      <c r="D8" s="1269"/>
      <c r="E8" s="1270"/>
    </row>
    <row r="9" spans="1:5" s="296" customFormat="1" x14ac:dyDescent="0.25">
      <c r="A9" s="1267"/>
      <c r="B9" s="1259"/>
      <c r="C9" s="297" t="s">
        <v>331</v>
      </c>
      <c r="D9" s="297" t="s">
        <v>332</v>
      </c>
      <c r="E9" s="297" t="s">
        <v>333</v>
      </c>
    </row>
    <row r="10" spans="1:5" s="201" customFormat="1" x14ac:dyDescent="0.25">
      <c r="A10" s="298"/>
      <c r="B10" s="299"/>
      <c r="C10" s="276"/>
      <c r="D10" s="276"/>
      <c r="E10" s="276"/>
    </row>
    <row r="11" spans="1:5" x14ac:dyDescent="0.25">
      <c r="A11" s="300" t="s">
        <v>270</v>
      </c>
      <c r="B11" s="301"/>
      <c r="C11" s="301"/>
      <c r="D11" s="301"/>
      <c r="E11" s="301"/>
    </row>
    <row r="12" spans="1:5" ht="39.75" customHeight="1" x14ac:dyDescent="0.25">
      <c r="A12" s="365" t="str">
        <f>'INTERN Kostenrechnung'!$B$10</f>
        <v xml:space="preserve">Kosten der päd. Fach-/Hilfskräfte, einschl. Erziehertätigkeit der Leiter/innen                                                                                                       (inkl. AG-Anteile zur SV und BAV SV-frei)  </v>
      </c>
      <c r="B12" s="302">
        <f>'INTERN Kostenrechnung'!$E$10</f>
        <v>0</v>
      </c>
      <c r="C12" s="303">
        <f>IF($E$2="",0,(B12/$D$5*$D$2/$E$2))</f>
        <v>0</v>
      </c>
      <c r="D12" s="303">
        <f>IF($E$3="",0,(B12/$D$5*$D$3/$E$3))</f>
        <v>0</v>
      </c>
      <c r="E12" s="303">
        <f>IF($E$4="",0,(B12/$D$5*$D$4/$E$4))</f>
        <v>0</v>
      </c>
    </row>
    <row r="13" spans="1:5" s="87" customFormat="1" x14ac:dyDescent="0.25">
      <c r="A13" s="813" t="str">
        <f>'INTERN Kostenrechnung'!$B$17</f>
        <v>abzüglich/zuzüglich Personalkostenüberhang/-defizit</v>
      </c>
      <c r="B13" s="305">
        <f>'INTERN Kostenrechnung'!$E$17</f>
        <v>0</v>
      </c>
      <c r="C13" s="303">
        <f>IF($E$2="",0,(B13/$D$5*$D$2/$E$2))</f>
        <v>0</v>
      </c>
      <c r="D13" s="303">
        <f>IF($E$3="",0,(B13/$D$5*$D$3/$E$3))</f>
        <v>0</v>
      </c>
      <c r="E13" s="303">
        <f>IF($E$4="",0,(B13/$D$5*$D$4/$E$4))</f>
        <v>0</v>
      </c>
    </row>
    <row r="14" spans="1:5" s="87" customFormat="1" x14ac:dyDescent="0.25">
      <c r="A14" s="304" t="s">
        <v>334</v>
      </c>
      <c r="B14" s="305">
        <f>IF(B12=0,0,-(SUM(B12:B13)/('INTERN Personalstunden'!I13-'INTERN Personalstunden'!I25)*'INTERN Personalstunden'!I39))</f>
        <v>0</v>
      </c>
      <c r="C14" s="303">
        <f>IF($E$2="",0,(B14/$D$5*$D$2/$E$2))</f>
        <v>0</v>
      </c>
      <c r="D14" s="303">
        <f>IF($E$3="",0,(B14/$D$5*$D$3/$E$3))</f>
        <v>0</v>
      </c>
      <c r="E14" s="303">
        <f>IF($E$4="",0,(B14/$D$5*$D$4/$E$4))</f>
        <v>0</v>
      </c>
    </row>
    <row r="15" spans="1:5" s="296" customFormat="1" ht="15" x14ac:dyDescent="0.25">
      <c r="A15" s="306" t="s">
        <v>1</v>
      </c>
      <c r="B15" s="307">
        <f>SUM(B12:B14)</f>
        <v>0</v>
      </c>
      <c r="C15" s="307">
        <f>SUM(C12:C14)</f>
        <v>0</v>
      </c>
      <c r="D15" s="307">
        <f>SUM(D12:D14)</f>
        <v>0</v>
      </c>
      <c r="E15" s="307">
        <f>SUM(E12:E14)</f>
        <v>0</v>
      </c>
    </row>
    <row r="17" spans="1:5" s="296" customFormat="1" x14ac:dyDescent="0.25">
      <c r="A17" s="308" t="s">
        <v>335</v>
      </c>
      <c r="B17" s="309">
        <f>B15</f>
        <v>0</v>
      </c>
      <c r="C17" s="309">
        <f>C15</f>
        <v>0</v>
      </c>
      <c r="D17" s="309">
        <f>D15</f>
        <v>0</v>
      </c>
      <c r="E17" s="309">
        <f>E15</f>
        <v>0</v>
      </c>
    </row>
    <row r="19" spans="1:5" x14ac:dyDescent="0.25">
      <c r="A19" s="300" t="s">
        <v>336</v>
      </c>
      <c r="B19" s="310"/>
      <c r="C19" s="310"/>
      <c r="D19" s="310"/>
      <c r="E19" s="310"/>
    </row>
    <row r="20" spans="1:5" ht="23.25" customHeight="1" x14ac:dyDescent="0.25">
      <c r="A20" s="365" t="str">
        <f>'INTERN Kostenrechnung'!$B$11</f>
        <v xml:space="preserve">Leitungsstunden                                                                                                                                                                                                     (inkl. AG-Anteile zur SV und BAV SV-frei) </v>
      </c>
      <c r="B20" s="302">
        <f>'INTERN Kostenrechnung'!$E$11</f>
        <v>0</v>
      </c>
      <c r="C20" s="303">
        <f>IF($E$2="",0,(B20/$D$5*$D$2/$E$2))</f>
        <v>0</v>
      </c>
      <c r="D20" s="303">
        <f t="shared" ref="D20:D23" si="0">IF($E$3="",0,(B20/$D$5*$D$3/$E$3))</f>
        <v>0</v>
      </c>
      <c r="E20" s="303">
        <f t="shared" ref="E20:E23" si="1">IF($E$4="",0,(B20/$D$5*$D$4/$E$4))</f>
        <v>0</v>
      </c>
    </row>
    <row r="21" spans="1:5" s="87" customFormat="1" x14ac:dyDescent="0.25">
      <c r="A21" s="304" t="s">
        <v>337</v>
      </c>
      <c r="B21" s="302">
        <f>IF(B14=0,0,IF(B14&lt;0,-B14,B14))</f>
        <v>0</v>
      </c>
      <c r="C21" s="303">
        <f>IF($E$2="",0,(B21/$D$5*$D$2/$E$2))</f>
        <v>0</v>
      </c>
      <c r="D21" s="303">
        <f t="shared" si="0"/>
        <v>0</v>
      </c>
      <c r="E21" s="303">
        <f t="shared" si="1"/>
        <v>0</v>
      </c>
    </row>
    <row r="22" spans="1:5" x14ac:dyDescent="0.25">
      <c r="A22" s="365" t="str">
        <f>'INTERN Kostenrechnung'!$B$12</f>
        <v>Schwerbehindertenausgleichsabgabe</v>
      </c>
      <c r="B22" s="302">
        <f>'INTERN Kostenrechnung'!$E$12</f>
        <v>0</v>
      </c>
      <c r="C22" s="303">
        <f>IF($E$2="",0,(B22/$D$5*$D$2/$E$2))</f>
        <v>0</v>
      </c>
      <c r="D22" s="303">
        <f t="shared" si="0"/>
        <v>0</v>
      </c>
      <c r="E22" s="303">
        <f t="shared" si="1"/>
        <v>0</v>
      </c>
    </row>
    <row r="23" spans="1:5" x14ac:dyDescent="0.25">
      <c r="A23" s="365" t="str">
        <f>'INTERN Kostenrechnung'!$B$13</f>
        <v>Berufsgenossenschaft (inkl. etwaig Wohlfahrtspflege) bzw. Unfallkasse</v>
      </c>
      <c r="B23" s="302">
        <f>'INTERN Kostenrechnung'!E13</f>
        <v>0</v>
      </c>
      <c r="C23" s="303">
        <f>IF($E$2="",0,(B23/$D$5*$D$2/$E$2))</f>
        <v>0</v>
      </c>
      <c r="D23" s="303">
        <f t="shared" si="0"/>
        <v>0</v>
      </c>
      <c r="E23" s="303">
        <f t="shared" si="1"/>
        <v>0</v>
      </c>
    </row>
    <row r="24" spans="1:5" x14ac:dyDescent="0.25">
      <c r="A24" s="365" t="str">
        <f>'INTERN Kostenrechnung'!$B$15</f>
        <v>Betriebsmedizin / Arbeitsmedizin</v>
      </c>
      <c r="B24" s="302">
        <f>'INTERN Kostenrechnung'!E15</f>
        <v>0</v>
      </c>
      <c r="C24" s="303">
        <f t="shared" ref="C24" si="2">IF($E$2="",0,(B24/$D$5*$D$2/$E$2))</f>
        <v>0</v>
      </c>
      <c r="D24" s="303">
        <f>IF($E$3="",0,(B24/$D$5*$D$3/$E$3))</f>
        <v>0</v>
      </c>
      <c r="E24" s="303">
        <f>IF($E$4="",0,(B24/$D$5*$D$4/$E$4))</f>
        <v>0</v>
      </c>
    </row>
    <row r="25" spans="1:5" x14ac:dyDescent="0.25">
      <c r="A25" s="365" t="str">
        <f>'INTERN Kostenrechnung'!$B$14</f>
        <v>Finanzierungsbeitrag / Sanierungsgeld</v>
      </c>
      <c r="B25" s="302">
        <f>'INTERN Kostenrechnung'!$E$14</f>
        <v>0</v>
      </c>
      <c r="C25" s="303">
        <f>IF($E$2="",0,(B25/$D$5*$D$2/$E$2))</f>
        <v>0</v>
      </c>
      <c r="D25" s="303">
        <f>IF($E$3="",0,(B25/$D$5*$D$3/$E$3))</f>
        <v>0</v>
      </c>
      <c r="E25" s="303">
        <f>IF($E$4="",0,(B25/$D$5*$D$4/$E$4))</f>
        <v>0</v>
      </c>
    </row>
    <row r="26" spans="1:5" x14ac:dyDescent="0.25">
      <c r="A26" s="365" t="str">
        <f>'INTERN Kostenrechnung'!$B$16</f>
        <v>sonstige Personalnebenkosten</v>
      </c>
      <c r="B26" s="302">
        <f>'INTERN Kostenrechnung'!$E$16</f>
        <v>0</v>
      </c>
      <c r="C26" s="303">
        <f>IF($E$2="",0,(B26/$D$5*$D$2/$E$2))</f>
        <v>0</v>
      </c>
      <c r="D26" s="303">
        <f>IF($E$3="",0,(B26/$D$5*$D$3/$E$3))</f>
        <v>0</v>
      </c>
      <c r="E26" s="303">
        <f>IF($E$4="",0,(B26/$D$5*$D$4/$E$4))</f>
        <v>0</v>
      </c>
    </row>
    <row r="27" spans="1:5" s="296" customFormat="1" ht="15" x14ac:dyDescent="0.25">
      <c r="A27" s="311" t="str">
        <f>A19</f>
        <v>sonstige Personalkosten</v>
      </c>
      <c r="B27" s="312">
        <f>SUM(B20:B26)</f>
        <v>0</v>
      </c>
      <c r="C27" s="312">
        <f t="shared" ref="C27:E27" si="3">SUM(C20:C26)</f>
        <v>0</v>
      </c>
      <c r="D27" s="312">
        <f t="shared" si="3"/>
        <v>0</v>
      </c>
      <c r="E27" s="312">
        <f t="shared" si="3"/>
        <v>0</v>
      </c>
    </row>
    <row r="29" spans="1:5" s="296" customFormat="1" ht="15" x14ac:dyDescent="0.25">
      <c r="A29" s="313" t="s">
        <v>338</v>
      </c>
      <c r="B29" s="314">
        <f>'INTERN Kostenrechnung'!$E$33</f>
        <v>0</v>
      </c>
      <c r="C29" s="314">
        <f>'INTERN Kostenrechnung'!J33</f>
        <v>0</v>
      </c>
      <c r="D29" s="314">
        <f>'INTERN Kostenrechnung'!K33</f>
        <v>0</v>
      </c>
      <c r="E29" s="314">
        <f>'INTERN Kostenrechnung'!L33</f>
        <v>0</v>
      </c>
    </row>
    <row r="31" spans="1:5" s="296" customFormat="1" ht="15" x14ac:dyDescent="0.25">
      <c r="A31" s="306" t="s">
        <v>339</v>
      </c>
      <c r="B31" s="307">
        <f>(IF('INTERN Kostenrechnung'!E84&lt;=3000,'INTERN Kostenrechnung'!E99,'INTERN Kostenrechnung'!E99-('INTERN Kostenrechnung'!E84-3000)))-(IF('INTERN Kostenrechnung'!E85&gt;0,'INTERN Kostenrechnung'!E85,0))</f>
        <v>0</v>
      </c>
      <c r="C31" s="307">
        <f>'INTERN Kostenrechnung'!J99-C49-C51</f>
        <v>0</v>
      </c>
      <c r="D31" s="307">
        <f>'INTERN Kostenrechnung'!K99-D49-D51</f>
        <v>0</v>
      </c>
      <c r="E31" s="307">
        <f>'INTERN Kostenrechnung'!L99-E49-E51</f>
        <v>0</v>
      </c>
    </row>
    <row r="33" spans="1:5" s="296" customFormat="1" ht="15" x14ac:dyDescent="0.25">
      <c r="A33" s="306" t="s">
        <v>340</v>
      </c>
      <c r="B33" s="307">
        <f>'INTERN Kostenrechnung'!$E$104</f>
        <v>0</v>
      </c>
      <c r="C33" s="307">
        <f>'INTERN Kostenrechnung'!J104</f>
        <v>0</v>
      </c>
      <c r="D33" s="307">
        <f>'INTERN Kostenrechnung'!K104</f>
        <v>0</v>
      </c>
      <c r="E33" s="307">
        <f>'INTERN Kostenrechnung'!L104</f>
        <v>0</v>
      </c>
    </row>
    <row r="35" spans="1:5" s="296" customFormat="1" ht="15" x14ac:dyDescent="0.25">
      <c r="A35" s="306" t="s">
        <v>341</v>
      </c>
      <c r="B35" s="307">
        <f>'INTERN Kostenrechnung'!$E$112</f>
        <v>0</v>
      </c>
      <c r="C35" s="307">
        <f>'INTERN Kostenrechnung'!J112</f>
        <v>0</v>
      </c>
      <c r="D35" s="307">
        <f>'INTERN Kostenrechnung'!K112</f>
        <v>0</v>
      </c>
      <c r="E35" s="307">
        <f>'INTERN Kostenrechnung'!L112</f>
        <v>0</v>
      </c>
    </row>
    <row r="37" spans="1:5" s="296" customFormat="1" ht="15" x14ac:dyDescent="0.25">
      <c r="A37" s="306" t="s">
        <v>342</v>
      </c>
      <c r="B37" s="307">
        <f>'INTERN Kostenrechnung'!$E$120</f>
        <v>0</v>
      </c>
      <c r="C37" s="307">
        <f>'INTERN Kostenrechnung'!J120</f>
        <v>0</v>
      </c>
      <c r="D37" s="307">
        <f>'INTERN Kostenrechnung'!K120</f>
        <v>0</v>
      </c>
      <c r="E37" s="307">
        <f>'INTERN Kostenrechnung'!L120</f>
        <v>0</v>
      </c>
    </row>
    <row r="39" spans="1:5" s="296" customFormat="1" ht="15" x14ac:dyDescent="0.25">
      <c r="A39" s="306" t="s">
        <v>343</v>
      </c>
      <c r="B39" s="307">
        <f>'INTERN Kostenrechnung'!$E$124</f>
        <v>0</v>
      </c>
      <c r="C39" s="307">
        <f>'INTERN Kostenrechnung'!J124</f>
        <v>0</v>
      </c>
      <c r="D39" s="307">
        <f>'INTERN Kostenrechnung'!K124</f>
        <v>0</v>
      </c>
      <c r="E39" s="307">
        <f>'INTERN Kostenrechnung'!L124</f>
        <v>0</v>
      </c>
    </row>
    <row r="41" spans="1:5" s="296" customFormat="1" ht="15" x14ac:dyDescent="0.25">
      <c r="A41" s="306" t="s">
        <v>344</v>
      </c>
      <c r="B41" s="307">
        <f>'INTERN Kostenrechnung'!$E$134</f>
        <v>0</v>
      </c>
      <c r="C41" s="307">
        <f>'INTERN Kostenrechnung'!J134</f>
        <v>0</v>
      </c>
      <c r="D41" s="307">
        <f>'INTERN Kostenrechnung'!K134</f>
        <v>0</v>
      </c>
      <c r="E41" s="307">
        <f>'INTERN Kostenrechnung'!L134</f>
        <v>0</v>
      </c>
    </row>
    <row r="43" spans="1:5" s="296" customFormat="1" x14ac:dyDescent="0.25">
      <c r="A43" s="308" t="s">
        <v>345</v>
      </c>
      <c r="B43" s="309">
        <f>SUM(B27,B29,B31,B33,B35,B37,B39,B41)</f>
        <v>0</v>
      </c>
      <c r="C43" s="309">
        <f>SUM(C27,C29,C31,C33,C35,C37,C39,C41)</f>
        <v>0</v>
      </c>
      <c r="D43" s="309">
        <f>SUM(D27,D29,D31,D33,D35,D37,D39,D41)</f>
        <v>0</v>
      </c>
      <c r="E43" s="309">
        <f>SUM(E27,E29,E31,E33,E35,E37,E39,E41)</f>
        <v>0</v>
      </c>
    </row>
    <row r="45" spans="1:5" s="296" customFormat="1" x14ac:dyDescent="0.25">
      <c r="A45" s="308" t="s">
        <v>346</v>
      </c>
      <c r="B45" s="309">
        <f>SUM(B17,B43)</f>
        <v>0</v>
      </c>
      <c r="C45" s="309">
        <f>SUM(C17,C43)</f>
        <v>0</v>
      </c>
      <c r="D45" s="309">
        <f>SUM(D17,D43)</f>
        <v>0</v>
      </c>
      <c r="E45" s="309">
        <f>SUM(E17,E43)</f>
        <v>0</v>
      </c>
    </row>
    <row r="47" spans="1:5" ht="15.75" x14ac:dyDescent="0.25">
      <c r="A47" s="315" t="s">
        <v>347</v>
      </c>
      <c r="B47" s="315"/>
      <c r="C47" s="315"/>
      <c r="D47" s="315"/>
      <c r="E47" s="315"/>
    </row>
    <row r="49" spans="1:5" ht="15" x14ac:dyDescent="0.25">
      <c r="A49" s="316" t="s">
        <v>282</v>
      </c>
      <c r="B49" s="307">
        <f>IF('INTERN Kostenrechnung'!$E$84&gt;=3000,'INTERN Kostenrechnung'!$E$84-3000,0)</f>
        <v>0</v>
      </c>
      <c r="C49" s="307">
        <f>IF(E2="",0,B49/E5)</f>
        <v>0</v>
      </c>
      <c r="D49" s="307">
        <f>IF(E3="",0,B49/E5)</f>
        <v>0</v>
      </c>
      <c r="E49" s="307">
        <f>IF(E4="",0,B49/E5)</f>
        <v>0</v>
      </c>
    </row>
    <row r="51" spans="1:5" ht="15" x14ac:dyDescent="0.25">
      <c r="A51" s="316" t="s">
        <v>294</v>
      </c>
      <c r="B51" s="307">
        <f>'INTERN Kostenrechnung'!E85</f>
        <v>0</v>
      </c>
      <c r="C51" s="307">
        <f>IF('INTERN Kostenrechnung'!E85&gt;0,'INTERN Kostenrechnung'!J85,0)</f>
        <v>0</v>
      </c>
      <c r="D51" s="307">
        <f>IF('INTERN Kostenrechnung'!E85&gt;0,'INTERN Kostenrechnung'!K85,0)</f>
        <v>0</v>
      </c>
      <c r="E51" s="307">
        <f>IF('INTERN Kostenrechnung'!E85&gt;0,'INTERN Kostenrechnung'!L85,0)</f>
        <v>0</v>
      </c>
    </row>
    <row r="53" spans="1:5" ht="15" x14ac:dyDescent="0.25">
      <c r="A53" s="316" t="s">
        <v>273</v>
      </c>
      <c r="B53" s="307">
        <f>'INTERN Kostenrechnung'!E123</f>
        <v>0</v>
      </c>
      <c r="C53" s="307">
        <f>IF('INTERN Kostenrechnung'!E123&gt;0,'INTERN Kostenrechnung'!J123,0)</f>
        <v>0</v>
      </c>
      <c r="D53" s="307">
        <f>IF('INTERN Kostenrechnung'!E123&gt;0,'INTERN Kostenrechnung'!K123,0)</f>
        <v>0</v>
      </c>
      <c r="E53" s="307">
        <f>IF('INTERN Kostenrechnung'!E123&gt;0,'INTERN Kostenrechnung'!L123,0)</f>
        <v>0</v>
      </c>
    </row>
    <row r="55" spans="1:5" x14ac:dyDescent="0.25">
      <c r="A55" s="317" t="s">
        <v>346</v>
      </c>
      <c r="B55" s="309">
        <f>B49+B51+B53</f>
        <v>0</v>
      </c>
      <c r="C55" s="309">
        <f>C49+C51+C53</f>
        <v>0</v>
      </c>
      <c r="D55" s="309">
        <f>D49+D51+D53</f>
        <v>0</v>
      </c>
      <c r="E55" s="309">
        <f>E49+E51+E53</f>
        <v>0</v>
      </c>
    </row>
    <row r="56" spans="1:5" ht="15" x14ac:dyDescent="0.25">
      <c r="A56" s="109" t="s">
        <v>348</v>
      </c>
      <c r="B56"/>
      <c r="C56"/>
      <c r="D56"/>
      <c r="E56"/>
    </row>
    <row r="58" spans="1:5" ht="15.75" x14ac:dyDescent="0.25">
      <c r="A58" s="318" t="s">
        <v>349</v>
      </c>
      <c r="B58" s="319">
        <f>B45+B55</f>
        <v>0</v>
      </c>
      <c r="C58" s="319">
        <f>C45+C55</f>
        <v>0</v>
      </c>
      <c r="D58" s="319">
        <f>D45+D55</f>
        <v>0</v>
      </c>
      <c r="E58" s="319">
        <f>E45+E55</f>
        <v>0</v>
      </c>
    </row>
    <row r="132" spans="1:1" ht="15" customHeight="1" x14ac:dyDescent="0.25">
      <c r="A132" s="109"/>
    </row>
    <row r="133" spans="1:1" ht="15" customHeight="1" x14ac:dyDescent="0.25">
      <c r="A133" s="109"/>
    </row>
    <row r="134" spans="1:1" x14ac:dyDescent="0.25">
      <c r="A134" s="109"/>
    </row>
    <row r="135" spans="1:1" x14ac:dyDescent="0.25">
      <c r="A135" s="109"/>
    </row>
    <row r="139" spans="1:1" ht="15" customHeight="1" x14ac:dyDescent="0.25">
      <c r="A139" s="109"/>
    </row>
    <row r="140" spans="1:1" ht="15" customHeight="1" x14ac:dyDescent="0.25">
      <c r="A140" s="109"/>
    </row>
    <row r="141" spans="1:1" ht="15" customHeight="1" x14ac:dyDescent="0.25">
      <c r="A141" s="109"/>
    </row>
    <row r="142" spans="1:1" ht="15" customHeight="1" x14ac:dyDescent="0.25">
      <c r="A142" s="109"/>
    </row>
    <row r="143" spans="1:1" ht="15" customHeight="1" x14ac:dyDescent="0.25">
      <c r="A143" s="109"/>
    </row>
    <row r="144" spans="1:1" ht="15" customHeight="1" x14ac:dyDescent="0.25">
      <c r="A144" s="109"/>
    </row>
    <row r="145" spans="1:1" x14ac:dyDescent="0.25">
      <c r="A145" s="109"/>
    </row>
    <row r="146" spans="1:1" x14ac:dyDescent="0.25">
      <c r="A146" s="109"/>
    </row>
    <row r="151" spans="1:1" ht="15" customHeight="1" x14ac:dyDescent="0.25">
      <c r="A151" s="109"/>
    </row>
    <row r="152" spans="1:1" ht="15" customHeight="1" x14ac:dyDescent="0.25">
      <c r="A152" s="109"/>
    </row>
    <row r="153" spans="1:1" ht="15" customHeight="1" x14ac:dyDescent="0.25">
      <c r="A153" s="109"/>
    </row>
    <row r="154" spans="1:1" ht="15" customHeight="1" x14ac:dyDescent="0.25">
      <c r="A154" s="109"/>
    </row>
    <row r="155" spans="1:1" ht="15" customHeight="1" x14ac:dyDescent="0.25">
      <c r="A155" s="109"/>
    </row>
    <row r="156" spans="1:1" ht="15" customHeight="1" x14ac:dyDescent="0.25">
      <c r="A156" s="109"/>
    </row>
    <row r="157" spans="1:1" x14ac:dyDescent="0.25">
      <c r="A157" s="109"/>
    </row>
    <row r="158" spans="1:1" x14ac:dyDescent="0.25">
      <c r="A158" s="109"/>
    </row>
    <row r="165" spans="1:1" ht="15" customHeight="1" x14ac:dyDescent="0.25">
      <c r="A165" s="109"/>
    </row>
    <row r="166" spans="1:1" ht="15" customHeight="1" x14ac:dyDescent="0.25">
      <c r="A166" s="109"/>
    </row>
    <row r="167" spans="1:1" ht="15" customHeight="1" x14ac:dyDescent="0.25">
      <c r="A167" s="109"/>
    </row>
    <row r="168" spans="1:1" ht="15" customHeight="1" x14ac:dyDescent="0.25">
      <c r="A168" s="109"/>
    </row>
    <row r="169" spans="1:1" ht="15" customHeight="1" x14ac:dyDescent="0.25">
      <c r="A169" s="109"/>
    </row>
    <row r="170" spans="1:1" ht="15" customHeight="1" x14ac:dyDescent="0.25">
      <c r="A170" s="109"/>
    </row>
    <row r="171" spans="1:1" ht="15" customHeight="1" x14ac:dyDescent="0.25">
      <c r="A171" s="109"/>
    </row>
    <row r="172" spans="1:1" ht="15" customHeight="1" x14ac:dyDescent="0.25">
      <c r="A172" s="109"/>
    </row>
    <row r="173" spans="1:1" ht="15" customHeight="1" x14ac:dyDescent="0.25">
      <c r="A173" s="109"/>
    </row>
    <row r="174" spans="1:1" x14ac:dyDescent="0.25">
      <c r="A174" s="109"/>
    </row>
    <row r="175" spans="1:1" x14ac:dyDescent="0.25">
      <c r="A175" s="109"/>
    </row>
  </sheetData>
  <mergeCells count="8">
    <mergeCell ref="A8:A9"/>
    <mergeCell ref="B8:B9"/>
    <mergeCell ref="C8:E8"/>
    <mergeCell ref="B2:C2"/>
    <mergeCell ref="B3:C3"/>
    <mergeCell ref="B4:C4"/>
    <mergeCell ref="B5:C5"/>
    <mergeCell ref="B6:C6"/>
  </mergeCells>
  <printOptions horizontalCentered="1"/>
  <pageMargins left="0.59055118110236227" right="0.59055118110236227" top="1.1811023622047245" bottom="0.78740157480314965" header="0.19685039370078741" footer="0.19685039370078741"/>
  <pageSetup paperSize="9" scale="69" orientation="portrait" r:id="rId1"/>
  <headerFooter>
    <oddHeader xml:space="preserve">&amp;L&amp;"Arial,Fett"&amp;22Salzlandkreis&amp;11
&amp;12Der Landrat&amp;C&amp;"Arial,Fett"
Platzkalkulation
Personal- und Sachkosten&amp;R&amp;G
</oddHeader>
    <oddFooter>&amp;L&amp;"Arial,Standard"&amp;8Ausfertigung vom &amp;D &amp;T&amp;R&amp;"Arial,Standard"&amp;8&amp;P von &amp;N</oddFooter>
  </headerFooter>
  <rowBreaks count="1" manualBreakCount="1">
    <brk id="10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0000"/>
    <pageSetUpPr fitToPage="1"/>
  </sheetPr>
  <dimension ref="A1:W182"/>
  <sheetViews>
    <sheetView showGridLines="0" view="pageLayout" zoomScaleNormal="100" workbookViewId="0">
      <selection activeCell="C1" sqref="C1:R1"/>
    </sheetView>
  </sheetViews>
  <sheetFormatPr baseColWidth="10" defaultColWidth="11.42578125" defaultRowHeight="12.75" x14ac:dyDescent="0.25"/>
  <cols>
    <col min="1" max="1" width="5.42578125" style="243" customWidth="1"/>
    <col min="2" max="2" width="7.140625" style="240" customWidth="1"/>
    <col min="3" max="3" width="6.85546875" style="241" customWidth="1"/>
    <col min="4" max="4" width="5.85546875" style="240" hidden="1" customWidth="1"/>
    <col min="5" max="5" width="7.85546875" style="239" hidden="1" customWidth="1"/>
    <col min="6" max="17" width="4.85546875" style="239" hidden="1" customWidth="1"/>
    <col min="18" max="18" width="6.7109375" style="240" customWidth="1"/>
    <col min="19" max="19" width="7.5703125" style="241" hidden="1" customWidth="1"/>
    <col min="20" max="22" width="11.140625" style="247" customWidth="1"/>
    <col min="23" max="23" width="15.42578125" style="247" customWidth="1"/>
    <col min="24" max="16384" width="11.42578125" style="109"/>
  </cols>
  <sheetData>
    <row r="1" spans="1:23" ht="15" customHeight="1" x14ac:dyDescent="0.25">
      <c r="A1" s="1271" t="s">
        <v>274</v>
      </c>
      <c r="B1" s="1272"/>
      <c r="C1" s="1274">
        <f>IF(Grundlagen!$C$4="","",Grundlagen!$C$4)</f>
        <v>2025</v>
      </c>
      <c r="D1" s="1274"/>
      <c r="E1" s="1274"/>
      <c r="F1" s="1274"/>
      <c r="G1" s="1274"/>
      <c r="H1" s="1274"/>
      <c r="I1" s="1274"/>
      <c r="J1" s="1274"/>
      <c r="K1" s="1274"/>
      <c r="L1" s="1274"/>
      <c r="M1" s="1274"/>
      <c r="N1" s="1274"/>
      <c r="O1" s="1274"/>
      <c r="P1" s="1274"/>
      <c r="Q1" s="1274"/>
      <c r="R1" s="1274"/>
      <c r="S1" s="821"/>
      <c r="T1" s="822"/>
      <c r="U1" s="822"/>
      <c r="V1" s="822"/>
      <c r="W1" s="822"/>
    </row>
    <row r="2" spans="1:23" ht="15" customHeight="1" x14ac:dyDescent="0.25">
      <c r="A2" s="1271" t="s">
        <v>17</v>
      </c>
      <c r="B2" s="1272"/>
      <c r="C2" s="1273" t="str">
        <f>IF(Grundlagen!$C$6="","",Grundlagen!$C$6)</f>
        <v/>
      </c>
      <c r="D2" s="1273"/>
      <c r="E2" s="1273"/>
      <c r="F2" s="1273"/>
      <c r="G2" s="1273"/>
      <c r="H2" s="1273"/>
      <c r="I2" s="1273"/>
      <c r="J2" s="1273"/>
      <c r="K2" s="1273"/>
      <c r="L2" s="1273"/>
      <c r="M2" s="1273"/>
      <c r="N2" s="1273"/>
      <c r="O2" s="1273"/>
      <c r="P2" s="1273"/>
      <c r="Q2" s="1273"/>
      <c r="R2" s="1273"/>
      <c r="S2" s="1273"/>
      <c r="T2" s="1273"/>
      <c r="U2" s="1273"/>
      <c r="V2" s="1273"/>
      <c r="W2" s="1273"/>
    </row>
    <row r="3" spans="1:23" ht="15" customHeight="1" x14ac:dyDescent="0.25">
      <c r="A3" s="1271" t="s">
        <v>16</v>
      </c>
      <c r="B3" s="1272"/>
      <c r="C3" s="1273" t="str">
        <f>IF(Grundlagen!$C$9="","",Grundlagen!$C$9)</f>
        <v/>
      </c>
      <c r="D3" s="1273"/>
      <c r="E3" s="1273"/>
      <c r="F3" s="1273"/>
      <c r="G3" s="1273"/>
      <c r="H3" s="1273"/>
      <c r="I3" s="1273"/>
      <c r="J3" s="1273"/>
      <c r="K3" s="1273"/>
      <c r="L3" s="1273"/>
      <c r="M3" s="1273"/>
      <c r="N3" s="1273"/>
      <c r="O3" s="1273"/>
      <c r="P3" s="1273"/>
      <c r="Q3" s="1273"/>
      <c r="R3" s="1273"/>
      <c r="S3" s="1273"/>
      <c r="T3" s="1273"/>
      <c r="U3" s="1273"/>
      <c r="V3" s="1273"/>
      <c r="W3" s="1273"/>
    </row>
    <row r="4" spans="1:23" x14ac:dyDescent="0.25">
      <c r="A4" s="228"/>
      <c r="B4" s="233"/>
      <c r="C4" s="234"/>
      <c r="D4" s="233"/>
      <c r="E4" s="246"/>
      <c r="F4" s="246"/>
      <c r="G4" s="246"/>
      <c r="H4" s="246"/>
      <c r="I4" s="246"/>
      <c r="J4" s="246"/>
      <c r="K4" s="246"/>
      <c r="L4" s="246"/>
      <c r="M4" s="246"/>
      <c r="N4" s="246"/>
      <c r="O4" s="246"/>
      <c r="P4" s="246"/>
      <c r="Q4" s="246"/>
      <c r="R4" s="233"/>
    </row>
    <row r="5" spans="1:23" s="241" customFormat="1" ht="12.75" customHeight="1" x14ac:dyDescent="0.25">
      <c r="A5" s="1118" t="s">
        <v>275</v>
      </c>
      <c r="B5" s="1282" t="s">
        <v>276</v>
      </c>
      <c r="C5" s="1118" t="s">
        <v>277</v>
      </c>
      <c r="D5" s="1118" t="s">
        <v>295</v>
      </c>
      <c r="E5" s="1118" t="s">
        <v>296</v>
      </c>
      <c r="F5" s="1118">
        <v>1</v>
      </c>
      <c r="G5" s="1118" t="s">
        <v>297</v>
      </c>
      <c r="H5" s="1118" t="s">
        <v>298</v>
      </c>
      <c r="I5" s="1278" t="s">
        <v>299</v>
      </c>
      <c r="J5" s="1278" t="s">
        <v>300</v>
      </c>
      <c r="K5" s="1278" t="s">
        <v>301</v>
      </c>
      <c r="L5" s="1278" t="s">
        <v>302</v>
      </c>
      <c r="M5" s="1278" t="s">
        <v>303</v>
      </c>
      <c r="N5" s="1278" t="s">
        <v>304</v>
      </c>
      <c r="O5" s="1278" t="s">
        <v>305</v>
      </c>
      <c r="P5" s="1278" t="s">
        <v>306</v>
      </c>
      <c r="Q5" s="1278" t="s">
        <v>307</v>
      </c>
      <c r="R5" s="1278" t="s">
        <v>278</v>
      </c>
      <c r="S5" s="1278" t="s">
        <v>308</v>
      </c>
      <c r="T5" s="1278" t="s">
        <v>309</v>
      </c>
      <c r="U5" s="1278" t="s">
        <v>310</v>
      </c>
      <c r="V5" s="1278" t="s">
        <v>311</v>
      </c>
      <c r="W5" s="1278" t="s">
        <v>280</v>
      </c>
    </row>
    <row r="6" spans="1:23" s="248" customFormat="1" ht="12.75" customHeight="1" x14ac:dyDescent="0.25">
      <c r="A6" s="1119"/>
      <c r="B6" s="1283"/>
      <c r="C6" s="1119"/>
      <c r="D6" s="1119"/>
      <c r="E6" s="1119"/>
      <c r="F6" s="1119"/>
      <c r="G6" s="1119"/>
      <c r="H6" s="1119"/>
      <c r="I6" s="1278"/>
      <c r="J6" s="1278"/>
      <c r="K6" s="1278"/>
      <c r="L6" s="1278"/>
      <c r="M6" s="1278"/>
      <c r="N6" s="1278"/>
      <c r="O6" s="1278"/>
      <c r="P6" s="1278"/>
      <c r="Q6" s="1278"/>
      <c r="R6" s="1278"/>
      <c r="S6" s="1278"/>
      <c r="T6" s="1278"/>
      <c r="U6" s="1278"/>
      <c r="V6" s="1278"/>
      <c r="W6" s="1278"/>
    </row>
    <row r="7" spans="1:23" s="248" customFormat="1" ht="12.75" customHeight="1" x14ac:dyDescent="0.25">
      <c r="A7" s="1119"/>
      <c r="B7" s="1283"/>
      <c r="C7" s="1119"/>
      <c r="D7" s="1119"/>
      <c r="E7" s="1119"/>
      <c r="F7" s="1119"/>
      <c r="G7" s="1119"/>
      <c r="H7" s="1119"/>
      <c r="I7" s="1278"/>
      <c r="J7" s="1278"/>
      <c r="K7" s="1278"/>
      <c r="L7" s="1278"/>
      <c r="M7" s="1278"/>
      <c r="N7" s="1278"/>
      <c r="O7" s="1278"/>
      <c r="P7" s="1278"/>
      <c r="Q7" s="1278"/>
      <c r="R7" s="1278"/>
      <c r="S7" s="1278"/>
      <c r="T7" s="1278"/>
      <c r="U7" s="1278"/>
      <c r="V7" s="1278"/>
      <c r="W7" s="1278"/>
    </row>
    <row r="8" spans="1:23" s="248" customFormat="1" ht="12.75" customHeight="1" x14ac:dyDescent="0.25">
      <c r="A8" s="1120"/>
      <c r="B8" s="1284"/>
      <c r="C8" s="220" t="s">
        <v>281</v>
      </c>
      <c r="D8" s="1120"/>
      <c r="E8" s="1120"/>
      <c r="F8" s="1120"/>
      <c r="G8" s="1120"/>
      <c r="H8" s="1120"/>
      <c r="I8" s="1278"/>
      <c r="J8" s="1278"/>
      <c r="K8" s="1278"/>
      <c r="L8" s="1278"/>
      <c r="M8" s="1278"/>
      <c r="N8" s="1278"/>
      <c r="O8" s="1278"/>
      <c r="P8" s="1278"/>
      <c r="Q8" s="1278"/>
      <c r="R8" s="1278"/>
      <c r="S8" s="1278"/>
      <c r="T8" s="1278"/>
      <c r="U8" s="1278"/>
      <c r="V8" s="1278"/>
      <c r="W8" s="1278"/>
    </row>
    <row r="9" spans="1:23" s="248" customFormat="1" x14ac:dyDescent="0.25">
      <c r="A9" s="231"/>
      <c r="B9" s="232"/>
      <c r="C9" s="231"/>
      <c r="D9" s="232"/>
      <c r="E9" s="249"/>
      <c r="F9" s="249"/>
      <c r="G9" s="249"/>
      <c r="H9" s="249"/>
      <c r="I9" s="249"/>
      <c r="J9" s="249"/>
      <c r="K9" s="249"/>
      <c r="L9" s="249"/>
      <c r="M9" s="249"/>
      <c r="N9" s="249"/>
      <c r="O9" s="249"/>
      <c r="P9" s="249"/>
      <c r="Q9" s="249"/>
      <c r="R9" s="232"/>
      <c r="S9" s="231"/>
      <c r="T9" s="250"/>
      <c r="U9" s="250"/>
      <c r="V9" s="250"/>
      <c r="W9" s="250"/>
    </row>
    <row r="10" spans="1:23" s="248" customFormat="1" x14ac:dyDescent="0.25">
      <c r="A10" s="251" t="s">
        <v>312</v>
      </c>
      <c r="B10" s="232"/>
      <c r="C10" s="231"/>
      <c r="D10" s="232"/>
      <c r="E10" s="249"/>
      <c r="F10" s="249"/>
      <c r="G10" s="249"/>
      <c r="H10" s="249"/>
      <c r="I10" s="249"/>
      <c r="J10" s="249"/>
      <c r="K10" s="249"/>
      <c r="L10" s="249"/>
      <c r="M10" s="249"/>
      <c r="N10" s="249"/>
      <c r="O10" s="249"/>
      <c r="P10" s="249"/>
      <c r="Q10" s="249"/>
      <c r="R10" s="232"/>
      <c r="S10" s="231"/>
      <c r="T10" s="250"/>
      <c r="U10" s="250"/>
      <c r="V10" s="250"/>
      <c r="W10" s="250"/>
    </row>
    <row r="11" spans="1:23" s="248" customFormat="1" x14ac:dyDescent="0.25">
      <c r="A11" s="1279"/>
      <c r="B11" s="1280"/>
      <c r="C11" s="1280"/>
      <c r="D11" s="1280"/>
      <c r="E11" s="1280"/>
      <c r="F11" s="1280"/>
      <c r="G11" s="1280"/>
      <c r="H11" s="1280"/>
      <c r="I11" s="1280"/>
      <c r="J11" s="1280"/>
      <c r="K11" s="1280"/>
      <c r="L11" s="1280"/>
      <c r="M11" s="1280"/>
      <c r="N11" s="1280"/>
      <c r="O11" s="1280"/>
      <c r="P11" s="1280"/>
      <c r="Q11" s="1280"/>
      <c r="R11" s="1280"/>
      <c r="S11" s="1280"/>
      <c r="T11" s="1280"/>
      <c r="U11" s="1280"/>
      <c r="V11" s="1280"/>
      <c r="W11" s="1281"/>
    </row>
    <row r="12" spans="1:23" ht="28.35" customHeight="1" x14ac:dyDescent="0.25">
      <c r="A12" s="222" t="s">
        <v>313</v>
      </c>
      <c r="B12" s="223" t="s">
        <v>284</v>
      </c>
      <c r="C12" s="252">
        <v>4</v>
      </c>
      <c r="D12" s="224">
        <v>0.4</v>
      </c>
      <c r="E12" s="224">
        <f>C12*E18/C18</f>
        <v>0.4</v>
      </c>
      <c r="F12" s="253">
        <f>Belegung!B8</f>
        <v>0</v>
      </c>
      <c r="G12" s="253">
        <f>Belegung!C8</f>
        <v>0</v>
      </c>
      <c r="H12" s="253">
        <f>Belegung!D8</f>
        <v>0</v>
      </c>
      <c r="I12" s="253">
        <f>Belegung!E8</f>
        <v>0</v>
      </c>
      <c r="J12" s="253">
        <f>Belegung!F8</f>
        <v>0</v>
      </c>
      <c r="K12" s="253">
        <f>Belegung!G8</f>
        <v>0</v>
      </c>
      <c r="L12" s="253">
        <f>Belegung!H8</f>
        <v>0</v>
      </c>
      <c r="M12" s="253">
        <f>Belegung!I8</f>
        <v>0</v>
      </c>
      <c r="N12" s="253">
        <f>Belegung!J8</f>
        <v>0</v>
      </c>
      <c r="O12" s="253">
        <f>Belegung!K8</f>
        <v>0</v>
      </c>
      <c r="P12" s="253">
        <f>Belegung!L8</f>
        <v>0</v>
      </c>
      <c r="Q12" s="253">
        <f>Belegung!M8</f>
        <v>0</v>
      </c>
      <c r="R12" s="225">
        <f>IF(SUM(F12:Q12)=0,0,(SUM(F12:Q12)/Grundlagen!$C$26))</f>
        <v>0</v>
      </c>
      <c r="S12" s="254">
        <f>R12*E12</f>
        <v>0</v>
      </c>
      <c r="T12" s="255">
        <f>IF($R$25=0,0,$T$18*E12)</f>
        <v>0</v>
      </c>
      <c r="U12" s="255">
        <f>IF($W$25="",0,$W$25)</f>
        <v>0</v>
      </c>
      <c r="V12" s="255">
        <f>SUM(T12:U12)</f>
        <v>0</v>
      </c>
      <c r="W12" s="256">
        <f>IF(R24="",0,V12*R24*R12)</f>
        <v>0</v>
      </c>
    </row>
    <row r="13" spans="1:23" ht="28.35" customHeight="1" x14ac:dyDescent="0.25">
      <c r="A13" s="222" t="s">
        <v>297</v>
      </c>
      <c r="B13" s="223" t="s">
        <v>284</v>
      </c>
      <c r="C13" s="252">
        <v>5</v>
      </c>
      <c r="D13" s="224">
        <v>0.5</v>
      </c>
      <c r="E13" s="224">
        <f>C13*E18/C18</f>
        <v>0.5</v>
      </c>
      <c r="F13" s="253">
        <f>Belegung!B9</f>
        <v>0</v>
      </c>
      <c r="G13" s="253">
        <f>Belegung!C9</f>
        <v>0</v>
      </c>
      <c r="H13" s="253">
        <f>Belegung!D9</f>
        <v>0</v>
      </c>
      <c r="I13" s="253">
        <f>Belegung!E9</f>
        <v>0</v>
      </c>
      <c r="J13" s="253">
        <f>Belegung!F9</f>
        <v>0</v>
      </c>
      <c r="K13" s="253">
        <f>Belegung!G9</f>
        <v>0</v>
      </c>
      <c r="L13" s="253">
        <f>Belegung!H9</f>
        <v>0</v>
      </c>
      <c r="M13" s="253">
        <f>Belegung!I9</f>
        <v>0</v>
      </c>
      <c r="N13" s="253">
        <f>Belegung!J9</f>
        <v>0</v>
      </c>
      <c r="O13" s="253">
        <f>Belegung!K9</f>
        <v>0</v>
      </c>
      <c r="P13" s="253">
        <f>Belegung!L9</f>
        <v>0</v>
      </c>
      <c r="Q13" s="253">
        <f>Belegung!M9</f>
        <v>0</v>
      </c>
      <c r="R13" s="225">
        <f>IF(SUM(F13:Q13)=0,0,(SUM(F13:Q13)/Grundlagen!$C$26))</f>
        <v>0</v>
      </c>
      <c r="S13" s="254">
        <f t="shared" ref="S13:S19" si="0">R13*E13</f>
        <v>0</v>
      </c>
      <c r="T13" s="255">
        <f t="shared" ref="T13:T17" si="1">IF($R$25=0,0,$T$18*E13)</f>
        <v>0</v>
      </c>
      <c r="U13" s="255">
        <f>IF($W$25="",0,$W$25)</f>
        <v>0</v>
      </c>
      <c r="V13" s="255">
        <f>SUM(T13:U13)</f>
        <v>0</v>
      </c>
      <c r="W13" s="256">
        <f>IF(R24="",0,V13*R24*R13)</f>
        <v>0</v>
      </c>
    </row>
    <row r="14" spans="1:23" s="241" customFormat="1" ht="28.35" customHeight="1" x14ac:dyDescent="0.25">
      <c r="A14" s="222" t="s">
        <v>298</v>
      </c>
      <c r="B14" s="223" t="s">
        <v>284</v>
      </c>
      <c r="C14" s="252">
        <v>6</v>
      </c>
      <c r="D14" s="224">
        <v>0.6</v>
      </c>
      <c r="E14" s="257">
        <f>C14*E18/C18</f>
        <v>0.6</v>
      </c>
      <c r="F14" s="253">
        <f>Belegung!B10</f>
        <v>0</v>
      </c>
      <c r="G14" s="253">
        <f>Belegung!C10</f>
        <v>0</v>
      </c>
      <c r="H14" s="253">
        <f>Belegung!D10</f>
        <v>0</v>
      </c>
      <c r="I14" s="253">
        <f>Belegung!E10</f>
        <v>0</v>
      </c>
      <c r="J14" s="253">
        <f>Belegung!F10</f>
        <v>0</v>
      </c>
      <c r="K14" s="253">
        <f>Belegung!G10</f>
        <v>0</v>
      </c>
      <c r="L14" s="253">
        <f>Belegung!H10</f>
        <v>0</v>
      </c>
      <c r="M14" s="253">
        <f>Belegung!I10</f>
        <v>0</v>
      </c>
      <c r="N14" s="253">
        <f>Belegung!J10</f>
        <v>0</v>
      </c>
      <c r="O14" s="253">
        <f>Belegung!K10</f>
        <v>0</v>
      </c>
      <c r="P14" s="253">
        <f>Belegung!L10</f>
        <v>0</v>
      </c>
      <c r="Q14" s="253">
        <f>Belegung!M10</f>
        <v>0</v>
      </c>
      <c r="R14" s="225">
        <f>IF(SUM(F14:Q14)=0,0,(SUM(F14:Q14)/Grundlagen!$C$26))</f>
        <v>0</v>
      </c>
      <c r="S14" s="254">
        <f t="shared" si="0"/>
        <v>0</v>
      </c>
      <c r="T14" s="255">
        <f t="shared" si="1"/>
        <v>0</v>
      </c>
      <c r="U14" s="255">
        <f t="shared" ref="U14:U17" si="2">IF($W$25="",0,$W$25)</f>
        <v>0</v>
      </c>
      <c r="V14" s="255">
        <f t="shared" ref="V14:V19" si="3">SUM(T14:U14)</f>
        <v>0</v>
      </c>
      <c r="W14" s="256">
        <f>IF(R24="",0,V14*R24*R14)</f>
        <v>0</v>
      </c>
    </row>
    <row r="15" spans="1:23" s="241" customFormat="1" ht="28.35" customHeight="1" x14ac:dyDescent="0.25">
      <c r="A15" s="222" t="s">
        <v>299</v>
      </c>
      <c r="B15" s="223" t="s">
        <v>284</v>
      </c>
      <c r="C15" s="252">
        <v>7</v>
      </c>
      <c r="D15" s="224">
        <v>0.7</v>
      </c>
      <c r="E15" s="257">
        <f>C15*E18/C18</f>
        <v>0.7</v>
      </c>
      <c r="F15" s="253">
        <f>Belegung!B11</f>
        <v>0</v>
      </c>
      <c r="G15" s="253">
        <f>Belegung!C11</f>
        <v>0</v>
      </c>
      <c r="H15" s="253">
        <f>Belegung!D11</f>
        <v>0</v>
      </c>
      <c r="I15" s="253">
        <f>Belegung!E11</f>
        <v>0</v>
      </c>
      <c r="J15" s="253">
        <f>Belegung!F11</f>
        <v>0</v>
      </c>
      <c r="K15" s="253">
        <f>Belegung!G11</f>
        <v>0</v>
      </c>
      <c r="L15" s="253">
        <f>Belegung!H11</f>
        <v>0</v>
      </c>
      <c r="M15" s="253">
        <f>Belegung!I11</f>
        <v>0</v>
      </c>
      <c r="N15" s="253">
        <f>Belegung!J11</f>
        <v>0</v>
      </c>
      <c r="O15" s="253">
        <f>Belegung!K11</f>
        <v>0</v>
      </c>
      <c r="P15" s="253">
        <f>Belegung!L11</f>
        <v>0</v>
      </c>
      <c r="Q15" s="253">
        <f>Belegung!M11</f>
        <v>0</v>
      </c>
      <c r="R15" s="225">
        <f>IF(SUM(F15:Q15)=0,0,(SUM(F15:Q15)/Grundlagen!$C$26))</f>
        <v>0</v>
      </c>
      <c r="S15" s="254">
        <f t="shared" si="0"/>
        <v>0</v>
      </c>
      <c r="T15" s="255">
        <f t="shared" si="1"/>
        <v>0</v>
      </c>
      <c r="U15" s="255">
        <f t="shared" si="2"/>
        <v>0</v>
      </c>
      <c r="V15" s="255">
        <f t="shared" si="3"/>
        <v>0</v>
      </c>
      <c r="W15" s="256">
        <f>IF(R24="",0,V15*R24*R15)</f>
        <v>0</v>
      </c>
    </row>
    <row r="16" spans="1:23" s="241" customFormat="1" ht="28.35" customHeight="1" x14ac:dyDescent="0.25">
      <c r="A16" s="222" t="s">
        <v>300</v>
      </c>
      <c r="B16" s="223" t="s">
        <v>284</v>
      </c>
      <c r="C16" s="252">
        <v>8</v>
      </c>
      <c r="D16" s="224">
        <v>0.8</v>
      </c>
      <c r="E16" s="257">
        <f>C16*E18/C18</f>
        <v>0.8</v>
      </c>
      <c r="F16" s="253">
        <f>Belegung!B12</f>
        <v>0</v>
      </c>
      <c r="G16" s="253">
        <f>Belegung!C12</f>
        <v>0</v>
      </c>
      <c r="H16" s="253">
        <f>Belegung!D12</f>
        <v>0</v>
      </c>
      <c r="I16" s="253">
        <f>Belegung!E12</f>
        <v>0</v>
      </c>
      <c r="J16" s="253">
        <f>Belegung!F12</f>
        <v>0</v>
      </c>
      <c r="K16" s="253">
        <f>Belegung!G12</f>
        <v>0</v>
      </c>
      <c r="L16" s="253">
        <f>Belegung!H12</f>
        <v>0</v>
      </c>
      <c r="M16" s="253">
        <f>Belegung!I12</f>
        <v>0</v>
      </c>
      <c r="N16" s="253">
        <f>Belegung!J12</f>
        <v>0</v>
      </c>
      <c r="O16" s="253">
        <f>Belegung!K12</f>
        <v>0</v>
      </c>
      <c r="P16" s="253">
        <f>Belegung!L12</f>
        <v>0</v>
      </c>
      <c r="Q16" s="253">
        <f>Belegung!M12</f>
        <v>0</v>
      </c>
      <c r="R16" s="225">
        <f>IF(SUM(F16:Q16)=0,0,(SUM(F16:Q16)/Grundlagen!$C$26))</f>
        <v>0</v>
      </c>
      <c r="S16" s="254">
        <f t="shared" si="0"/>
        <v>0</v>
      </c>
      <c r="T16" s="255">
        <f t="shared" si="1"/>
        <v>0</v>
      </c>
      <c r="U16" s="255">
        <f t="shared" si="2"/>
        <v>0</v>
      </c>
      <c r="V16" s="255">
        <f>SUM(T16:U16)</f>
        <v>0</v>
      </c>
      <c r="W16" s="256">
        <f>IF(R24="",0,V16*R24*R16)</f>
        <v>0</v>
      </c>
    </row>
    <row r="17" spans="1:23" s="241" customFormat="1" ht="28.35" customHeight="1" x14ac:dyDescent="0.25">
      <c r="A17" s="222" t="s">
        <v>301</v>
      </c>
      <c r="B17" s="223" t="s">
        <v>284</v>
      </c>
      <c r="C17" s="252">
        <v>9</v>
      </c>
      <c r="D17" s="224">
        <v>0.9</v>
      </c>
      <c r="E17" s="257">
        <f>C17*E18/C18</f>
        <v>0.9</v>
      </c>
      <c r="F17" s="253">
        <f>Belegung!B13</f>
        <v>0</v>
      </c>
      <c r="G17" s="253">
        <f>Belegung!C13</f>
        <v>0</v>
      </c>
      <c r="H17" s="253">
        <f>Belegung!D13</f>
        <v>0</v>
      </c>
      <c r="I17" s="253">
        <f>Belegung!E13</f>
        <v>0</v>
      </c>
      <c r="J17" s="253">
        <f>Belegung!F13</f>
        <v>0</v>
      </c>
      <c r="K17" s="253">
        <f>Belegung!G13</f>
        <v>0</v>
      </c>
      <c r="L17" s="253">
        <f>Belegung!H13</f>
        <v>0</v>
      </c>
      <c r="M17" s="253">
        <f>Belegung!I13</f>
        <v>0</v>
      </c>
      <c r="N17" s="253">
        <f>Belegung!J13</f>
        <v>0</v>
      </c>
      <c r="O17" s="253">
        <f>Belegung!K13</f>
        <v>0</v>
      </c>
      <c r="P17" s="253">
        <f>Belegung!L13</f>
        <v>0</v>
      </c>
      <c r="Q17" s="253">
        <f>Belegung!M13</f>
        <v>0</v>
      </c>
      <c r="R17" s="225">
        <f>IF(SUM(F17:Q17)=0,0,(SUM(F17:Q17)/Grundlagen!$C$26))</f>
        <v>0</v>
      </c>
      <c r="S17" s="254">
        <f t="shared" si="0"/>
        <v>0</v>
      </c>
      <c r="T17" s="255">
        <f t="shared" si="1"/>
        <v>0</v>
      </c>
      <c r="U17" s="255">
        <f t="shared" si="2"/>
        <v>0</v>
      </c>
      <c r="V17" s="255">
        <f t="shared" si="3"/>
        <v>0</v>
      </c>
      <c r="W17" s="256">
        <f>IF(R24="",0,V17*R24*R17)</f>
        <v>0</v>
      </c>
    </row>
    <row r="18" spans="1:23" s="241" customFormat="1" ht="28.35" customHeight="1" x14ac:dyDescent="0.25">
      <c r="A18" s="222" t="s">
        <v>302</v>
      </c>
      <c r="B18" s="223" t="s">
        <v>284</v>
      </c>
      <c r="C18" s="252">
        <v>10</v>
      </c>
      <c r="D18" s="224">
        <v>1</v>
      </c>
      <c r="E18" s="257">
        <v>1</v>
      </c>
      <c r="F18" s="253">
        <f>Belegung!B14</f>
        <v>0</v>
      </c>
      <c r="G18" s="253">
        <f>Belegung!C14</f>
        <v>0</v>
      </c>
      <c r="H18" s="253">
        <f>Belegung!D14</f>
        <v>0</v>
      </c>
      <c r="I18" s="253">
        <f>Belegung!E14</f>
        <v>0</v>
      </c>
      <c r="J18" s="253">
        <f>Belegung!F14</f>
        <v>0</v>
      </c>
      <c r="K18" s="253">
        <f>Belegung!G14</f>
        <v>0</v>
      </c>
      <c r="L18" s="253">
        <f>Belegung!H14</f>
        <v>0</v>
      </c>
      <c r="M18" s="253">
        <f>Belegung!I14</f>
        <v>0</v>
      </c>
      <c r="N18" s="253">
        <f>Belegung!J14</f>
        <v>0</v>
      </c>
      <c r="O18" s="253">
        <f>Belegung!K14</f>
        <v>0</v>
      </c>
      <c r="P18" s="253">
        <f>Belegung!L14</f>
        <v>0</v>
      </c>
      <c r="Q18" s="253">
        <f>Belegung!M14</f>
        <v>0</v>
      </c>
      <c r="R18" s="225">
        <f>IF(SUM(F18:Q18)=0,0,(SUM(F18:Q18)/Grundlagen!$C$26))</f>
        <v>0</v>
      </c>
      <c r="S18" s="254">
        <f t="shared" si="0"/>
        <v>0</v>
      </c>
      <c r="T18" s="255">
        <f>IF(R25="",0,R25)</f>
        <v>0</v>
      </c>
      <c r="U18" s="255">
        <f>IF($W$25="",0,$W$25)</f>
        <v>0</v>
      </c>
      <c r="V18" s="255">
        <f t="shared" si="3"/>
        <v>0</v>
      </c>
      <c r="W18" s="256">
        <f>IF(R24="",0,V18*R24*R18)</f>
        <v>0</v>
      </c>
    </row>
    <row r="19" spans="1:23" s="241" customFormat="1" ht="28.35" hidden="1" customHeight="1" x14ac:dyDescent="0.25">
      <c r="A19" s="222" t="s">
        <v>303</v>
      </c>
      <c r="B19" s="223" t="s">
        <v>284</v>
      </c>
      <c r="C19" s="252">
        <v>11</v>
      </c>
      <c r="D19" s="224">
        <v>1.1000000000000001</v>
      </c>
      <c r="E19" s="257">
        <f>C19*E18/C18</f>
        <v>1.1000000000000001</v>
      </c>
      <c r="F19" s="253">
        <f>Belegung!B15</f>
        <v>0</v>
      </c>
      <c r="G19" s="253">
        <f>Belegung!C15</f>
        <v>0</v>
      </c>
      <c r="H19" s="253">
        <f>Belegung!D15</f>
        <v>0</v>
      </c>
      <c r="I19" s="253">
        <f>Belegung!E15</f>
        <v>0</v>
      </c>
      <c r="J19" s="253">
        <f>Belegung!F15</f>
        <v>0</v>
      </c>
      <c r="K19" s="253">
        <f>Belegung!G15</f>
        <v>0</v>
      </c>
      <c r="L19" s="253">
        <f>Belegung!H15</f>
        <v>0</v>
      </c>
      <c r="M19" s="253">
        <f>Belegung!I15</f>
        <v>0</v>
      </c>
      <c r="N19" s="253">
        <f>Belegung!J15</f>
        <v>0</v>
      </c>
      <c r="O19" s="253">
        <f>Belegung!K15</f>
        <v>0</v>
      </c>
      <c r="P19" s="253">
        <f>Belegung!L15</f>
        <v>0</v>
      </c>
      <c r="Q19" s="253">
        <f>Belegung!M15</f>
        <v>0</v>
      </c>
      <c r="R19" s="225">
        <f t="shared" ref="R19" si="4">IF(SUM(F19:Q19)=0,0,(SUM(F19:Q19)/12))</f>
        <v>0</v>
      </c>
      <c r="S19" s="254">
        <f t="shared" si="0"/>
        <v>0</v>
      </c>
      <c r="T19" s="255">
        <f>IF($R$25=0,0,$T$18*E19)</f>
        <v>0</v>
      </c>
      <c r="U19" s="255">
        <f>IF($W$25="",0,$W$25)</f>
        <v>0</v>
      </c>
      <c r="V19" s="255">
        <f t="shared" si="3"/>
        <v>0</v>
      </c>
      <c r="W19" s="256">
        <f t="shared" ref="W19" si="5">V19*12*R19</f>
        <v>0</v>
      </c>
    </row>
    <row r="20" spans="1:23" s="241" customFormat="1" ht="28.35" customHeight="1" x14ac:dyDescent="0.25">
      <c r="A20" s="228"/>
      <c r="B20" s="227"/>
      <c r="C20" s="234"/>
      <c r="D20" s="258"/>
      <c r="E20" s="259"/>
      <c r="F20" s="260"/>
      <c r="G20" s="260"/>
      <c r="H20" s="260"/>
      <c r="I20" s="260"/>
      <c r="J20" s="260"/>
      <c r="K20" s="260"/>
      <c r="L20" s="260"/>
      <c r="M20" s="260"/>
      <c r="N20" s="260"/>
      <c r="O20" s="260"/>
      <c r="P20" s="260"/>
      <c r="Q20" s="260"/>
      <c r="R20" s="225">
        <f>SUM(R12:R19)</f>
        <v>0</v>
      </c>
      <c r="S20" s="254">
        <f>SUM(S12:S19)</f>
        <v>0</v>
      </c>
      <c r="T20" s="261"/>
      <c r="U20" s="261"/>
      <c r="V20" s="261"/>
      <c r="W20" s="256">
        <f>SUM(W12:W19)</f>
        <v>0</v>
      </c>
    </row>
    <row r="21" spans="1:23" ht="12.6" customHeight="1" x14ac:dyDescent="0.25">
      <c r="A21" s="231"/>
      <c r="B21" s="232"/>
      <c r="C21" s="231"/>
      <c r="D21" s="232"/>
      <c r="E21" s="249"/>
      <c r="F21" s="249"/>
      <c r="G21" s="249"/>
      <c r="H21" s="249"/>
      <c r="I21" s="249"/>
      <c r="J21" s="249"/>
      <c r="K21" s="249"/>
      <c r="L21" s="249"/>
      <c r="M21" s="249"/>
      <c r="N21" s="249"/>
      <c r="O21" s="249"/>
      <c r="P21" s="249"/>
      <c r="Q21" s="249"/>
      <c r="R21" s="232"/>
      <c r="S21" s="231"/>
      <c r="T21" s="109"/>
      <c r="U21" s="109"/>
      <c r="V21" s="109"/>
      <c r="W21" s="109"/>
    </row>
    <row r="22" spans="1:23" ht="12.6" customHeight="1" x14ac:dyDescent="0.25">
      <c r="A22" s="262"/>
      <c r="B22" s="263"/>
      <c r="C22" s="264" t="s">
        <v>314</v>
      </c>
      <c r="D22" s="265"/>
      <c r="E22" s="266"/>
      <c r="F22" s="266"/>
      <c r="G22" s="266"/>
      <c r="H22" s="266"/>
      <c r="I22" s="266"/>
      <c r="J22" s="266"/>
      <c r="K22" s="266"/>
      <c r="L22" s="266"/>
      <c r="M22" s="266"/>
      <c r="N22" s="266"/>
      <c r="O22" s="266"/>
      <c r="P22" s="266"/>
      <c r="Q22" s="266"/>
      <c r="R22" s="1275" t="str">
        <f>IF('INTERN Personal- und Sachkosten'!$C$17=0,"",('INTERN Personal- und Sachkosten'!$C$17*R20))</f>
        <v/>
      </c>
      <c r="S22" s="1276"/>
      <c r="T22" s="1277"/>
      <c r="U22" s="267"/>
      <c r="V22" s="268" t="s">
        <v>310</v>
      </c>
      <c r="W22" s="269" t="str">
        <f>IF('INTERN Personal- und Sachkosten'!$C$43=0,"",('INTERN Personal- und Sachkosten'!$C$43*R20))</f>
        <v/>
      </c>
    </row>
    <row r="23" spans="1:23" ht="12.6" customHeight="1" x14ac:dyDescent="0.25">
      <c r="A23" s="262"/>
      <c r="B23" s="263"/>
      <c r="C23" s="264" t="s">
        <v>315</v>
      </c>
      <c r="D23" s="270"/>
      <c r="E23" s="271"/>
      <c r="F23" s="271"/>
      <c r="G23" s="271"/>
      <c r="H23" s="271"/>
      <c r="I23" s="271"/>
      <c r="J23" s="271"/>
      <c r="K23" s="271"/>
      <c r="L23" s="271"/>
      <c r="M23" s="271"/>
      <c r="N23" s="271"/>
      <c r="O23" s="271"/>
      <c r="P23" s="271"/>
      <c r="Q23" s="271"/>
      <c r="R23" s="1285" t="str">
        <f>IF(S20=0,"",S20)</f>
        <v/>
      </c>
      <c r="S23" s="1286"/>
      <c r="T23" s="1287"/>
      <c r="U23" s="267"/>
      <c r="V23" s="268" t="s">
        <v>291</v>
      </c>
      <c r="W23" s="272" t="str">
        <f>IF(R20=0,"",R20)</f>
        <v/>
      </c>
    </row>
    <row r="24" spans="1:23" ht="12.6" customHeight="1" x14ac:dyDescent="0.25">
      <c r="A24" s="262"/>
      <c r="B24" s="263"/>
      <c r="C24" s="264" t="s">
        <v>292</v>
      </c>
      <c r="D24" s="270"/>
      <c r="E24" s="273"/>
      <c r="F24" s="274"/>
      <c r="G24" s="274"/>
      <c r="H24" s="274"/>
      <c r="I24" s="274"/>
      <c r="J24" s="274"/>
      <c r="K24" s="274"/>
      <c r="L24" s="274"/>
      <c r="M24" s="274"/>
      <c r="N24" s="274"/>
      <c r="O24" s="274"/>
      <c r="P24" s="274"/>
      <c r="Q24" s="274"/>
      <c r="R24" s="1288" t="str">
        <f>IF(R23="","",Grundlagen!C26)</f>
        <v/>
      </c>
      <c r="S24" s="1289"/>
      <c r="T24" s="1290"/>
      <c r="U24" s="267"/>
      <c r="V24" s="268" t="s">
        <v>292</v>
      </c>
      <c r="W24" s="275" t="str">
        <f>IF(W23="","",R24)</f>
        <v/>
      </c>
    </row>
    <row r="25" spans="1:23" ht="12.6" customHeight="1" x14ac:dyDescent="0.25">
      <c r="A25" s="262"/>
      <c r="B25" s="263"/>
      <c r="C25" s="264" t="s">
        <v>293</v>
      </c>
      <c r="D25" s="270"/>
      <c r="E25" s="266"/>
      <c r="F25" s="274"/>
      <c r="G25" s="274"/>
      <c r="H25" s="274"/>
      <c r="I25" s="274"/>
      <c r="J25" s="274"/>
      <c r="K25" s="274"/>
      <c r="L25" s="274"/>
      <c r="M25" s="274"/>
      <c r="N25" s="274"/>
      <c r="O25" s="274"/>
      <c r="P25" s="274"/>
      <c r="Q25" s="274"/>
      <c r="R25" s="1275" t="str">
        <f>IF(R22="","",R22/R23/R24)</f>
        <v/>
      </c>
      <c r="S25" s="1276"/>
      <c r="T25" s="1277"/>
      <c r="U25" s="267"/>
      <c r="V25" s="268" t="s">
        <v>293</v>
      </c>
      <c r="W25" s="256" t="str">
        <f>IF(W22="","",W22/W23/W24)</f>
        <v/>
      </c>
    </row>
    <row r="26" spans="1:23" ht="12.6" customHeight="1" x14ac:dyDescent="0.25">
      <c r="A26" s="231"/>
      <c r="B26" s="232"/>
      <c r="C26" s="231"/>
      <c r="D26" s="232"/>
      <c r="E26" s="249"/>
      <c r="F26" s="249"/>
      <c r="G26" s="249"/>
      <c r="H26" s="249"/>
      <c r="I26" s="249"/>
      <c r="J26" s="249"/>
      <c r="K26" s="249"/>
      <c r="L26" s="249"/>
      <c r="M26" s="249"/>
      <c r="N26" s="249"/>
      <c r="O26" s="249"/>
      <c r="P26" s="249"/>
      <c r="Q26" s="249"/>
      <c r="R26" s="232"/>
      <c r="S26" s="231"/>
      <c r="T26" s="109"/>
      <c r="U26" s="109"/>
      <c r="V26" s="109"/>
      <c r="W26" s="109"/>
    </row>
    <row r="27" spans="1:23" s="248" customFormat="1" x14ac:dyDescent="0.25">
      <c r="A27" s="251" t="s">
        <v>316</v>
      </c>
      <c r="B27" s="232"/>
      <c r="C27" s="231"/>
      <c r="D27" s="232"/>
      <c r="E27" s="249"/>
      <c r="F27" s="249"/>
      <c r="G27" s="249"/>
      <c r="H27" s="249"/>
      <c r="I27" s="249"/>
      <c r="J27" s="249"/>
      <c r="K27" s="249"/>
      <c r="L27" s="249"/>
      <c r="M27" s="249"/>
      <c r="N27" s="249"/>
      <c r="O27" s="249"/>
      <c r="P27" s="249"/>
      <c r="Q27" s="249"/>
      <c r="R27" s="232"/>
      <c r="S27" s="231"/>
      <c r="T27" s="250"/>
      <c r="U27" s="250"/>
      <c r="V27" s="250"/>
      <c r="W27" s="250"/>
    </row>
    <row r="28" spans="1:23" s="248" customFormat="1" x14ac:dyDescent="0.25">
      <c r="A28" s="1279"/>
      <c r="B28" s="1280"/>
      <c r="C28" s="1280"/>
      <c r="D28" s="1280"/>
      <c r="E28" s="1280"/>
      <c r="F28" s="1280"/>
      <c r="G28" s="1280"/>
      <c r="H28" s="1280"/>
      <c r="I28" s="1280"/>
      <c r="J28" s="1280"/>
      <c r="K28" s="1280"/>
      <c r="L28" s="1280"/>
      <c r="M28" s="1280"/>
      <c r="N28" s="1280"/>
      <c r="O28" s="1280"/>
      <c r="P28" s="1280"/>
      <c r="Q28" s="1280"/>
      <c r="R28" s="1280"/>
      <c r="S28" s="1280"/>
      <c r="T28" s="1280"/>
      <c r="U28" s="1280"/>
      <c r="V28" s="1280"/>
      <c r="W28" s="1281"/>
    </row>
    <row r="29" spans="1:23" ht="27.75" customHeight="1" x14ac:dyDescent="0.25">
      <c r="A29" s="222" t="s">
        <v>313</v>
      </c>
      <c r="B29" s="223" t="s">
        <v>286</v>
      </c>
      <c r="C29" s="252">
        <v>4</v>
      </c>
      <c r="D29" s="224">
        <v>0.4</v>
      </c>
      <c r="E29" s="224">
        <f>C29*E35/C35</f>
        <v>0.4</v>
      </c>
      <c r="F29" s="253">
        <f>Belegung!B18</f>
        <v>0</v>
      </c>
      <c r="G29" s="253">
        <f>Belegung!C18</f>
        <v>0</v>
      </c>
      <c r="H29" s="253">
        <f>Belegung!D18</f>
        <v>0</v>
      </c>
      <c r="I29" s="253">
        <f>Belegung!E18</f>
        <v>0</v>
      </c>
      <c r="J29" s="253">
        <f>Belegung!F18</f>
        <v>0</v>
      </c>
      <c r="K29" s="253">
        <f>Belegung!G18</f>
        <v>0</v>
      </c>
      <c r="L29" s="253">
        <f>Belegung!H18</f>
        <v>0</v>
      </c>
      <c r="M29" s="253">
        <f>Belegung!I18</f>
        <v>0</v>
      </c>
      <c r="N29" s="253">
        <f>Belegung!J18</f>
        <v>0</v>
      </c>
      <c r="O29" s="253">
        <f>Belegung!K18</f>
        <v>0</v>
      </c>
      <c r="P29" s="253">
        <f>Belegung!L18</f>
        <v>0</v>
      </c>
      <c r="Q29" s="253">
        <f>Belegung!M18</f>
        <v>0</v>
      </c>
      <c r="R29" s="225">
        <f>IF(SUM(F29:Q29)=0,0,(SUM(F29:Q29)/Grundlagen!$C$26))</f>
        <v>0</v>
      </c>
      <c r="S29" s="254">
        <f>R29*E29</f>
        <v>0</v>
      </c>
      <c r="T29" s="255">
        <f t="shared" ref="T29:T34" si="6">IF($R$42=0,0,$T$35*E29)</f>
        <v>0</v>
      </c>
      <c r="U29" s="255">
        <f>IF($W$42="",0,$W$42)</f>
        <v>0</v>
      </c>
      <c r="V29" s="255">
        <f>SUM(T29:U29)</f>
        <v>0</v>
      </c>
      <c r="W29" s="256">
        <f>IF(R41="",0,V29*R41*R29)</f>
        <v>0</v>
      </c>
    </row>
    <row r="30" spans="1:23" ht="27.75" customHeight="1" x14ac:dyDescent="0.25">
      <c r="A30" s="222" t="s">
        <v>297</v>
      </c>
      <c r="B30" s="223" t="s">
        <v>286</v>
      </c>
      <c r="C30" s="252">
        <v>5</v>
      </c>
      <c r="D30" s="224">
        <v>0.5</v>
      </c>
      <c r="E30" s="224">
        <f>C30*E35/C35</f>
        <v>0.5</v>
      </c>
      <c r="F30" s="253">
        <f>Belegung!B19</f>
        <v>0</v>
      </c>
      <c r="G30" s="253">
        <f>Belegung!C19</f>
        <v>0</v>
      </c>
      <c r="H30" s="253">
        <f>Belegung!D19</f>
        <v>0</v>
      </c>
      <c r="I30" s="253">
        <f>Belegung!E19</f>
        <v>0</v>
      </c>
      <c r="J30" s="253">
        <f>Belegung!F19</f>
        <v>0</v>
      </c>
      <c r="K30" s="253">
        <f>Belegung!G19</f>
        <v>0</v>
      </c>
      <c r="L30" s="253">
        <f>Belegung!H19</f>
        <v>0</v>
      </c>
      <c r="M30" s="253">
        <f>Belegung!I19</f>
        <v>0</v>
      </c>
      <c r="N30" s="253">
        <f>Belegung!J19</f>
        <v>0</v>
      </c>
      <c r="O30" s="253">
        <f>Belegung!K19</f>
        <v>0</v>
      </c>
      <c r="P30" s="253">
        <f>Belegung!L19</f>
        <v>0</v>
      </c>
      <c r="Q30" s="253">
        <f>Belegung!M19</f>
        <v>0</v>
      </c>
      <c r="R30" s="225">
        <f>IF(SUM(F30:Q30)=0,0,(SUM(F30:Q30)/Grundlagen!$C$26))</f>
        <v>0</v>
      </c>
      <c r="S30" s="254">
        <f t="shared" ref="S30:S36" si="7">R30*E30</f>
        <v>0</v>
      </c>
      <c r="T30" s="255">
        <f t="shared" si="6"/>
        <v>0</v>
      </c>
      <c r="U30" s="255">
        <f t="shared" ref="U30:U34" si="8">IF($W$42="",0,$W$42)</f>
        <v>0</v>
      </c>
      <c r="V30" s="255">
        <f>SUM(T30:U30)</f>
        <v>0</v>
      </c>
      <c r="W30" s="256">
        <f>IF(R41="",0,V30*R41*R30)</f>
        <v>0</v>
      </c>
    </row>
    <row r="31" spans="1:23" ht="27.75" customHeight="1" x14ac:dyDescent="0.25">
      <c r="A31" s="222" t="s">
        <v>298</v>
      </c>
      <c r="B31" s="223" t="s">
        <v>286</v>
      </c>
      <c r="C31" s="252">
        <v>6</v>
      </c>
      <c r="D31" s="224">
        <v>0.6</v>
      </c>
      <c r="E31" s="257">
        <f>C31*E35/C35</f>
        <v>0.6</v>
      </c>
      <c r="F31" s="253">
        <f>Belegung!B20</f>
        <v>0</v>
      </c>
      <c r="G31" s="253">
        <f>Belegung!C20</f>
        <v>0</v>
      </c>
      <c r="H31" s="253">
        <f>Belegung!D20</f>
        <v>0</v>
      </c>
      <c r="I31" s="253">
        <f>Belegung!E20</f>
        <v>0</v>
      </c>
      <c r="J31" s="253">
        <f>Belegung!F20</f>
        <v>0</v>
      </c>
      <c r="K31" s="253">
        <f>Belegung!G20</f>
        <v>0</v>
      </c>
      <c r="L31" s="253">
        <f>Belegung!H20</f>
        <v>0</v>
      </c>
      <c r="M31" s="253">
        <f>Belegung!I20</f>
        <v>0</v>
      </c>
      <c r="N31" s="253">
        <f>Belegung!J20</f>
        <v>0</v>
      </c>
      <c r="O31" s="253">
        <f>Belegung!K20</f>
        <v>0</v>
      </c>
      <c r="P31" s="253">
        <f>Belegung!L20</f>
        <v>0</v>
      </c>
      <c r="Q31" s="253">
        <f>Belegung!M20</f>
        <v>0</v>
      </c>
      <c r="R31" s="225">
        <f>IF(SUM(F31:Q31)=0,0,(SUM(F31:Q31)/Grundlagen!$C$26))</f>
        <v>0</v>
      </c>
      <c r="S31" s="254">
        <f t="shared" si="7"/>
        <v>0</v>
      </c>
      <c r="T31" s="255">
        <f t="shared" si="6"/>
        <v>0</v>
      </c>
      <c r="U31" s="255">
        <f t="shared" si="8"/>
        <v>0</v>
      </c>
      <c r="V31" s="255">
        <f t="shared" ref="V31:V36" si="9">SUM(T31:U31)</f>
        <v>0</v>
      </c>
      <c r="W31" s="256">
        <f>IF(R41="",0,V31*R41*R31)</f>
        <v>0</v>
      </c>
    </row>
    <row r="32" spans="1:23" ht="27.75" customHeight="1" x14ac:dyDescent="0.25">
      <c r="A32" s="222" t="s">
        <v>299</v>
      </c>
      <c r="B32" s="223" t="s">
        <v>286</v>
      </c>
      <c r="C32" s="252">
        <v>7</v>
      </c>
      <c r="D32" s="224">
        <v>0.7</v>
      </c>
      <c r="E32" s="257">
        <f>C32*E35/C35</f>
        <v>0.7</v>
      </c>
      <c r="F32" s="253">
        <f>Belegung!B21</f>
        <v>0</v>
      </c>
      <c r="G32" s="253">
        <f>Belegung!C21</f>
        <v>0</v>
      </c>
      <c r="H32" s="253">
        <f>Belegung!D21</f>
        <v>0</v>
      </c>
      <c r="I32" s="253">
        <f>Belegung!E21</f>
        <v>0</v>
      </c>
      <c r="J32" s="253">
        <f>Belegung!F21</f>
        <v>0</v>
      </c>
      <c r="K32" s="253">
        <f>Belegung!G21</f>
        <v>0</v>
      </c>
      <c r="L32" s="253">
        <f>Belegung!H21</f>
        <v>0</v>
      </c>
      <c r="M32" s="253">
        <f>Belegung!I21</f>
        <v>0</v>
      </c>
      <c r="N32" s="253">
        <f>Belegung!J21</f>
        <v>0</v>
      </c>
      <c r="O32" s="253">
        <f>Belegung!K21</f>
        <v>0</v>
      </c>
      <c r="P32" s="253">
        <f>Belegung!L21</f>
        <v>0</v>
      </c>
      <c r="Q32" s="253">
        <f>Belegung!M21</f>
        <v>0</v>
      </c>
      <c r="R32" s="225">
        <f>IF(SUM(F32:Q32)=0,0,(SUM(F32:Q32)/Grundlagen!$C$26))</f>
        <v>0</v>
      </c>
      <c r="S32" s="254">
        <f t="shared" si="7"/>
        <v>0</v>
      </c>
      <c r="T32" s="255">
        <f t="shared" si="6"/>
        <v>0</v>
      </c>
      <c r="U32" s="255">
        <f t="shared" si="8"/>
        <v>0</v>
      </c>
      <c r="V32" s="255">
        <f t="shared" si="9"/>
        <v>0</v>
      </c>
      <c r="W32" s="256">
        <f>IF(R41="",0,V32*R41*R32)</f>
        <v>0</v>
      </c>
    </row>
    <row r="33" spans="1:23" ht="27.75" customHeight="1" x14ac:dyDescent="0.25">
      <c r="A33" s="222" t="s">
        <v>300</v>
      </c>
      <c r="B33" s="223" t="s">
        <v>286</v>
      </c>
      <c r="C33" s="252">
        <v>8</v>
      </c>
      <c r="D33" s="224">
        <v>0.8</v>
      </c>
      <c r="E33" s="257">
        <f>C33*E35/C35</f>
        <v>0.8</v>
      </c>
      <c r="F33" s="253">
        <f>Belegung!B22</f>
        <v>0</v>
      </c>
      <c r="G33" s="253">
        <f>Belegung!C22</f>
        <v>0</v>
      </c>
      <c r="H33" s="253">
        <f>Belegung!D22</f>
        <v>0</v>
      </c>
      <c r="I33" s="253">
        <f>Belegung!E22</f>
        <v>0</v>
      </c>
      <c r="J33" s="253">
        <f>Belegung!F22</f>
        <v>0</v>
      </c>
      <c r="K33" s="253">
        <f>Belegung!G22</f>
        <v>0</v>
      </c>
      <c r="L33" s="253">
        <f>Belegung!H22</f>
        <v>0</v>
      </c>
      <c r="M33" s="253">
        <f>Belegung!I22</f>
        <v>0</v>
      </c>
      <c r="N33" s="253">
        <f>Belegung!J22</f>
        <v>0</v>
      </c>
      <c r="O33" s="253">
        <f>Belegung!K22</f>
        <v>0</v>
      </c>
      <c r="P33" s="253">
        <f>Belegung!L22</f>
        <v>0</v>
      </c>
      <c r="Q33" s="253">
        <f>Belegung!M22</f>
        <v>0</v>
      </c>
      <c r="R33" s="225">
        <f>IF(SUM(F33:Q33)=0,0,(SUM(F33:Q33)/Grundlagen!$C$26))</f>
        <v>0</v>
      </c>
      <c r="S33" s="254">
        <f t="shared" si="7"/>
        <v>0</v>
      </c>
      <c r="T33" s="255">
        <f t="shared" si="6"/>
        <v>0</v>
      </c>
      <c r="U33" s="255">
        <f t="shared" si="8"/>
        <v>0</v>
      </c>
      <c r="V33" s="255">
        <f>SUM(T33:U33)</f>
        <v>0</v>
      </c>
      <c r="W33" s="256">
        <f>IF(R41="",0,V33*R41*R33)</f>
        <v>0</v>
      </c>
    </row>
    <row r="34" spans="1:23" ht="27.75" customHeight="1" x14ac:dyDescent="0.25">
      <c r="A34" s="222" t="s">
        <v>301</v>
      </c>
      <c r="B34" s="223" t="s">
        <v>286</v>
      </c>
      <c r="C34" s="252">
        <v>9</v>
      </c>
      <c r="D34" s="224">
        <v>0.9</v>
      </c>
      <c r="E34" s="257">
        <f>C34*E35/C35</f>
        <v>0.9</v>
      </c>
      <c r="F34" s="253">
        <f>Belegung!B23</f>
        <v>0</v>
      </c>
      <c r="G34" s="253">
        <f>Belegung!C23</f>
        <v>0</v>
      </c>
      <c r="H34" s="253">
        <f>Belegung!D23</f>
        <v>0</v>
      </c>
      <c r="I34" s="253">
        <f>Belegung!E23</f>
        <v>0</v>
      </c>
      <c r="J34" s="253">
        <f>Belegung!F23</f>
        <v>0</v>
      </c>
      <c r="K34" s="253">
        <f>Belegung!G23</f>
        <v>0</v>
      </c>
      <c r="L34" s="253">
        <f>Belegung!H23</f>
        <v>0</v>
      </c>
      <c r="M34" s="253">
        <f>Belegung!I23</f>
        <v>0</v>
      </c>
      <c r="N34" s="253">
        <f>Belegung!J23</f>
        <v>0</v>
      </c>
      <c r="O34" s="253">
        <f>Belegung!K23</f>
        <v>0</v>
      </c>
      <c r="P34" s="253">
        <f>Belegung!L23</f>
        <v>0</v>
      </c>
      <c r="Q34" s="253">
        <f>Belegung!M23</f>
        <v>0</v>
      </c>
      <c r="R34" s="225">
        <f>IF(SUM(F34:Q34)=0,0,(SUM(F34:Q34)/Grundlagen!$C$26))</f>
        <v>0</v>
      </c>
      <c r="S34" s="254">
        <f t="shared" si="7"/>
        <v>0</v>
      </c>
      <c r="T34" s="255">
        <f t="shared" si="6"/>
        <v>0</v>
      </c>
      <c r="U34" s="255">
        <f t="shared" si="8"/>
        <v>0</v>
      </c>
      <c r="V34" s="255">
        <f t="shared" si="9"/>
        <v>0</v>
      </c>
      <c r="W34" s="256">
        <f>IF(R41="",0,V34*R41*R34)</f>
        <v>0</v>
      </c>
    </row>
    <row r="35" spans="1:23" ht="27.75" customHeight="1" x14ac:dyDescent="0.25">
      <c r="A35" s="222" t="s">
        <v>302</v>
      </c>
      <c r="B35" s="223" t="s">
        <v>286</v>
      </c>
      <c r="C35" s="252">
        <v>10</v>
      </c>
      <c r="D35" s="224">
        <v>1</v>
      </c>
      <c r="E35" s="257">
        <v>1</v>
      </c>
      <c r="F35" s="253">
        <f>Belegung!B24</f>
        <v>0</v>
      </c>
      <c r="G35" s="253">
        <f>Belegung!C24</f>
        <v>0</v>
      </c>
      <c r="H35" s="253">
        <f>Belegung!D24</f>
        <v>0</v>
      </c>
      <c r="I35" s="253">
        <f>Belegung!E24</f>
        <v>0</v>
      </c>
      <c r="J35" s="253">
        <f>Belegung!F24</f>
        <v>0</v>
      </c>
      <c r="K35" s="253">
        <f>Belegung!G24</f>
        <v>0</v>
      </c>
      <c r="L35" s="253">
        <f>Belegung!H24</f>
        <v>0</v>
      </c>
      <c r="M35" s="253">
        <f>Belegung!I24</f>
        <v>0</v>
      </c>
      <c r="N35" s="253">
        <f>Belegung!J24</f>
        <v>0</v>
      </c>
      <c r="O35" s="253">
        <f>Belegung!K24</f>
        <v>0</v>
      </c>
      <c r="P35" s="253">
        <f>Belegung!L24</f>
        <v>0</v>
      </c>
      <c r="Q35" s="253">
        <f>Belegung!M24</f>
        <v>0</v>
      </c>
      <c r="R35" s="225">
        <f>IF(SUM(F35:Q35)=0,0,(SUM(F35:Q35)/Grundlagen!$C$26))</f>
        <v>0</v>
      </c>
      <c r="S35" s="254">
        <f t="shared" si="7"/>
        <v>0</v>
      </c>
      <c r="T35" s="255">
        <f>IF(R42="",0,R42)</f>
        <v>0</v>
      </c>
      <c r="U35" s="255">
        <f>IF($W$42="",0,$W$42)</f>
        <v>0</v>
      </c>
      <c r="V35" s="255">
        <f t="shared" si="9"/>
        <v>0</v>
      </c>
      <c r="W35" s="256">
        <f>IF(R41="",0,V35*R41*R35)</f>
        <v>0</v>
      </c>
    </row>
    <row r="36" spans="1:23" ht="27.75" hidden="1" customHeight="1" x14ac:dyDescent="0.25">
      <c r="A36" s="222" t="s">
        <v>303</v>
      </c>
      <c r="B36" s="223" t="s">
        <v>286</v>
      </c>
      <c r="C36" s="252">
        <v>11</v>
      </c>
      <c r="D36" s="224">
        <v>1.1000000000000001</v>
      </c>
      <c r="E36" s="257">
        <f>C36*E35/C35</f>
        <v>1.1000000000000001</v>
      </c>
      <c r="F36" s="253">
        <f>Belegung!B25</f>
        <v>0</v>
      </c>
      <c r="G36" s="253">
        <f>Belegung!C25</f>
        <v>0</v>
      </c>
      <c r="H36" s="253">
        <f>Belegung!D25</f>
        <v>0</v>
      </c>
      <c r="I36" s="253">
        <f>Belegung!E25</f>
        <v>0</v>
      </c>
      <c r="J36" s="253">
        <f>Belegung!F25</f>
        <v>0</v>
      </c>
      <c r="K36" s="253">
        <f>Belegung!G25</f>
        <v>0</v>
      </c>
      <c r="L36" s="253">
        <f>Belegung!H25</f>
        <v>0</v>
      </c>
      <c r="M36" s="253">
        <f>Belegung!I25</f>
        <v>0</v>
      </c>
      <c r="N36" s="253">
        <f>Belegung!J25</f>
        <v>0</v>
      </c>
      <c r="O36" s="253">
        <f>Belegung!K25</f>
        <v>0</v>
      </c>
      <c r="P36" s="253">
        <f>Belegung!L25</f>
        <v>0</v>
      </c>
      <c r="Q36" s="253">
        <f>Belegung!M25</f>
        <v>0</v>
      </c>
      <c r="R36" s="225">
        <f t="shared" ref="R36" si="10">IF(SUM(F36:Q36)=0,0,(SUM(F36:Q36)/12))</f>
        <v>0</v>
      </c>
      <c r="S36" s="254">
        <f t="shared" si="7"/>
        <v>0</v>
      </c>
      <c r="T36" s="255">
        <f>IF($R$42=0,0,$T$35*E36)</f>
        <v>0</v>
      </c>
      <c r="U36" s="255">
        <f>IF($W$42="",0,$W$42)</f>
        <v>0</v>
      </c>
      <c r="V36" s="255">
        <f t="shared" si="9"/>
        <v>0</v>
      </c>
      <c r="W36" s="256">
        <f t="shared" ref="W36" si="11">V36*12*R36</f>
        <v>0</v>
      </c>
    </row>
    <row r="37" spans="1:23" ht="27.75" customHeight="1" x14ac:dyDescent="0.25">
      <c r="A37" s="226"/>
      <c r="B37" s="227"/>
      <c r="C37" s="234"/>
      <c r="D37" s="258"/>
      <c r="E37" s="259"/>
      <c r="F37" s="260"/>
      <c r="G37" s="260"/>
      <c r="H37" s="260"/>
      <c r="I37" s="260"/>
      <c r="J37" s="260"/>
      <c r="K37" s="260"/>
      <c r="L37" s="260"/>
      <c r="M37" s="260"/>
      <c r="N37" s="260"/>
      <c r="O37" s="260"/>
      <c r="P37" s="260"/>
      <c r="Q37" s="260"/>
      <c r="R37" s="225">
        <f>SUM(R29:R36)</f>
        <v>0</v>
      </c>
      <c r="S37" s="254">
        <f>SUM(S29:S36)</f>
        <v>0</v>
      </c>
      <c r="T37" s="261"/>
      <c r="U37" s="261"/>
      <c r="V37" s="261"/>
      <c r="W37" s="256">
        <f>SUM(W29:W36)</f>
        <v>0</v>
      </c>
    </row>
    <row r="38" spans="1:23" ht="12.6" customHeight="1" x14ac:dyDescent="0.25">
      <c r="A38" s="231"/>
      <c r="B38" s="232"/>
      <c r="C38" s="231"/>
      <c r="D38" s="232"/>
      <c r="E38" s="249"/>
      <c r="F38" s="249"/>
      <c r="G38" s="249"/>
      <c r="H38" s="249"/>
      <c r="I38" s="249"/>
      <c r="J38" s="249"/>
      <c r="K38" s="249"/>
      <c r="L38" s="249"/>
      <c r="M38" s="249"/>
      <c r="N38" s="249"/>
      <c r="O38" s="249"/>
      <c r="P38" s="249"/>
      <c r="Q38" s="249"/>
      <c r="R38" s="232"/>
      <c r="S38" s="231"/>
      <c r="T38" s="109"/>
      <c r="U38" s="109"/>
      <c r="V38" s="109"/>
      <c r="W38" s="109"/>
    </row>
    <row r="39" spans="1:23" ht="12.6" customHeight="1" x14ac:dyDescent="0.25">
      <c r="A39" s="262"/>
      <c r="B39" s="263"/>
      <c r="C39" s="264" t="s">
        <v>314</v>
      </c>
      <c r="D39" s="270"/>
      <c r="E39" s="266"/>
      <c r="F39" s="266"/>
      <c r="G39" s="266"/>
      <c r="H39" s="266"/>
      <c r="I39" s="266"/>
      <c r="J39" s="266"/>
      <c r="K39" s="266"/>
      <c r="L39" s="266"/>
      <c r="M39" s="266"/>
      <c r="N39" s="266"/>
      <c r="O39" s="266"/>
      <c r="P39" s="266"/>
      <c r="Q39" s="266"/>
      <c r="R39" s="1275" t="str">
        <f>IF('INTERN Personal- und Sachkosten'!$D$17=0,"",('INTERN Personal- und Sachkosten'!$D$17*R37))</f>
        <v/>
      </c>
      <c r="S39" s="1276"/>
      <c r="T39" s="1277"/>
      <c r="U39" s="267"/>
      <c r="V39" s="268" t="s">
        <v>310</v>
      </c>
      <c r="W39" s="269" t="str">
        <f>IF('INTERN Personal- und Sachkosten'!$D$43=0,"",('INTERN Personal- und Sachkosten'!$D$43*R37))</f>
        <v/>
      </c>
    </row>
    <row r="40" spans="1:23" ht="12.6" customHeight="1" x14ac:dyDescent="0.25">
      <c r="A40" s="262"/>
      <c r="B40" s="263"/>
      <c r="C40" s="264" t="s">
        <v>315</v>
      </c>
      <c r="D40" s="270"/>
      <c r="E40" s="271"/>
      <c r="F40" s="271"/>
      <c r="G40" s="271"/>
      <c r="H40" s="271"/>
      <c r="I40" s="271"/>
      <c r="J40" s="271"/>
      <c r="K40" s="271"/>
      <c r="L40" s="271"/>
      <c r="M40" s="271"/>
      <c r="N40" s="271"/>
      <c r="O40" s="271"/>
      <c r="P40" s="271"/>
      <c r="Q40" s="271"/>
      <c r="R40" s="1285" t="str">
        <f>IF(S37=0,"",S37)</f>
        <v/>
      </c>
      <c r="S40" s="1286"/>
      <c r="T40" s="1287"/>
      <c r="U40" s="267"/>
      <c r="V40" s="268" t="s">
        <v>291</v>
      </c>
      <c r="W40" s="272" t="str">
        <f>IF(R37=0,"",R37)</f>
        <v/>
      </c>
    </row>
    <row r="41" spans="1:23" ht="12.6" customHeight="1" x14ac:dyDescent="0.25">
      <c r="A41" s="262"/>
      <c r="B41" s="263"/>
      <c r="C41" s="264" t="s">
        <v>292</v>
      </c>
      <c r="D41" s="270"/>
      <c r="E41" s="273"/>
      <c r="F41" s="274"/>
      <c r="G41" s="274"/>
      <c r="H41" s="274"/>
      <c r="I41" s="274"/>
      <c r="J41" s="274"/>
      <c r="K41" s="274"/>
      <c r="L41" s="274"/>
      <c r="M41" s="274"/>
      <c r="N41" s="274"/>
      <c r="O41" s="274"/>
      <c r="P41" s="274"/>
      <c r="Q41" s="274"/>
      <c r="R41" s="1288" t="str">
        <f>IF(R40="","",Grundlagen!C26)</f>
        <v/>
      </c>
      <c r="S41" s="1289"/>
      <c r="T41" s="1290"/>
      <c r="U41" s="267"/>
      <c r="V41" s="268" t="s">
        <v>292</v>
      </c>
      <c r="W41" s="275" t="str">
        <f>IF(W40="","",R41)</f>
        <v/>
      </c>
    </row>
    <row r="42" spans="1:23" ht="12.6" customHeight="1" x14ac:dyDescent="0.25">
      <c r="A42" s="262"/>
      <c r="B42" s="263"/>
      <c r="C42" s="264" t="s">
        <v>293</v>
      </c>
      <c r="D42" s="270"/>
      <c r="E42" s="266"/>
      <c r="F42" s="274"/>
      <c r="G42" s="274"/>
      <c r="H42" s="274"/>
      <c r="I42" s="274"/>
      <c r="J42" s="274"/>
      <c r="K42" s="274"/>
      <c r="L42" s="274"/>
      <c r="M42" s="274"/>
      <c r="N42" s="274"/>
      <c r="O42" s="274"/>
      <c r="P42" s="274"/>
      <c r="Q42" s="274"/>
      <c r="R42" s="1275" t="str">
        <f>IF(R39="","",R39/R40/R41)</f>
        <v/>
      </c>
      <c r="S42" s="1276"/>
      <c r="T42" s="1277"/>
      <c r="U42" s="267"/>
      <c r="V42" s="268" t="s">
        <v>293</v>
      </c>
      <c r="W42" s="256" t="str">
        <f>IF(W39="","",W39/W40/W41)</f>
        <v/>
      </c>
    </row>
    <row r="43" spans="1:23" ht="12.6" customHeight="1" x14ac:dyDescent="0.25">
      <c r="A43" s="231"/>
      <c r="B43" s="232"/>
      <c r="C43" s="231"/>
      <c r="D43" s="232"/>
      <c r="E43" s="249"/>
      <c r="F43" s="249"/>
      <c r="G43" s="249"/>
      <c r="H43" s="249"/>
      <c r="I43" s="249"/>
      <c r="J43" s="249"/>
      <c r="K43" s="249"/>
      <c r="L43" s="249"/>
      <c r="M43" s="249"/>
      <c r="N43" s="249"/>
      <c r="O43" s="249"/>
      <c r="P43" s="249"/>
      <c r="Q43" s="249"/>
      <c r="R43" s="232"/>
      <c r="S43" s="231"/>
      <c r="T43" s="109"/>
      <c r="U43" s="109"/>
      <c r="V43" s="109"/>
      <c r="W43" s="109"/>
    </row>
    <row r="44" spans="1:23" x14ac:dyDescent="0.25">
      <c r="A44" s="251" t="s">
        <v>317</v>
      </c>
      <c r="B44" s="232"/>
    </row>
    <row r="45" spans="1:23" x14ac:dyDescent="0.25">
      <c r="A45" s="1279"/>
      <c r="B45" s="1280"/>
      <c r="C45" s="1280"/>
      <c r="D45" s="1280"/>
      <c r="E45" s="1280"/>
      <c r="F45" s="1280"/>
      <c r="G45" s="1280"/>
      <c r="H45" s="1280"/>
      <c r="I45" s="1280"/>
      <c r="J45" s="1280"/>
      <c r="K45" s="1280"/>
      <c r="L45" s="1280"/>
      <c r="M45" s="1280"/>
      <c r="N45" s="1280"/>
      <c r="O45" s="1280"/>
      <c r="P45" s="1280"/>
      <c r="Q45" s="1280"/>
      <c r="R45" s="1280"/>
      <c r="S45" s="1280"/>
      <c r="T45" s="1280"/>
      <c r="U45" s="1280"/>
      <c r="V45" s="1280"/>
      <c r="W45" s="1281"/>
    </row>
    <row r="46" spans="1:23" ht="27.75" customHeight="1" x14ac:dyDescent="0.25">
      <c r="A46" s="222" t="s">
        <v>313</v>
      </c>
      <c r="B46" s="223" t="s">
        <v>288</v>
      </c>
      <c r="C46" s="252">
        <v>1</v>
      </c>
      <c r="D46" s="224">
        <v>0.1</v>
      </c>
      <c r="E46" s="224">
        <f>C46*E51/C51</f>
        <v>0.16666666666666666</v>
      </c>
      <c r="F46" s="863">
        <f>Belegung!B54</f>
        <v>0</v>
      </c>
      <c r="G46" s="863">
        <f>Belegung!C54</f>
        <v>0</v>
      </c>
      <c r="H46" s="863">
        <f>Belegung!D54</f>
        <v>0</v>
      </c>
      <c r="I46" s="863">
        <f>Belegung!E54</f>
        <v>0</v>
      </c>
      <c r="J46" s="863">
        <f>Belegung!F54</f>
        <v>0</v>
      </c>
      <c r="K46" s="863">
        <f>Belegung!G54</f>
        <v>0</v>
      </c>
      <c r="L46" s="863">
        <f>Belegung!H54</f>
        <v>0</v>
      </c>
      <c r="M46" s="863">
        <f>Belegung!I54</f>
        <v>0</v>
      </c>
      <c r="N46" s="863">
        <f>Belegung!J54</f>
        <v>0</v>
      </c>
      <c r="O46" s="863">
        <f>Belegung!K54</f>
        <v>0</v>
      </c>
      <c r="P46" s="863">
        <f>Belegung!L54</f>
        <v>0</v>
      </c>
      <c r="Q46" s="863">
        <f>Belegung!M54</f>
        <v>0</v>
      </c>
      <c r="R46" s="225">
        <f>IF(SUM(F46:Q46)=0,0,(SUM(F46:Q46)/Grundlagen!$C$26))</f>
        <v>0</v>
      </c>
      <c r="S46" s="254">
        <f>R46*E46</f>
        <v>0</v>
      </c>
      <c r="T46" s="255">
        <f>IF($R$61=0,0,$T$51*E46)</f>
        <v>0</v>
      </c>
      <c r="U46" s="255">
        <f>IF($W$61="",0,$W$61)</f>
        <v>0</v>
      </c>
      <c r="V46" s="255">
        <f t="shared" ref="V46:V55" si="12">SUM(T46:U46)</f>
        <v>0</v>
      </c>
      <c r="W46" s="256">
        <f>IF(R60="",0,V46*R60*R46)</f>
        <v>0</v>
      </c>
    </row>
    <row r="47" spans="1:23" ht="27.75" customHeight="1" x14ac:dyDescent="0.25">
      <c r="A47" s="222" t="s">
        <v>297</v>
      </c>
      <c r="B47" s="223" t="s">
        <v>288</v>
      </c>
      <c r="C47" s="252">
        <v>2</v>
      </c>
      <c r="D47" s="224">
        <v>0.2</v>
      </c>
      <c r="E47" s="257">
        <f>C47*E51/C51</f>
        <v>0.33333333333333331</v>
      </c>
      <c r="F47" s="863">
        <f>Belegung!B55</f>
        <v>0</v>
      </c>
      <c r="G47" s="863">
        <f>Belegung!C55</f>
        <v>0</v>
      </c>
      <c r="H47" s="863">
        <f>Belegung!D55</f>
        <v>0</v>
      </c>
      <c r="I47" s="863">
        <f>Belegung!E55</f>
        <v>0</v>
      </c>
      <c r="J47" s="863">
        <f>Belegung!F55</f>
        <v>0</v>
      </c>
      <c r="K47" s="863">
        <f>Belegung!G55</f>
        <v>0</v>
      </c>
      <c r="L47" s="863">
        <f>Belegung!H55</f>
        <v>0</v>
      </c>
      <c r="M47" s="863">
        <f>Belegung!I55</f>
        <v>0</v>
      </c>
      <c r="N47" s="863">
        <f>Belegung!J55</f>
        <v>0</v>
      </c>
      <c r="O47" s="863">
        <f>Belegung!K55</f>
        <v>0</v>
      </c>
      <c r="P47" s="863">
        <f>Belegung!L55</f>
        <v>0</v>
      </c>
      <c r="Q47" s="863">
        <f>Belegung!M55</f>
        <v>0</v>
      </c>
      <c r="R47" s="225">
        <f>IF(SUM(F47:Q47)=0,0,(SUM(F47:Q47)/Grundlagen!$C$26))</f>
        <v>0</v>
      </c>
      <c r="S47" s="254">
        <f t="shared" ref="S47:S55" si="13">R47*E47</f>
        <v>0</v>
      </c>
      <c r="T47" s="255">
        <f>IF($R$61=0,0,$T$51*E47)</f>
        <v>0</v>
      </c>
      <c r="U47" s="255">
        <f t="shared" ref="U47:U51" si="14">IF($W$61="",0,$W$61)</f>
        <v>0</v>
      </c>
      <c r="V47" s="255">
        <f t="shared" si="12"/>
        <v>0</v>
      </c>
      <c r="W47" s="256">
        <f>IF(R60="",0,V47*R60*R47)</f>
        <v>0</v>
      </c>
    </row>
    <row r="48" spans="1:23" ht="27.75" customHeight="1" x14ac:dyDescent="0.25">
      <c r="A48" s="222" t="s">
        <v>298</v>
      </c>
      <c r="B48" s="223" t="s">
        <v>288</v>
      </c>
      <c r="C48" s="252">
        <v>3</v>
      </c>
      <c r="D48" s="224">
        <v>0.3</v>
      </c>
      <c r="E48" s="224">
        <f>C48*E51/C51</f>
        <v>0.5</v>
      </c>
      <c r="F48" s="863">
        <f>Belegung!B56</f>
        <v>0</v>
      </c>
      <c r="G48" s="863">
        <f>Belegung!C56</f>
        <v>0</v>
      </c>
      <c r="H48" s="863">
        <f>Belegung!D56</f>
        <v>0</v>
      </c>
      <c r="I48" s="863">
        <f>Belegung!E56</f>
        <v>0</v>
      </c>
      <c r="J48" s="863">
        <f>Belegung!F56</f>
        <v>0</v>
      </c>
      <c r="K48" s="863">
        <f>Belegung!G56</f>
        <v>0</v>
      </c>
      <c r="L48" s="863">
        <f>Belegung!H56</f>
        <v>0</v>
      </c>
      <c r="M48" s="863">
        <f>Belegung!I56</f>
        <v>0</v>
      </c>
      <c r="N48" s="863">
        <f>Belegung!J56</f>
        <v>0</v>
      </c>
      <c r="O48" s="863">
        <f>Belegung!K56</f>
        <v>0</v>
      </c>
      <c r="P48" s="863">
        <f>Belegung!L56</f>
        <v>0</v>
      </c>
      <c r="Q48" s="863">
        <f>Belegung!M56</f>
        <v>0</v>
      </c>
      <c r="R48" s="225">
        <f>IF(SUM(F48:Q48)=0,0,(SUM(F48:Q48)/Grundlagen!$C$26))</f>
        <v>0</v>
      </c>
      <c r="S48" s="254">
        <f t="shared" si="13"/>
        <v>0</v>
      </c>
      <c r="T48" s="255">
        <f>IF($R$61=0,0,$T$51*E48)</f>
        <v>0</v>
      </c>
      <c r="U48" s="255">
        <f t="shared" si="14"/>
        <v>0</v>
      </c>
      <c r="V48" s="255">
        <f t="shared" si="12"/>
        <v>0</v>
      </c>
      <c r="W48" s="256">
        <f>IF(R60="",0,V48*R60*R48)</f>
        <v>0</v>
      </c>
    </row>
    <row r="49" spans="1:23" ht="27.75" customHeight="1" x14ac:dyDescent="0.25">
      <c r="A49" s="222" t="s">
        <v>299</v>
      </c>
      <c r="B49" s="223" t="s">
        <v>288</v>
      </c>
      <c r="C49" s="252">
        <v>4</v>
      </c>
      <c r="D49" s="224">
        <v>0.4</v>
      </c>
      <c r="E49" s="257">
        <f>C49*E51/C51</f>
        <v>0.66666666666666663</v>
      </c>
      <c r="F49" s="863">
        <f>Belegung!B57</f>
        <v>0</v>
      </c>
      <c r="G49" s="863">
        <f>Belegung!C57</f>
        <v>0</v>
      </c>
      <c r="H49" s="863">
        <f>Belegung!D57</f>
        <v>0</v>
      </c>
      <c r="I49" s="863">
        <f>Belegung!E57</f>
        <v>0</v>
      </c>
      <c r="J49" s="863">
        <f>Belegung!F57</f>
        <v>0</v>
      </c>
      <c r="K49" s="863">
        <f>Belegung!G57</f>
        <v>0</v>
      </c>
      <c r="L49" s="863">
        <f>Belegung!H57</f>
        <v>0</v>
      </c>
      <c r="M49" s="863">
        <f>Belegung!I57</f>
        <v>0</v>
      </c>
      <c r="N49" s="863">
        <f>Belegung!J57</f>
        <v>0</v>
      </c>
      <c r="O49" s="863">
        <f>Belegung!K57</f>
        <v>0</v>
      </c>
      <c r="P49" s="863">
        <f>Belegung!L57</f>
        <v>0</v>
      </c>
      <c r="Q49" s="863">
        <f>Belegung!M57</f>
        <v>0</v>
      </c>
      <c r="R49" s="225">
        <f>IF(SUM(F49:Q49)=0,0,(SUM(F49:Q49)/Grundlagen!$C$26))</f>
        <v>0</v>
      </c>
      <c r="S49" s="254">
        <f t="shared" si="13"/>
        <v>0</v>
      </c>
      <c r="T49" s="255">
        <f>IF($R$61=0,0,$T$51*E49)</f>
        <v>0</v>
      </c>
      <c r="U49" s="255">
        <f t="shared" si="14"/>
        <v>0</v>
      </c>
      <c r="V49" s="255">
        <f t="shared" si="12"/>
        <v>0</v>
      </c>
      <c r="W49" s="256">
        <f>IF(R60="",0,V49*R60*R49)</f>
        <v>0</v>
      </c>
    </row>
    <row r="50" spans="1:23" ht="27.75" customHeight="1" x14ac:dyDescent="0.25">
      <c r="A50" s="222" t="s">
        <v>300</v>
      </c>
      <c r="B50" s="223" t="s">
        <v>288</v>
      </c>
      <c r="C50" s="252">
        <v>5</v>
      </c>
      <c r="D50" s="224">
        <v>0.5</v>
      </c>
      <c r="E50" s="224">
        <f>C50*E51/C51</f>
        <v>0.83333333333333337</v>
      </c>
      <c r="F50" s="863">
        <f>Belegung!B58</f>
        <v>0</v>
      </c>
      <c r="G50" s="863">
        <f>Belegung!C58</f>
        <v>0</v>
      </c>
      <c r="H50" s="863">
        <f>Belegung!D58</f>
        <v>0</v>
      </c>
      <c r="I50" s="863">
        <f>Belegung!E58</f>
        <v>0</v>
      </c>
      <c r="J50" s="863">
        <f>Belegung!F58</f>
        <v>0</v>
      </c>
      <c r="K50" s="863">
        <f>Belegung!G58</f>
        <v>0</v>
      </c>
      <c r="L50" s="863">
        <f>Belegung!H58</f>
        <v>0</v>
      </c>
      <c r="M50" s="863">
        <f>Belegung!I58</f>
        <v>0</v>
      </c>
      <c r="N50" s="863">
        <f>Belegung!J58</f>
        <v>0</v>
      </c>
      <c r="O50" s="863">
        <f>Belegung!K58</f>
        <v>0</v>
      </c>
      <c r="P50" s="863">
        <f>Belegung!L58</f>
        <v>0</v>
      </c>
      <c r="Q50" s="863">
        <f>Belegung!M58</f>
        <v>0</v>
      </c>
      <c r="R50" s="225">
        <f>IF(SUM(F50:Q50)=0,0,(SUM(F50:Q50)/Grundlagen!$C$26))</f>
        <v>0</v>
      </c>
      <c r="S50" s="254">
        <f t="shared" si="13"/>
        <v>0</v>
      </c>
      <c r="T50" s="255">
        <f>IF($R$61=0,0,$T$51*E50)</f>
        <v>0</v>
      </c>
      <c r="U50" s="255">
        <f t="shared" si="14"/>
        <v>0</v>
      </c>
      <c r="V50" s="255">
        <f t="shared" si="12"/>
        <v>0</v>
      </c>
      <c r="W50" s="256">
        <f>IF(R60="",0,V50*R60*R50)</f>
        <v>0</v>
      </c>
    </row>
    <row r="51" spans="1:23" ht="27.75" customHeight="1" x14ac:dyDescent="0.25">
      <c r="A51" s="222" t="s">
        <v>301</v>
      </c>
      <c r="B51" s="223" t="s">
        <v>288</v>
      </c>
      <c r="C51" s="252">
        <v>6</v>
      </c>
      <c r="D51" s="224">
        <v>0.6</v>
      </c>
      <c r="E51" s="224">
        <v>1</v>
      </c>
      <c r="F51" s="863">
        <f>Belegung!B59</f>
        <v>0</v>
      </c>
      <c r="G51" s="863">
        <f>Belegung!C59</f>
        <v>0</v>
      </c>
      <c r="H51" s="863">
        <f>Belegung!D59</f>
        <v>0</v>
      </c>
      <c r="I51" s="863">
        <f>Belegung!E59</f>
        <v>0</v>
      </c>
      <c r="J51" s="863">
        <f>Belegung!F59</f>
        <v>0</v>
      </c>
      <c r="K51" s="863">
        <f>Belegung!G59</f>
        <v>0</v>
      </c>
      <c r="L51" s="863">
        <f>Belegung!H59</f>
        <v>0</v>
      </c>
      <c r="M51" s="863">
        <f>Belegung!I59</f>
        <v>0</v>
      </c>
      <c r="N51" s="863">
        <f>Belegung!J59</f>
        <v>0</v>
      </c>
      <c r="O51" s="863">
        <f>Belegung!K59</f>
        <v>0</v>
      </c>
      <c r="P51" s="863">
        <f>Belegung!L59</f>
        <v>0</v>
      </c>
      <c r="Q51" s="863">
        <f>Belegung!M59</f>
        <v>0</v>
      </c>
      <c r="R51" s="225">
        <f>IF(SUM(F51:Q51)=0,0,(SUM(F51:Q51)/Grundlagen!$C$26))</f>
        <v>0</v>
      </c>
      <c r="S51" s="254">
        <f t="shared" si="13"/>
        <v>0</v>
      </c>
      <c r="T51" s="255">
        <f>IF(R61="",0,R61)</f>
        <v>0</v>
      </c>
      <c r="U51" s="255">
        <f t="shared" si="14"/>
        <v>0</v>
      </c>
      <c r="V51" s="255">
        <f t="shared" si="12"/>
        <v>0</v>
      </c>
      <c r="W51" s="256">
        <f>IF(R60="",0,V51*R60*R51)</f>
        <v>0</v>
      </c>
    </row>
    <row r="52" spans="1:23" ht="27.75" customHeight="1" x14ac:dyDescent="0.25">
      <c r="A52" s="222" t="s">
        <v>302</v>
      </c>
      <c r="B52" s="223" t="s">
        <v>288</v>
      </c>
      <c r="C52" s="252">
        <v>7</v>
      </c>
      <c r="D52" s="224">
        <v>0.7</v>
      </c>
      <c r="E52" s="224">
        <f>C52*E51/C51</f>
        <v>1.1666666666666667</v>
      </c>
      <c r="F52" s="863">
        <f>Belegung!B60</f>
        <v>0</v>
      </c>
      <c r="G52" s="863">
        <f>Belegung!C60</f>
        <v>0</v>
      </c>
      <c r="H52" s="863">
        <f>Belegung!D60</f>
        <v>0</v>
      </c>
      <c r="I52" s="863">
        <f>Belegung!E60</f>
        <v>0</v>
      </c>
      <c r="J52" s="863">
        <f>Belegung!F60</f>
        <v>0</v>
      </c>
      <c r="K52" s="863">
        <f>Belegung!G60</f>
        <v>0</v>
      </c>
      <c r="L52" s="863">
        <f>Belegung!H60</f>
        <v>0</v>
      </c>
      <c r="M52" s="863">
        <f>Belegung!I60</f>
        <v>0</v>
      </c>
      <c r="N52" s="863">
        <f>Belegung!J60</f>
        <v>0</v>
      </c>
      <c r="O52" s="863">
        <f>Belegung!K60</f>
        <v>0</v>
      </c>
      <c r="P52" s="863">
        <f>Belegung!L60</f>
        <v>0</v>
      </c>
      <c r="Q52" s="863">
        <f>Belegung!M60</f>
        <v>0</v>
      </c>
      <c r="R52" s="225">
        <f>IF(SUM(F52:Q52)=0,0,(SUM(F52:Q52)/Grundlagen!$C$26))</f>
        <v>0</v>
      </c>
      <c r="S52" s="254">
        <f t="shared" si="13"/>
        <v>0</v>
      </c>
      <c r="T52" s="255">
        <f>IF($R$61=0,0,$T$51*E52)</f>
        <v>0</v>
      </c>
      <c r="U52" s="255">
        <f>IF($W$61="",0,$W$61)</f>
        <v>0</v>
      </c>
      <c r="V52" s="255">
        <f t="shared" si="12"/>
        <v>0</v>
      </c>
      <c r="W52" s="256">
        <f>IF(R60="",0,V52*R60*R52)</f>
        <v>0</v>
      </c>
    </row>
    <row r="53" spans="1:23" ht="27.75" customHeight="1" x14ac:dyDescent="0.25">
      <c r="A53" s="222" t="s">
        <v>303</v>
      </c>
      <c r="B53" s="223" t="s">
        <v>288</v>
      </c>
      <c r="C53" s="252">
        <v>8</v>
      </c>
      <c r="D53" s="224">
        <v>0.8</v>
      </c>
      <c r="E53" s="224">
        <f>C53*E51/C51</f>
        <v>1.3333333333333333</v>
      </c>
      <c r="F53" s="863">
        <f>Belegung!B61</f>
        <v>0</v>
      </c>
      <c r="G53" s="863">
        <f>Belegung!C61</f>
        <v>0</v>
      </c>
      <c r="H53" s="863">
        <f>Belegung!D61</f>
        <v>0</v>
      </c>
      <c r="I53" s="863">
        <f>Belegung!E61</f>
        <v>0</v>
      </c>
      <c r="J53" s="863">
        <f>Belegung!F61</f>
        <v>0</v>
      </c>
      <c r="K53" s="863">
        <f>Belegung!G61</f>
        <v>0</v>
      </c>
      <c r="L53" s="863">
        <f>Belegung!H61</f>
        <v>0</v>
      </c>
      <c r="M53" s="863">
        <f>Belegung!I61</f>
        <v>0</v>
      </c>
      <c r="N53" s="863">
        <f>Belegung!J61</f>
        <v>0</v>
      </c>
      <c r="O53" s="863">
        <f>Belegung!K61</f>
        <v>0</v>
      </c>
      <c r="P53" s="863">
        <f>Belegung!L61</f>
        <v>0</v>
      </c>
      <c r="Q53" s="863">
        <f>Belegung!M61</f>
        <v>0</v>
      </c>
      <c r="R53" s="225">
        <f>IF(SUM(F53:Q53)=0,0,(SUM(F53:Q53)/Grundlagen!$C$26))</f>
        <v>0</v>
      </c>
      <c r="S53" s="254">
        <f t="shared" si="13"/>
        <v>0</v>
      </c>
      <c r="T53" s="255">
        <f>IF($R$61=0,0,$T$51*E53)</f>
        <v>0</v>
      </c>
      <c r="U53" s="255">
        <f>IF($W$61="",0,$W$61)</f>
        <v>0</v>
      </c>
      <c r="V53" s="255">
        <f t="shared" si="12"/>
        <v>0</v>
      </c>
      <c r="W53" s="256">
        <f>IF(R60="",0,V53*R60*R53)</f>
        <v>0</v>
      </c>
    </row>
    <row r="54" spans="1:23" ht="27.75" customHeight="1" x14ac:dyDescent="0.25">
      <c r="A54" s="222" t="s">
        <v>304</v>
      </c>
      <c r="B54" s="223" t="s">
        <v>288</v>
      </c>
      <c r="C54" s="252">
        <v>9</v>
      </c>
      <c r="D54" s="224">
        <v>0.9</v>
      </c>
      <c r="E54" s="224">
        <f>C54*E51/C51</f>
        <v>1.5</v>
      </c>
      <c r="F54" s="863">
        <f>Belegung!B62</f>
        <v>0</v>
      </c>
      <c r="G54" s="863">
        <f>Belegung!C62</f>
        <v>0</v>
      </c>
      <c r="H54" s="863">
        <f>Belegung!D62</f>
        <v>0</v>
      </c>
      <c r="I54" s="863">
        <f>Belegung!E62</f>
        <v>0</v>
      </c>
      <c r="J54" s="863">
        <f>Belegung!F62</f>
        <v>0</v>
      </c>
      <c r="K54" s="863">
        <f>Belegung!G62</f>
        <v>0</v>
      </c>
      <c r="L54" s="863">
        <f>Belegung!H62</f>
        <v>0</v>
      </c>
      <c r="M54" s="863">
        <f>Belegung!I62</f>
        <v>0</v>
      </c>
      <c r="N54" s="863">
        <f>Belegung!J62</f>
        <v>0</v>
      </c>
      <c r="O54" s="863">
        <f>Belegung!K62</f>
        <v>0</v>
      </c>
      <c r="P54" s="863">
        <f>Belegung!L62</f>
        <v>0</v>
      </c>
      <c r="Q54" s="863">
        <f>Belegung!M62</f>
        <v>0</v>
      </c>
      <c r="R54" s="225">
        <f>IF(SUM(F54:Q54)=0,0,(SUM(F54:Q54)/Grundlagen!$C$26))</f>
        <v>0</v>
      </c>
      <c r="S54" s="254">
        <f t="shared" si="13"/>
        <v>0</v>
      </c>
      <c r="T54" s="255">
        <f>IF($R$61=0,0,$T$51*E54)</f>
        <v>0</v>
      </c>
      <c r="U54" s="255">
        <f>IF($W$61="",0,$W$61)</f>
        <v>0</v>
      </c>
      <c r="V54" s="255">
        <f t="shared" si="12"/>
        <v>0</v>
      </c>
      <c r="W54" s="256">
        <f>IF(R60="",0,V54*R60*R54)</f>
        <v>0</v>
      </c>
    </row>
    <row r="55" spans="1:23" ht="27.75" customHeight="1" x14ac:dyDescent="0.25">
      <c r="A55" s="222" t="s">
        <v>305</v>
      </c>
      <c r="B55" s="223" t="s">
        <v>288</v>
      </c>
      <c r="C55" s="252">
        <v>10</v>
      </c>
      <c r="D55" s="224">
        <v>1</v>
      </c>
      <c r="E55" s="224">
        <f>C55*E51/C51</f>
        <v>1.6666666666666667</v>
      </c>
      <c r="F55" s="863">
        <f>Belegung!B63</f>
        <v>0</v>
      </c>
      <c r="G55" s="863">
        <f>Belegung!C63</f>
        <v>0</v>
      </c>
      <c r="H55" s="863">
        <f>Belegung!D63</f>
        <v>0</v>
      </c>
      <c r="I55" s="863">
        <f>Belegung!E63</f>
        <v>0</v>
      </c>
      <c r="J55" s="863">
        <f>Belegung!F63</f>
        <v>0</v>
      </c>
      <c r="K55" s="863">
        <f>Belegung!G63</f>
        <v>0</v>
      </c>
      <c r="L55" s="863">
        <f>Belegung!H63</f>
        <v>0</v>
      </c>
      <c r="M55" s="863">
        <f>Belegung!I63</f>
        <v>0</v>
      </c>
      <c r="N55" s="863">
        <f>Belegung!J63</f>
        <v>0</v>
      </c>
      <c r="O55" s="863">
        <f>Belegung!K63</f>
        <v>0</v>
      </c>
      <c r="P55" s="863">
        <f>Belegung!L63</f>
        <v>0</v>
      </c>
      <c r="Q55" s="863">
        <f>Belegung!M63</f>
        <v>0</v>
      </c>
      <c r="R55" s="225">
        <f>IF(SUM(F55:Q55)=0,0,(SUM(F55:Q55)/Grundlagen!$C$26))</f>
        <v>0</v>
      </c>
      <c r="S55" s="254">
        <f t="shared" si="13"/>
        <v>0</v>
      </c>
      <c r="T55" s="255">
        <f>IF($R$61=0,0,$T$51*E55)</f>
        <v>0</v>
      </c>
      <c r="U55" s="255">
        <f>IF($W$61="",0,$W$61)</f>
        <v>0</v>
      </c>
      <c r="V55" s="255">
        <f t="shared" si="12"/>
        <v>0</v>
      </c>
      <c r="W55" s="256">
        <f>IF(R60="",0,V55*R60*R55)</f>
        <v>0</v>
      </c>
    </row>
    <row r="56" spans="1:23" ht="27.75" customHeight="1" x14ac:dyDescent="0.25">
      <c r="A56" s="228"/>
      <c r="B56" s="227"/>
      <c r="C56" s="234"/>
      <c r="D56" s="258"/>
      <c r="E56" s="259"/>
      <c r="F56" s="260"/>
      <c r="G56" s="260"/>
      <c r="H56" s="260"/>
      <c r="I56" s="260"/>
      <c r="J56" s="260"/>
      <c r="K56" s="260"/>
      <c r="L56" s="260"/>
      <c r="M56" s="260"/>
      <c r="N56" s="260"/>
      <c r="O56" s="260"/>
      <c r="P56" s="260"/>
      <c r="Q56" s="260"/>
      <c r="R56" s="225">
        <f>SUM(R46:R55)</f>
        <v>0</v>
      </c>
      <c r="S56" s="254">
        <f>SUM(S46:S55)</f>
        <v>0</v>
      </c>
      <c r="T56" s="261"/>
      <c r="U56" s="261"/>
      <c r="V56" s="261"/>
      <c r="W56" s="256">
        <f>SUM(W46:W55)</f>
        <v>0</v>
      </c>
    </row>
    <row r="57" spans="1:23" ht="12.6" customHeight="1" x14ac:dyDescent="0.25">
      <c r="A57" s="231"/>
      <c r="B57" s="232"/>
      <c r="C57" s="231"/>
      <c r="D57" s="232"/>
      <c r="E57" s="249"/>
      <c r="F57" s="249"/>
      <c r="G57" s="249"/>
      <c r="H57" s="249"/>
      <c r="I57" s="249"/>
      <c r="J57" s="249"/>
      <c r="K57" s="249"/>
      <c r="L57" s="249"/>
      <c r="M57" s="249"/>
      <c r="N57" s="249"/>
      <c r="O57" s="249"/>
      <c r="P57" s="249"/>
      <c r="Q57" s="249"/>
      <c r="R57" s="232"/>
      <c r="S57" s="231"/>
      <c r="T57" s="109"/>
      <c r="U57" s="109"/>
      <c r="V57" s="109"/>
      <c r="W57" s="109"/>
    </row>
    <row r="58" spans="1:23" ht="12" customHeight="1" x14ac:dyDescent="0.25">
      <c r="A58" s="262"/>
      <c r="B58" s="263"/>
      <c r="C58" s="264" t="s">
        <v>314</v>
      </c>
      <c r="D58" s="270"/>
      <c r="E58" s="271"/>
      <c r="F58" s="271"/>
      <c r="G58" s="271"/>
      <c r="H58" s="271"/>
      <c r="I58" s="271"/>
      <c r="J58" s="271"/>
      <c r="K58" s="271"/>
      <c r="L58" s="271"/>
      <c r="M58" s="271"/>
      <c r="N58" s="271"/>
      <c r="O58" s="271"/>
      <c r="P58" s="271"/>
      <c r="Q58" s="271"/>
      <c r="R58" s="1275" t="str">
        <f>IF('INTERN Personal- und Sachkosten'!$E$17=0,"",('INTERN Personal- und Sachkosten'!$E$17*'INTERN Kostenrechnung'!K3))</f>
        <v/>
      </c>
      <c r="S58" s="1276"/>
      <c r="T58" s="1277"/>
      <c r="U58" s="267"/>
      <c r="V58" s="268" t="s">
        <v>310</v>
      </c>
      <c r="W58" s="256" t="str">
        <f>IF('INTERN Personal- und Sachkosten'!$E$43=0,"",('INTERN Personal- und Sachkosten'!$E$43*'INTERN Kostenrechnung'!K3))</f>
        <v/>
      </c>
    </row>
    <row r="59" spans="1:23" ht="12" customHeight="1" x14ac:dyDescent="0.25">
      <c r="A59" s="262"/>
      <c r="B59" s="263"/>
      <c r="C59" s="264" t="s">
        <v>315</v>
      </c>
      <c r="D59" s="270"/>
      <c r="E59" s="271"/>
      <c r="F59" s="271"/>
      <c r="G59" s="271"/>
      <c r="H59" s="271"/>
      <c r="I59" s="271"/>
      <c r="J59" s="271"/>
      <c r="K59" s="271"/>
      <c r="L59" s="271"/>
      <c r="M59" s="271"/>
      <c r="N59" s="271"/>
      <c r="O59" s="271"/>
      <c r="P59" s="271"/>
      <c r="Q59" s="271"/>
      <c r="R59" s="1285" t="str">
        <f>IF(S56=0,"",S56)</f>
        <v/>
      </c>
      <c r="S59" s="1286"/>
      <c r="T59" s="1287"/>
      <c r="U59" s="267"/>
      <c r="V59" s="268" t="s">
        <v>291</v>
      </c>
      <c r="W59" s="272" t="str">
        <f>IF(R56=0,"",R56)</f>
        <v/>
      </c>
    </row>
    <row r="60" spans="1:23" ht="12" customHeight="1" x14ac:dyDescent="0.25">
      <c r="A60" s="262"/>
      <c r="B60" s="263"/>
      <c r="C60" s="264" t="s">
        <v>292</v>
      </c>
      <c r="D60" s="270"/>
      <c r="E60" s="273"/>
      <c r="F60" s="274"/>
      <c r="G60" s="274"/>
      <c r="H60" s="274"/>
      <c r="I60" s="274"/>
      <c r="J60" s="274"/>
      <c r="K60" s="274"/>
      <c r="L60" s="274"/>
      <c r="M60" s="274"/>
      <c r="N60" s="274"/>
      <c r="O60" s="274"/>
      <c r="P60" s="274"/>
      <c r="Q60" s="274"/>
      <c r="R60" s="1288" t="str">
        <f>IF(R59="","",Grundlagen!C26)</f>
        <v/>
      </c>
      <c r="S60" s="1289"/>
      <c r="T60" s="1290"/>
      <c r="U60" s="267"/>
      <c r="V60" s="268" t="s">
        <v>292</v>
      </c>
      <c r="W60" s="275" t="str">
        <f>IF(W59="","",R60)</f>
        <v/>
      </c>
    </row>
    <row r="61" spans="1:23" ht="12" customHeight="1" x14ac:dyDescent="0.25">
      <c r="A61" s="262"/>
      <c r="B61" s="263"/>
      <c r="C61" s="264" t="s">
        <v>293</v>
      </c>
      <c r="D61" s="270"/>
      <c r="E61" s="266"/>
      <c r="F61" s="274"/>
      <c r="G61" s="274"/>
      <c r="H61" s="274"/>
      <c r="I61" s="274"/>
      <c r="J61" s="274"/>
      <c r="K61" s="274"/>
      <c r="L61" s="274"/>
      <c r="M61" s="274"/>
      <c r="N61" s="274"/>
      <c r="O61" s="274"/>
      <c r="P61" s="274"/>
      <c r="Q61" s="274"/>
      <c r="R61" s="1275" t="str">
        <f>IF(R58="","",R58/R59/R60)</f>
        <v/>
      </c>
      <c r="S61" s="1276"/>
      <c r="T61" s="1277"/>
      <c r="U61" s="267"/>
      <c r="V61" s="268" t="s">
        <v>293</v>
      </c>
      <c r="W61" s="256" t="str">
        <f>IF(W58="","",W58/W59/W60)</f>
        <v/>
      </c>
    </row>
    <row r="62" spans="1:23" hidden="1" x14ac:dyDescent="0.25">
      <c r="A62" s="109"/>
      <c r="B62" s="109"/>
      <c r="C62" s="109"/>
      <c r="D62" s="109"/>
    </row>
    <row r="64" spans="1:23" ht="18.75" customHeight="1" x14ac:dyDescent="0.25">
      <c r="A64" s="276"/>
      <c r="B64" s="277"/>
      <c r="C64" s="278"/>
      <c r="D64" s="277"/>
      <c r="E64" s="279"/>
      <c r="F64" s="279"/>
      <c r="G64" s="279"/>
      <c r="H64" s="279"/>
      <c r="I64" s="279"/>
      <c r="J64" s="279"/>
      <c r="K64" s="279"/>
      <c r="L64" s="279"/>
      <c r="M64" s="279"/>
      <c r="N64" s="279"/>
      <c r="O64" s="279"/>
      <c r="P64" s="279"/>
      <c r="Q64" s="279"/>
      <c r="R64" s="227"/>
      <c r="S64" s="246"/>
      <c r="T64" s="261"/>
      <c r="U64" s="261"/>
      <c r="V64" s="280" t="s">
        <v>284</v>
      </c>
      <c r="W64" s="281">
        <f>W20</f>
        <v>0</v>
      </c>
    </row>
    <row r="65" spans="1:23" ht="18.75" customHeight="1" x14ac:dyDescent="0.25">
      <c r="A65" s="276"/>
      <c r="B65" s="277"/>
      <c r="C65" s="278"/>
      <c r="D65" s="277"/>
      <c r="E65" s="279"/>
      <c r="F65" s="279"/>
      <c r="G65" s="279"/>
      <c r="H65" s="279"/>
      <c r="I65" s="279"/>
      <c r="J65" s="279"/>
      <c r="K65" s="279"/>
      <c r="L65" s="279"/>
      <c r="M65" s="279"/>
      <c r="N65" s="279"/>
      <c r="O65" s="279"/>
      <c r="P65" s="279"/>
      <c r="Q65" s="279"/>
      <c r="R65" s="227"/>
      <c r="S65" s="246"/>
      <c r="T65" s="261"/>
      <c r="U65" s="261"/>
      <c r="V65" s="280" t="s">
        <v>286</v>
      </c>
      <c r="W65" s="281">
        <f>W37</f>
        <v>0</v>
      </c>
    </row>
    <row r="66" spans="1:23" ht="18.75" customHeight="1" thickBot="1" x14ac:dyDescent="0.3">
      <c r="A66" s="276"/>
      <c r="B66" s="277"/>
      <c r="C66" s="278"/>
      <c r="D66" s="277"/>
      <c r="E66" s="279"/>
      <c r="F66" s="279"/>
      <c r="G66" s="279"/>
      <c r="H66" s="279"/>
      <c r="I66" s="279"/>
      <c r="J66" s="279"/>
      <c r="K66" s="279"/>
      <c r="L66" s="279"/>
      <c r="M66" s="279"/>
      <c r="N66" s="279"/>
      <c r="O66" s="279"/>
      <c r="P66" s="279"/>
      <c r="Q66" s="279"/>
      <c r="R66" s="227"/>
      <c r="S66" s="246"/>
      <c r="T66" s="261"/>
      <c r="U66" s="261"/>
      <c r="V66" s="280" t="s">
        <v>288</v>
      </c>
      <c r="W66" s="281">
        <f>W56</f>
        <v>0</v>
      </c>
    </row>
    <row r="67" spans="1:23" ht="18.75" customHeight="1" thickBot="1" x14ac:dyDescent="0.3">
      <c r="A67" s="276"/>
      <c r="B67" s="277"/>
      <c r="C67" s="278"/>
      <c r="D67" s="277"/>
      <c r="E67" s="279"/>
      <c r="F67" s="279"/>
      <c r="G67" s="279"/>
      <c r="H67" s="279"/>
      <c r="I67" s="279"/>
      <c r="J67" s="279"/>
      <c r="K67" s="279"/>
      <c r="L67" s="279"/>
      <c r="M67" s="279"/>
      <c r="N67" s="279"/>
      <c r="O67" s="279"/>
      <c r="P67" s="279"/>
      <c r="Q67" s="279"/>
      <c r="R67" s="227"/>
      <c r="S67" s="246"/>
      <c r="T67" s="261"/>
      <c r="U67" s="261"/>
      <c r="V67" s="282" t="s">
        <v>318</v>
      </c>
      <c r="W67" s="283">
        <f>SUM(W64:W66)</f>
        <v>0</v>
      </c>
    </row>
    <row r="69" spans="1:23" ht="18.75" customHeight="1" x14ac:dyDescent="0.25">
      <c r="A69" s="276"/>
      <c r="B69" s="277"/>
      <c r="C69" s="278"/>
      <c r="D69" s="277"/>
      <c r="E69" s="279"/>
      <c r="F69" s="279"/>
      <c r="G69" s="279"/>
      <c r="H69" s="279"/>
      <c r="I69" s="279"/>
      <c r="J69" s="279"/>
      <c r="K69" s="279"/>
      <c r="L69" s="279"/>
      <c r="M69" s="279"/>
      <c r="N69" s="279"/>
      <c r="O69" s="279"/>
      <c r="P69" s="279"/>
      <c r="Q69" s="279"/>
      <c r="R69" s="227"/>
      <c r="S69" s="246"/>
      <c r="T69" s="261"/>
      <c r="U69" s="261"/>
      <c r="V69" s="280" t="s">
        <v>284</v>
      </c>
      <c r="W69" s="281">
        <f>Zusatzplatzkosten!H48</f>
        <v>0</v>
      </c>
    </row>
    <row r="70" spans="1:23" ht="18.75" customHeight="1" x14ac:dyDescent="0.25">
      <c r="A70" s="276"/>
      <c r="B70" s="277"/>
      <c r="C70" s="278"/>
      <c r="D70" s="277"/>
      <c r="E70" s="279"/>
      <c r="F70" s="279"/>
      <c r="G70" s="279"/>
      <c r="H70" s="279"/>
      <c r="I70" s="279"/>
      <c r="J70" s="279"/>
      <c r="K70" s="279"/>
      <c r="L70" s="279"/>
      <c r="M70" s="279"/>
      <c r="N70" s="279"/>
      <c r="O70" s="279"/>
      <c r="P70" s="279"/>
      <c r="Q70" s="279"/>
      <c r="R70" s="227"/>
      <c r="S70" s="246"/>
      <c r="T70" s="261"/>
      <c r="U70" s="261"/>
      <c r="V70" s="280" t="s">
        <v>286</v>
      </c>
      <c r="W70" s="281">
        <f>Zusatzplatzkosten!H49</f>
        <v>0</v>
      </c>
    </row>
    <row r="71" spans="1:23" ht="18.75" customHeight="1" thickBot="1" x14ac:dyDescent="0.3">
      <c r="A71" s="109"/>
      <c r="B71" s="109"/>
      <c r="C71" s="109"/>
      <c r="D71" s="109"/>
      <c r="E71" s="109"/>
      <c r="F71" s="109"/>
      <c r="G71" s="109"/>
      <c r="H71" s="109"/>
      <c r="I71" s="109"/>
      <c r="J71" s="109"/>
      <c r="K71" s="109"/>
      <c r="L71" s="109"/>
      <c r="M71" s="109"/>
      <c r="N71" s="109"/>
      <c r="O71" s="109"/>
      <c r="P71" s="109"/>
      <c r="Q71" s="109"/>
      <c r="R71" s="109"/>
      <c r="S71" s="109"/>
      <c r="T71" s="109"/>
      <c r="U71" s="109"/>
      <c r="V71" s="280" t="s">
        <v>288</v>
      </c>
      <c r="W71" s="281">
        <f>Zusatzplatzkosten!H50</f>
        <v>0</v>
      </c>
    </row>
    <row r="72" spans="1:23" ht="18.75" customHeight="1" thickBot="1" x14ac:dyDescent="0.3">
      <c r="A72" s="109"/>
      <c r="B72" s="109"/>
      <c r="C72" s="109"/>
      <c r="D72" s="109"/>
      <c r="E72" s="109"/>
      <c r="F72" s="109"/>
      <c r="G72" s="109"/>
      <c r="H72" s="109"/>
      <c r="I72" s="109"/>
      <c r="J72" s="109"/>
      <c r="K72" s="109"/>
      <c r="L72" s="109"/>
      <c r="M72" s="109"/>
      <c r="N72" s="109"/>
      <c r="O72" s="109"/>
      <c r="P72" s="109"/>
      <c r="Q72" s="109"/>
      <c r="R72" s="109"/>
      <c r="S72" s="109"/>
      <c r="T72" s="109"/>
      <c r="U72" s="109"/>
      <c r="V72" s="284" t="s">
        <v>319</v>
      </c>
      <c r="W72" s="283">
        <f>Zusatzplatzkosten!H51</f>
        <v>0</v>
      </c>
    </row>
    <row r="74" spans="1:23" ht="18.75" customHeight="1" x14ac:dyDescent="0.25">
      <c r="A74" s="276"/>
      <c r="B74" s="277"/>
      <c r="C74" s="278"/>
      <c r="D74" s="277"/>
      <c r="E74" s="279"/>
      <c r="F74" s="279"/>
      <c r="G74" s="279"/>
      <c r="H74" s="279"/>
      <c r="I74" s="279"/>
      <c r="J74" s="279"/>
      <c r="K74" s="279"/>
      <c r="L74" s="279"/>
      <c r="M74" s="279"/>
      <c r="N74" s="279"/>
      <c r="O74" s="279"/>
      <c r="P74" s="279"/>
      <c r="Q74" s="279"/>
      <c r="R74" s="227"/>
      <c r="S74" s="246"/>
      <c r="T74" s="261"/>
      <c r="U74" s="261"/>
      <c r="V74" s="280" t="s">
        <v>284</v>
      </c>
      <c r="W74" s="281">
        <f>W64+W69</f>
        <v>0</v>
      </c>
    </row>
    <row r="75" spans="1:23" ht="18.75" customHeight="1" x14ac:dyDescent="0.25">
      <c r="A75" s="276"/>
      <c r="B75" s="277"/>
      <c r="C75" s="278"/>
      <c r="D75" s="277"/>
      <c r="E75" s="279"/>
      <c r="F75" s="279"/>
      <c r="G75" s="279"/>
      <c r="H75" s="279"/>
      <c r="I75" s="279"/>
      <c r="J75" s="279"/>
      <c r="K75" s="279"/>
      <c r="L75" s="279"/>
      <c r="M75" s="279"/>
      <c r="N75" s="279"/>
      <c r="O75" s="279"/>
      <c r="P75" s="279"/>
      <c r="Q75" s="279"/>
      <c r="R75" s="227"/>
      <c r="S75" s="246"/>
      <c r="T75" s="261"/>
      <c r="U75" s="261"/>
      <c r="V75" s="280" t="s">
        <v>286</v>
      </c>
      <c r="W75" s="281">
        <f>W65+W70</f>
        <v>0</v>
      </c>
    </row>
    <row r="76" spans="1:23" ht="18.75" customHeight="1" thickBot="1" x14ac:dyDescent="0.3">
      <c r="A76" s="109"/>
      <c r="B76" s="109"/>
      <c r="C76" s="109"/>
      <c r="D76" s="109"/>
      <c r="E76" s="109"/>
      <c r="F76" s="109"/>
      <c r="G76" s="109"/>
      <c r="H76" s="109"/>
      <c r="I76" s="109"/>
      <c r="J76" s="109"/>
      <c r="K76" s="109"/>
      <c r="L76" s="109"/>
      <c r="M76" s="109"/>
      <c r="N76" s="109"/>
      <c r="O76" s="109"/>
      <c r="P76" s="109"/>
      <c r="Q76" s="109"/>
      <c r="R76" s="109"/>
      <c r="S76" s="109"/>
      <c r="T76" s="109"/>
      <c r="U76" s="109"/>
      <c r="V76" s="280" t="s">
        <v>288</v>
      </c>
      <c r="W76" s="281">
        <f>W66+W71</f>
        <v>0</v>
      </c>
    </row>
    <row r="77" spans="1:23" ht="18.75" customHeight="1" thickBot="1" x14ac:dyDescent="0.3">
      <c r="A77" s="109"/>
      <c r="B77" s="109"/>
      <c r="C77" s="109"/>
      <c r="D77" s="109"/>
      <c r="E77" s="109"/>
      <c r="F77" s="109"/>
      <c r="G77" s="109"/>
      <c r="H77" s="109"/>
      <c r="I77" s="109"/>
      <c r="J77" s="109"/>
      <c r="K77" s="109"/>
      <c r="L77" s="109"/>
      <c r="M77" s="109"/>
      <c r="N77" s="109"/>
      <c r="O77" s="109"/>
      <c r="P77" s="109"/>
      <c r="Q77" s="109"/>
      <c r="R77" s="109"/>
      <c r="S77" s="109"/>
      <c r="T77" s="109"/>
      <c r="U77" s="109"/>
      <c r="V77" s="282" t="s">
        <v>320</v>
      </c>
      <c r="W77" s="283">
        <f>SUM(W74:W76)</f>
        <v>0</v>
      </c>
    </row>
    <row r="78" spans="1:23" ht="24.6" customHeight="1" x14ac:dyDescent="0.25">
      <c r="A78" s="109"/>
      <c r="B78" s="109"/>
      <c r="C78" s="109"/>
      <c r="D78" s="109"/>
      <c r="E78" s="109"/>
      <c r="F78" s="109"/>
      <c r="G78" s="109"/>
      <c r="H78" s="109"/>
      <c r="I78" s="109"/>
      <c r="J78" s="109"/>
      <c r="K78" s="109"/>
      <c r="L78" s="109"/>
      <c r="M78" s="109"/>
      <c r="N78" s="109"/>
      <c r="O78" s="109"/>
      <c r="P78" s="109"/>
      <c r="Q78" s="109"/>
      <c r="R78" s="109"/>
      <c r="S78" s="109"/>
      <c r="T78" s="109"/>
      <c r="U78" s="109"/>
    </row>
    <row r="79" spans="1:23" ht="24.6" customHeight="1" x14ac:dyDescent="0.25">
      <c r="A79" s="109"/>
      <c r="B79" s="109"/>
      <c r="C79" s="109"/>
      <c r="D79" s="109"/>
      <c r="E79" s="109"/>
      <c r="F79" s="109"/>
      <c r="G79" s="109"/>
      <c r="H79" s="109"/>
      <c r="I79" s="109"/>
      <c r="J79" s="109"/>
      <c r="K79" s="109"/>
      <c r="L79" s="109"/>
      <c r="M79" s="109"/>
      <c r="N79" s="109"/>
      <c r="O79" s="109"/>
      <c r="P79" s="109"/>
      <c r="Q79" s="109"/>
      <c r="R79" s="109"/>
      <c r="S79" s="109"/>
      <c r="T79" s="109"/>
      <c r="U79" s="109"/>
    </row>
    <row r="80" spans="1:23" x14ac:dyDescent="0.25">
      <c r="A80" s="109"/>
      <c r="B80" s="109"/>
      <c r="C80" s="109"/>
      <c r="D80" s="109"/>
      <c r="E80" s="109"/>
      <c r="F80" s="109"/>
      <c r="G80" s="109"/>
      <c r="H80" s="109"/>
      <c r="I80" s="109"/>
      <c r="J80" s="109"/>
      <c r="K80" s="109"/>
      <c r="L80" s="109"/>
      <c r="M80" s="109"/>
      <c r="N80" s="109"/>
      <c r="O80" s="109"/>
      <c r="P80" s="109"/>
      <c r="Q80" s="109"/>
      <c r="R80" s="109"/>
      <c r="S80" s="109"/>
      <c r="T80" s="109"/>
      <c r="U80" s="109"/>
    </row>
    <row r="166" spans="1:23" x14ac:dyDescent="0.25">
      <c r="A166" s="109"/>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row>
    <row r="179" spans="1:23" x14ac:dyDescent="0.25">
      <c r="A179" s="109"/>
      <c r="B179" s="109"/>
      <c r="C179" s="109"/>
      <c r="D179" s="109"/>
      <c r="E179" s="109"/>
      <c r="F179" s="109"/>
      <c r="G179" s="109"/>
      <c r="H179" s="109"/>
      <c r="I179" s="109"/>
      <c r="J179" s="109"/>
      <c r="K179" s="109"/>
      <c r="L179" s="109"/>
      <c r="M179" s="109"/>
      <c r="N179" s="109"/>
      <c r="O179" s="109"/>
      <c r="P179" s="109"/>
      <c r="Q179" s="109"/>
      <c r="R179" s="109"/>
      <c r="S179" s="109"/>
      <c r="T179" s="109"/>
      <c r="U179" s="109"/>
      <c r="V179" s="109"/>
      <c r="W179" s="109"/>
    </row>
    <row r="180" spans="1:23" x14ac:dyDescent="0.25">
      <c r="A180" s="109"/>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row>
    <row r="181" spans="1:23" x14ac:dyDescent="0.25">
      <c r="A181" s="109"/>
      <c r="B181" s="109"/>
      <c r="C181" s="109"/>
      <c r="D181" s="109"/>
      <c r="E181" s="109"/>
      <c r="F181" s="109"/>
      <c r="G181" s="109"/>
      <c r="H181" s="109"/>
      <c r="I181" s="109"/>
      <c r="J181" s="109"/>
      <c r="K181" s="109"/>
      <c r="L181" s="109"/>
      <c r="M181" s="109"/>
      <c r="N181" s="109"/>
      <c r="O181" s="109"/>
      <c r="P181" s="109"/>
      <c r="Q181" s="109"/>
      <c r="R181" s="109"/>
      <c r="S181" s="109"/>
      <c r="T181" s="109"/>
      <c r="U181" s="109"/>
      <c r="V181" s="109"/>
      <c r="W181" s="109"/>
    </row>
    <row r="182" spans="1:23" x14ac:dyDescent="0.25">
      <c r="A182" s="109"/>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row>
  </sheetData>
  <mergeCells count="44">
    <mergeCell ref="R60:T60"/>
    <mergeCell ref="R61:T61"/>
    <mergeCell ref="R40:T40"/>
    <mergeCell ref="R41:T41"/>
    <mergeCell ref="R42:T42"/>
    <mergeCell ref="A45:W45"/>
    <mergeCell ref="R58:T58"/>
    <mergeCell ref="R59:T59"/>
    <mergeCell ref="V5:V8"/>
    <mergeCell ref="R22:T22"/>
    <mergeCell ref="R23:T23"/>
    <mergeCell ref="R24:T24"/>
    <mergeCell ref="A11:W11"/>
    <mergeCell ref="M5:M8"/>
    <mergeCell ref="N5:N8"/>
    <mergeCell ref="O5:O8"/>
    <mergeCell ref="P5:P8"/>
    <mergeCell ref="Q5:Q8"/>
    <mergeCell ref="I5:I8"/>
    <mergeCell ref="J5:J8"/>
    <mergeCell ref="K5:K8"/>
    <mergeCell ref="L5:L8"/>
    <mergeCell ref="R39:T39"/>
    <mergeCell ref="S5:S8"/>
    <mergeCell ref="T5:T8"/>
    <mergeCell ref="R25:T25"/>
    <mergeCell ref="A28:W28"/>
    <mergeCell ref="F5:F8"/>
    <mergeCell ref="W5:W8"/>
    <mergeCell ref="A5:A8"/>
    <mergeCell ref="B5:B8"/>
    <mergeCell ref="C5:C7"/>
    <mergeCell ref="D5:D8"/>
    <mergeCell ref="E5:E8"/>
    <mergeCell ref="R5:R8"/>
    <mergeCell ref="G5:G8"/>
    <mergeCell ref="H5:H8"/>
    <mergeCell ref="U5:U8"/>
    <mergeCell ref="A1:B1"/>
    <mergeCell ref="A2:B2"/>
    <mergeCell ref="C2:W2"/>
    <mergeCell ref="A3:B3"/>
    <mergeCell ref="C3:W3"/>
    <mergeCell ref="C1:R1"/>
  </mergeCells>
  <printOptions horizontalCentered="1"/>
  <pageMargins left="0.78740157480314965" right="0.78740157480314965" top="0.98425196850393704" bottom="0.39370078740157483"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7</vt:i4>
      </vt:variant>
    </vt:vector>
  </HeadingPairs>
  <TitlesOfParts>
    <vt:vector size="33" baseType="lpstr">
      <vt:lpstr>Grundlagen</vt:lpstr>
      <vt:lpstr>Belegung</vt:lpstr>
      <vt:lpstr>päd Personal</vt:lpstr>
      <vt:lpstr>techn Personal</vt:lpstr>
      <vt:lpstr>Kostenplan</vt:lpstr>
      <vt:lpstr>INTERN Personalstunden</vt:lpstr>
      <vt:lpstr>INTERN Kostenrechnung</vt:lpstr>
      <vt:lpstr>INTERN Personal- und Sachkosten</vt:lpstr>
      <vt:lpstr>Platzkosten</vt:lpstr>
      <vt:lpstr>Zusatzplatzkosten</vt:lpstr>
      <vt:lpstr>päd.Personal - Leitung</vt:lpstr>
      <vt:lpstr>päd.Personal - Erzieher</vt:lpstr>
      <vt:lpstr>päd.Personal - Hilfskraft</vt:lpstr>
      <vt:lpstr>päd.Personal - ATZ aktiv,passiv</vt:lpstr>
      <vt:lpstr>päd.Personal - Auszubildende</vt:lpstr>
      <vt:lpstr>päd.Personal - Praktikant</vt:lpstr>
      <vt:lpstr>päd.Personal - unentgeltlich</vt:lpstr>
      <vt:lpstr>päd.Personal - BFD, FSJ</vt:lpstr>
      <vt:lpstr>päd.Personal - Heilpäd.FK</vt:lpstr>
      <vt:lpstr>päd.Personal - sonst.geringfüg.</vt:lpstr>
      <vt:lpstr>päd.Personal - § 23</vt:lpstr>
      <vt:lpstr>techn.Personal - Hausmeister</vt:lpstr>
      <vt:lpstr>techn.Personal - Reinigungskr.</vt:lpstr>
      <vt:lpstr>techn.Personal - Wirtschaftskr.</vt:lpstr>
      <vt:lpstr>techn.Personal - sonst.gering</vt:lpstr>
      <vt:lpstr>freigegeben (sonstiges)</vt:lpstr>
      <vt:lpstr>Anlage</vt:lpstr>
      <vt:lpstr>beantragt</vt:lpstr>
      <vt:lpstr>Belegung!Drucktitel</vt:lpstr>
      <vt:lpstr>'INTERN Kostenrechnung'!Drucktitel</vt:lpstr>
      <vt:lpstr>Kostenplan!Drucktitel</vt:lpstr>
      <vt:lpstr>'päd Personal'!Drucktitel</vt:lpstr>
      <vt:lpstr>'techn Personal'!Drucktitel</vt:lpstr>
    </vt:vector>
  </TitlesOfParts>
  <Company>SLK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Nagel, Corinne 24</dc:creator>
  <cp:lastModifiedBy>Nagel, Corinne 22</cp:lastModifiedBy>
  <cp:lastPrinted>2024-05-28T08:49:14Z</cp:lastPrinted>
  <dcterms:created xsi:type="dcterms:W3CDTF">2016-11-09T08:54:26Z</dcterms:created>
  <dcterms:modified xsi:type="dcterms:W3CDTF">2024-09-09T06:05:33Z</dcterms:modified>
</cp:coreProperties>
</file>